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showInkAnnotation="0" autoCompressPictures="0"/>
  <mc:AlternateContent xmlns:mc="http://schemas.openxmlformats.org/markup-compatibility/2006">
    <mc:Choice Requires="x15">
      <x15ac:absPath xmlns:x15ac="http://schemas.microsoft.com/office/spreadsheetml/2010/11/ac" url="/Users/nmorinigo/Desktop/Informe de Penner/"/>
    </mc:Choice>
  </mc:AlternateContent>
  <xr:revisionPtr revIDLastSave="0" documentId="13_ncr:1_{74964359-84D7-B74D-8994-ADFA48BEB1A6}" xr6:coauthVersionLast="45" xr6:coauthVersionMax="45" xr10:uidLastSave="{00000000-0000-0000-0000-000000000000}"/>
  <bookViews>
    <workbookView xWindow="0" yWindow="460" windowWidth="28800" windowHeight="16460" tabRatio="900" activeTab="1" xr2:uid="{00000000-000D-0000-FFFF-FFFF00000000}"/>
  </bookViews>
  <sheets>
    <sheet name="Encabezamiento" sheetId="33" state="hidden" r:id="rId1"/>
    <sheet name="CARATULA" sheetId="94" r:id="rId2"/>
    <sheet name="Contenido" sheetId="95" r:id="rId3"/>
    <sheet name="BG" sheetId="38" r:id="rId4"/>
    <sheet name="EERR" sheetId="35" r:id="rId5"/>
    <sheet name="EVPN" sheetId="18" r:id="rId6"/>
    <sheet name="EFE" sheetId="92" r:id="rId7"/>
    <sheet name="Flujo de Efectivo" sheetId="16" state="hidden" r:id="rId8"/>
    <sheet name="CA" sheetId="43" state="hidden" r:id="rId9"/>
    <sheet name="Flujo de Efectivo Res 5 92 (2)" sheetId="41" state="hidden" r:id="rId10"/>
    <sheet name="Nota 1" sheetId="96" r:id="rId11"/>
    <sheet name="Nota 2" sheetId="97" r:id="rId12"/>
    <sheet name="Nota 3" sheetId="65" r:id="rId13"/>
    <sheet name="Nota 4" sheetId="44" r:id="rId14"/>
    <sheet name="Nota 4.1" sheetId="55" r:id="rId15"/>
    <sheet name="Nota 5" sheetId="45" r:id="rId16"/>
    <sheet name="stock vehiculos" sheetId="83" state="hidden" r:id="rId17"/>
    <sheet name="Nota 6" sheetId="46" r:id="rId18"/>
    <sheet name="Nota 7" sheetId="48" r:id="rId19"/>
    <sheet name="Nota 8" sheetId="49" r:id="rId20"/>
    <sheet name="Nota 9" sheetId="50" r:id="rId21"/>
    <sheet name="Nota 10" sheetId="74" r:id="rId22"/>
    <sheet name="Nota 11" sheetId="59" r:id="rId23"/>
    <sheet name="Nota 12" sheetId="98" r:id="rId24"/>
    <sheet name="Nota 13" sheetId="99" r:id="rId25"/>
    <sheet name="Anexo A" sheetId="34" r:id="rId26"/>
    <sheet name="Anexo B" sheetId="22" r:id="rId27"/>
    <sheet name="CBU" sheetId="63" state="hidden" r:id="rId28"/>
    <sheet name="mayor de bienes de uso" sheetId="64" state="hidden" r:id="rId29"/>
    <sheet name="101" sheetId="93" state="hidden" r:id="rId30"/>
    <sheet name="COMPARATIVO" sheetId="42" state="hidden" r:id="rId31"/>
    <sheet name="Anexo C" sheetId="23" r:id="rId32"/>
    <sheet name="Anexo D" sheetId="24" r:id="rId33"/>
    <sheet name="Anexo E" sheetId="25" r:id="rId34"/>
    <sheet name="Anexo F" sheetId="28" r:id="rId35"/>
    <sheet name="Anexo G" sheetId="26" r:id="rId36"/>
    <sheet name="Anexo H" sheetId="36" r:id="rId37"/>
    <sheet name="Anexo I" sheetId="30" r:id="rId38"/>
    <sheet name="Anexo J" sheetId="31" r:id="rId39"/>
    <sheet name="Anexo K" sheetId="68" r:id="rId40"/>
    <sheet name="Hoja1" sheetId="85" state="hidden" r:id="rId41"/>
    <sheet name="Detalle de honorarios" sheetId="86" state="hidden" r:id="rId42"/>
    <sheet name="honorarios" sheetId="87" state="hidden" r:id="rId43"/>
    <sheet name="GASTOS SIN FACTURA" sheetId="88" state="hidden" r:id="rId44"/>
    <sheet name="IRACIS" sheetId="89" state="hidden" r:id="rId45"/>
    <sheet name="CREDITOS INCOBRABLES" sheetId="90" state="hidden" r:id="rId46"/>
    <sheet name="GND" sheetId="91" state="hidden"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AF2008" localSheetId="27">[1]Datos!#REF!</definedName>
    <definedName name="__AF2008">[2]Datos!#REF!</definedName>
    <definedName name="__TPy530231">'[3]#REF'!$A$4</definedName>
    <definedName name="__x2" localSheetId="27">[4]Datos!#REF!</definedName>
    <definedName name="__x2">[5]Datos!#REF!</definedName>
    <definedName name="_AF2008" localSheetId="27">[1]Datos!#REF!</definedName>
    <definedName name="_AF2008">[2]Datos!#REF!</definedName>
    <definedName name="_xlnm._FilterDatabase" localSheetId="3" hidden="1">BG!$B$1:$AC$527</definedName>
    <definedName name="_xlnm._FilterDatabase" localSheetId="30" hidden="1">COMPARATIVO!$A$2:$T$423</definedName>
    <definedName name="_xlnm._FilterDatabase" localSheetId="45" hidden="1">'CREDITOS INCOBRABLES'!$B$9:$IV$126</definedName>
    <definedName name="_xlnm._FilterDatabase" localSheetId="41" hidden="1">'Detalle de honorarios'!$A$1:$BF$508</definedName>
    <definedName name="_xlnm._FilterDatabase" localSheetId="43" hidden="1">'GASTOS SIN FACTURA'!$A$2:$J$1065</definedName>
    <definedName name="_xlnm._FilterDatabase" localSheetId="28" hidden="1">'mayor de bienes de uso'!$A$1:$G$443</definedName>
    <definedName name="_xlnm._FilterDatabase" localSheetId="19" hidden="1">'Nota 8'!$C$9:$D$21</definedName>
    <definedName name="_xlnm._FilterDatabase" localSheetId="16" hidden="1">'stock vehiculos'!$A$470:$Q$640</definedName>
    <definedName name="_Hlk43385170" localSheetId="11">'Nota 2'!$C$34</definedName>
    <definedName name="_r">'[6]G&amp;P Global'!$A$59</definedName>
    <definedName name="_TPy530231">'[3]#REF'!$A$4</definedName>
    <definedName name="_x2" localSheetId="27">[4]Datos!#REF!</definedName>
    <definedName name="_x2">[5]Datos!#REF!</definedName>
    <definedName name="a" localSheetId="27">[7]Datos!#REF!</definedName>
    <definedName name="a">[7]Datos!#REF!</definedName>
    <definedName name="A_IMPRESIÓN_IM">#N/A</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12WS" localSheetId="27">#REF!</definedName>
    <definedName name="A12WS">#REF!</definedName>
    <definedName name="aa" localSheetId="27">#REF!</definedName>
    <definedName name="aa">#REF!</definedName>
    <definedName name="aaa" localSheetId="27">OFFSET([9]TipoBienes!$A$2,0,0,COUNTA([9]TipoBienes!$A$1:$A$65536)-1,1)</definedName>
    <definedName name="aaa" localSheetId="22">OFFSET([8]TipoBienes!$A$2,0,0,COUNTA([8]TipoBienes!$A$1:$A$65536)-1,1)</definedName>
    <definedName name="aaa">OFFSET([8]TipoBienes!$A$2,0,0,COUNTA([8]TipoBienes!$A$1:$A$65536)-1,1)</definedName>
    <definedName name="AACC" localSheetId="27">#REF!</definedName>
    <definedName name="AACC">#REF!</definedName>
    <definedName name="ACREEDORES" localSheetId="27">#REF!</definedName>
    <definedName name="ACREEDORES">#REF!</definedName>
    <definedName name="ads" localSheetId="27">[7]Datos!#REF!</definedName>
    <definedName name="ads">[7]Datos!#REF!</definedName>
    <definedName name="año" localSheetId="27">#REF!</definedName>
    <definedName name="año">#REF!</definedName>
    <definedName name="año_ant" localSheetId="27">#REF!</definedName>
    <definedName name="año_ant">#REF!</definedName>
    <definedName name="año_ant2" localSheetId="27">#REF!</definedName>
    <definedName name="año_ant2">#REF!</definedName>
    <definedName name="años" localSheetId="27">[10]Datos!#REF!</definedName>
    <definedName name="años">[11]Datos!#REF!</definedName>
    <definedName name="ARA_Threshold" localSheetId="27">[3]Balance!#REF!</definedName>
    <definedName name="ARA_Threshold">[3]Balance!#REF!</definedName>
    <definedName name="_xlnm.Print_Area" localSheetId="25">'Anexo A'!$C$2:$Q$45</definedName>
    <definedName name="_xlnm.Print_Area" localSheetId="26">'Anexo B'!$B$1:$L$39</definedName>
    <definedName name="_xlnm.Print_Area" localSheetId="31">'Anexo C'!$B$2:$O$51</definedName>
    <definedName name="_xlnm.Print_Area" localSheetId="32">'Anexo D'!$B$1:$H$70</definedName>
    <definedName name="_xlnm.Print_Area" localSheetId="33">'Anexo E'!$C$1:$H$63</definedName>
    <definedName name="_xlnm.Print_Area" localSheetId="34">'Anexo F'!$C$1:$G$79</definedName>
    <definedName name="_xlnm.Print_Area" localSheetId="35">'Anexo G'!$C$1:$I$76</definedName>
    <definedName name="_xlnm.Print_Area" localSheetId="36">'Anexo H'!$C$1:$J$84</definedName>
    <definedName name="_xlnm.Print_Area" localSheetId="37">'Anexo I'!$C$1:$E$65</definedName>
    <definedName name="_xlnm.Print_Area" localSheetId="38">'Anexo J'!$B$1:$I$46</definedName>
    <definedName name="_xlnm.Print_Area" localSheetId="39">'Anexo K'!$C$2:$G$79</definedName>
    <definedName name="_xlnm.Print_Area" localSheetId="3">BG!$B$1:$S$65</definedName>
    <definedName name="_xlnm.Print_Area" localSheetId="27">CBU!$A$1:$R$27</definedName>
    <definedName name="_xlnm.Print_Area" localSheetId="4">EERR!$B$4:$H$70</definedName>
    <definedName name="_xlnm.Print_Area" localSheetId="6">EFE!$C$3:$J$52</definedName>
    <definedName name="_xlnm.Print_Area" localSheetId="0">Encabezamiento!$B$2:$I$58</definedName>
    <definedName name="_xlnm.Print_Area" localSheetId="5">EVPN!$B$1:$Q$57</definedName>
    <definedName name="_xlnm.Print_Area" localSheetId="9">'Flujo de Efectivo Res 5 92 (2)'!$A$6:$L$90</definedName>
    <definedName name="_xlnm.Print_Area" localSheetId="42">honorarios!$A$1:$E$16</definedName>
    <definedName name="_xlnm.Print_Area" localSheetId="44">IRACIS!$A$1:$D$46</definedName>
    <definedName name="_xlnm.Print_Area" localSheetId="21">'Nota 10'!$C$3:$F$11</definedName>
    <definedName name="_xlnm.Print_Area" localSheetId="22">'Nota 11'!$C$1:$G$53</definedName>
    <definedName name="_xlnm.Print_Area" localSheetId="12">'Nota 3'!$C$3:$F$32</definedName>
    <definedName name="_xlnm.Print_Area" localSheetId="13">'Nota 4'!$C$3:$F$28</definedName>
    <definedName name="_xlnm.Print_Area" localSheetId="14">'Nota 4.1'!$C$1:$H$23</definedName>
    <definedName name="_xlnm.Print_Area" localSheetId="15">'Nota 5'!$C$3:$G$24</definedName>
    <definedName name="_xlnm.Print_Area" localSheetId="17">'Nota 6'!$C$3:$F$17</definedName>
    <definedName name="_xlnm.Print_Area" localSheetId="18">'Nota 7'!$C$3:$F$17</definedName>
    <definedName name="_xlnm.Print_Area" localSheetId="19">'Nota 8'!$C$3:$F$72</definedName>
    <definedName name="_xlnm.Print_Area" localSheetId="20">'Nota 9'!$C$3:$G$14</definedName>
    <definedName name="ARP_Threshold" localSheetId="27">[3]Balance!#REF!</definedName>
    <definedName name="ARP_Threshold">[3]Balance!#REF!</definedName>
    <definedName name="AS2DocOpenMode" hidden="1">"AS2DocumentEdit"</definedName>
    <definedName name="ASDFGJUJ654H3GF" localSheetId="27">#REF!</definedName>
    <definedName name="ASDFGJUJ654H3GF">#REF!</definedName>
    <definedName name="BALANCES" localSheetId="27">#REF!</definedName>
    <definedName name="BALANCES">#REF!</definedName>
    <definedName name="_xlnm.Database" localSheetId="27">[12]CATEGORIA!#REF!</definedName>
    <definedName name="_xlnm.Database">[12]CATEGORIA!#REF!</definedName>
    <definedName name="BEB" localSheetId="27">#REF!</definedName>
    <definedName name="BEB">#REF!</definedName>
    <definedName name="bertha" localSheetId="27">[4]Datos!#REF!</definedName>
    <definedName name="bertha">[5]Datos!#REF!</definedName>
    <definedName name="BuiltIn_Print_Area" localSheetId="27">#REF!</definedName>
    <definedName name="BuiltIn_Print_Area">#REF!</definedName>
    <definedName name="BuiltIn_Print_Area___0" localSheetId="27">#REF!</definedName>
    <definedName name="BuiltIn_Print_Area___0">#REF!</definedName>
    <definedName name="caca">[13]PRESUP_AJUSTADO!$A$1:$R$47</definedName>
    <definedName name="caca___0">[13]PRESUP_AJUSTADO!$A$1:$R$47</definedName>
    <definedName name="caca___15">[13]PRESUP_AJUSTADO!$A$1:$R$47</definedName>
    <definedName name="caca___16">[13]PRESUP_AJUSTADO!$A$1:$R$47</definedName>
    <definedName name="caca___17">[13]PRESUP_AJUSTADO!$A$1:$R$47</definedName>
    <definedName name="calculos" localSheetId="27">[14]donaciones!$B$2:$H$118</definedName>
    <definedName name="calculos">[15]donaciones!$B$2:$H$118</definedName>
    <definedName name="Cifras">'[6]Cifras Clave'!$A$1:$K$117</definedName>
    <definedName name="COMENTARIOS" localSheetId="27">#REF!</definedName>
    <definedName name="COMENTARIOS">#REF!</definedName>
    <definedName name="Comparativo" localSheetId="27">#REF!</definedName>
    <definedName name="Comparativo">#REF!</definedName>
    <definedName name="Consolidado" localSheetId="27">#REF!</definedName>
    <definedName name="Consolidado">#REF!</definedName>
    <definedName name="_xlnm.Criteria" localSheetId="27">[12]CATEGORIA!#REF!</definedName>
    <definedName name="_xlnm.Criteria">[12]CATEGORIA!#REF!</definedName>
    <definedName name="CUADRO1" localSheetId="27">'[16]10'!#REF!</definedName>
    <definedName name="CUADRO1">'[17]10'!#REF!</definedName>
    <definedName name="CUADRO1___0" localSheetId="27">#REF!</definedName>
    <definedName name="CUADRO1___0">#REF!</definedName>
    <definedName name="CUADRO1___10" localSheetId="27">'[16]10'!#REF!</definedName>
    <definedName name="CUADRO1___10">'[17]10'!#REF!</definedName>
    <definedName name="CUADRO1___11" localSheetId="27">'[16]10'!#REF!</definedName>
    <definedName name="CUADRO1___11">'[17]10'!#REF!</definedName>
    <definedName name="CUADRO1___12" localSheetId="27">'[16]10'!#REF!</definedName>
    <definedName name="CUADRO1___12">'[17]10'!#REF!</definedName>
    <definedName name="CUADRO1___5" localSheetId="27">'[16]10'!#REF!</definedName>
    <definedName name="CUADRO1___5">'[17]10'!#REF!</definedName>
    <definedName name="CUADRO1___9" localSheetId="27">'[16]10'!#REF!</definedName>
    <definedName name="CUADRO1___9">'[17]10'!#REF!</definedName>
    <definedName name="CUADRO2" localSheetId="27">'[16]10'!#REF!</definedName>
    <definedName name="CUADRO2">'[17]10'!#REF!</definedName>
    <definedName name="CUADRO2___0" localSheetId="27">#REF!</definedName>
    <definedName name="CUADRO2___0">#REF!</definedName>
    <definedName name="CUADRO2___10" localSheetId="27">'[16]10'!#REF!</definedName>
    <definedName name="CUADRO2___10">'[17]10'!#REF!</definedName>
    <definedName name="CUADRO2___11" localSheetId="27">'[16]10'!#REF!</definedName>
    <definedName name="CUADRO2___11">'[17]10'!#REF!</definedName>
    <definedName name="CUADRO2___12" localSheetId="27">'[16]10'!#REF!</definedName>
    <definedName name="CUADRO2___12">'[17]10'!#REF!</definedName>
    <definedName name="CUADRO2___5" localSheetId="27">'[16]10'!#REF!</definedName>
    <definedName name="CUADRO2___5">'[17]10'!#REF!</definedName>
    <definedName name="CUADRO2___9" localSheetId="27">'[16]10'!#REF!</definedName>
    <definedName name="CUADRO2___9">'[17]10'!#REF!</definedName>
    <definedName name="CY_Accounts_Receivable">[3]Balance!$B$8</definedName>
    <definedName name="CY_Cash">[3]Balance!$B$6</definedName>
    <definedName name="CY_Cost_of_Sales">'[3]Estado de Resultados'!$B$7</definedName>
    <definedName name="CY_Current_Liabilities">[3]Balance!$B$23</definedName>
    <definedName name="CY_Gross_Profit">'[3]Estado de Resultados'!$B$9</definedName>
    <definedName name="CY_Interest_Expense">'[3]Estado de Resultados'!$B$18</definedName>
    <definedName name="CY_Inventory">[3]Balance!$B$12</definedName>
    <definedName name="CY_LT_Debt">[3]Balance!$B$24</definedName>
    <definedName name="CY_NET_PROFIT">'[3]Estado de Resultados'!$B$24</definedName>
    <definedName name="CY_Net_Revenue">'[3]Estado de Resultados'!$B$6</definedName>
    <definedName name="CY_Operating_Income">'[3]Estado de Resultados'!$B$16</definedName>
    <definedName name="CY_QUICK_ASSETS">[3]Balance!$B$10</definedName>
    <definedName name="CY_Tangible_Net_Worth">'[3]Estado de Resultados'!$B$31</definedName>
    <definedName name="CY_TOTAL_ASSETS">[3]Balance!$B$21</definedName>
    <definedName name="CY_TOTAL_CURR_ASSETS">[3]Balance!$B$15</definedName>
    <definedName name="CY_TOTAL_DEBT">[3]Balance!$B$27</definedName>
    <definedName name="CY_TOTAL_EQUITY">[3]Balance!$B$33</definedName>
    <definedName name="da" localSheetId="27" hidden="1">{#N/A,#N/A,FALSE,"Aging Summary";#N/A,#N/A,FALSE,"Ratio Analysis";#N/A,#N/A,FALSE,"Test 120 Day Accts";#N/A,#N/A,FALSE,"Tickmarks"}</definedName>
    <definedName name="da" hidden="1">{#N/A,#N/A,FALSE,"Aging Summary";#N/A,#N/A,FALSE,"Ratio Analysis";#N/A,#N/A,FALSE,"Test 120 Day Accts";#N/A,#N/A,FALSE,"Tickmarks"}</definedName>
    <definedName name="Datos">[6]DATOS!$A$1:$K$704</definedName>
    <definedName name="DEUDORES" localSheetId="27">#REF!</definedName>
    <definedName name="DEUDORES">#REF!</definedName>
    <definedName name="DOLAR_88" localSheetId="27">#REF!</definedName>
    <definedName name="DOLAR_88">#REF!</definedName>
    <definedName name="DOLAR_89" localSheetId="27">#REF!</definedName>
    <definedName name="DOLAR_89">#REF!</definedName>
    <definedName name="DOLAR_90" localSheetId="27">#REF!</definedName>
    <definedName name="DOLAR_90">#REF!</definedName>
    <definedName name="DOLAR_91" localSheetId="27">#REF!</definedName>
    <definedName name="DOLAR_91">#REF!</definedName>
    <definedName name="DOLAR_92" localSheetId="27">#REF!</definedName>
    <definedName name="DOLAR_92">#REF!</definedName>
    <definedName name="DOLAR_93" localSheetId="27">#REF!</definedName>
    <definedName name="DOLAR_93">#REF!</definedName>
    <definedName name="DOLAR_94" localSheetId="27">#REF!</definedName>
    <definedName name="DOLAR_94">#REF!</definedName>
    <definedName name="dona">[18]donaciones!$A$1:$Q$343</definedName>
    <definedName name="donaciones" localSheetId="27">#REF!</definedName>
    <definedName name="donaciones">#REF!</definedName>
    <definedName name="DUPONT_1" localSheetId="27">#REF!</definedName>
    <definedName name="DUPONT_1">#REF!</definedName>
    <definedName name="e" localSheetId="27">[19]Datos!#REF!</definedName>
    <definedName name="e">[19]Datos!#REF!</definedName>
    <definedName name="EEAF" localSheetId="27">[20]Datos!#REF!</definedName>
    <definedName name="EEAF">[20]Datos!#REF!</definedName>
    <definedName name="eepn" localSheetId="27">[7]Datos!#REF!</definedName>
    <definedName name="eepn">[7]Datos!#REF!</definedName>
    <definedName name="EEPP" localSheetId="27">#REF!</definedName>
    <definedName name="EEPP">#REF!</definedName>
    <definedName name="EMPPUB" localSheetId="27">#REF!</definedName>
    <definedName name="EMPPUB">#REF!</definedName>
    <definedName name="EOAF" localSheetId="27">[7]Datos!#REF!</definedName>
    <definedName name="EOAF">[7]Datos!#REF!</definedName>
    <definedName name="Excel_BuiltIn_Print_Area_6" localSheetId="27">[21]BALANCE!#REF!</definedName>
    <definedName name="Excel_BuiltIn_Print_Area_6">[21]BALANCE!#REF!</definedName>
    <definedName name="Excel_BuiltIn_Print_Titles_9" localSheetId="27">'[21]Flujo de Efectivo'!#REF!</definedName>
    <definedName name="Excel_BuiltIn_Print_Titles_9">'[21]Flujo de Efectivo'!#REF!</definedName>
    <definedName name="fe_ant" localSheetId="27">[22]Datos!#REF!</definedName>
    <definedName name="fe_ant">[22]Datos!#REF!</definedName>
    <definedName name="fe_ant_" localSheetId="27">#REF!</definedName>
    <definedName name="fe_ant_">#REF!</definedName>
    <definedName name="fe_ant_2">[23]Datos!$E$13</definedName>
    <definedName name="fe_ant_ESP" localSheetId="27">#REF!</definedName>
    <definedName name="fe_ant_ESP">#REF!</definedName>
    <definedName name="fe_cierre" localSheetId="27">#REF!</definedName>
    <definedName name="fe_cierre">#REF!</definedName>
    <definedName name="fe_inf" localSheetId="27">#REF!</definedName>
    <definedName name="fe_inf">#REF!</definedName>
    <definedName name="fe_inf_" localSheetId="27">#REF!</definedName>
    <definedName name="fe_inf_">#REF!</definedName>
    <definedName name="ferna" localSheetId="27">[24]resumen_comisiones!#REF!</definedName>
    <definedName name="ferna">[25]resumen_comisiones!#REF!</definedName>
    <definedName name="firmat" localSheetId="27" hidden="1">{"'Proposal Balance Sheet'!$A$268:$L$320"}</definedName>
    <definedName name="firmat" hidden="1">{"'Proposal Balance Sheet'!$A$268:$L$320"}</definedName>
    <definedName name="g" localSheetId="27">#REF!</definedName>
    <definedName name="g">#REF!</definedName>
    <definedName name="GOBCENTRAL" localSheetId="27">#REF!</definedName>
    <definedName name="GOBCENTRAL">#REF!</definedName>
    <definedName name="grupos" localSheetId="27">#REF!,#REF!,#REF!,#REF!,#REF!,#REF!,#REF!,#REF!,#REF!</definedName>
    <definedName name="grupos">#REF!,#REF!,#REF!,#REF!,#REF!,#REF!,#REF!,#REF!,#REF!</definedName>
    <definedName name="HTML_CodePage" hidden="1">1252</definedName>
    <definedName name="HTML_Control" localSheetId="27" hidden="1">{"'Proposal Balance Sheet'!$A$268:$L$320"}</definedName>
    <definedName name="HTML_Control" hidden="1">{"'Proposal Balance Sheet'!$A$268:$L$320"}</definedName>
    <definedName name="HTML_Description" hidden="1">""</definedName>
    <definedName name="HTML_Email" hidden="1">""</definedName>
    <definedName name="HTML_Header" hidden="1">"Proposal Balance Sheet"</definedName>
    <definedName name="HTML_LastUpdate" hidden="1">"21.10.1999"</definedName>
    <definedName name="HTML_LineAfter" hidden="1">FALSE</definedName>
    <definedName name="HTML_LineBefore" hidden="1">FALSE</definedName>
    <definedName name="HTML_Name" hidden="1">"PASCAL MIEVILLE"</definedName>
    <definedName name="HTML_OBDlg2" hidden="1">TRUE</definedName>
    <definedName name="HTML_OBDlg4" hidden="1">TRUE</definedName>
    <definedName name="HTML_OS" hidden="1">0</definedName>
    <definedName name="HTML_PathFile" hidden="1">"C:\DATA\Focus\Plans comptables\MyHTML.htm"</definedName>
    <definedName name="HTML_Title" hidden="1">"FOCUS_CoA_explanation_all2"</definedName>
    <definedName name="i">'[6]G&amp;P Global'!$A$59</definedName>
    <definedName name="IIFF" localSheetId="27">#REF!</definedName>
    <definedName name="IIFF">#REF!</definedName>
    <definedName name="INDICES" localSheetId="27">#REF!</definedName>
    <definedName name="INDICES">#REF!</definedName>
    <definedName name="INFORME" localSheetId="27">#REF!</definedName>
    <definedName name="INFORME">#REF!</definedName>
    <definedName name="INSTFINAN" localSheetId="27">#REF!</definedName>
    <definedName name="INSTFINAN">#REF!</definedName>
    <definedName name="INTPAS" localSheetId="27">'[16]8'!#REF!</definedName>
    <definedName name="INTPAS">'[17]8'!#REF!</definedName>
    <definedName name="INTPAS___0" localSheetId="27">#REF!</definedName>
    <definedName name="INTPAS___0">#REF!</definedName>
    <definedName name="INTPAS___10" localSheetId="27">'[16]8'!#REF!</definedName>
    <definedName name="INTPAS___10">'[17]8'!#REF!</definedName>
    <definedName name="INTPAS___11" localSheetId="27">'[16]8'!#REF!</definedName>
    <definedName name="INTPAS___11">'[17]8'!#REF!</definedName>
    <definedName name="INTPAS___12" localSheetId="27">'[16]8'!#REF!</definedName>
    <definedName name="INTPAS___12">'[17]8'!#REF!</definedName>
    <definedName name="INTPAS___5" localSheetId="27">'[16]8'!#REF!</definedName>
    <definedName name="INTPAS___5">'[17]8'!#REF!</definedName>
    <definedName name="INTPAS___9" localSheetId="27">'[16]8'!#REF!</definedName>
    <definedName name="INTPAS___9">'[17]8'!#REF!</definedName>
    <definedName name="libroiva_transac" localSheetId="27">#REF!</definedName>
    <definedName name="libroiva_transac">#REF!</definedName>
    <definedName name="List2">[26]Ejemplo!$A$2:$A$4</definedName>
    <definedName name="ListaTipoBien" localSheetId="27">OFFSET([28]TipoBienes!$A$2,0,0,COUNTA([28]TipoBienes!$A$1:$A$65536)-1,1)</definedName>
    <definedName name="ListaTipoBien" localSheetId="22">OFFSET([27]TipoBienes!$A$2,0,0,COUNTA([27]TipoBienes!$A$1:$A$65536)-1,1)</definedName>
    <definedName name="ListaTipoBien">OFFSET([27]TipoBienes!$A$2,0,0,COUNTA([27]TipoBienes!$A$1:$A$65536)-1,1)</definedName>
    <definedName name="LOCAL">[29]RES!$B$2:$T$45,[29]RES!$B$105:$T$144,[29]RES!$B$150:$T$193,[29]RES!$B$199:$T$242</definedName>
    <definedName name="LOGOMH" localSheetId="27">#REF!</definedName>
    <definedName name="LOGOMH">#REF!</definedName>
    <definedName name="mm" localSheetId="27">[30]Datos!#REF!</definedName>
    <definedName name="mm">[30]Datos!#REF!</definedName>
    <definedName name="NESTUM">[6]DATOS!$A$1:$K$704</definedName>
    <definedName name="o">[13]PRESUP_AJUSTADO!$A$1:$R$47</definedName>
    <definedName name="OLE_LINK31" localSheetId="27">#REF!</definedName>
    <definedName name="OLE_LINK31">#REF!</definedName>
    <definedName name="OLE_LINK32" localSheetId="27">#REF!</definedName>
    <definedName name="OLE_LINK32">#REF!</definedName>
    <definedName name="ORDENADO" localSheetId="27">#REF!</definedName>
    <definedName name="ORDENADO">#REF!</definedName>
    <definedName name="PL_Dollar_Threshold" localSheetId="27">#REF!</definedName>
    <definedName name="PL_Dollar_Threshold">#REF!</definedName>
    <definedName name="PL_Percent_Threshold" localSheetId="27">#REF!</definedName>
    <definedName name="PL_Percent_Threshold">#REF!</definedName>
    <definedName name="posizao" localSheetId="27" hidden="1">{"'Proposal Balance Sheet'!$A$268:$L$320"}</definedName>
    <definedName name="posizao" hidden="1">{"'Proposal Balance Sheet'!$A$268:$L$320"}</definedName>
    <definedName name="PRESUP_" localSheetId="27">#REF!</definedName>
    <definedName name="PRESUP_">#REF!</definedName>
    <definedName name="presup97" localSheetId="27">#REF!</definedName>
    <definedName name="presup97">#REF!</definedName>
    <definedName name="PRIMERA" localSheetId="27">#REF!</definedName>
    <definedName name="PRIMERA">#REF!</definedName>
    <definedName name="PrimeraFechaCoeficiente">MIN([31]TablaCoeficientes!$A$1:$A$65536)</definedName>
    <definedName name="PRINT_AREA_MI" localSheetId="27">#REF!</definedName>
    <definedName name="PRINT_AREA_MI">#REF!</definedName>
    <definedName name="PRINT_TITLES_MI" localSheetId="27">#REF!</definedName>
    <definedName name="PRINT_TITLES_MI">#REF!</definedName>
    <definedName name="prueba" localSheetId="27">#REF!</definedName>
    <definedName name="prueba">#REF!</definedName>
    <definedName name="PY_Accounts_Receivable">[3]Balance!$C$8</definedName>
    <definedName name="PY_Cash">[3]Balance!$C$6</definedName>
    <definedName name="PY_Cost_of_Sales">'[3]Estado de Resultados'!$C$7</definedName>
    <definedName name="PY_Current_Liabilities">[3]Balance!$C$23</definedName>
    <definedName name="PY_Gross_Profit">'[3]Estado de Resultados'!$C$9</definedName>
    <definedName name="PY_Interest_Expense">'[3]Estado de Resultados'!$C$18</definedName>
    <definedName name="PY_Inventory">[3]Balance!$C$12</definedName>
    <definedName name="PY_LT_Debt">[3]Balance!$C$24</definedName>
    <definedName name="PY_NET_PROFIT">'[3]Estado de Resultados'!$C$24</definedName>
    <definedName name="PY_Net_Revenue">'[3]Estado de Resultados'!$C$6</definedName>
    <definedName name="PY_Operating_Income">'[3]Estado de Resultados'!$C$16</definedName>
    <definedName name="PY_QUICK_ASSETS">[3]Balance!$C$10</definedName>
    <definedName name="PY_Tangible_Net_Worth">'[3]Estado de Resultados'!$C$31</definedName>
    <definedName name="PY_TOTAL_ASSETS">[3]Balance!$C$21</definedName>
    <definedName name="PY_TOTAL_CURR_ASSETS">[3]Balance!$C$15</definedName>
    <definedName name="PY_TOTAL_DEBT">[3]Balance!$C$27</definedName>
    <definedName name="PY_TOTAL_EQUITY">[3]Balance!$C$33</definedName>
    <definedName name="PY2_Accounts_Receivable">[3]Balance!$F$8</definedName>
    <definedName name="PY2_Cash">[3]Balance!$F$6</definedName>
    <definedName name="PY2_Current_Liabilities">[3]Balance!$F$23</definedName>
    <definedName name="PY2_Gross_Profit">'[3]Estado de Resultados'!$F$9</definedName>
    <definedName name="PY2_Interest_Expense">'[3]Estado de Resultados'!$F$18</definedName>
    <definedName name="PY2_Inventory">[3]Balance!$F$12</definedName>
    <definedName name="PY2_LT_Debt">[3]Balance!$F$24</definedName>
    <definedName name="PY2_NET_PROFIT">'[3]Estado de Resultados'!$F$24</definedName>
    <definedName name="PY2_Net_Revenue">'[3]Estado de Resultados'!$F$6</definedName>
    <definedName name="PY2_Operating_Income">'[3]Estado de Resultados'!$F$16</definedName>
    <definedName name="PY2_QUICK_ASSETS">[3]Balance!$F$10</definedName>
    <definedName name="PY2_Tangible_Net_Worth">'[3]Estado de Resultados'!$F$31</definedName>
    <definedName name="PY2_TOTAL_ASSETS">[3]Balance!$F$21</definedName>
    <definedName name="PY2_TOTAL_CURR_ASSETS">[3]Balance!$F$15</definedName>
    <definedName name="PY2_TOTAL_DEBT">[3]Balance!$F$27</definedName>
    <definedName name="PY2_TOTAL_EQUITY">[3]Balance!$F$33</definedName>
    <definedName name="qw" localSheetId="27">[32]Datos!#REF!</definedName>
    <definedName name="qw">[32]Datos!#REF!</definedName>
    <definedName name="REFRIGERADOS">[29]RES!$B$344:$T$387,[29]RES!$B$392:$T$435</definedName>
    <definedName name="resumen" localSheetId="27">#REF!</definedName>
    <definedName name="resumen">#REF!</definedName>
    <definedName name="resumen_comisiones" localSheetId="27">[24]resumen_comisiones!#REF!</definedName>
    <definedName name="resumen_comisiones">[25]resumen_comisiones!#REF!</definedName>
    <definedName name="rtyigfg" localSheetId="27">#REF!</definedName>
    <definedName name="rtyigfg">#REF!</definedName>
    <definedName name="SDF" localSheetId="27">[4]Datos!#REF!</definedName>
    <definedName name="SDF">[5]Datos!#REF!</definedName>
    <definedName name="SEGUNDA" localSheetId="27">#REF!</definedName>
    <definedName name="SEGUNDA">#REF!</definedName>
    <definedName name="Tasa.IRIC">'[6]G&amp;P Global'!$A$59</definedName>
    <definedName name="TASA1" localSheetId="27">'[16]8'!#REF!</definedName>
    <definedName name="TASA1">'[17]8'!#REF!</definedName>
    <definedName name="TASA1___0" localSheetId="27">#REF!</definedName>
    <definedName name="TASA1___0">#REF!</definedName>
    <definedName name="TASA1___10" localSheetId="27">'[16]8'!#REF!</definedName>
    <definedName name="TASA1___10">'[17]8'!#REF!</definedName>
    <definedName name="TASA1___11" localSheetId="27">'[16]8'!#REF!</definedName>
    <definedName name="TASA1___11">'[17]8'!#REF!</definedName>
    <definedName name="TASA1___12" localSheetId="27">'[16]8'!#REF!</definedName>
    <definedName name="TASA1___12">'[17]8'!#REF!</definedName>
    <definedName name="TASA1___5" localSheetId="27">'[16]8'!#REF!</definedName>
    <definedName name="TASA1___5">'[17]8'!#REF!</definedName>
    <definedName name="TASA1___9" localSheetId="27">'[16]8'!#REF!</definedName>
    <definedName name="TASA1___9">'[17]8'!#REF!</definedName>
    <definedName name="TbPy530057" localSheetId="27">'[3]#REF'!#REF!</definedName>
    <definedName name="TbPy530057">'[3]#REF'!#REF!</definedName>
    <definedName name="TbPy530159">'[3]#REF'!$A$4</definedName>
    <definedName name="TERCERA" localSheetId="27">#REF!</definedName>
    <definedName name="TERCERA">#REF!</definedName>
    <definedName name="TextRefCopyRangeCount" hidden="1">2</definedName>
    <definedName name="Títulos_a_imprimir_IM" localSheetId="27">#REF!</definedName>
    <definedName name="Títulos_a_imprimir_IM">#REF!</definedName>
    <definedName name="TODO">[29]RES!$B$2:$T$45,[29]RES!$B$105:$T$144,[29]RES!$B$150:$T$193,[29]RES!$B$199:$T$242,[29]RES!$B$248:$T$291,[29]RES!$B$296:$T$339</definedName>
    <definedName name="total" localSheetId="27">#REF!</definedName>
    <definedName name="total">#REF!</definedName>
    <definedName name="TOTAL_CANAL_DETALLE" localSheetId="27">[29]RES!#REF!</definedName>
    <definedName name="TOTAL_CANAL_DETALLE">[29]RES!#REF!</definedName>
    <definedName name="vinculada" localSheetId="27">[30]Datos!#REF!</definedName>
    <definedName name="vinculada">[30]Datos!#REF!</definedName>
    <definedName name="vvvvvvvvv" localSheetId="27">[19]Datos!#REF!</definedName>
    <definedName name="vvvvvvvvv">[19]Datos!#REF!</definedName>
    <definedName name="wrn.Aging._.and._.Trend._.Analysis." localSheetId="2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7" hidden="1">{#N/A,#N/A,FALSE,"Aging Summary";#N/A,#N/A,FALSE,"Ratio Analysis";#N/A,#N/A,FALSE,"Test 120 Day Accts";#N/A,#N/A,FALSE,"Tickmarks"}</definedName>
    <definedName name="ww" hidden="1">{#N/A,#N/A,FALSE,"Aging Summary";#N/A,#N/A,FALSE,"Ratio Analysis";#N/A,#N/A,FALSE,"Test 120 Day Accts";#N/A,#N/A,FALSE,"Tickmarks"}</definedName>
  </definedNames>
  <calcPr calcId="191029"/>
</workbook>
</file>

<file path=xl/calcChain.xml><?xml version="1.0" encoding="utf-8"?>
<calcChain xmlns="http://schemas.openxmlformats.org/spreadsheetml/2006/main">
  <c r="O34" i="18" l="1"/>
  <c r="D26" i="28" l="1"/>
  <c r="D24" i="28"/>
  <c r="D29" i="28"/>
  <c r="E28" i="28" s="1"/>
  <c r="F13" i="92" l="1"/>
  <c r="F32" i="92"/>
  <c r="F34" i="92"/>
  <c r="F24" i="92"/>
  <c r="P17" i="38" l="1"/>
  <c r="P13" i="38"/>
  <c r="P34" i="38"/>
  <c r="P33" i="38"/>
  <c r="P32" i="38"/>
  <c r="P31" i="38"/>
  <c r="P30" i="38"/>
  <c r="P24" i="38"/>
  <c r="P23" i="38"/>
  <c r="P22" i="38"/>
  <c r="P21" i="38"/>
  <c r="P16" i="38"/>
  <c r="P15" i="38"/>
  <c r="P14" i="38"/>
  <c r="F19" i="36"/>
  <c r="I19" i="36" s="1"/>
  <c r="F17" i="36"/>
  <c r="I17" i="36" s="1"/>
  <c r="E39" i="36"/>
  <c r="I39" i="36" s="1"/>
  <c r="E25" i="36"/>
  <c r="I25" i="36" s="1"/>
  <c r="G29" i="36"/>
  <c r="I29" i="36" s="1"/>
  <c r="D37" i="36"/>
  <c r="D46" i="36" s="1"/>
  <c r="F43" i="36"/>
  <c r="I43" i="36" s="1"/>
  <c r="F33" i="36"/>
  <c r="I33" i="36" s="1"/>
  <c r="F31" i="36"/>
  <c r="I31" i="36" s="1"/>
  <c r="F27" i="36"/>
  <c r="I27" i="36" s="1"/>
  <c r="F23" i="36"/>
  <c r="I23" i="36" s="1"/>
  <c r="F21" i="36"/>
  <c r="I21" i="36" s="1"/>
  <c r="D14" i="22"/>
  <c r="D13" i="22"/>
  <c r="E15" i="34"/>
  <c r="H14" i="34"/>
  <c r="E14" i="34"/>
  <c r="G17" i="34"/>
  <c r="F40" i="92"/>
  <c r="F36" i="92"/>
  <c r="F33" i="92"/>
  <c r="F27" i="92"/>
  <c r="F26" i="92"/>
  <c r="F25" i="92"/>
  <c r="F23" i="92"/>
  <c r="F18" i="92"/>
  <c r="F17" i="92"/>
  <c r="F15" i="92"/>
  <c r="F19" i="92" s="1"/>
  <c r="F38" i="92" s="1"/>
  <c r="F14" i="92"/>
  <c r="I37" i="36" l="1"/>
  <c r="P27" i="38"/>
  <c r="F28" i="92"/>
  <c r="E46" i="36"/>
  <c r="G31" i="35"/>
  <c r="G27" i="35"/>
  <c r="G23" i="35"/>
  <c r="G21" i="35"/>
  <c r="G19" i="35"/>
  <c r="G15" i="35"/>
  <c r="E35" i="35"/>
  <c r="E33" i="35"/>
  <c r="E31" i="35"/>
  <c r="E27" i="35"/>
  <c r="E26" i="35"/>
  <c r="E25" i="35"/>
  <c r="E23" i="35"/>
  <c r="E21" i="35"/>
  <c r="E19" i="35"/>
  <c r="E18" i="35"/>
  <c r="E17" i="35"/>
  <c r="E15" i="35"/>
  <c r="E22" i="38"/>
  <c r="N15" i="38"/>
  <c r="N34" i="38"/>
  <c r="N33" i="38"/>
  <c r="N32" i="38"/>
  <c r="N31" i="38"/>
  <c r="N30" i="38"/>
  <c r="N24" i="38"/>
  <c r="N23" i="38"/>
  <c r="N22" i="38"/>
  <c r="N21" i="38"/>
  <c r="N17" i="38"/>
  <c r="N16" i="38"/>
  <c r="N14" i="38"/>
  <c r="N13" i="38"/>
  <c r="E26" i="38"/>
  <c r="E25" i="38"/>
  <c r="E24" i="38"/>
  <c r="E23" i="38"/>
  <c r="E21" i="38"/>
  <c r="E17" i="38"/>
  <c r="E16" i="38"/>
  <c r="E15" i="38"/>
  <c r="E14" i="38"/>
  <c r="E13" i="38"/>
  <c r="E18" i="38" l="1"/>
  <c r="E67" i="93"/>
  <c r="F70" i="93"/>
  <c r="E66" i="93"/>
  <c r="C60" i="93"/>
  <c r="E61" i="93" s="1"/>
  <c r="E22" i="93"/>
  <c r="E53" i="93"/>
  <c r="C8" i="93"/>
  <c r="C59" i="93"/>
  <c r="C58" i="93"/>
  <c r="C56" i="93"/>
  <c r="C55" i="93"/>
  <c r="C54" i="93"/>
  <c r="C57" i="93"/>
  <c r="C52" i="93"/>
  <c r="C51" i="93"/>
  <c r="C50" i="93"/>
  <c r="C49" i="93"/>
  <c r="C48" i="93"/>
  <c r="C47" i="93"/>
  <c r="C46" i="93"/>
  <c r="C45" i="93"/>
  <c r="C44" i="93"/>
  <c r="C43" i="93"/>
  <c r="C42" i="93"/>
  <c r="C41" i="93"/>
  <c r="C40" i="93"/>
  <c r="C39" i="93"/>
  <c r="C38" i="93"/>
  <c r="C37" i="93"/>
  <c r="C36" i="93"/>
  <c r="C35" i="93"/>
  <c r="C34" i="93"/>
  <c r="C33" i="93"/>
  <c r="C32" i="93"/>
  <c r="C31" i="93"/>
  <c r="C28" i="93"/>
  <c r="C27" i="93"/>
  <c r="C26" i="93"/>
  <c r="C25" i="93"/>
  <c r="C24" i="93"/>
  <c r="C23" i="93"/>
  <c r="C19" i="93"/>
  <c r="C18" i="93"/>
  <c r="C17" i="93"/>
  <c r="C16" i="93"/>
  <c r="C15" i="93"/>
  <c r="C13" i="93"/>
  <c r="C11" i="93"/>
  <c r="C10" i="93"/>
  <c r="C9" i="93"/>
  <c r="C7" i="93"/>
  <c r="C6" i="93"/>
  <c r="C5" i="93"/>
  <c r="C70" i="93"/>
  <c r="E29" i="93" l="1"/>
  <c r="E12" i="93"/>
  <c r="E14" i="93" s="1"/>
  <c r="E74" i="93"/>
  <c r="C63" i="93" l="1"/>
  <c r="E63" i="93" s="1"/>
  <c r="E20" i="93"/>
  <c r="C64" i="93" s="1"/>
  <c r="E64" i="93" s="1"/>
  <c r="E65" i="93" s="1"/>
  <c r="E73" i="93" l="1"/>
  <c r="E75" i="93" s="1"/>
  <c r="E70" i="93"/>
  <c r="G70" i="93" s="1"/>
  <c r="H46" i="59" l="1"/>
  <c r="G8" i="74" l="1"/>
  <c r="G71" i="49"/>
  <c r="H68" i="49"/>
  <c r="G68" i="49"/>
  <c r="E10" i="55" l="1"/>
  <c r="E9" i="55"/>
  <c r="I9" i="55" s="1"/>
  <c r="J7" i="55"/>
  <c r="I5" i="55"/>
  <c r="H34" i="92" l="1"/>
  <c r="E34" i="92"/>
  <c r="H28" i="92"/>
  <c r="I28" i="92" s="1"/>
  <c r="E28" i="92"/>
  <c r="H15" i="92"/>
  <c r="H19" i="92" s="1"/>
  <c r="E15" i="92"/>
  <c r="E19" i="92" s="1"/>
  <c r="I40" i="92"/>
  <c r="I36" i="92"/>
  <c r="I34" i="92"/>
  <c r="I33" i="92"/>
  <c r="I32" i="92"/>
  <c r="I27" i="92"/>
  <c r="I26" i="92"/>
  <c r="I25" i="92"/>
  <c r="I23" i="92"/>
  <c r="I18" i="92"/>
  <c r="I17" i="92"/>
  <c r="I14" i="92"/>
  <c r="I13" i="92"/>
  <c r="I19" i="92" l="1"/>
  <c r="H38" i="92"/>
  <c r="I38" i="92" s="1"/>
  <c r="I42" i="92" s="1"/>
  <c r="E38" i="92"/>
  <c r="I15" i="92"/>
  <c r="F42" i="92" l="1"/>
  <c r="D18" i="30" l="1"/>
  <c r="D16" i="30"/>
  <c r="F41" i="36" l="1"/>
  <c r="I41" i="36" s="1"/>
  <c r="F38" i="36"/>
  <c r="I38" i="36" s="1"/>
  <c r="F36" i="36"/>
  <c r="I36" i="36" s="1"/>
  <c r="F35" i="36"/>
  <c r="I35" i="36" s="1"/>
  <c r="F34" i="36"/>
  <c r="I34" i="36" s="1"/>
  <c r="F32" i="36"/>
  <c r="F30" i="36"/>
  <c r="I30" i="36" s="1"/>
  <c r="F28" i="36"/>
  <c r="I28" i="36" s="1"/>
  <c r="F26" i="36"/>
  <c r="I26" i="36" s="1"/>
  <c r="F24" i="36"/>
  <c r="I24" i="36" s="1"/>
  <c r="F22" i="36"/>
  <c r="I22" i="36" s="1"/>
  <c r="F20" i="36"/>
  <c r="G109" i="36"/>
  <c r="F123" i="36"/>
  <c r="F115" i="36"/>
  <c r="F113" i="36"/>
  <c r="F111" i="36"/>
  <c r="F107" i="36"/>
  <c r="F103" i="36"/>
  <c r="F101" i="36"/>
  <c r="F99" i="36"/>
  <c r="F97" i="36"/>
  <c r="E119" i="36"/>
  <c r="E105" i="36"/>
  <c r="D117" i="36"/>
  <c r="F29" i="28"/>
  <c r="F26" i="28"/>
  <c r="E25" i="28"/>
  <c r="I20" i="36" l="1"/>
  <c r="F46" i="36"/>
  <c r="E13" i="22"/>
  <c r="G13" i="22" s="1"/>
  <c r="H25" i="63"/>
  <c r="I14" i="22"/>
  <c r="H14" i="22"/>
  <c r="E59" i="68" l="1"/>
  <c r="E58" i="68"/>
  <c r="F59" i="68"/>
  <c r="H52" i="68" l="1"/>
  <c r="E51" i="68"/>
  <c r="G1015" i="91" l="1"/>
  <c r="G1011" i="91"/>
  <c r="G618" i="91"/>
  <c r="G608" i="91"/>
  <c r="G217" i="91"/>
  <c r="K128" i="90" l="1"/>
  <c r="K129" i="90" s="1"/>
  <c r="L128" i="90"/>
  <c r="K130" i="90" l="1"/>
  <c r="I11" i="44"/>
  <c r="I10" i="44"/>
  <c r="I9" i="44"/>
  <c r="G13" i="25"/>
  <c r="E47" i="24"/>
  <c r="E46" i="24"/>
  <c r="I12" i="44" l="1"/>
  <c r="D23" i="24"/>
  <c r="D18" i="24"/>
  <c r="D16" i="24"/>
  <c r="R26" i="63" l="1"/>
  <c r="P26" i="63"/>
  <c r="N25" i="63"/>
  <c r="C26" i="63"/>
  <c r="E25" i="63"/>
  <c r="C25" i="63"/>
  <c r="C21" i="63" l="1"/>
  <c r="N21" i="63"/>
  <c r="F21" i="63"/>
  <c r="N20" i="63"/>
  <c r="F20" i="63"/>
  <c r="C20" i="63"/>
  <c r="E18" i="63"/>
  <c r="N18" i="63"/>
  <c r="F18" i="63"/>
  <c r="E19" i="63"/>
  <c r="N19" i="63"/>
  <c r="F19" i="63"/>
  <c r="C19" i="63"/>
  <c r="N17" i="63"/>
  <c r="F17" i="63"/>
  <c r="E17" i="63"/>
  <c r="C17" i="63"/>
  <c r="N16" i="63"/>
  <c r="E16" i="63"/>
  <c r="F16" i="63"/>
  <c r="C16" i="63"/>
  <c r="N15" i="63"/>
  <c r="F15" i="63"/>
  <c r="E15" i="63"/>
  <c r="C15" i="63"/>
  <c r="N13" i="63"/>
  <c r="F13" i="63"/>
  <c r="N14" i="63"/>
  <c r="F14" i="63"/>
  <c r="C14" i="63"/>
  <c r="AR266" i="42"/>
  <c r="C27" i="43"/>
  <c r="AP60" i="42"/>
  <c r="C215" i="43"/>
  <c r="C206" i="43"/>
  <c r="C205" i="43"/>
  <c r="C172" i="43"/>
  <c r="C150" i="43"/>
  <c r="C149" i="43"/>
  <c r="C148" i="43"/>
  <c r="C147" i="43"/>
  <c r="C146" i="43"/>
  <c r="C144" i="43"/>
  <c r="C143" i="43"/>
  <c r="C142" i="43"/>
  <c r="C141" i="43"/>
  <c r="C127" i="43"/>
  <c r="C126" i="43"/>
  <c r="C115" i="43"/>
  <c r="C106" i="43"/>
  <c r="C96" i="43"/>
  <c r="C95" i="43"/>
  <c r="C94" i="43"/>
  <c r="C93" i="43"/>
  <c r="C92" i="43"/>
  <c r="C91" i="43"/>
  <c r="C90" i="43"/>
  <c r="C83" i="43"/>
  <c r="C82" i="43"/>
  <c r="C52" i="43"/>
  <c r="C51" i="43"/>
  <c r="C50" i="43"/>
  <c r="C49" i="43"/>
  <c r="C48" i="43"/>
  <c r="C47" i="43"/>
  <c r="C38" i="43"/>
  <c r="C37" i="43"/>
  <c r="C36" i="43"/>
  <c r="C25" i="43"/>
  <c r="M33" i="18" l="1"/>
  <c r="M16" i="18"/>
  <c r="I26" i="18"/>
  <c r="G30" i="18"/>
  <c r="J16" i="18"/>
  <c r="I16" i="18"/>
  <c r="G16" i="18"/>
  <c r="D16" i="18"/>
  <c r="AQ306" i="42"/>
  <c r="AQ307" i="42"/>
  <c r="AQ308" i="42"/>
  <c r="AQ309" i="42"/>
  <c r="AQ310" i="42"/>
  <c r="AQ313" i="42"/>
  <c r="AQ314" i="42"/>
  <c r="AQ315" i="42"/>
  <c r="AQ316" i="42"/>
  <c r="AQ317" i="42"/>
  <c r="AQ318" i="42"/>
  <c r="AQ319" i="42"/>
  <c r="AQ320" i="42"/>
  <c r="AQ321" i="42"/>
  <c r="AQ322" i="42"/>
  <c r="AQ323" i="42"/>
  <c r="AQ324" i="42"/>
  <c r="AQ325" i="42"/>
  <c r="AQ326" i="42"/>
  <c r="AQ327" i="42"/>
  <c r="AQ328" i="42"/>
  <c r="AQ330" i="42"/>
  <c r="AQ331" i="42"/>
  <c r="AQ332" i="42"/>
  <c r="AQ333" i="42"/>
  <c r="AQ334" i="42"/>
  <c r="AQ335" i="42"/>
  <c r="AQ336" i="42"/>
  <c r="AQ337" i="42"/>
  <c r="AQ339" i="42"/>
  <c r="AQ340" i="42"/>
  <c r="AQ342" i="42"/>
  <c r="AQ343" i="42"/>
  <c r="AQ344" i="42"/>
  <c r="AQ345" i="42"/>
  <c r="AQ346" i="42"/>
  <c r="AQ347" i="42"/>
  <c r="AQ348" i="42"/>
  <c r="AQ349" i="42"/>
  <c r="AQ351" i="42"/>
  <c r="AQ354" i="42"/>
  <c r="AQ355" i="42"/>
  <c r="AQ356" i="42"/>
  <c r="AQ357" i="42"/>
  <c r="AQ358" i="42"/>
  <c r="AQ359" i="42"/>
  <c r="AQ360" i="42"/>
  <c r="AQ361" i="42"/>
  <c r="AQ362" i="42"/>
  <c r="AQ363" i="42"/>
  <c r="AQ364" i="42"/>
  <c r="AQ365" i="42"/>
  <c r="AQ366" i="42"/>
  <c r="AQ367" i="42"/>
  <c r="AQ369" i="42"/>
  <c r="AQ370" i="42"/>
  <c r="AQ373" i="42"/>
  <c r="AQ374" i="42"/>
  <c r="AQ375" i="42"/>
  <c r="AQ376" i="42"/>
  <c r="AQ377" i="42"/>
  <c r="AQ378" i="42"/>
  <c r="AQ379" i="42"/>
  <c r="AQ381" i="42"/>
  <c r="AQ382" i="42"/>
  <c r="AQ383" i="42"/>
  <c r="AQ384" i="42"/>
  <c r="AQ385" i="42"/>
  <c r="AQ386" i="42"/>
  <c r="AQ387" i="42"/>
  <c r="AQ388" i="42"/>
  <c r="AQ389" i="42"/>
  <c r="AQ390" i="42"/>
  <c r="AQ392" i="42"/>
  <c r="AQ393" i="42"/>
  <c r="AQ395" i="42"/>
  <c r="AQ396" i="42"/>
  <c r="AQ397" i="42"/>
  <c r="AQ398" i="42"/>
  <c r="AQ399" i="42"/>
  <c r="AQ400" i="42"/>
  <c r="AQ285" i="42"/>
  <c r="AQ286" i="42"/>
  <c r="AQ287" i="42"/>
  <c r="AQ288" i="42"/>
  <c r="AQ289" i="42"/>
  <c r="AQ291" i="42"/>
  <c r="AQ294" i="42"/>
  <c r="AQ295" i="42"/>
  <c r="AQ296" i="42"/>
  <c r="AQ297" i="42"/>
  <c r="AQ298" i="42"/>
  <c r="AQ299" i="42"/>
  <c r="D23" i="30"/>
  <c r="C39" i="89"/>
  <c r="D18" i="89"/>
  <c r="L124" i="90"/>
  <c r="K124" i="90"/>
  <c r="K126" i="90" s="1"/>
  <c r="D21" i="89" s="1"/>
  <c r="L122" i="90"/>
  <c r="K122" i="90"/>
  <c r="H122" i="90"/>
  <c r="I27" i="90"/>
  <c r="I122" i="90" s="1"/>
  <c r="D15" i="89"/>
  <c r="D14" i="89" s="1"/>
  <c r="G1067" i="88"/>
  <c r="D16" i="89"/>
  <c r="D41" i="89"/>
  <c r="AP284" i="42"/>
  <c r="AP368" i="42"/>
  <c r="AQ368" i="42" s="1"/>
  <c r="AP394" i="42"/>
  <c r="AP372" i="42"/>
  <c r="AQ372" i="42" s="1"/>
  <c r="AP341" i="42"/>
  <c r="AQ341" i="42" s="1"/>
  <c r="AP352" i="42"/>
  <c r="AQ352" i="42" s="1"/>
  <c r="AP338" i="42"/>
  <c r="AQ338" i="42" s="1"/>
  <c r="AP350" i="42"/>
  <c r="AQ350" i="42" s="1"/>
  <c r="AP353" i="42"/>
  <c r="AQ353" i="42" s="1"/>
  <c r="AP305" i="42"/>
  <c r="AQ305" i="42" s="1"/>
  <c r="AP304" i="42"/>
  <c r="AP290" i="42"/>
  <c r="AP391" i="42"/>
  <c r="AP380" i="42"/>
  <c r="AP312" i="42"/>
  <c r="AP293" i="42"/>
  <c r="AQ293" i="42" s="1"/>
  <c r="AP283" i="42"/>
  <c r="AP282" i="42" s="1"/>
  <c r="AP270" i="42"/>
  <c r="AP265" i="42"/>
  <c r="AP262" i="42"/>
  <c r="AP261" i="42"/>
  <c r="AP257" i="42"/>
  <c r="AP242" i="42"/>
  <c r="AP239" i="42"/>
  <c r="AP227" i="42"/>
  <c r="AP223" i="42"/>
  <c r="AP219" i="42"/>
  <c r="AP215" i="42"/>
  <c r="AP212" i="42"/>
  <c r="AP191" i="42"/>
  <c r="AP181" i="42"/>
  <c r="AP172" i="42"/>
  <c r="AP167" i="42"/>
  <c r="AP156" i="42"/>
  <c r="AP150" i="42"/>
  <c r="AP145" i="42"/>
  <c r="C68" i="43" s="1"/>
  <c r="AP142" i="42"/>
  <c r="AP129" i="42"/>
  <c r="AP118" i="42"/>
  <c r="AP117" i="42" s="1"/>
  <c r="AP110" i="42"/>
  <c r="AP85" i="42"/>
  <c r="AP82" i="42"/>
  <c r="AP76" i="42"/>
  <c r="AP59" i="42"/>
  <c r="AP26" i="42"/>
  <c r="AP9" i="42"/>
  <c r="C69" i="16" s="1"/>
  <c r="C11" i="87"/>
  <c r="D11" i="87" s="1"/>
  <c r="C12" i="87"/>
  <c r="D12" i="87" s="1"/>
  <c r="C13" i="87"/>
  <c r="D13" i="87" s="1"/>
  <c r="C10" i="87"/>
  <c r="D10" i="87" s="1"/>
  <c r="C517" i="86"/>
  <c r="C527" i="86"/>
  <c r="C513" i="86"/>
  <c r="C514" i="86"/>
  <c r="C515" i="86"/>
  <c r="C516" i="86"/>
  <c r="C518" i="86"/>
  <c r="C519" i="86"/>
  <c r="C520" i="86"/>
  <c r="C521" i="86"/>
  <c r="C522" i="86"/>
  <c r="C523" i="86"/>
  <c r="C524" i="86"/>
  <c r="C525" i="86"/>
  <c r="C526" i="86"/>
  <c r="C512" i="86"/>
  <c r="C528" i="86" s="1"/>
  <c r="E14" i="87"/>
  <c r="C6" i="87"/>
  <c r="D6" i="87"/>
  <c r="E7" i="55"/>
  <c r="AH276" i="42"/>
  <c r="AN276" i="42"/>
  <c r="AF276" i="42"/>
  <c r="G7" i="59"/>
  <c r="E7" i="59"/>
  <c r="AN191" i="42"/>
  <c r="E12" i="55"/>
  <c r="E60" i="68"/>
  <c r="H60" i="68" s="1"/>
  <c r="F51" i="68"/>
  <c r="I105" i="36"/>
  <c r="J25" i="36" s="1"/>
  <c r="H23" i="24"/>
  <c r="D20" i="63"/>
  <c r="F16" i="34" s="1"/>
  <c r="AN349" i="42"/>
  <c r="AO349" i="42" s="1"/>
  <c r="B13" i="63"/>
  <c r="B22" i="63" s="1"/>
  <c r="I23" i="63" s="1"/>
  <c r="L466" i="83"/>
  <c r="M466" i="83"/>
  <c r="M468" i="83" s="1"/>
  <c r="K466" i="83"/>
  <c r="AO306" i="42"/>
  <c r="AO307" i="42"/>
  <c r="AO308" i="42"/>
  <c r="AO309" i="42"/>
  <c r="AO310" i="42"/>
  <c r="AO313" i="42"/>
  <c r="AO314" i="42"/>
  <c r="AO315" i="42"/>
  <c r="AO316" i="42"/>
  <c r="AO317" i="42"/>
  <c r="AO318" i="42"/>
  <c r="AO319" i="42"/>
  <c r="AO320" i="42"/>
  <c r="AO321" i="42"/>
  <c r="AO322" i="42"/>
  <c r="AO323" i="42"/>
  <c r="AO324" i="42"/>
  <c r="AO325" i="42"/>
  <c r="AO326" i="42"/>
  <c r="AO327" i="42"/>
  <c r="AO328" i="42"/>
  <c r="AO330" i="42"/>
  <c r="AO331" i="42"/>
  <c r="AO332" i="42"/>
  <c r="AO333" i="42"/>
  <c r="AO334" i="42"/>
  <c r="AO335" i="42"/>
  <c r="AO336" i="42"/>
  <c r="AO337" i="42"/>
  <c r="AO339" i="42"/>
  <c r="AO340" i="42"/>
  <c r="AO342" i="42"/>
  <c r="AO343" i="42"/>
  <c r="AO344" i="42"/>
  <c r="AO345" i="42"/>
  <c r="AO346" i="42"/>
  <c r="AO347" i="42"/>
  <c r="AO348" i="42"/>
  <c r="AO351" i="42"/>
  <c r="AO354" i="42"/>
  <c r="AO355" i="42"/>
  <c r="AO356" i="42"/>
  <c r="AO357" i="42"/>
  <c r="AO358" i="42"/>
  <c r="AO359" i="42"/>
  <c r="AO360" i="42"/>
  <c r="AO361" i="42"/>
  <c r="AO362" i="42"/>
  <c r="AO363" i="42"/>
  <c r="AO364" i="42"/>
  <c r="AO365" i="42"/>
  <c r="AO366" i="42"/>
  <c r="AO367" i="42"/>
  <c r="AO369" i="42"/>
  <c r="AO370" i="42"/>
  <c r="AO373" i="42"/>
  <c r="AO374" i="42"/>
  <c r="AO375" i="42"/>
  <c r="AO376" i="42"/>
  <c r="AO377" i="42"/>
  <c r="AO378" i="42"/>
  <c r="AO379" i="42"/>
  <c r="AO381" i="42"/>
  <c r="AO382" i="42"/>
  <c r="AO383" i="42"/>
  <c r="AO384" i="42"/>
  <c r="AO385" i="42"/>
  <c r="AO386" i="42"/>
  <c r="AO387" i="42"/>
  <c r="AO388" i="42"/>
  <c r="AO389" i="42"/>
  <c r="AO390" i="42"/>
  <c r="AO392" i="42"/>
  <c r="AO393" i="42"/>
  <c r="AO395" i="42"/>
  <c r="AO396" i="42"/>
  <c r="AO397" i="42"/>
  <c r="AO398" i="42"/>
  <c r="AO399" i="42"/>
  <c r="AO400" i="42"/>
  <c r="AO401" i="42"/>
  <c r="AO402" i="42"/>
  <c r="AO285" i="42"/>
  <c r="AO286" i="42"/>
  <c r="AO287" i="42"/>
  <c r="AO288" i="42"/>
  <c r="AO289" i="42"/>
  <c r="AO290" i="42"/>
  <c r="AO291" i="42"/>
  <c r="AO294" i="42"/>
  <c r="AO295" i="42"/>
  <c r="AO296" i="42"/>
  <c r="AO297" i="42"/>
  <c r="AO298" i="42"/>
  <c r="AO299" i="42"/>
  <c r="AO300" i="42"/>
  <c r="AN368" i="42"/>
  <c r="AO368" i="42" s="1"/>
  <c r="AN394" i="42"/>
  <c r="AN372" i="42"/>
  <c r="AN352" i="42"/>
  <c r="AO352" i="42"/>
  <c r="AN341" i="42"/>
  <c r="AN338" i="42"/>
  <c r="AN350" i="42"/>
  <c r="AO350" i="42"/>
  <c r="AN353" i="42"/>
  <c r="AO353" i="42"/>
  <c r="AN305" i="42"/>
  <c r="AN284" i="42"/>
  <c r="AN283" i="42" s="1"/>
  <c r="AN282" i="42" s="1"/>
  <c r="AN391" i="42"/>
  <c r="AN380" i="42"/>
  <c r="AN312" i="42"/>
  <c r="AN293" i="42"/>
  <c r="AN242" i="42"/>
  <c r="AN156" i="42"/>
  <c r="AN83" i="42"/>
  <c r="AN60" i="42"/>
  <c r="AN26" i="42"/>
  <c r="AN270" i="42"/>
  <c r="AN265" i="42"/>
  <c r="AN262" i="42"/>
  <c r="AN261" i="42" s="1"/>
  <c r="AN257" i="42"/>
  <c r="AN239" i="42"/>
  <c r="AN238" i="42" s="1"/>
  <c r="AN227" i="42"/>
  <c r="AN223" i="42"/>
  <c r="AN219" i="42"/>
  <c r="AN215" i="42"/>
  <c r="AN212" i="42"/>
  <c r="AN181" i="42"/>
  <c r="AN172" i="42"/>
  <c r="AN167" i="42"/>
  <c r="AN154" i="42"/>
  <c r="AN150" i="42"/>
  <c r="AN145" i="42"/>
  <c r="AN142" i="42"/>
  <c r="AN128" i="42"/>
  <c r="AN129" i="42"/>
  <c r="AN118" i="42"/>
  <c r="AN117" i="42" s="1"/>
  <c r="AN110" i="42"/>
  <c r="AN109" i="42"/>
  <c r="AN85" i="42"/>
  <c r="AN76" i="42"/>
  <c r="AN9" i="42"/>
  <c r="AN153" i="42"/>
  <c r="K34" i="18"/>
  <c r="AM266" i="42"/>
  <c r="AL389" i="42"/>
  <c r="AL305" i="42"/>
  <c r="AM305" i="42" s="1"/>
  <c r="AD276" i="42"/>
  <c r="AL83" i="42"/>
  <c r="H8" i="74"/>
  <c r="H9" i="74" s="1"/>
  <c r="G9" i="74"/>
  <c r="F55" i="68"/>
  <c r="D15" i="24"/>
  <c r="AL129" i="42"/>
  <c r="C18" i="63"/>
  <c r="AM306" i="42"/>
  <c r="AM307" i="42"/>
  <c r="AM308" i="42"/>
  <c r="AM309" i="42"/>
  <c r="AM310" i="42"/>
  <c r="AM313" i="42"/>
  <c r="AM314" i="42"/>
  <c r="AM315" i="42"/>
  <c r="AM316" i="42"/>
  <c r="AM317" i="42"/>
  <c r="AM318" i="42"/>
  <c r="AM319" i="42"/>
  <c r="AM320" i="42"/>
  <c r="AM321" i="42"/>
  <c r="AM322" i="42"/>
  <c r="AM323" i="42"/>
  <c r="AM324" i="42"/>
  <c r="AM325" i="42"/>
  <c r="AM326" i="42"/>
  <c r="AM327" i="42"/>
  <c r="AM328" i="42"/>
  <c r="AM330" i="42"/>
  <c r="AM331" i="42"/>
  <c r="AM332" i="42"/>
  <c r="AM333" i="42"/>
  <c r="AM334" i="42"/>
  <c r="AM335" i="42"/>
  <c r="AM336" i="42"/>
  <c r="AM337" i="42"/>
  <c r="AM339" i="42"/>
  <c r="AM340" i="42"/>
  <c r="AM342" i="42"/>
  <c r="AM343" i="42"/>
  <c r="AM344" i="42"/>
  <c r="AM345" i="42"/>
  <c r="AM346" i="42"/>
  <c r="AM347" i="42"/>
  <c r="AM348" i="42"/>
  <c r="AM349" i="42"/>
  <c r="AM351" i="42"/>
  <c r="AM354" i="42"/>
  <c r="AM355" i="42"/>
  <c r="AM356" i="42"/>
  <c r="AM357" i="42"/>
  <c r="AM358" i="42"/>
  <c r="AM359" i="42"/>
  <c r="AM360" i="42"/>
  <c r="AM361" i="42"/>
  <c r="AM362" i="42"/>
  <c r="AM363" i="42"/>
  <c r="AM364" i="42"/>
  <c r="AM365" i="42"/>
  <c r="AM366" i="42"/>
  <c r="AM367" i="42"/>
  <c r="AM369" i="42"/>
  <c r="AM370" i="42"/>
  <c r="AM373" i="42"/>
  <c r="AM374" i="42"/>
  <c r="AM375" i="42"/>
  <c r="AM376" i="42"/>
  <c r="AM377" i="42"/>
  <c r="AM378" i="42"/>
  <c r="AM379" i="42"/>
  <c r="AM381" i="42"/>
  <c r="AM382" i="42"/>
  <c r="AM383" i="42"/>
  <c r="AM384" i="42"/>
  <c r="AM385" i="42"/>
  <c r="AM386" i="42"/>
  <c r="AM387" i="42"/>
  <c r="AM388" i="42"/>
  <c r="AM390" i="42"/>
  <c r="AM392" i="42"/>
  <c r="AM393" i="42"/>
  <c r="AM395" i="42"/>
  <c r="AM396" i="42"/>
  <c r="AM397" i="42"/>
  <c r="AM398" i="42"/>
  <c r="AM399" i="42"/>
  <c r="AM400" i="42"/>
  <c r="AM285" i="42"/>
  <c r="AM286" i="42"/>
  <c r="AM287" i="42"/>
  <c r="AM288" i="42"/>
  <c r="AM289" i="42"/>
  <c r="AM290" i="42"/>
  <c r="AM291" i="42"/>
  <c r="AM294" i="42"/>
  <c r="AM295" i="42"/>
  <c r="AM296" i="42"/>
  <c r="AM297" i="42"/>
  <c r="AM298" i="42"/>
  <c r="AM299" i="42"/>
  <c r="AM300" i="42"/>
  <c r="AL368" i="42"/>
  <c r="AM368" i="42"/>
  <c r="AL191" i="42"/>
  <c r="AL338" i="42"/>
  <c r="AM338" i="42" s="1"/>
  <c r="AL394" i="42"/>
  <c r="AJ394" i="42"/>
  <c r="AJ391" i="42" s="1"/>
  <c r="AL391" i="42"/>
  <c r="AM391" i="42"/>
  <c r="AM394" i="42"/>
  <c r="AL372" i="42"/>
  <c r="AL352" i="42"/>
  <c r="AM352" i="42" s="1"/>
  <c r="AL350" i="42"/>
  <c r="AM350" i="42" s="1"/>
  <c r="AL341" i="42"/>
  <c r="AM341" i="42" s="1"/>
  <c r="AL353" i="42"/>
  <c r="AM353" i="42"/>
  <c r="AL312" i="42"/>
  <c r="AL304" i="42"/>
  <c r="AL293" i="42"/>
  <c r="AL284" i="42"/>
  <c r="AM284" i="42" s="1"/>
  <c r="AL154" i="42"/>
  <c r="AL118" i="42"/>
  <c r="AL117" i="42" s="1"/>
  <c r="AL110" i="42"/>
  <c r="AL109" i="42"/>
  <c r="AL85" i="42"/>
  <c r="AL26" i="42"/>
  <c r="AK26" i="42"/>
  <c r="AK270" i="42"/>
  <c r="AL270" i="42"/>
  <c r="AK265" i="42"/>
  <c r="AL265" i="42"/>
  <c r="AK262" i="42"/>
  <c r="AK261" i="42" s="1"/>
  <c r="AL262" i="42"/>
  <c r="AL261" i="42"/>
  <c r="AK257" i="42"/>
  <c r="AL257" i="42"/>
  <c r="AK242" i="42"/>
  <c r="AL242" i="42"/>
  <c r="AK181" i="42"/>
  <c r="AL181" i="42"/>
  <c r="AK76" i="42"/>
  <c r="AL76" i="42"/>
  <c r="AK82" i="42"/>
  <c r="AL82" i="42"/>
  <c r="AK85" i="42"/>
  <c r="AL283" i="42"/>
  <c r="AM312" i="42"/>
  <c r="AK239" i="42"/>
  <c r="AK238" i="42" s="1"/>
  <c r="AL239" i="42"/>
  <c r="AK227" i="42"/>
  <c r="AL227" i="42"/>
  <c r="AK223" i="42"/>
  <c r="AL223" i="42"/>
  <c r="AK219" i="42"/>
  <c r="AL219" i="42"/>
  <c r="AK215" i="42"/>
  <c r="AL215" i="42"/>
  <c r="AK212" i="42"/>
  <c r="AL212" i="42"/>
  <c r="AK191" i="42"/>
  <c r="AK190" i="42" s="1"/>
  <c r="AK180" i="42" s="1"/>
  <c r="AK179" i="42" s="1"/>
  <c r="AK178" i="42" s="1"/>
  <c r="AK172" i="42"/>
  <c r="AL172" i="42"/>
  <c r="AK167" i="42"/>
  <c r="AL167" i="42"/>
  <c r="AK154" i="42"/>
  <c r="AK153" i="42"/>
  <c r="AK150" i="42"/>
  <c r="AL150" i="42"/>
  <c r="AK145" i="42"/>
  <c r="AL145" i="42"/>
  <c r="AK142" i="42"/>
  <c r="AL142" i="42"/>
  <c r="AL128" i="42" s="1"/>
  <c r="AK129" i="42"/>
  <c r="AK128" i="42"/>
  <c r="AK127" i="42" s="1"/>
  <c r="AK118" i="42"/>
  <c r="AK117" i="42" s="1"/>
  <c r="AK110" i="42"/>
  <c r="AK109" i="42" s="1"/>
  <c r="AL60" i="42"/>
  <c r="AL59" i="42" s="1"/>
  <c r="AK60" i="42"/>
  <c r="AK59" i="42" s="1"/>
  <c r="AL9" i="42"/>
  <c r="AL8" i="42" s="1"/>
  <c r="AL7" i="42" s="1"/>
  <c r="AK9" i="42"/>
  <c r="AK8" i="42" s="1"/>
  <c r="AL190" i="42"/>
  <c r="AL153" i="42"/>
  <c r="AJ182" i="42"/>
  <c r="AJ368" i="42"/>
  <c r="AK368" i="42" s="1"/>
  <c r="I16" i="48"/>
  <c r="F50" i="68"/>
  <c r="AJ118" i="42"/>
  <c r="AJ117" i="42" s="1"/>
  <c r="AH118" i="42"/>
  <c r="D13" i="25"/>
  <c r="G46" i="24"/>
  <c r="G18" i="24"/>
  <c r="J18" i="24" s="1"/>
  <c r="H18" i="24"/>
  <c r="H16" i="24"/>
  <c r="H15" i="24"/>
  <c r="F39" i="68" s="1"/>
  <c r="K14" i="34"/>
  <c r="P14" i="34" s="1"/>
  <c r="B21" i="63"/>
  <c r="H21" i="63" s="1"/>
  <c r="B20" i="63"/>
  <c r="B19" i="63"/>
  <c r="H19" i="63" s="1"/>
  <c r="B18" i="63"/>
  <c r="B17" i="63"/>
  <c r="H17" i="63" s="1"/>
  <c r="B16" i="63"/>
  <c r="B15" i="63"/>
  <c r="R15" i="63" s="1"/>
  <c r="B14" i="63"/>
  <c r="I22" i="63"/>
  <c r="K24" i="34"/>
  <c r="D20" i="68"/>
  <c r="H20" i="68" s="1"/>
  <c r="R25" i="63"/>
  <c r="I25" i="63"/>
  <c r="B26" i="63"/>
  <c r="B25" i="63"/>
  <c r="S25" i="63" s="1"/>
  <c r="B11" i="63"/>
  <c r="P13" i="63"/>
  <c r="AK306" i="42"/>
  <c r="AK307" i="42"/>
  <c r="AK308" i="42"/>
  <c r="AK309" i="42"/>
  <c r="AK310" i="42"/>
  <c r="AK313" i="42"/>
  <c r="AK314" i="42"/>
  <c r="AK315" i="42"/>
  <c r="AK316" i="42"/>
  <c r="AK317" i="42"/>
  <c r="AK318" i="42"/>
  <c r="AK319" i="42"/>
  <c r="AK320" i="42"/>
  <c r="AK321" i="42"/>
  <c r="AK322" i="42"/>
  <c r="AK323" i="42"/>
  <c r="AK324" i="42"/>
  <c r="AK325" i="42"/>
  <c r="AK326" i="42"/>
  <c r="AK327" i="42"/>
  <c r="AK328" i="42"/>
  <c r="AK330" i="42"/>
  <c r="AK331" i="42"/>
  <c r="AK332" i="42"/>
  <c r="AK333" i="42"/>
  <c r="AK334" i="42"/>
  <c r="AK335" i="42"/>
  <c r="AK336" i="42"/>
  <c r="AK337" i="42"/>
  <c r="AK339" i="42"/>
  <c r="AK340" i="42"/>
  <c r="AK343" i="42"/>
  <c r="AK344" i="42"/>
  <c r="AK345" i="42"/>
  <c r="AK346" i="42"/>
  <c r="AK347" i="42"/>
  <c r="AK348" i="42"/>
  <c r="AK349" i="42"/>
  <c r="AK351" i="42"/>
  <c r="AK354" i="42"/>
  <c r="AK355" i="42"/>
  <c r="AK356" i="42"/>
  <c r="AK357" i="42"/>
  <c r="AK358" i="42"/>
  <c r="AK359" i="42"/>
  <c r="AK360" i="42"/>
  <c r="AK361" i="42"/>
  <c r="AK362" i="42"/>
  <c r="AK363" i="42"/>
  <c r="AK364" i="42"/>
  <c r="AK365" i="42"/>
  <c r="AK366" i="42"/>
  <c r="AK367" i="42"/>
  <c r="AK369" i="42"/>
  <c r="AK370" i="42"/>
  <c r="AK373" i="42"/>
  <c r="AK374" i="42"/>
  <c r="AK375" i="42"/>
  <c r="AK376" i="42"/>
  <c r="AK377" i="42"/>
  <c r="AK378" i="42"/>
  <c r="AK379" i="42"/>
  <c r="AK381" i="42"/>
  <c r="AK382" i="42"/>
  <c r="AK383" i="42"/>
  <c r="AK384" i="42"/>
  <c r="AK385" i="42"/>
  <c r="AK386" i="42"/>
  <c r="AK387" i="42"/>
  <c r="AK388" i="42"/>
  <c r="AK389" i="42"/>
  <c r="AK390" i="42"/>
  <c r="AK392" i="42"/>
  <c r="AK393" i="42"/>
  <c r="AK395" i="42"/>
  <c r="AK396" i="42"/>
  <c r="AK397" i="42"/>
  <c r="AK398" i="42"/>
  <c r="AK394" i="42" s="1"/>
  <c r="AK399" i="42"/>
  <c r="AK400" i="42"/>
  <c r="AK401" i="42"/>
  <c r="AK402" i="42"/>
  <c r="AK285" i="42"/>
  <c r="AK286" i="42"/>
  <c r="AK287" i="42"/>
  <c r="AK288" i="42"/>
  <c r="AK289" i="42"/>
  <c r="AK290" i="42"/>
  <c r="AK291" i="42"/>
  <c r="AK294" i="42"/>
  <c r="AK295" i="42"/>
  <c r="AK296" i="42"/>
  <c r="AK297" i="42"/>
  <c r="AK298" i="42"/>
  <c r="AK299" i="42"/>
  <c r="AK300" i="42"/>
  <c r="AK301" i="42"/>
  <c r="G22" i="38"/>
  <c r="G23" i="38"/>
  <c r="G24" i="38"/>
  <c r="G25" i="38"/>
  <c r="G26" i="38"/>
  <c r="N16" i="22" s="1"/>
  <c r="G21" i="38"/>
  <c r="G14" i="38"/>
  <c r="G16" i="38"/>
  <c r="G17" i="38"/>
  <c r="G13" i="38"/>
  <c r="N35" i="38"/>
  <c r="F57" i="31" s="1"/>
  <c r="AJ380" i="42"/>
  <c r="AJ372" i="42"/>
  <c r="AJ342" i="42"/>
  <c r="AK342" i="42" s="1"/>
  <c r="AJ341" i="42"/>
  <c r="AK341" i="42" s="1"/>
  <c r="AJ352" i="42"/>
  <c r="AK352" i="42" s="1"/>
  <c r="AJ338" i="42"/>
  <c r="AJ350" i="42"/>
  <c r="AK350" i="42" s="1"/>
  <c r="AJ353" i="42"/>
  <c r="AK353" i="42" s="1"/>
  <c r="AJ312" i="42"/>
  <c r="AJ305" i="42"/>
  <c r="AJ304" i="42" s="1"/>
  <c r="AJ303" i="42" s="1"/>
  <c r="AJ284" i="42"/>
  <c r="AJ293" i="42"/>
  <c r="AJ292" i="42" s="1"/>
  <c r="AJ270" i="42"/>
  <c r="AJ265" i="42"/>
  <c r="AJ261" i="42"/>
  <c r="AJ262" i="42"/>
  <c r="AJ257" i="42"/>
  <c r="AJ238" i="42" s="1"/>
  <c r="AJ242" i="42"/>
  <c r="AJ79" i="42"/>
  <c r="AJ76" i="42" s="1"/>
  <c r="AJ59" i="42" s="1"/>
  <c r="AJ239" i="42"/>
  <c r="AJ227" i="42"/>
  <c r="AJ223" i="42"/>
  <c r="AJ191" i="42"/>
  <c r="AJ371" i="42"/>
  <c r="AK372" i="42"/>
  <c r="AK371" i="42"/>
  <c r="AJ212" i="42"/>
  <c r="AJ219" i="42"/>
  <c r="AJ215" i="42"/>
  <c r="AJ181" i="42"/>
  <c r="AJ167" i="42"/>
  <c r="AJ172" i="42"/>
  <c r="AJ154" i="42"/>
  <c r="AJ150" i="42"/>
  <c r="AJ145" i="42"/>
  <c r="AJ142" i="42"/>
  <c r="AJ129" i="42"/>
  <c r="AJ128" i="42" s="1"/>
  <c r="AJ110" i="42"/>
  <c r="AJ109" i="42" s="1"/>
  <c r="AJ83" i="42"/>
  <c r="AJ82" i="42" s="1"/>
  <c r="AJ85" i="42"/>
  <c r="AJ60" i="42"/>
  <c r="AJ26" i="42"/>
  <c r="AJ9" i="42"/>
  <c r="AJ8" i="42" s="1"/>
  <c r="E11" i="55"/>
  <c r="G30" i="59"/>
  <c r="E30" i="59"/>
  <c r="G29" i="59"/>
  <c r="E29" i="59"/>
  <c r="G27" i="59"/>
  <c r="E27" i="59"/>
  <c r="G24" i="59"/>
  <c r="G23" i="59"/>
  <c r="G22" i="59"/>
  <c r="E23" i="59"/>
  <c r="E22" i="59"/>
  <c r="G17" i="59"/>
  <c r="G15" i="59"/>
  <c r="E17" i="59"/>
  <c r="E15" i="59"/>
  <c r="G45" i="24"/>
  <c r="G44" i="24"/>
  <c r="E44" i="24"/>
  <c r="G43" i="24"/>
  <c r="E43" i="24"/>
  <c r="E48" i="24" s="1"/>
  <c r="P20" i="63"/>
  <c r="H266" i="42"/>
  <c r="L22" i="18"/>
  <c r="AH397" i="42"/>
  <c r="M245" i="83"/>
  <c r="M247" i="83" s="1"/>
  <c r="AH83" i="42"/>
  <c r="F22" i="63"/>
  <c r="N22" i="63"/>
  <c r="I23" i="41"/>
  <c r="I26" i="41" s="1"/>
  <c r="E25" i="16"/>
  <c r="C47" i="16"/>
  <c r="Z118" i="42"/>
  <c r="AH242" i="42"/>
  <c r="AI306" i="42"/>
  <c r="AI309" i="42"/>
  <c r="AI310" i="42"/>
  <c r="AI313" i="42"/>
  <c r="AI314" i="42"/>
  <c r="AI315" i="42"/>
  <c r="AI316" i="42"/>
  <c r="AI317" i="42"/>
  <c r="AI318" i="42"/>
  <c r="AI319" i="42"/>
  <c r="AI320" i="42"/>
  <c r="AI321" i="42"/>
  <c r="AI322" i="42"/>
  <c r="AI323" i="42"/>
  <c r="AI324" i="42"/>
  <c r="AI325" i="42"/>
  <c r="AI326" i="42"/>
  <c r="AI327" i="42"/>
  <c r="AI328" i="42"/>
  <c r="AI330" i="42"/>
  <c r="AI331" i="42"/>
  <c r="AI332" i="42"/>
  <c r="AI333" i="42"/>
  <c r="AI334" i="42"/>
  <c r="AI336" i="42"/>
  <c r="AI337" i="42"/>
  <c r="AI339" i="42"/>
  <c r="AI340" i="42"/>
  <c r="AI342" i="42"/>
  <c r="AI343" i="42"/>
  <c r="AI344" i="42"/>
  <c r="AI345" i="42"/>
  <c r="AI346" i="42"/>
  <c r="AI347" i="42"/>
  <c r="AI348" i="42"/>
  <c r="AI349" i="42"/>
  <c r="AI351" i="42"/>
  <c r="AI354" i="42"/>
  <c r="AI355" i="42"/>
  <c r="AI356" i="42"/>
  <c r="AI357" i="42"/>
  <c r="AI358" i="42"/>
  <c r="AI359" i="42"/>
  <c r="AI360" i="42"/>
  <c r="AI361" i="42"/>
  <c r="AI362" i="42"/>
  <c r="AI363" i="42"/>
  <c r="AI364" i="42"/>
  <c r="AI365" i="42"/>
  <c r="AI366" i="42"/>
  <c r="AI367" i="42"/>
  <c r="AI368" i="42"/>
  <c r="AI369" i="42"/>
  <c r="AI370" i="42"/>
  <c r="AI373" i="42"/>
  <c r="AI375" i="42"/>
  <c r="AI376" i="42"/>
  <c r="AI377" i="42"/>
  <c r="G35" i="35" s="1"/>
  <c r="AI378" i="42"/>
  <c r="AI379" i="42"/>
  <c r="AI381" i="42"/>
  <c r="AI382" i="42"/>
  <c r="AI383" i="42"/>
  <c r="AI384" i="42"/>
  <c r="AI385" i="42"/>
  <c r="AI386" i="42"/>
  <c r="AI387" i="42"/>
  <c r="AI388" i="42"/>
  <c r="AI390" i="42"/>
  <c r="AI392" i="42"/>
  <c r="AI393" i="42"/>
  <c r="AI395" i="42"/>
  <c r="AI396" i="42"/>
  <c r="AI398" i="42"/>
  <c r="AI399" i="42"/>
  <c r="AI400" i="42"/>
  <c r="AI401" i="42"/>
  <c r="AI402" i="42"/>
  <c r="AI285" i="42"/>
  <c r="AI286" i="42"/>
  <c r="AI287" i="42"/>
  <c r="AI288" i="42"/>
  <c r="AI289" i="42"/>
  <c r="AI290" i="42"/>
  <c r="AI291" i="42"/>
  <c r="AI294" i="42"/>
  <c r="AI295" i="42"/>
  <c r="AI296" i="42"/>
  <c r="AI297" i="42"/>
  <c r="AI298" i="42"/>
  <c r="AI299" i="42"/>
  <c r="AI300" i="42"/>
  <c r="AI301" i="42"/>
  <c r="N27" i="38"/>
  <c r="AH191" i="42"/>
  <c r="AH374" i="42"/>
  <c r="AI374" i="42" s="1"/>
  <c r="AH270" i="42"/>
  <c r="AH265" i="42"/>
  <c r="AH262" i="42"/>
  <c r="AH257" i="42"/>
  <c r="AH238" i="42" s="1"/>
  <c r="AH372" i="42"/>
  <c r="AH371" i="42"/>
  <c r="AI371" i="42" s="1"/>
  <c r="AH394" i="42"/>
  <c r="AH380" i="42"/>
  <c r="AI380" i="42" s="1"/>
  <c r="AH341" i="42"/>
  <c r="AI341" i="42" s="1"/>
  <c r="AH352" i="42"/>
  <c r="AI352" i="42" s="1"/>
  <c r="AH335" i="42"/>
  <c r="AI335" i="42" s="1"/>
  <c r="AH338" i="42"/>
  <c r="AI338" i="42" s="1"/>
  <c r="AH350" i="42"/>
  <c r="AI350" i="42" s="1"/>
  <c r="AH353" i="42"/>
  <c r="AI353" i="42" s="1"/>
  <c r="AH312" i="42"/>
  <c r="AH308" i="42"/>
  <c r="AH307" i="42"/>
  <c r="AI307" i="42" s="1"/>
  <c r="AH305" i="42"/>
  <c r="AH284" i="42"/>
  <c r="AI372" i="42"/>
  <c r="AI284" i="42"/>
  <c r="AI308" i="42"/>
  <c r="AI394" i="42"/>
  <c r="AH293" i="42"/>
  <c r="AI293" i="42" s="1"/>
  <c r="AH283" i="42"/>
  <c r="AH282" i="42" s="1"/>
  <c r="AH292" i="42"/>
  <c r="AI292" i="42" s="1"/>
  <c r="AG242" i="42"/>
  <c r="AG239" i="42"/>
  <c r="AH239" i="42"/>
  <c r="AG227" i="42"/>
  <c r="AH227" i="42"/>
  <c r="AH219" i="42"/>
  <c r="AG223" i="42"/>
  <c r="AH223" i="42"/>
  <c r="AG215" i="42"/>
  <c r="AH215" i="42"/>
  <c r="AG212" i="42"/>
  <c r="AH212" i="42"/>
  <c r="AG191" i="42"/>
  <c r="AG190" i="42" s="1"/>
  <c r="AG181" i="42"/>
  <c r="AH181" i="42"/>
  <c r="AG172" i="42"/>
  <c r="AH172" i="42"/>
  <c r="AG154" i="42"/>
  <c r="AH154" i="42"/>
  <c r="AH153" i="42" s="1"/>
  <c r="AG150" i="42"/>
  <c r="AH150" i="42"/>
  <c r="AG145" i="42"/>
  <c r="AH145" i="42"/>
  <c r="C67" i="43" s="1"/>
  <c r="AG142" i="42"/>
  <c r="AH142" i="42"/>
  <c r="AG153" i="42"/>
  <c r="AG180" i="42"/>
  <c r="AH190" i="42"/>
  <c r="AG129" i="42"/>
  <c r="AG128" i="42" s="1"/>
  <c r="AG127" i="42" s="1"/>
  <c r="AH129" i="42"/>
  <c r="AG118" i="42"/>
  <c r="AG117" i="42" s="1"/>
  <c r="AH117" i="42"/>
  <c r="AG110" i="42"/>
  <c r="AG109" i="42" s="1"/>
  <c r="AH110" i="42"/>
  <c r="C20" i="43" s="1"/>
  <c r="AG85" i="42"/>
  <c r="AH85" i="42"/>
  <c r="C196" i="43" s="1"/>
  <c r="AG82" i="42"/>
  <c r="AG76" i="42"/>
  <c r="AH76" i="42"/>
  <c r="AG60" i="42"/>
  <c r="AH60" i="42"/>
  <c r="AH26" i="42"/>
  <c r="AG26" i="42"/>
  <c r="AH128" i="42"/>
  <c r="AH127" i="42" s="1"/>
  <c r="AH9" i="42"/>
  <c r="F15" i="22"/>
  <c r="J15" i="22"/>
  <c r="G28" i="44"/>
  <c r="E14" i="22"/>
  <c r="E15" i="22" s="1"/>
  <c r="H26" i="63"/>
  <c r="AG306" i="42"/>
  <c r="AG309" i="42"/>
  <c r="AG310" i="42"/>
  <c r="AG313" i="42"/>
  <c r="AG314" i="42"/>
  <c r="AG315" i="42"/>
  <c r="AG316" i="42"/>
  <c r="AG317" i="42"/>
  <c r="AG318" i="42"/>
  <c r="AG319" i="42"/>
  <c r="AG320" i="42"/>
  <c r="AG321" i="42"/>
  <c r="AG322" i="42"/>
  <c r="AG323" i="42"/>
  <c r="AG324" i="42"/>
  <c r="AG325" i="42"/>
  <c r="AG326" i="42"/>
  <c r="AG328" i="42"/>
  <c r="AG330" i="42"/>
  <c r="AG331" i="42"/>
  <c r="AG332" i="42"/>
  <c r="I103" i="36" s="1"/>
  <c r="J23" i="36" s="1"/>
  <c r="AG333" i="42"/>
  <c r="AG334" i="42"/>
  <c r="AG336" i="42"/>
  <c r="AG337" i="42"/>
  <c r="AG339" i="42"/>
  <c r="AG340" i="42"/>
  <c r="AG342" i="42"/>
  <c r="AG343" i="42"/>
  <c r="AG344" i="42"/>
  <c r="AG345" i="42"/>
  <c r="AG346" i="42"/>
  <c r="AG347" i="42"/>
  <c r="I97" i="36" s="1"/>
  <c r="AG348" i="42"/>
  <c r="AG349" i="42"/>
  <c r="AG351" i="42"/>
  <c r="AG354" i="42"/>
  <c r="AG355" i="42"/>
  <c r="AG356" i="42"/>
  <c r="AG357" i="42"/>
  <c r="AG358" i="42"/>
  <c r="AG359" i="42"/>
  <c r="AG360" i="42"/>
  <c r="AG361" i="42"/>
  <c r="AG362" i="42"/>
  <c r="AG363" i="42"/>
  <c r="AG364" i="42"/>
  <c r="AG365" i="42"/>
  <c r="AG366" i="42"/>
  <c r="AG367" i="42"/>
  <c r="AG368" i="42"/>
  <c r="AG369" i="42"/>
  <c r="AG370" i="42"/>
  <c r="AG373" i="42"/>
  <c r="AG375" i="42"/>
  <c r="AG376" i="42"/>
  <c r="AG377" i="42"/>
  <c r="AG378" i="42"/>
  <c r="AG379" i="42"/>
  <c r="AG381" i="42"/>
  <c r="AG382" i="42"/>
  <c r="AG383" i="42"/>
  <c r="AG384" i="42"/>
  <c r="AG385" i="42"/>
  <c r="AG386" i="42"/>
  <c r="AG387" i="42"/>
  <c r="AG388" i="42"/>
  <c r="AG390" i="42"/>
  <c r="AG392" i="42"/>
  <c r="AG393" i="42"/>
  <c r="AG395" i="42"/>
  <c r="I115" i="36" s="1"/>
  <c r="J35" i="36" s="1"/>
  <c r="AG396" i="42"/>
  <c r="AG397" i="42"/>
  <c r="AG398" i="42"/>
  <c r="AG399" i="42"/>
  <c r="AG400" i="42"/>
  <c r="AG402" i="42"/>
  <c r="AG285" i="42"/>
  <c r="AG286" i="42"/>
  <c r="AG287" i="42"/>
  <c r="AG288" i="42"/>
  <c r="AG289" i="42"/>
  <c r="AG290" i="42"/>
  <c r="AG291" i="42"/>
  <c r="AG294" i="42"/>
  <c r="AG295" i="42"/>
  <c r="AG296" i="42"/>
  <c r="AG297" i="42"/>
  <c r="AG298" i="42"/>
  <c r="AG299" i="42"/>
  <c r="AG300" i="42"/>
  <c r="AF327" i="42"/>
  <c r="AF394" i="42"/>
  <c r="AF380" i="42"/>
  <c r="AF374" i="42"/>
  <c r="AG374" i="42" s="1"/>
  <c r="AF372" i="42"/>
  <c r="AF341" i="42"/>
  <c r="AG341" i="42" s="1"/>
  <c r="AF352" i="42"/>
  <c r="AG352" i="42" s="1"/>
  <c r="AF335" i="42"/>
  <c r="AF338" i="42"/>
  <c r="AG338" i="42" s="1"/>
  <c r="AF350" i="42"/>
  <c r="AG350" i="42" s="1"/>
  <c r="AF353" i="42"/>
  <c r="AG353" i="42" s="1"/>
  <c r="AF308" i="42"/>
  <c r="AG308" i="42" s="1"/>
  <c r="AF307" i="42"/>
  <c r="AF305" i="42"/>
  <c r="AF293" i="42"/>
  <c r="AF292" i="42" s="1"/>
  <c r="AF284" i="42"/>
  <c r="AF283" i="42" s="1"/>
  <c r="AF282" i="42"/>
  <c r="AF281" i="42" s="1"/>
  <c r="AG380" i="42"/>
  <c r="AF272" i="42"/>
  <c r="AF270" i="42" s="1"/>
  <c r="AE270" i="42"/>
  <c r="AE265" i="42"/>
  <c r="AF265" i="42"/>
  <c r="AE262" i="42"/>
  <c r="AE261" i="42" s="1"/>
  <c r="AF262" i="42"/>
  <c r="AE242" i="42"/>
  <c r="AF242" i="42"/>
  <c r="AE239" i="42"/>
  <c r="AF239" i="42"/>
  <c r="AF238" i="42" s="1"/>
  <c r="AE227" i="42"/>
  <c r="AF227" i="42"/>
  <c r="AF79" i="42"/>
  <c r="AE223" i="42"/>
  <c r="AF223" i="42"/>
  <c r="AE215" i="42"/>
  <c r="AF215" i="42"/>
  <c r="AE212" i="42"/>
  <c r="AF212" i="42"/>
  <c r="AE191" i="42"/>
  <c r="AE190" i="42" s="1"/>
  <c r="AE180" i="42" s="1"/>
  <c r="AF191" i="42"/>
  <c r="AE181" i="42"/>
  <c r="AF181" i="42"/>
  <c r="AE172" i="42"/>
  <c r="AF172" i="42"/>
  <c r="AE150" i="42"/>
  <c r="AF150" i="42"/>
  <c r="AE145" i="42"/>
  <c r="AF145" i="42"/>
  <c r="AE142" i="42"/>
  <c r="AF142" i="42"/>
  <c r="AE154" i="42"/>
  <c r="AE153" i="42" s="1"/>
  <c r="AF154" i="42"/>
  <c r="AF153" i="42" s="1"/>
  <c r="AE129" i="42"/>
  <c r="AF129" i="42"/>
  <c r="AE118" i="42"/>
  <c r="AE117" i="42" s="1"/>
  <c r="AF118" i="42"/>
  <c r="AF117" i="42" s="1"/>
  <c r="AE110" i="42"/>
  <c r="AE109" i="42" s="1"/>
  <c r="AF110" i="42"/>
  <c r="AF85" i="42"/>
  <c r="AE85" i="42"/>
  <c r="AD82" i="42"/>
  <c r="AE82" i="42"/>
  <c r="AF82" i="42"/>
  <c r="AE76" i="42"/>
  <c r="AF9" i="42"/>
  <c r="AE60" i="42"/>
  <c r="AE59" i="42" s="1"/>
  <c r="AF60" i="42"/>
  <c r="AE56" i="42"/>
  <c r="AF56" i="42"/>
  <c r="AF26" i="42"/>
  <c r="AF8" i="42" s="1"/>
  <c r="AE26" i="42"/>
  <c r="AE9" i="42"/>
  <c r="AE128" i="42"/>
  <c r="AE127" i="42" s="1"/>
  <c r="AE238" i="42"/>
  <c r="G35" i="49"/>
  <c r="AD244" i="42"/>
  <c r="AD242" i="42" s="1"/>
  <c r="G85" i="26"/>
  <c r="G81" i="26"/>
  <c r="G20" i="34"/>
  <c r="G16" i="34"/>
  <c r="AD145" i="42"/>
  <c r="G22" i="34"/>
  <c r="R12" i="63"/>
  <c r="AE306" i="42"/>
  <c r="AE309" i="42"/>
  <c r="AE310" i="42"/>
  <c r="AE313" i="42"/>
  <c r="AE314" i="42"/>
  <c r="AE315" i="42"/>
  <c r="AE316" i="42"/>
  <c r="AE317" i="42"/>
  <c r="AE318" i="42"/>
  <c r="AE319" i="42"/>
  <c r="AE320" i="42"/>
  <c r="AE321" i="42"/>
  <c r="AE322" i="42"/>
  <c r="AE323" i="42"/>
  <c r="AE324" i="42"/>
  <c r="AE325" i="42"/>
  <c r="AE326" i="42"/>
  <c r="AE327" i="42"/>
  <c r="AE328" i="42"/>
  <c r="AE330" i="42"/>
  <c r="AE331" i="42"/>
  <c r="AE332" i="42"/>
  <c r="AE333" i="42"/>
  <c r="AE334" i="42"/>
  <c r="AE336" i="42"/>
  <c r="AE337" i="42"/>
  <c r="AE339" i="42"/>
  <c r="AE340" i="42"/>
  <c r="AE342" i="42"/>
  <c r="AE343" i="42"/>
  <c r="AE344" i="42"/>
  <c r="AE345" i="42"/>
  <c r="AE346" i="42"/>
  <c r="AE347" i="42"/>
  <c r="AE348" i="42"/>
  <c r="AE349" i="42"/>
  <c r="AE351" i="42"/>
  <c r="AE354" i="42"/>
  <c r="AE355" i="42"/>
  <c r="AE356" i="42"/>
  <c r="AE357" i="42"/>
  <c r="AE358" i="42"/>
  <c r="AE359" i="42"/>
  <c r="AE360" i="42"/>
  <c r="AE361" i="42"/>
  <c r="AE362" i="42"/>
  <c r="AE363" i="42"/>
  <c r="AE364" i="42"/>
  <c r="AE365" i="42"/>
  <c r="AE366" i="42"/>
  <c r="AE367" i="42"/>
  <c r="AE368" i="42"/>
  <c r="AE369" i="42"/>
  <c r="AE370" i="42"/>
  <c r="AE373" i="42"/>
  <c r="AE374" i="42"/>
  <c r="AE375" i="42"/>
  <c r="AE376" i="42"/>
  <c r="AE377" i="42"/>
  <c r="AE379" i="42"/>
  <c r="AE381" i="42"/>
  <c r="AE382" i="42"/>
  <c r="AE383" i="42"/>
  <c r="AE384" i="42"/>
  <c r="AE385" i="42"/>
  <c r="AE386" i="42"/>
  <c r="AE387" i="42"/>
  <c r="AE388" i="42"/>
  <c r="AE390" i="42"/>
  <c r="AE392" i="42"/>
  <c r="AE393" i="42"/>
  <c r="AE395" i="42"/>
  <c r="AE396" i="42"/>
  <c r="AE397" i="42"/>
  <c r="AE398" i="42"/>
  <c r="AE399" i="42"/>
  <c r="AE400" i="42"/>
  <c r="AE402" i="42"/>
  <c r="AE285" i="42"/>
  <c r="AE286" i="42"/>
  <c r="AE287" i="42"/>
  <c r="AE288" i="42"/>
  <c r="AE289" i="42"/>
  <c r="AE290" i="42"/>
  <c r="AE291" i="42"/>
  <c r="AE294" i="42"/>
  <c r="AE295" i="42"/>
  <c r="AE296" i="42"/>
  <c r="AE297" i="42"/>
  <c r="AE298" i="42"/>
  <c r="AE299" i="42"/>
  <c r="AE300" i="42"/>
  <c r="AD118" i="42"/>
  <c r="H16" i="48"/>
  <c r="E9" i="59"/>
  <c r="AD394" i="42"/>
  <c r="AD372" i="42"/>
  <c r="AD352" i="42"/>
  <c r="AD335" i="42"/>
  <c r="AE335" i="42" s="1"/>
  <c r="AD338" i="42"/>
  <c r="AE338" i="42"/>
  <c r="AD341" i="42"/>
  <c r="AE341" i="42"/>
  <c r="AD350" i="42"/>
  <c r="AE350" i="42"/>
  <c r="AD353" i="42"/>
  <c r="AE353" i="42"/>
  <c r="AD307" i="42"/>
  <c r="AD308" i="42"/>
  <c r="AE308" i="42" s="1"/>
  <c r="AD305" i="42"/>
  <c r="AD284" i="42"/>
  <c r="AE284" i="42" s="1"/>
  <c r="AD391" i="42"/>
  <c r="AE391" i="42" s="1"/>
  <c r="AD380" i="42"/>
  <c r="AE380" i="42" s="1"/>
  <c r="AD312" i="42"/>
  <c r="AD293" i="42"/>
  <c r="AD292" i="42" s="1"/>
  <c r="AE292" i="42" s="1"/>
  <c r="AD283" i="42"/>
  <c r="AE307" i="42"/>
  <c r="AD329" i="42"/>
  <c r="AE329" i="42" s="1"/>
  <c r="AE352" i="42"/>
  <c r="AE394" i="42"/>
  <c r="AE293" i="42"/>
  <c r="AD26" i="42"/>
  <c r="AD270" i="42"/>
  <c r="AD265" i="42"/>
  <c r="AD262" i="42"/>
  <c r="AD239" i="42"/>
  <c r="AD238" i="42" s="1"/>
  <c r="AD227" i="42"/>
  <c r="AD223" i="42"/>
  <c r="AD215" i="42"/>
  <c r="AD212" i="42"/>
  <c r="AD191" i="42"/>
  <c r="AD181" i="42"/>
  <c r="AD172" i="42"/>
  <c r="AD154" i="42"/>
  <c r="AD153" i="42" s="1"/>
  <c r="AD150" i="42"/>
  <c r="AD142" i="42"/>
  <c r="AD128" i="42" s="1"/>
  <c r="AD127" i="42" s="1"/>
  <c r="AD129" i="42"/>
  <c r="AD117" i="42"/>
  <c r="AD110" i="42"/>
  <c r="AD109" i="42" s="1"/>
  <c r="AD85" i="42"/>
  <c r="AD76" i="42"/>
  <c r="AD60" i="42"/>
  <c r="AD59" i="42" s="1"/>
  <c r="AD56" i="42"/>
  <c r="AD9" i="42"/>
  <c r="F56" i="68"/>
  <c r="E52" i="68"/>
  <c r="H121" i="36"/>
  <c r="H126" i="36" s="1"/>
  <c r="E13" i="25"/>
  <c r="F44" i="68"/>
  <c r="F40" i="68"/>
  <c r="P16" i="63"/>
  <c r="R16" i="63"/>
  <c r="R14" i="63"/>
  <c r="AB208" i="42"/>
  <c r="AB194" i="42" s="1"/>
  <c r="AB191" i="42" s="1"/>
  <c r="AB210" i="42"/>
  <c r="AB195" i="42"/>
  <c r="AB252" i="42"/>
  <c r="AB244" i="42" s="1"/>
  <c r="AB242" i="42" s="1"/>
  <c r="AB251" i="42"/>
  <c r="AB245" i="42"/>
  <c r="M276" i="42"/>
  <c r="L30" i="18"/>
  <c r="AC306" i="42"/>
  <c r="AC307" i="42"/>
  <c r="AC308" i="42"/>
  <c r="AC309" i="42"/>
  <c r="AC310" i="42"/>
  <c r="AC313" i="42"/>
  <c r="AC314" i="42"/>
  <c r="AC315" i="42"/>
  <c r="AC316" i="42"/>
  <c r="AC317" i="42"/>
  <c r="AC318" i="42"/>
  <c r="AC319" i="42"/>
  <c r="AC320" i="42"/>
  <c r="AC321" i="42"/>
  <c r="AC322" i="42"/>
  <c r="AC323" i="42"/>
  <c r="AC324" i="42"/>
  <c r="AC325" i="42"/>
  <c r="AC326" i="42"/>
  <c r="AC328" i="42"/>
  <c r="AC330" i="42"/>
  <c r="AC331" i="42"/>
  <c r="AC332" i="42"/>
  <c r="AC333" i="42"/>
  <c r="AC334" i="42"/>
  <c r="AC336" i="42"/>
  <c r="AC337" i="42"/>
  <c r="AC339" i="42"/>
  <c r="AC340" i="42"/>
  <c r="AC342" i="42"/>
  <c r="AC343" i="42"/>
  <c r="AC344" i="42"/>
  <c r="AC345" i="42"/>
  <c r="AC346" i="42"/>
  <c r="AC347" i="42"/>
  <c r="AC348" i="42"/>
  <c r="AC349" i="42"/>
  <c r="AC351" i="42"/>
  <c r="AC354" i="42"/>
  <c r="AC355" i="42"/>
  <c r="AC356" i="42"/>
  <c r="AC357" i="42"/>
  <c r="AC358" i="42"/>
  <c r="AC359" i="42"/>
  <c r="AC360" i="42"/>
  <c r="AC361" i="42"/>
  <c r="AC362" i="42"/>
  <c r="AC363" i="42"/>
  <c r="AC364" i="42"/>
  <c r="AC365" i="42"/>
  <c r="AC366" i="42"/>
  <c r="AC367" i="42"/>
  <c r="AC368" i="42"/>
  <c r="AC369" i="42"/>
  <c r="AC370" i="42"/>
  <c r="AC373" i="42"/>
  <c r="AC374" i="42"/>
  <c r="AC375" i="42"/>
  <c r="AC376" i="42"/>
  <c r="AC377" i="42"/>
  <c r="AC379" i="42"/>
  <c r="AC381" i="42"/>
  <c r="AC382" i="42"/>
  <c r="AC383" i="42"/>
  <c r="AC384" i="42"/>
  <c r="AC385" i="42"/>
  <c r="AC386" i="42"/>
  <c r="AC387" i="42"/>
  <c r="AC388" i="42"/>
  <c r="AC390" i="42"/>
  <c r="AC392" i="42"/>
  <c r="AC393" i="42"/>
  <c r="AC395" i="42"/>
  <c r="AC396" i="42"/>
  <c r="AC397" i="42"/>
  <c r="AC398" i="42"/>
  <c r="AC399" i="42"/>
  <c r="AC400" i="42"/>
  <c r="AC402" i="42"/>
  <c r="AC285" i="42"/>
  <c r="AC286" i="42"/>
  <c r="AC287" i="42"/>
  <c r="AC288" i="42"/>
  <c r="AC289" i="42"/>
  <c r="AC290" i="42"/>
  <c r="AC291" i="42"/>
  <c r="AC294" i="42"/>
  <c r="AC295" i="42"/>
  <c r="AC296" i="42"/>
  <c r="AC297" i="42"/>
  <c r="AC298" i="42"/>
  <c r="AC299" i="42"/>
  <c r="AC300" i="42"/>
  <c r="H16" i="18"/>
  <c r="AB118" i="42"/>
  <c r="AB117" i="42" s="1"/>
  <c r="AB327" i="42"/>
  <c r="AB394" i="42"/>
  <c r="AC394" i="42" s="1"/>
  <c r="AB372" i="42"/>
  <c r="AB371" i="42"/>
  <c r="AC371" i="42" s="1"/>
  <c r="AB341" i="42"/>
  <c r="AC341" i="42" s="1"/>
  <c r="AB352" i="42"/>
  <c r="AC352" i="42" s="1"/>
  <c r="AB335" i="42"/>
  <c r="AC335" i="42" s="1"/>
  <c r="AB338" i="42"/>
  <c r="AC338" i="42" s="1"/>
  <c r="AB350" i="42"/>
  <c r="AB353" i="42"/>
  <c r="AC353" i="42" s="1"/>
  <c r="AB305" i="42"/>
  <c r="AB284" i="42"/>
  <c r="AB380" i="42"/>
  <c r="AC380" i="42" s="1"/>
  <c r="AB293" i="42"/>
  <c r="AB292" i="42" s="1"/>
  <c r="AC292" i="42" s="1"/>
  <c r="AB151" i="42"/>
  <c r="AB150" i="42" s="1"/>
  <c r="AB110" i="42"/>
  <c r="AB85" i="42"/>
  <c r="AB270" i="42"/>
  <c r="AB265" i="42"/>
  <c r="AB262" i="42"/>
  <c r="AB239" i="42"/>
  <c r="AB227" i="42"/>
  <c r="AB223" i="42"/>
  <c r="AB215" i="42"/>
  <c r="AB212" i="42"/>
  <c r="AB181" i="42"/>
  <c r="AB172" i="42"/>
  <c r="AB154" i="42"/>
  <c r="AB153" i="42" s="1"/>
  <c r="AB145" i="42"/>
  <c r="AB142" i="42"/>
  <c r="AB129" i="42"/>
  <c r="AB128" i="42"/>
  <c r="AB127" i="42" s="1"/>
  <c r="AB82" i="42"/>
  <c r="AB76" i="42"/>
  <c r="AB60" i="42"/>
  <c r="AB56" i="42"/>
  <c r="AB26" i="42"/>
  <c r="AB9" i="42"/>
  <c r="AB283" i="42"/>
  <c r="AB282" i="42" s="1"/>
  <c r="AB281" i="42" s="1"/>
  <c r="AC284" i="42"/>
  <c r="AC372" i="42"/>
  <c r="AB109" i="42"/>
  <c r="P35" i="38"/>
  <c r="H57" i="31" s="1"/>
  <c r="AB261" i="42"/>
  <c r="G15" i="34"/>
  <c r="H13" i="63"/>
  <c r="Q13" i="63" s="1"/>
  <c r="S13" i="63" s="1"/>
  <c r="H27" i="18"/>
  <c r="I19" i="34"/>
  <c r="I21" i="34"/>
  <c r="I22" i="34"/>
  <c r="I23" i="34"/>
  <c r="I18" i="34"/>
  <c r="H16" i="63"/>
  <c r="I15" i="34"/>
  <c r="G22" i="63"/>
  <c r="I17" i="34"/>
  <c r="Z227" i="42"/>
  <c r="Z223" i="42"/>
  <c r="Z270" i="42"/>
  <c r="Z312" i="42"/>
  <c r="AA327" i="42"/>
  <c r="Z305" i="42"/>
  <c r="AA305" i="42" s="1"/>
  <c r="H12" i="50"/>
  <c r="Z208" i="42"/>
  <c r="Z194" i="42" s="1"/>
  <c r="Z191" i="42" s="1"/>
  <c r="Z210" i="42"/>
  <c r="Z195" i="42" s="1"/>
  <c r="Z251" i="42"/>
  <c r="I208" i="42"/>
  <c r="I194" i="42" s="1"/>
  <c r="I191" i="42" s="1"/>
  <c r="Z245" i="42"/>
  <c r="Z252" i="42"/>
  <c r="Z244" i="42" s="1"/>
  <c r="Z242" i="42" s="1"/>
  <c r="I210" i="42"/>
  <c r="I195" i="42" s="1"/>
  <c r="I251" i="42"/>
  <c r="I245" i="42" s="1"/>
  <c r="I252" i="42"/>
  <c r="D31" i="65"/>
  <c r="H14" i="63"/>
  <c r="G19" i="34"/>
  <c r="J305" i="42"/>
  <c r="J306" i="42"/>
  <c r="J307" i="42"/>
  <c r="J308" i="42"/>
  <c r="J309" i="42"/>
  <c r="J310" i="42"/>
  <c r="J313" i="42"/>
  <c r="J314" i="42"/>
  <c r="J315" i="42"/>
  <c r="J316" i="42"/>
  <c r="J317" i="42"/>
  <c r="J318" i="42"/>
  <c r="J319" i="42"/>
  <c r="J320" i="42"/>
  <c r="J321" i="42"/>
  <c r="J322" i="42"/>
  <c r="J323" i="42"/>
  <c r="J324" i="42"/>
  <c r="J325" i="42"/>
  <c r="J326" i="42"/>
  <c r="J328" i="42"/>
  <c r="J330" i="42"/>
  <c r="J331" i="42"/>
  <c r="J332" i="42"/>
  <c r="J333" i="42"/>
  <c r="J334" i="42"/>
  <c r="J335" i="42"/>
  <c r="J336" i="42"/>
  <c r="J337" i="42"/>
  <c r="J338" i="42"/>
  <c r="J339" i="42"/>
  <c r="J340" i="42"/>
  <c r="J341" i="42"/>
  <c r="J342" i="42"/>
  <c r="J343" i="42"/>
  <c r="J344" i="42"/>
  <c r="J345" i="42"/>
  <c r="J346" i="42"/>
  <c r="J347" i="42"/>
  <c r="J348" i="42"/>
  <c r="J349" i="42"/>
  <c r="J350" i="42"/>
  <c r="J351" i="42"/>
  <c r="J352" i="42"/>
  <c r="J353" i="42"/>
  <c r="J354" i="42"/>
  <c r="J355" i="42"/>
  <c r="J356" i="42"/>
  <c r="J357" i="42"/>
  <c r="J358" i="42"/>
  <c r="J359" i="42"/>
  <c r="J360" i="42"/>
  <c r="J361" i="42"/>
  <c r="J362" i="42"/>
  <c r="J363" i="42"/>
  <c r="J364" i="42"/>
  <c r="J365" i="42"/>
  <c r="J366" i="42"/>
  <c r="J367" i="42"/>
  <c r="J368" i="42"/>
  <c r="J369" i="42"/>
  <c r="J370" i="42"/>
  <c r="J372" i="42"/>
  <c r="J373" i="42"/>
  <c r="J374" i="42"/>
  <c r="J375" i="42"/>
  <c r="J376" i="42"/>
  <c r="J377" i="42"/>
  <c r="J379" i="42"/>
  <c r="J381" i="42"/>
  <c r="J382" i="42"/>
  <c r="J383" i="42"/>
  <c r="J384" i="42"/>
  <c r="J385" i="42"/>
  <c r="J386" i="42"/>
  <c r="J387" i="42"/>
  <c r="J388" i="42"/>
  <c r="J390" i="42"/>
  <c r="J392" i="42"/>
  <c r="J393" i="42"/>
  <c r="J394" i="42"/>
  <c r="J395" i="42"/>
  <c r="J396" i="42"/>
  <c r="J397" i="42"/>
  <c r="J398" i="42"/>
  <c r="J399" i="42"/>
  <c r="J400" i="42"/>
  <c r="J402" i="42"/>
  <c r="J284" i="42"/>
  <c r="J285" i="42"/>
  <c r="J286" i="42"/>
  <c r="J287" i="42"/>
  <c r="J288" i="42"/>
  <c r="J289" i="42"/>
  <c r="J290" i="42"/>
  <c r="J291" i="42"/>
  <c r="J294" i="42"/>
  <c r="J295" i="42"/>
  <c r="J296" i="42"/>
  <c r="J297" i="42"/>
  <c r="J298" i="42"/>
  <c r="J299" i="42"/>
  <c r="J300" i="42"/>
  <c r="H19" i="34"/>
  <c r="G18" i="34"/>
  <c r="F23" i="34"/>
  <c r="F21" i="34"/>
  <c r="G21" i="34"/>
  <c r="C22" i="63"/>
  <c r="G14" i="34"/>
  <c r="Z374" i="42"/>
  <c r="AA374" i="42" s="1"/>
  <c r="Z120" i="42"/>
  <c r="AA306" i="42"/>
  <c r="AA307" i="42"/>
  <c r="AA308" i="42"/>
  <c r="AA309" i="42"/>
  <c r="AA310" i="42"/>
  <c r="AA313" i="42"/>
  <c r="AA314" i="42"/>
  <c r="AA315" i="42"/>
  <c r="AA316" i="42"/>
  <c r="AA317" i="42"/>
  <c r="AA318" i="42"/>
  <c r="AA319" i="42"/>
  <c r="AA320" i="42"/>
  <c r="AA321" i="42"/>
  <c r="AA322" i="42"/>
  <c r="AA323" i="42"/>
  <c r="AA324" i="42"/>
  <c r="AA325" i="42"/>
  <c r="AA326" i="42"/>
  <c r="AA328" i="42"/>
  <c r="AA330" i="42"/>
  <c r="AA331" i="42"/>
  <c r="AA332" i="42"/>
  <c r="AA333" i="42"/>
  <c r="AA334" i="42"/>
  <c r="AA336" i="42"/>
  <c r="AA337" i="42"/>
  <c r="AA339" i="42"/>
  <c r="AA340" i="42"/>
  <c r="AA342" i="42"/>
  <c r="AA343" i="42"/>
  <c r="AA344" i="42"/>
  <c r="AA345" i="42"/>
  <c r="AA346" i="42"/>
  <c r="AA347" i="42"/>
  <c r="AA348" i="42"/>
  <c r="AA349" i="42"/>
  <c r="AA351" i="42"/>
  <c r="AA354" i="42"/>
  <c r="AA355" i="42"/>
  <c r="AA356" i="42"/>
  <c r="AA357" i="42"/>
  <c r="AA358" i="42"/>
  <c r="AA359" i="42"/>
  <c r="AA360" i="42"/>
  <c r="AA361" i="42"/>
  <c r="AA362" i="42"/>
  <c r="AA363" i="42"/>
  <c r="AA364" i="42"/>
  <c r="AA365" i="42"/>
  <c r="AA366" i="42"/>
  <c r="AA367" i="42"/>
  <c r="AA368" i="42"/>
  <c r="AA369" i="42"/>
  <c r="AA370" i="42"/>
  <c r="AA373" i="42"/>
  <c r="AA376" i="42"/>
  <c r="AA377" i="42"/>
  <c r="AA379" i="42"/>
  <c r="AA381" i="42"/>
  <c r="AA382" i="42"/>
  <c r="AA383" i="42"/>
  <c r="AA384" i="42"/>
  <c r="AA385" i="42"/>
  <c r="AA386" i="42"/>
  <c r="AA387" i="42"/>
  <c r="AA388" i="42"/>
  <c r="AA390" i="42"/>
  <c r="AA392" i="42"/>
  <c r="AA393" i="42"/>
  <c r="G125" i="36"/>
  <c r="I125" i="36" s="1"/>
  <c r="J45" i="36" s="1"/>
  <c r="AA395" i="42"/>
  <c r="AA396" i="42"/>
  <c r="AA397" i="42"/>
  <c r="AA398" i="42"/>
  <c r="AA399" i="42"/>
  <c r="AA400" i="42"/>
  <c r="AA402" i="42"/>
  <c r="AA403" i="42"/>
  <c r="AA285" i="42"/>
  <c r="AA286" i="42"/>
  <c r="AA287" i="42"/>
  <c r="AA288" i="42"/>
  <c r="AA289" i="42"/>
  <c r="AA290" i="42"/>
  <c r="AA291" i="42"/>
  <c r="AA294" i="42"/>
  <c r="AA295" i="42"/>
  <c r="AA296" i="42"/>
  <c r="AA297" i="42"/>
  <c r="AA298" i="42"/>
  <c r="AA299" i="42"/>
  <c r="AA300" i="42"/>
  <c r="I12" i="55"/>
  <c r="Z394" i="42"/>
  <c r="AA394" i="42" s="1"/>
  <c r="Z375" i="42"/>
  <c r="AA375" i="42" s="1"/>
  <c r="Z372" i="42"/>
  <c r="Z380" i="42"/>
  <c r="AA380" i="42" s="1"/>
  <c r="Z352" i="42"/>
  <c r="AA352" i="42" s="1"/>
  <c r="Z341" i="42"/>
  <c r="AA341" i="42" s="1"/>
  <c r="Z335" i="42"/>
  <c r="Z338" i="42"/>
  <c r="AA338" i="42" s="1"/>
  <c r="Z350" i="42"/>
  <c r="AA350" i="42"/>
  <c r="Z353" i="42"/>
  <c r="Z304" i="42"/>
  <c r="Z303" i="42" s="1"/>
  <c r="Z293" i="42"/>
  <c r="Z284" i="42"/>
  <c r="Z283" i="42" s="1"/>
  <c r="Z282" i="42" s="1"/>
  <c r="Z281" i="42" s="1"/>
  <c r="AA353" i="42"/>
  <c r="AA284" i="42"/>
  <c r="Z391" i="42"/>
  <c r="AA391" i="42" s="1"/>
  <c r="Z292" i="42"/>
  <c r="AA292" i="42" s="1"/>
  <c r="AA293" i="42"/>
  <c r="AA304" i="42"/>
  <c r="Z265" i="42"/>
  <c r="Z262" i="42"/>
  <c r="Z261" i="42" s="1"/>
  <c r="Z239" i="42"/>
  <c r="Z215" i="42"/>
  <c r="Z212" i="42"/>
  <c r="Z181" i="42"/>
  <c r="Z172" i="42"/>
  <c r="Z154" i="42"/>
  <c r="Z153" i="42" s="1"/>
  <c r="Z127" i="42" s="1"/>
  <c r="Z150" i="42"/>
  <c r="Z145" i="42"/>
  <c r="Z142" i="42"/>
  <c r="Z128" i="42"/>
  <c r="Z129" i="42"/>
  <c r="Z117" i="42"/>
  <c r="Z110" i="42"/>
  <c r="Z85" i="42"/>
  <c r="Z82" i="42"/>
  <c r="Z76" i="42"/>
  <c r="Z60" i="42"/>
  <c r="Z56" i="42"/>
  <c r="Z26" i="42"/>
  <c r="Z9" i="42"/>
  <c r="Z8" i="42" s="1"/>
  <c r="F24" i="28"/>
  <c r="G23" i="28" s="1"/>
  <c r="Z109" i="42"/>
  <c r="F63" i="68"/>
  <c r="E63" i="68"/>
  <c r="F60" i="68"/>
  <c r="I60" i="68" s="1"/>
  <c r="F31" i="65"/>
  <c r="U269" i="42"/>
  <c r="K242" i="42"/>
  <c r="L242" i="42"/>
  <c r="M242" i="42"/>
  <c r="N242" i="42"/>
  <c r="O242" i="42"/>
  <c r="P242" i="42"/>
  <c r="Q242" i="42"/>
  <c r="R242" i="42"/>
  <c r="S242" i="42"/>
  <c r="T242" i="42"/>
  <c r="U244" i="42"/>
  <c r="U195" i="42"/>
  <c r="U245" i="42"/>
  <c r="U194" i="42"/>
  <c r="U191" i="42" s="1"/>
  <c r="I244" i="42"/>
  <c r="I242" i="42" s="1"/>
  <c r="G47" i="49"/>
  <c r="H55" i="49"/>
  <c r="G55" i="49"/>
  <c r="G25" i="49"/>
  <c r="Y118" i="42"/>
  <c r="U60" i="42"/>
  <c r="E61" i="43"/>
  <c r="D205" i="43"/>
  <c r="E205" i="43"/>
  <c r="D206" i="43"/>
  <c r="E206" i="43"/>
  <c r="D196" i="43"/>
  <c r="D197" i="43"/>
  <c r="E172" i="43"/>
  <c r="E150" i="43"/>
  <c r="E149" i="43"/>
  <c r="E148" i="43"/>
  <c r="E147" i="43"/>
  <c r="E146" i="43"/>
  <c r="E144" i="43"/>
  <c r="E142" i="43"/>
  <c r="C151" i="43"/>
  <c r="D141" i="43"/>
  <c r="E141" i="43"/>
  <c r="D142" i="43"/>
  <c r="D144" i="43"/>
  <c r="D146" i="43"/>
  <c r="D147" i="43"/>
  <c r="D148" i="43"/>
  <c r="D150" i="43"/>
  <c r="E127" i="43"/>
  <c r="E126" i="43"/>
  <c r="E116" i="43"/>
  <c r="E115" i="43"/>
  <c r="E96" i="43"/>
  <c r="E95" i="43"/>
  <c r="E94" i="43"/>
  <c r="E93" i="43"/>
  <c r="E92" i="43"/>
  <c r="E91" i="43"/>
  <c r="E90" i="43"/>
  <c r="E83" i="43"/>
  <c r="E82" i="43"/>
  <c r="E52" i="43"/>
  <c r="E47" i="43"/>
  <c r="E38" i="43"/>
  <c r="E37" i="43"/>
  <c r="E36" i="43"/>
  <c r="E27" i="43"/>
  <c r="E25" i="43"/>
  <c r="E9" i="43"/>
  <c r="L85" i="18"/>
  <c r="L86" i="18"/>
  <c r="L87" i="18"/>
  <c r="L88" i="18"/>
  <c r="L89" i="18"/>
  <c r="L90" i="18"/>
  <c r="L91" i="18"/>
  <c r="L92" i="18"/>
  <c r="L93" i="18"/>
  <c r="L94" i="18"/>
  <c r="L95" i="18"/>
  <c r="L96" i="18"/>
  <c r="L84" i="18"/>
  <c r="L25" i="18"/>
  <c r="L28" i="18"/>
  <c r="L29" i="18"/>
  <c r="L31" i="18"/>
  <c r="L32" i="18"/>
  <c r="L33" i="18"/>
  <c r="L26" i="18"/>
  <c r="N26" i="18" s="1"/>
  <c r="H86" i="18"/>
  <c r="H87" i="18"/>
  <c r="H88" i="18"/>
  <c r="H89" i="18"/>
  <c r="N89" i="18" s="1"/>
  <c r="H90" i="18"/>
  <c r="H91" i="18"/>
  <c r="N91" i="18" s="1"/>
  <c r="H92" i="18"/>
  <c r="H93" i="18"/>
  <c r="H94" i="18"/>
  <c r="H95" i="18"/>
  <c r="J97" i="18"/>
  <c r="J79" i="18"/>
  <c r="I79" i="18"/>
  <c r="D79" i="18"/>
  <c r="D82" i="18" s="1"/>
  <c r="X305" i="42"/>
  <c r="X306" i="42"/>
  <c r="X307" i="42"/>
  <c r="X308" i="42"/>
  <c r="X309" i="42"/>
  <c r="X310" i="42"/>
  <c r="X313" i="42"/>
  <c r="X314" i="42"/>
  <c r="X315" i="42"/>
  <c r="X316" i="42"/>
  <c r="X317" i="42"/>
  <c r="X318" i="42"/>
  <c r="X319" i="42"/>
  <c r="X320" i="42"/>
  <c r="X321" i="42"/>
  <c r="X322" i="42"/>
  <c r="X323" i="42"/>
  <c r="X324" i="42"/>
  <c r="X325" i="42"/>
  <c r="X326" i="42"/>
  <c r="X328" i="42"/>
  <c r="X330" i="42"/>
  <c r="X331" i="42"/>
  <c r="X332" i="42"/>
  <c r="X333" i="42"/>
  <c r="X334" i="42"/>
  <c r="X335" i="42"/>
  <c r="X336" i="42"/>
  <c r="X337" i="42"/>
  <c r="X338" i="42"/>
  <c r="X339" i="42"/>
  <c r="X340" i="42"/>
  <c r="X341" i="42"/>
  <c r="X342" i="42"/>
  <c r="X343" i="42"/>
  <c r="X344" i="42"/>
  <c r="X345" i="42"/>
  <c r="X346" i="42"/>
  <c r="X347" i="42"/>
  <c r="X348" i="42"/>
  <c r="X349" i="42"/>
  <c r="X350" i="42"/>
  <c r="X351" i="42"/>
  <c r="X352" i="42"/>
  <c r="X353" i="42"/>
  <c r="X354" i="42"/>
  <c r="X355" i="42"/>
  <c r="X356" i="42"/>
  <c r="X357" i="42"/>
  <c r="X358" i="42"/>
  <c r="X359" i="42"/>
  <c r="X360" i="42"/>
  <c r="X361" i="42"/>
  <c r="X362" i="42"/>
  <c r="X363" i="42"/>
  <c r="X364" i="42"/>
  <c r="X365" i="42"/>
  <c r="X366" i="42"/>
  <c r="X367" i="42"/>
  <c r="X368" i="42"/>
  <c r="X369" i="42"/>
  <c r="X370" i="42"/>
  <c r="X372" i="42"/>
  <c r="X373" i="42"/>
  <c r="X374" i="42"/>
  <c r="X375" i="42"/>
  <c r="X376" i="42"/>
  <c r="X377" i="42"/>
  <c r="X379" i="42"/>
  <c r="X381" i="42"/>
  <c r="X382" i="42"/>
  <c r="X383" i="42"/>
  <c r="X384" i="42"/>
  <c r="X385" i="42"/>
  <c r="X386" i="42"/>
  <c r="X387" i="42"/>
  <c r="X388" i="42"/>
  <c r="X390" i="42"/>
  <c r="X392" i="42"/>
  <c r="X393" i="42"/>
  <c r="X394" i="42"/>
  <c r="X395" i="42"/>
  <c r="X396" i="42"/>
  <c r="X397" i="42"/>
  <c r="X398" i="42"/>
  <c r="X399" i="42"/>
  <c r="X402" i="42"/>
  <c r="X403" i="42"/>
  <c r="X284" i="42"/>
  <c r="X285" i="42"/>
  <c r="X286" i="42"/>
  <c r="X287" i="42"/>
  <c r="X288" i="42"/>
  <c r="X289" i="42"/>
  <c r="X290" i="42"/>
  <c r="X291" i="42"/>
  <c r="X294" i="42"/>
  <c r="X295" i="42"/>
  <c r="X296" i="42"/>
  <c r="X297" i="42"/>
  <c r="X298" i="42"/>
  <c r="X299" i="42"/>
  <c r="X300" i="42"/>
  <c r="X301" i="42"/>
  <c r="V307" i="42"/>
  <c r="V309" i="42"/>
  <c r="V310" i="42"/>
  <c r="V313" i="42"/>
  <c r="V314" i="42"/>
  <c r="V315" i="42"/>
  <c r="V316" i="42"/>
  <c r="V317" i="42"/>
  <c r="V318" i="42"/>
  <c r="V319" i="42"/>
  <c r="V320" i="42"/>
  <c r="V321" i="42"/>
  <c r="V322" i="42"/>
  <c r="V323" i="42"/>
  <c r="V324" i="42"/>
  <c r="V325" i="42"/>
  <c r="V326" i="42"/>
  <c r="V328" i="42"/>
  <c r="V330" i="42"/>
  <c r="V331" i="42"/>
  <c r="V332" i="42"/>
  <c r="V333" i="42"/>
  <c r="V334" i="42"/>
  <c r="V336" i="42"/>
  <c r="V337" i="42"/>
  <c r="V339" i="42"/>
  <c r="V340" i="42"/>
  <c r="V342" i="42"/>
  <c r="V343" i="42"/>
  <c r="V344" i="42"/>
  <c r="V345" i="42"/>
  <c r="V346" i="42"/>
  <c r="V347" i="42"/>
  <c r="V348" i="42"/>
  <c r="V349" i="42"/>
  <c r="V351" i="42"/>
  <c r="V354" i="42"/>
  <c r="V355" i="42"/>
  <c r="V356" i="42"/>
  <c r="V357" i="42"/>
  <c r="V358" i="42"/>
  <c r="V359" i="42"/>
  <c r="V360" i="42"/>
  <c r="V361" i="42"/>
  <c r="V362" i="42"/>
  <c r="V363" i="42"/>
  <c r="V364" i="42"/>
  <c r="V365" i="42"/>
  <c r="V366" i="42"/>
  <c r="V367" i="42"/>
  <c r="V368" i="42"/>
  <c r="V369" i="42"/>
  <c r="V370" i="42"/>
  <c r="V373" i="42"/>
  <c r="V374" i="42"/>
  <c r="V376" i="42"/>
  <c r="V377" i="42"/>
  <c r="D90" i="43" s="1"/>
  <c r="V379" i="42"/>
  <c r="V381" i="42"/>
  <c r="V382" i="42"/>
  <c r="V383" i="42"/>
  <c r="V384" i="42"/>
  <c r="V385" i="42"/>
  <c r="V386" i="42"/>
  <c r="V387" i="42"/>
  <c r="V388" i="42"/>
  <c r="V390" i="42"/>
  <c r="V392" i="42"/>
  <c r="V393" i="42"/>
  <c r="V395" i="42"/>
  <c r="V396" i="42"/>
  <c r="V397" i="42"/>
  <c r="V398" i="42"/>
  <c r="V399" i="42"/>
  <c r="V402" i="42"/>
  <c r="V403" i="42"/>
  <c r="V285" i="42"/>
  <c r="V286" i="42"/>
  <c r="V287" i="42"/>
  <c r="V288" i="42"/>
  <c r="V289" i="42"/>
  <c r="V290" i="42"/>
  <c r="V291" i="42"/>
  <c r="V294" i="42"/>
  <c r="V295" i="42"/>
  <c r="V296" i="42"/>
  <c r="V297" i="42"/>
  <c r="D172" i="43" s="1"/>
  <c r="V298" i="42"/>
  <c r="V299" i="42"/>
  <c r="V300" i="42"/>
  <c r="Y225" i="42"/>
  <c r="Y150" i="42"/>
  <c r="Y145" i="42"/>
  <c r="E67" i="43" s="1"/>
  <c r="Y142" i="42"/>
  <c r="Y129" i="42"/>
  <c r="Y117" i="42"/>
  <c r="Y110" i="42"/>
  <c r="Y109" i="42"/>
  <c r="Y85" i="42"/>
  <c r="Y82" i="42"/>
  <c r="Y76" i="42"/>
  <c r="Y60" i="42"/>
  <c r="Y56" i="42"/>
  <c r="Y26" i="42"/>
  <c r="N86" i="18"/>
  <c r="I45" i="36"/>
  <c r="H46" i="36"/>
  <c r="E20" i="43"/>
  <c r="W329" i="42"/>
  <c r="Y329" i="42"/>
  <c r="W391" i="42"/>
  <c r="E81" i="43" s="1"/>
  <c r="Y391" i="42"/>
  <c r="W380" i="42"/>
  <c r="E162" i="43" s="1"/>
  <c r="Y380" i="42"/>
  <c r="W371" i="42"/>
  <c r="X371" i="42" s="1"/>
  <c r="Y371" i="42"/>
  <c r="W312" i="42"/>
  <c r="W311" i="42" s="1"/>
  <c r="Y312" i="42"/>
  <c r="W304" i="42"/>
  <c r="Y304" i="42"/>
  <c r="Y303" i="42" s="1"/>
  <c r="W293" i="42"/>
  <c r="W292" i="42" s="1"/>
  <c r="X292" i="42" s="1"/>
  <c r="Y293" i="42"/>
  <c r="Y292" i="42"/>
  <c r="W283" i="42"/>
  <c r="Y283" i="42"/>
  <c r="Y282" i="42" s="1"/>
  <c r="W118" i="42"/>
  <c r="W117" i="42" s="1"/>
  <c r="U118" i="42"/>
  <c r="U117" i="42" s="1"/>
  <c r="W270" i="42"/>
  <c r="Y270" i="42"/>
  <c r="W265" i="42"/>
  <c r="Y265" i="42"/>
  <c r="W262" i="42"/>
  <c r="W261" i="42" s="1"/>
  <c r="Y262" i="42"/>
  <c r="W242" i="42"/>
  <c r="Y242" i="42"/>
  <c r="W239" i="42"/>
  <c r="W238" i="42" s="1"/>
  <c r="Y239" i="42"/>
  <c r="Y238" i="42" s="1"/>
  <c r="W227" i="42"/>
  <c r="Y227" i="42"/>
  <c r="Y212" i="42"/>
  <c r="W223" i="42"/>
  <c r="Y215" i="42"/>
  <c r="W215" i="42"/>
  <c r="W212" i="42"/>
  <c r="W191" i="42"/>
  <c r="Y191" i="42"/>
  <c r="Y154" i="42"/>
  <c r="Y172" i="42"/>
  <c r="W181" i="42"/>
  <c r="Y181" i="42"/>
  <c r="W172" i="42"/>
  <c r="W154" i="42"/>
  <c r="W150" i="42"/>
  <c r="W145" i="42"/>
  <c r="W142" i="42"/>
  <c r="W129" i="42"/>
  <c r="W110" i="42"/>
  <c r="W109" i="42" s="1"/>
  <c r="W96" i="42"/>
  <c r="W85" i="42" s="1"/>
  <c r="W79" i="42"/>
  <c r="W82" i="42"/>
  <c r="W60" i="42"/>
  <c r="W56" i="42"/>
  <c r="W26" i="42"/>
  <c r="W9" i="42"/>
  <c r="Y9" i="42"/>
  <c r="Y8" i="42" s="1"/>
  <c r="U380" i="42"/>
  <c r="V380" i="42" s="1"/>
  <c r="D162" i="43" s="1"/>
  <c r="U312" i="42"/>
  <c r="V312" i="42" s="1"/>
  <c r="U293" i="42"/>
  <c r="U129" i="42"/>
  <c r="U128" i="42" s="1"/>
  <c r="U127" i="42" s="1"/>
  <c r="U172" i="42"/>
  <c r="R118" i="42"/>
  <c r="R117" i="42" s="1"/>
  <c r="T118" i="42"/>
  <c r="T117" i="42" s="1"/>
  <c r="U85" i="42"/>
  <c r="U9" i="42"/>
  <c r="U270" i="42"/>
  <c r="U265" i="42"/>
  <c r="U262" i="42"/>
  <c r="U239" i="42"/>
  <c r="U223" i="42"/>
  <c r="U215" i="42"/>
  <c r="U212" i="42"/>
  <c r="U181" i="42"/>
  <c r="U154" i="42"/>
  <c r="U153" i="42" s="1"/>
  <c r="U150" i="42"/>
  <c r="U145" i="42"/>
  <c r="U142" i="42"/>
  <c r="U110" i="42"/>
  <c r="U82" i="42"/>
  <c r="U76" i="42"/>
  <c r="U56" i="42"/>
  <c r="U26" i="42"/>
  <c r="U394" i="42"/>
  <c r="U375" i="42"/>
  <c r="V375" i="42" s="1"/>
  <c r="U372" i="42"/>
  <c r="U352" i="42"/>
  <c r="V352" i="42"/>
  <c r="U341" i="42"/>
  <c r="V341" i="42"/>
  <c r="U335" i="42"/>
  <c r="U338" i="42"/>
  <c r="V338" i="42" s="1"/>
  <c r="U350" i="42"/>
  <c r="V350" i="42" s="1"/>
  <c r="U353" i="42"/>
  <c r="V353" i="42" s="1"/>
  <c r="U308" i="42"/>
  <c r="V308" i="42" s="1"/>
  <c r="U306" i="42"/>
  <c r="V306" i="42" s="1"/>
  <c r="U305" i="42"/>
  <c r="V305" i="42" s="1"/>
  <c r="U284" i="42"/>
  <c r="U235" i="42"/>
  <c r="U227" i="42" s="1"/>
  <c r="Y261" i="42"/>
  <c r="W76" i="42"/>
  <c r="E48" i="43"/>
  <c r="U304" i="42"/>
  <c r="U109" i="42"/>
  <c r="E68" i="43"/>
  <c r="E10" i="43"/>
  <c r="U292" i="42"/>
  <c r="V292" i="42" s="1"/>
  <c r="V293" i="42"/>
  <c r="E18" i="43"/>
  <c r="X380" i="42"/>
  <c r="X391" i="42"/>
  <c r="X329" i="42"/>
  <c r="W153" i="42"/>
  <c r="X311" i="42"/>
  <c r="K277" i="42"/>
  <c r="K276" i="42"/>
  <c r="D51" i="43"/>
  <c r="E51" i="43"/>
  <c r="F51" i="43"/>
  <c r="D95" i="43"/>
  <c r="D93" i="43"/>
  <c r="D91" i="43"/>
  <c r="D82" i="43"/>
  <c r="D52" i="43"/>
  <c r="D49" i="43"/>
  <c r="D36" i="43"/>
  <c r="D25" i="43"/>
  <c r="S172" i="42"/>
  <c r="T172" i="42"/>
  <c r="S150" i="42"/>
  <c r="T150" i="42"/>
  <c r="T129" i="42"/>
  <c r="T128" i="42" s="1"/>
  <c r="S26" i="42"/>
  <c r="T26" i="42"/>
  <c r="T270" i="42"/>
  <c r="S270" i="42"/>
  <c r="S265" i="42"/>
  <c r="T265" i="42"/>
  <c r="S262" i="42"/>
  <c r="T262" i="42"/>
  <c r="T261" i="42" s="1"/>
  <c r="S239" i="42"/>
  <c r="S238" i="42"/>
  <c r="T239" i="42"/>
  <c r="T238" i="42"/>
  <c r="S227" i="42"/>
  <c r="T227" i="42"/>
  <c r="S223" i="42"/>
  <c r="T223" i="42"/>
  <c r="S215" i="42"/>
  <c r="T215" i="42"/>
  <c r="S212" i="42"/>
  <c r="T212" i="42"/>
  <c r="S191" i="42"/>
  <c r="T191" i="42"/>
  <c r="S181" i="42"/>
  <c r="T181" i="42"/>
  <c r="S154" i="42"/>
  <c r="S153" i="42"/>
  <c r="T154" i="42"/>
  <c r="T153" i="42" s="1"/>
  <c r="S145" i="42"/>
  <c r="T145" i="42"/>
  <c r="S142" i="42"/>
  <c r="T142" i="42"/>
  <c r="S129" i="42"/>
  <c r="D117" i="43" s="1"/>
  <c r="S118" i="42"/>
  <c r="S117" i="42"/>
  <c r="S110" i="42"/>
  <c r="T110" i="42"/>
  <c r="T83" i="42"/>
  <c r="S85" i="42"/>
  <c r="T85" i="42"/>
  <c r="S82" i="42"/>
  <c r="T82" i="42"/>
  <c r="S76" i="42"/>
  <c r="T76" i="42"/>
  <c r="S60" i="42"/>
  <c r="S59" i="42" s="1"/>
  <c r="T60" i="42"/>
  <c r="S9" i="42"/>
  <c r="S8" i="42" s="1"/>
  <c r="T9" i="42"/>
  <c r="T8" i="42" s="1"/>
  <c r="T190" i="42"/>
  <c r="T109" i="42"/>
  <c r="T59" i="42"/>
  <c r="D27" i="43"/>
  <c r="D127" i="43"/>
  <c r="D126" i="43"/>
  <c r="D96" i="43"/>
  <c r="D94" i="43"/>
  <c r="D92" i="43"/>
  <c r="D83" i="43"/>
  <c r="D48" i="43"/>
  <c r="D47" i="43"/>
  <c r="D38" i="43"/>
  <c r="D26" i="43"/>
  <c r="M87" i="18"/>
  <c r="N87" i="18" s="1"/>
  <c r="D85" i="18"/>
  <c r="G85" i="18" s="1"/>
  <c r="H85" i="18" s="1"/>
  <c r="N85" i="18" s="1"/>
  <c r="S305" i="42"/>
  <c r="S306" i="42"/>
  <c r="S307" i="42"/>
  <c r="S308" i="42"/>
  <c r="S309" i="42"/>
  <c r="S310" i="42"/>
  <c r="S313" i="42"/>
  <c r="S314" i="42"/>
  <c r="S315" i="42"/>
  <c r="S316" i="42"/>
  <c r="S317" i="42"/>
  <c r="S318" i="42"/>
  <c r="S319" i="42"/>
  <c r="S320" i="42"/>
  <c r="S321" i="42"/>
  <c r="S322" i="42"/>
  <c r="S323" i="42"/>
  <c r="S324" i="42"/>
  <c r="S325" i="42"/>
  <c r="S326" i="42"/>
  <c r="S328" i="42"/>
  <c r="S330" i="42"/>
  <c r="S331" i="42"/>
  <c r="S332" i="42"/>
  <c r="S333" i="42"/>
  <c r="S334" i="42"/>
  <c r="S335" i="42"/>
  <c r="S336" i="42"/>
  <c r="S337" i="42"/>
  <c r="S338" i="42"/>
  <c r="S339" i="42"/>
  <c r="S340" i="42"/>
  <c r="S341" i="42"/>
  <c r="S342" i="42"/>
  <c r="S343" i="42"/>
  <c r="S344" i="42"/>
  <c r="S345" i="42"/>
  <c r="S346" i="42"/>
  <c r="S347" i="42"/>
  <c r="S348" i="42"/>
  <c r="S349" i="42"/>
  <c r="S350" i="42"/>
  <c r="S351" i="42"/>
  <c r="S352" i="42"/>
  <c r="S353" i="42"/>
  <c r="S354" i="42"/>
  <c r="S355" i="42"/>
  <c r="S356" i="42"/>
  <c r="S357" i="42"/>
  <c r="S358" i="42"/>
  <c r="S359" i="42"/>
  <c r="S360" i="42"/>
  <c r="S361" i="42"/>
  <c r="S362" i="42"/>
  <c r="S363" i="42"/>
  <c r="S364" i="42"/>
  <c r="S365" i="42"/>
  <c r="S366" i="42"/>
  <c r="S367" i="42"/>
  <c r="S368" i="42"/>
  <c r="S369" i="42"/>
  <c r="S370" i="42"/>
  <c r="S372" i="42"/>
  <c r="S373" i="42"/>
  <c r="S374" i="42"/>
  <c r="S375" i="42"/>
  <c r="S376" i="42"/>
  <c r="S377" i="42"/>
  <c r="S379" i="42"/>
  <c r="S381" i="42"/>
  <c r="S382" i="42"/>
  <c r="S383" i="42"/>
  <c r="S384" i="42"/>
  <c r="S385" i="42"/>
  <c r="S386" i="42"/>
  <c r="S387" i="42"/>
  <c r="S388" i="42"/>
  <c r="S390" i="42"/>
  <c r="S392" i="42"/>
  <c r="S393" i="42"/>
  <c r="S394" i="42"/>
  <c r="S395" i="42"/>
  <c r="S396" i="42"/>
  <c r="S397" i="42"/>
  <c r="S398" i="42"/>
  <c r="S399" i="42"/>
  <c r="S402" i="42"/>
  <c r="S403" i="42"/>
  <c r="S284" i="42"/>
  <c r="S285" i="42"/>
  <c r="S286" i="42"/>
  <c r="S287" i="42"/>
  <c r="S288" i="42"/>
  <c r="S289" i="42"/>
  <c r="S290" i="42"/>
  <c r="S291" i="42"/>
  <c r="S294" i="42"/>
  <c r="S295" i="42"/>
  <c r="S296" i="42"/>
  <c r="S297" i="42"/>
  <c r="S298" i="42"/>
  <c r="S299" i="42"/>
  <c r="S300" i="42"/>
  <c r="P353" i="42"/>
  <c r="Q353" i="42" s="1"/>
  <c r="P352" i="42"/>
  <c r="P308" i="42"/>
  <c r="Q308" i="42"/>
  <c r="P305" i="42"/>
  <c r="P306" i="42"/>
  <c r="H79" i="18"/>
  <c r="R293" i="42"/>
  <c r="P293" i="42"/>
  <c r="P292" i="42" s="1"/>
  <c r="R312" i="42"/>
  <c r="S312" i="42" s="1"/>
  <c r="P312" i="42"/>
  <c r="R391" i="42"/>
  <c r="S391" i="42" s="1"/>
  <c r="P380" i="42"/>
  <c r="R329" i="42"/>
  <c r="Q402" i="42"/>
  <c r="Q399" i="42"/>
  <c r="Q398" i="42"/>
  <c r="Q397" i="42"/>
  <c r="Q396" i="42"/>
  <c r="Q395" i="42"/>
  <c r="P394" i="42"/>
  <c r="Q393" i="42"/>
  <c r="Q392" i="42"/>
  <c r="Q388" i="42"/>
  <c r="Q387" i="42"/>
  <c r="Q386" i="42"/>
  <c r="Q385" i="42"/>
  <c r="Q384" i="42"/>
  <c r="Q383" i="42"/>
  <c r="Q382" i="42"/>
  <c r="Q381" i="42"/>
  <c r="R380" i="42"/>
  <c r="Q377" i="42"/>
  <c r="Q376" i="42"/>
  <c r="P375" i="42"/>
  <c r="Q375" i="42"/>
  <c r="Q374" i="42"/>
  <c r="Q373" i="42"/>
  <c r="P372" i="42"/>
  <c r="Q372" i="42"/>
  <c r="Q371" i="42" s="1"/>
  <c r="R371" i="42"/>
  <c r="S371" i="42" s="1"/>
  <c r="Q369" i="42"/>
  <c r="Q368" i="42"/>
  <c r="Q367" i="42"/>
  <c r="Q366" i="42"/>
  <c r="Q365" i="42"/>
  <c r="Q364" i="42"/>
  <c r="Q363" i="42"/>
  <c r="Q362" i="42"/>
  <c r="Q361" i="42"/>
  <c r="Q360" i="42"/>
  <c r="Q359" i="42"/>
  <c r="Q358" i="42"/>
  <c r="Q357" i="42"/>
  <c r="Q356" i="42"/>
  <c r="Q355" i="42"/>
  <c r="Q354" i="42"/>
  <c r="Q352" i="42"/>
  <c r="Q351" i="42"/>
  <c r="P350" i="42"/>
  <c r="Q350" i="42" s="1"/>
  <c r="Q349" i="42"/>
  <c r="Q348" i="42"/>
  <c r="Q347" i="42"/>
  <c r="Q346" i="42"/>
  <c r="Q345" i="42"/>
  <c r="Q344" i="42"/>
  <c r="Q343" i="42"/>
  <c r="Q342" i="42"/>
  <c r="P341" i="42"/>
  <c r="Q341" i="42"/>
  <c r="Q340" i="42"/>
  <c r="Q339" i="42"/>
  <c r="P338" i="42"/>
  <c r="Q338" i="42"/>
  <c r="Q337" i="42"/>
  <c r="Q336" i="42"/>
  <c r="P335" i="42"/>
  <c r="Q334" i="42"/>
  <c r="Q333" i="42"/>
  <c r="Q332" i="42"/>
  <c r="Q331" i="42"/>
  <c r="Q330" i="42"/>
  <c r="Q326" i="42"/>
  <c r="Q325" i="42"/>
  <c r="Q324" i="42"/>
  <c r="Q323" i="42"/>
  <c r="Q322" i="42"/>
  <c r="Q321" i="42"/>
  <c r="Q320" i="42"/>
  <c r="Q319" i="42"/>
  <c r="Q318" i="42"/>
  <c r="Q317" i="42"/>
  <c r="Q316" i="42"/>
  <c r="Q315" i="42"/>
  <c r="Q314" i="42"/>
  <c r="Q313" i="42"/>
  <c r="Q312" i="42" s="1"/>
  <c r="D79" i="43" s="1"/>
  <c r="Q309" i="42"/>
  <c r="Q307" i="42"/>
  <c r="Q305" i="42"/>
  <c r="R304" i="42"/>
  <c r="Q300" i="42"/>
  <c r="Q299" i="42"/>
  <c r="Q298" i="42"/>
  <c r="Q297" i="42"/>
  <c r="Q296" i="42"/>
  <c r="Q295" i="42"/>
  <c r="Q294" i="42"/>
  <c r="Q290" i="42"/>
  <c r="Q289" i="42"/>
  <c r="Q288" i="42"/>
  <c r="Q287" i="42"/>
  <c r="Q286" i="42"/>
  <c r="Q285" i="42"/>
  <c r="P284" i="42"/>
  <c r="Q284" i="42" s="1"/>
  <c r="R283" i="42"/>
  <c r="S283" i="42" s="1"/>
  <c r="P270" i="42"/>
  <c r="Q270" i="42"/>
  <c r="R270" i="42"/>
  <c r="P265" i="42"/>
  <c r="Q265" i="42"/>
  <c r="R265" i="42"/>
  <c r="P262" i="42"/>
  <c r="P261" i="42" s="1"/>
  <c r="Q262" i="42"/>
  <c r="R262" i="42"/>
  <c r="R261" i="42" s="1"/>
  <c r="P239" i="42"/>
  <c r="P238" i="42"/>
  <c r="Q239" i="42"/>
  <c r="R239" i="42"/>
  <c r="R238" i="42" s="1"/>
  <c r="P227" i="42"/>
  <c r="Q227" i="42"/>
  <c r="R227" i="42"/>
  <c r="P223" i="42"/>
  <c r="Q223" i="42"/>
  <c r="R223" i="42"/>
  <c r="Q215" i="42"/>
  <c r="R215" i="42"/>
  <c r="P216" i="42"/>
  <c r="P215" i="42" s="1"/>
  <c r="P212" i="42"/>
  <c r="Q212" i="42"/>
  <c r="Q190" i="42"/>
  <c r="R212" i="42"/>
  <c r="P191" i="42"/>
  <c r="P190" i="42" s="1"/>
  <c r="P180" i="42" s="1"/>
  <c r="P179" i="42" s="1"/>
  <c r="P178" i="42" s="1"/>
  <c r="Q191" i="42"/>
  <c r="R191" i="42"/>
  <c r="R190" i="42" s="1"/>
  <c r="R180" i="42" s="1"/>
  <c r="P181" i="42"/>
  <c r="Q181" i="42"/>
  <c r="Q180" i="42" s="1"/>
  <c r="R181" i="42"/>
  <c r="P172" i="42"/>
  <c r="Q172" i="42"/>
  <c r="R172" i="42"/>
  <c r="P154" i="42"/>
  <c r="Q154" i="42"/>
  <c r="R154" i="42"/>
  <c r="P150" i="42"/>
  <c r="Q150" i="42"/>
  <c r="R150" i="42"/>
  <c r="P145" i="42"/>
  <c r="Q145" i="42"/>
  <c r="D68" i="43" s="1"/>
  <c r="R145" i="42"/>
  <c r="P142" i="42"/>
  <c r="Q142" i="42"/>
  <c r="D114" i="43" s="1"/>
  <c r="R142" i="42"/>
  <c r="P129" i="42"/>
  <c r="Q129" i="42"/>
  <c r="R129" i="42"/>
  <c r="R120" i="42"/>
  <c r="P120" i="42"/>
  <c r="P118" i="42"/>
  <c r="P117" i="42" s="1"/>
  <c r="Q118" i="42"/>
  <c r="Q117" i="42" s="1"/>
  <c r="P110" i="42"/>
  <c r="P109" i="42" s="1"/>
  <c r="Q110" i="42"/>
  <c r="D18" i="43" s="1"/>
  <c r="R110" i="42"/>
  <c r="R109" i="42"/>
  <c r="P90" i="42"/>
  <c r="P85" i="42"/>
  <c r="Q85" i="42"/>
  <c r="R85" i="42"/>
  <c r="P82" i="42"/>
  <c r="Q82" i="42"/>
  <c r="R82" i="42"/>
  <c r="R79" i="42"/>
  <c r="R76" i="42" s="1"/>
  <c r="R59" i="42" s="1"/>
  <c r="P76" i="42"/>
  <c r="Q76" i="42"/>
  <c r="P60" i="42"/>
  <c r="Q60" i="42"/>
  <c r="Q59" i="42" s="1"/>
  <c r="R60" i="42"/>
  <c r="P26" i="42"/>
  <c r="Q26" i="42"/>
  <c r="R26" i="42"/>
  <c r="P9" i="42"/>
  <c r="Q9" i="42"/>
  <c r="Q8" i="42" s="1"/>
  <c r="R9" i="42"/>
  <c r="P283" i="42"/>
  <c r="P282" i="42" s="1"/>
  <c r="P371" i="42"/>
  <c r="R8" i="42"/>
  <c r="R7" i="42" s="1"/>
  <c r="S380" i="42"/>
  <c r="Q109" i="42"/>
  <c r="S329" i="42"/>
  <c r="R311" i="42"/>
  <c r="S311" i="42" s="1"/>
  <c r="M304" i="42"/>
  <c r="M303" i="42" s="1"/>
  <c r="P25" i="63"/>
  <c r="Q25" i="63" s="1"/>
  <c r="N13" i="22" s="1"/>
  <c r="H20" i="63"/>
  <c r="H18" i="63"/>
  <c r="H15" i="63"/>
  <c r="H13" i="25"/>
  <c r="I391" i="42"/>
  <c r="J391" i="42" s="1"/>
  <c r="I380" i="42"/>
  <c r="J380" i="42" s="1"/>
  <c r="I371" i="42"/>
  <c r="J371" i="42" s="1"/>
  <c r="I329" i="42"/>
  <c r="J329" i="42" s="1"/>
  <c r="I312" i="42"/>
  <c r="I304" i="42"/>
  <c r="I293" i="42"/>
  <c r="I283" i="42"/>
  <c r="J283" i="42" s="1"/>
  <c r="I154" i="42"/>
  <c r="K154" i="42"/>
  <c r="K129" i="42"/>
  <c r="I172" i="42"/>
  <c r="K172" i="42"/>
  <c r="K153" i="42" s="1"/>
  <c r="M172" i="42"/>
  <c r="I270" i="42"/>
  <c r="I265" i="42"/>
  <c r="I262" i="42"/>
  <c r="I239" i="42"/>
  <c r="I238" i="42" s="1"/>
  <c r="I227" i="42"/>
  <c r="I223" i="42"/>
  <c r="I215" i="42"/>
  <c r="I212" i="42"/>
  <c r="I181" i="42"/>
  <c r="I142" i="42"/>
  <c r="I150" i="42"/>
  <c r="I145" i="42"/>
  <c r="I129" i="42"/>
  <c r="I128" i="42"/>
  <c r="I121" i="42"/>
  <c r="I118" i="42"/>
  <c r="I117" i="42" s="1"/>
  <c r="K120" i="42"/>
  <c r="I120" i="42"/>
  <c r="I110" i="42"/>
  <c r="I109" i="42" s="1"/>
  <c r="I85" i="42"/>
  <c r="I82" i="42"/>
  <c r="I76" i="42"/>
  <c r="I60" i="42"/>
  <c r="I282" i="42"/>
  <c r="I303" i="42"/>
  <c r="J303" i="42" s="1"/>
  <c r="J304" i="42"/>
  <c r="I59" i="42"/>
  <c r="I26" i="42"/>
  <c r="I9" i="42"/>
  <c r="I8" i="42" s="1"/>
  <c r="O391" i="42"/>
  <c r="O380" i="42"/>
  <c r="O371" i="42"/>
  <c r="O329" i="42"/>
  <c r="O312" i="42"/>
  <c r="O304" i="42"/>
  <c r="O303" i="42" s="1"/>
  <c r="O293" i="42"/>
  <c r="O292" i="42" s="1"/>
  <c r="O283" i="42"/>
  <c r="O282" i="42" s="1"/>
  <c r="L172" i="42"/>
  <c r="N172" i="42"/>
  <c r="O172" i="42"/>
  <c r="K26" i="42"/>
  <c r="K9" i="42"/>
  <c r="K60" i="42"/>
  <c r="G23" i="24"/>
  <c r="E44" i="68" s="1"/>
  <c r="N9" i="42"/>
  <c r="O9" i="42"/>
  <c r="N26" i="42"/>
  <c r="O26" i="42"/>
  <c r="G32" i="36"/>
  <c r="L381" i="42"/>
  <c r="L382" i="42"/>
  <c r="L383" i="42"/>
  <c r="L384" i="42"/>
  <c r="L118" i="42"/>
  <c r="L227" i="42"/>
  <c r="L286" i="42"/>
  <c r="L287" i="42"/>
  <c r="L288" i="42"/>
  <c r="L289" i="42"/>
  <c r="L290" i="42"/>
  <c r="L294" i="42"/>
  <c r="L295" i="42"/>
  <c r="L296" i="42"/>
  <c r="L297" i="42"/>
  <c r="L298" i="42"/>
  <c r="L299" i="42"/>
  <c r="L300" i="42"/>
  <c r="L307" i="42"/>
  <c r="L308" i="42"/>
  <c r="L309" i="42"/>
  <c r="L313" i="42"/>
  <c r="L314" i="42"/>
  <c r="L315" i="42"/>
  <c r="L316" i="42"/>
  <c r="L317" i="42"/>
  <c r="L318" i="42"/>
  <c r="L319" i="42"/>
  <c r="L320" i="42"/>
  <c r="L321" i="42"/>
  <c r="L322" i="42"/>
  <c r="L323" i="42"/>
  <c r="L324" i="42"/>
  <c r="L325" i="42"/>
  <c r="L326" i="42"/>
  <c r="L330" i="42"/>
  <c r="L331" i="42"/>
  <c r="L332" i="42"/>
  <c r="L333" i="42"/>
  <c r="L334" i="42"/>
  <c r="L336" i="42"/>
  <c r="L337" i="42"/>
  <c r="L339" i="42"/>
  <c r="L340" i="42"/>
  <c r="L342" i="42"/>
  <c r="L343" i="42"/>
  <c r="L344" i="42"/>
  <c r="L345" i="42"/>
  <c r="L346" i="42"/>
  <c r="L347" i="42"/>
  <c r="L348" i="42"/>
  <c r="L349" i="42"/>
  <c r="L351" i="42"/>
  <c r="L354" i="42"/>
  <c r="L355" i="42"/>
  <c r="L356" i="42"/>
  <c r="L357" i="42"/>
  <c r="L358" i="42"/>
  <c r="L359" i="42"/>
  <c r="L360" i="42"/>
  <c r="L361" i="42"/>
  <c r="L362" i="42"/>
  <c r="L363" i="42"/>
  <c r="L364" i="42"/>
  <c r="L365" i="42"/>
  <c r="L366" i="42"/>
  <c r="L367" i="42"/>
  <c r="L368" i="42"/>
  <c r="L373" i="42"/>
  <c r="L374" i="42"/>
  <c r="L376" i="42"/>
  <c r="L377" i="42"/>
  <c r="L385" i="42"/>
  <c r="L386" i="42"/>
  <c r="L387" i="42"/>
  <c r="L388" i="42"/>
  <c r="L392" i="42"/>
  <c r="L393" i="42"/>
  <c r="L395" i="42"/>
  <c r="L396" i="42"/>
  <c r="L397" i="42"/>
  <c r="L398" i="42"/>
  <c r="L399" i="42"/>
  <c r="L402" i="42"/>
  <c r="O110" i="42"/>
  <c r="M110" i="42"/>
  <c r="M109" i="42"/>
  <c r="K110" i="42"/>
  <c r="G14" i="25"/>
  <c r="G19" i="25" s="1"/>
  <c r="O129" i="42"/>
  <c r="D15" i="22"/>
  <c r="H13" i="22"/>
  <c r="H15" i="22" s="1"/>
  <c r="I13" i="22"/>
  <c r="I15" i="22" s="1"/>
  <c r="K23" i="34"/>
  <c r="P23" i="34" s="1"/>
  <c r="K19" i="34"/>
  <c r="P19" i="34" s="1"/>
  <c r="P14" i="63"/>
  <c r="Q14" i="63" s="1"/>
  <c r="S14" i="63" s="1"/>
  <c r="D22" i="63"/>
  <c r="H17" i="34"/>
  <c r="N60" i="42"/>
  <c r="N76" i="42"/>
  <c r="N82" i="42"/>
  <c r="N85" i="42"/>
  <c r="O60" i="42"/>
  <c r="O76" i="42"/>
  <c r="O82" i="42"/>
  <c r="O85" i="42"/>
  <c r="N110" i="42"/>
  <c r="N109" i="42" s="1"/>
  <c r="N118" i="42"/>
  <c r="N117" i="42" s="1"/>
  <c r="O118" i="42"/>
  <c r="O117" i="42" s="1"/>
  <c r="N129" i="42"/>
  <c r="N142" i="42"/>
  <c r="N145" i="42"/>
  <c r="N154" i="42"/>
  <c r="O142" i="42"/>
  <c r="O145" i="42"/>
  <c r="O154" i="42"/>
  <c r="N191" i="42"/>
  <c r="N212" i="42"/>
  <c r="O191" i="42"/>
  <c r="O212" i="42"/>
  <c r="M191" i="42"/>
  <c r="M212" i="42"/>
  <c r="N150" i="42"/>
  <c r="O150" i="42"/>
  <c r="M129" i="42"/>
  <c r="M142" i="42"/>
  <c r="M150" i="42"/>
  <c r="D115" i="43"/>
  <c r="N270" i="42"/>
  <c r="O270" i="42"/>
  <c r="R50" i="38" s="1"/>
  <c r="R52" i="38" s="1"/>
  <c r="N265" i="42"/>
  <c r="O265" i="42"/>
  <c r="N262" i="42"/>
  <c r="O262" i="42"/>
  <c r="N239" i="42"/>
  <c r="O239" i="42"/>
  <c r="O418" i="42"/>
  <c r="N227" i="42"/>
  <c r="O227" i="42"/>
  <c r="N223" i="42"/>
  <c r="O223" i="42"/>
  <c r="N181" i="42"/>
  <c r="O181" i="42"/>
  <c r="M380" i="42"/>
  <c r="E166" i="43"/>
  <c r="M154" i="42"/>
  <c r="M60" i="42"/>
  <c r="M118" i="42"/>
  <c r="M117" i="42"/>
  <c r="M85" i="42"/>
  <c r="M145" i="42"/>
  <c r="M312" i="42"/>
  <c r="M329" i="42"/>
  <c r="M371" i="42"/>
  <c r="M391" i="42"/>
  <c r="M9" i="42"/>
  <c r="M26" i="42"/>
  <c r="K118" i="42"/>
  <c r="K117" i="42" s="1"/>
  <c r="K85" i="42"/>
  <c r="C63" i="16"/>
  <c r="G63" i="41" s="1"/>
  <c r="K380" i="42"/>
  <c r="O145" i="43"/>
  <c r="O144" i="43"/>
  <c r="K215" i="42"/>
  <c r="K212" i="42"/>
  <c r="K191" i="42"/>
  <c r="K142" i="42"/>
  <c r="K150" i="42"/>
  <c r="K312" i="42"/>
  <c r="K145" i="42"/>
  <c r="D50" i="43"/>
  <c r="C190" i="43"/>
  <c r="C29" i="16"/>
  <c r="C218" i="43"/>
  <c r="C30" i="16" s="1"/>
  <c r="K17" i="34"/>
  <c r="P17" i="34" s="1"/>
  <c r="K15" i="34"/>
  <c r="P15" i="34" s="1"/>
  <c r="K16" i="34"/>
  <c r="P16" i="34" s="1"/>
  <c r="K18" i="34"/>
  <c r="P18" i="34" s="1"/>
  <c r="K20" i="34"/>
  <c r="P20" i="34" s="1"/>
  <c r="K21" i="34"/>
  <c r="P21" i="34" s="1"/>
  <c r="K22" i="34"/>
  <c r="P22" i="34" s="1"/>
  <c r="M120" i="42"/>
  <c r="N377" i="42"/>
  <c r="G23" i="34"/>
  <c r="N295" i="42"/>
  <c r="N296" i="42"/>
  <c r="N297" i="42"/>
  <c r="N298" i="42"/>
  <c r="N299" i="42"/>
  <c r="N300" i="42"/>
  <c r="N294" i="42"/>
  <c r="N285" i="42"/>
  <c r="N286" i="42"/>
  <c r="N287" i="42"/>
  <c r="N288" i="42"/>
  <c r="N289" i="42"/>
  <c r="N290" i="42"/>
  <c r="N284" i="42"/>
  <c r="N309" i="42"/>
  <c r="N402" i="42"/>
  <c r="N381" i="42"/>
  <c r="N382" i="42"/>
  <c r="N384" i="42"/>
  <c r="N385" i="42"/>
  <c r="N305" i="42"/>
  <c r="N306" i="42"/>
  <c r="N307" i="42"/>
  <c r="N308" i="42"/>
  <c r="N313" i="42"/>
  <c r="N314" i="42"/>
  <c r="N315" i="42"/>
  <c r="N316" i="42"/>
  <c r="N317" i="42"/>
  <c r="N318" i="42"/>
  <c r="N319" i="42"/>
  <c r="N320" i="42"/>
  <c r="N321" i="42"/>
  <c r="N322" i="42"/>
  <c r="N323" i="42"/>
  <c r="N324" i="42"/>
  <c r="N325" i="42"/>
  <c r="N326" i="42"/>
  <c r="N330" i="42"/>
  <c r="N331" i="42"/>
  <c r="N332" i="42"/>
  <c r="N333" i="42"/>
  <c r="N334" i="42"/>
  <c r="N335" i="42"/>
  <c r="N336" i="42"/>
  <c r="N337" i="42"/>
  <c r="N338" i="42"/>
  <c r="N339" i="42"/>
  <c r="N340" i="42"/>
  <c r="N341" i="42"/>
  <c r="N342" i="42"/>
  <c r="N343" i="42"/>
  <c r="N344" i="42"/>
  <c r="N345" i="42"/>
  <c r="N346" i="42"/>
  <c r="N347" i="42"/>
  <c r="N348" i="42"/>
  <c r="N349" i="42"/>
  <c r="N350" i="42"/>
  <c r="N351" i="42"/>
  <c r="N352" i="42"/>
  <c r="N353" i="42"/>
  <c r="N354" i="42"/>
  <c r="N355" i="42"/>
  <c r="N356" i="42"/>
  <c r="N357" i="42"/>
  <c r="N358" i="42"/>
  <c r="N359" i="42"/>
  <c r="N360" i="42"/>
  <c r="N361" i="42"/>
  <c r="N362" i="42"/>
  <c r="N363" i="42"/>
  <c r="N364" i="42"/>
  <c r="N365" i="42"/>
  <c r="N366" i="42"/>
  <c r="N367" i="42"/>
  <c r="N368" i="42"/>
  <c r="N372" i="42"/>
  <c r="N373" i="42"/>
  <c r="N374" i="42"/>
  <c r="N375" i="42"/>
  <c r="N376" i="42"/>
  <c r="N383" i="42"/>
  <c r="N386" i="42"/>
  <c r="N387" i="42"/>
  <c r="N388" i="42"/>
  <c r="N392" i="42"/>
  <c r="N393" i="42"/>
  <c r="N394" i="42"/>
  <c r="N395" i="42"/>
  <c r="N396" i="42"/>
  <c r="N397" i="42"/>
  <c r="N398" i="42"/>
  <c r="N399" i="42"/>
  <c r="K394" i="42"/>
  <c r="K375" i="42"/>
  <c r="L375" i="42" s="1"/>
  <c r="K372" i="42"/>
  <c r="L372" i="42" s="1"/>
  <c r="K335" i="42"/>
  <c r="L335" i="42" s="1"/>
  <c r="K341" i="42"/>
  <c r="L341" i="42" s="1"/>
  <c r="K352" i="42"/>
  <c r="L352" i="42" s="1"/>
  <c r="K338" i="42"/>
  <c r="L338" i="42" s="1"/>
  <c r="K350" i="42"/>
  <c r="L350" i="42" s="1"/>
  <c r="K353" i="42"/>
  <c r="L353" i="42" s="1"/>
  <c r="K306" i="42"/>
  <c r="L306" i="42" s="1"/>
  <c r="K293" i="42"/>
  <c r="K292" i="42" s="1"/>
  <c r="K285" i="42"/>
  <c r="L285" i="42" s="1"/>
  <c r="K284" i="42"/>
  <c r="M82" i="42"/>
  <c r="M181" i="42"/>
  <c r="M223" i="42"/>
  <c r="M227" i="42"/>
  <c r="M239" i="42"/>
  <c r="M238" i="42" s="1"/>
  <c r="M262" i="42"/>
  <c r="M265" i="42"/>
  <c r="M270" i="42"/>
  <c r="K181" i="42"/>
  <c r="K223" i="42"/>
  <c r="K227" i="42"/>
  <c r="K239" i="42"/>
  <c r="K270" i="42"/>
  <c r="K262" i="42"/>
  <c r="K265" i="42"/>
  <c r="K76" i="42"/>
  <c r="K82" i="42"/>
  <c r="M293" i="42"/>
  <c r="M292" i="42" s="1"/>
  <c r="M79" i="42"/>
  <c r="M76" i="42" s="1"/>
  <c r="D25" i="24"/>
  <c r="E25" i="24"/>
  <c r="F25" i="24"/>
  <c r="F27" i="24" s="1"/>
  <c r="H25" i="24"/>
  <c r="G16" i="24"/>
  <c r="E40" i="68" s="1"/>
  <c r="G15" i="24"/>
  <c r="E39" i="68" s="1"/>
  <c r="E20" i="24"/>
  <c r="E27" i="24" s="1"/>
  <c r="F20" i="24"/>
  <c r="I7" i="55"/>
  <c r="K7" i="55" s="1"/>
  <c r="H15" i="34"/>
  <c r="H20" i="34"/>
  <c r="H22" i="34"/>
  <c r="H21" i="34"/>
  <c r="H23" i="34"/>
  <c r="H18" i="34"/>
  <c r="H16" i="34"/>
  <c r="F22" i="34"/>
  <c r="F20" i="34"/>
  <c r="F15" i="34"/>
  <c r="F17" i="34"/>
  <c r="F18" i="34"/>
  <c r="F19" i="34"/>
  <c r="R11" i="63"/>
  <c r="R17" i="63"/>
  <c r="R18" i="63"/>
  <c r="R19" i="63"/>
  <c r="R20" i="63"/>
  <c r="R21" i="63"/>
  <c r="P11" i="63"/>
  <c r="P12" i="63"/>
  <c r="P15" i="63"/>
  <c r="P17" i="63"/>
  <c r="P18" i="63"/>
  <c r="P19" i="63"/>
  <c r="P21" i="63"/>
  <c r="L22" i="63"/>
  <c r="K22" i="63"/>
  <c r="J22" i="63"/>
  <c r="E22" i="63"/>
  <c r="F23" i="38"/>
  <c r="F34" i="18"/>
  <c r="E34" i="18"/>
  <c r="E19" i="18"/>
  <c r="H15" i="45"/>
  <c r="D187" i="43"/>
  <c r="N33" i="18"/>
  <c r="F35" i="35"/>
  <c r="F27" i="35"/>
  <c r="F23" i="35"/>
  <c r="F21" i="35"/>
  <c r="F19" i="35"/>
  <c r="F15" i="35"/>
  <c r="H9" i="45"/>
  <c r="H18" i="45" s="1"/>
  <c r="H11" i="45"/>
  <c r="G14" i="22"/>
  <c r="F14" i="25"/>
  <c r="F19" i="25"/>
  <c r="E14" i="25"/>
  <c r="E19" i="25" s="1"/>
  <c r="F31" i="35"/>
  <c r="F17" i="35"/>
  <c r="H22" i="18"/>
  <c r="N22" i="18"/>
  <c r="E82" i="18"/>
  <c r="E97" i="18"/>
  <c r="J82" i="18"/>
  <c r="L80" i="18"/>
  <c r="H80" i="18"/>
  <c r="L81" i="18"/>
  <c r="N81" i="18" s="1"/>
  <c r="H81" i="18"/>
  <c r="L83" i="18"/>
  <c r="N83" i="18" s="1"/>
  <c r="H83" i="18"/>
  <c r="H84" i="18"/>
  <c r="H96" i="18"/>
  <c r="G82" i="18"/>
  <c r="G97" i="18" s="1"/>
  <c r="H17" i="18"/>
  <c r="L17" i="18"/>
  <c r="H18" i="18"/>
  <c r="L18" i="18"/>
  <c r="H20" i="18"/>
  <c r="L20" i="18"/>
  <c r="H21" i="18"/>
  <c r="L21" i="18"/>
  <c r="H24" i="18"/>
  <c r="H25" i="18"/>
  <c r="H28" i="18"/>
  <c r="N28" i="18" s="1"/>
  <c r="H29" i="18"/>
  <c r="H31" i="18"/>
  <c r="N31" i="18" s="1"/>
  <c r="H32" i="18"/>
  <c r="M82" i="18"/>
  <c r="M88" i="18" s="1"/>
  <c r="H45" i="28"/>
  <c r="I59" i="41"/>
  <c r="K23" i="41"/>
  <c r="K26" i="41" s="1"/>
  <c r="G127" i="36"/>
  <c r="J127" i="36"/>
  <c r="G66" i="16"/>
  <c r="G47" i="16"/>
  <c r="I216" i="43"/>
  <c r="I215" i="43"/>
  <c r="G216" i="43" s="1"/>
  <c r="I206" i="43"/>
  <c r="I205" i="43"/>
  <c r="G206" i="43" s="1"/>
  <c r="I197" i="43"/>
  <c r="G196" i="43" s="1"/>
  <c r="I196" i="43"/>
  <c r="I188" i="43"/>
  <c r="I187" i="43"/>
  <c r="G188" i="43" s="1"/>
  <c r="I179" i="43"/>
  <c r="I178" i="43"/>
  <c r="G179" i="43" s="1"/>
  <c r="I172" i="43"/>
  <c r="I163" i="43"/>
  <c r="G161" i="43" s="1"/>
  <c r="I162" i="43"/>
  <c r="I161" i="43"/>
  <c r="I166" i="43" s="1"/>
  <c r="I151" i="43"/>
  <c r="I150" i="43"/>
  <c r="I149" i="43"/>
  <c r="I148" i="43"/>
  <c r="I147" i="43"/>
  <c r="I146" i="43"/>
  <c r="I145" i="43"/>
  <c r="G151" i="43" s="1"/>
  <c r="I144" i="43"/>
  <c r="G150" i="43" s="1"/>
  <c r="I143" i="43"/>
  <c r="G149" i="43" s="1"/>
  <c r="I142" i="43"/>
  <c r="I141" i="43"/>
  <c r="I140" i="43"/>
  <c r="I135" i="43"/>
  <c r="I134" i="43"/>
  <c r="G135" i="43" s="1"/>
  <c r="I127" i="43"/>
  <c r="I126" i="43"/>
  <c r="I129" i="43" s="1"/>
  <c r="I117" i="43"/>
  <c r="I116" i="43"/>
  <c r="I115" i="43"/>
  <c r="I114" i="43"/>
  <c r="G117" i="43" s="1"/>
  <c r="I96" i="43"/>
  <c r="G95" i="43" s="1"/>
  <c r="I95" i="43"/>
  <c r="I94" i="43"/>
  <c r="I93" i="43"/>
  <c r="I92" i="43"/>
  <c r="I90" i="43"/>
  <c r="I91" i="43"/>
  <c r="I83" i="43"/>
  <c r="G82" i="43" s="1"/>
  <c r="I82" i="43"/>
  <c r="I81" i="43"/>
  <c r="I80" i="43"/>
  <c r="I79" i="43"/>
  <c r="I78" i="43"/>
  <c r="I68" i="43"/>
  <c r="G67" i="43" s="1"/>
  <c r="I67" i="43"/>
  <c r="I66" i="43"/>
  <c r="I61" i="43"/>
  <c r="I52" i="43"/>
  <c r="I51" i="43"/>
  <c r="I50" i="43"/>
  <c r="G51" i="43" s="1"/>
  <c r="I49" i="43"/>
  <c r="I48" i="43"/>
  <c r="G52" i="43" s="1"/>
  <c r="I47" i="43"/>
  <c r="G49" i="43" s="1"/>
  <c r="I38" i="43"/>
  <c r="G36" i="43" s="1"/>
  <c r="I37" i="43"/>
  <c r="I36" i="43"/>
  <c r="I27" i="43"/>
  <c r="G25" i="43" s="1"/>
  <c r="I25" i="43"/>
  <c r="I20" i="43"/>
  <c r="I19" i="43"/>
  <c r="I18" i="43"/>
  <c r="G20" i="43" s="1"/>
  <c r="I10" i="43"/>
  <c r="G8" i="43" s="1"/>
  <c r="I9" i="43"/>
  <c r="I8" i="43"/>
  <c r="G145" i="43"/>
  <c r="G144" i="43"/>
  <c r="G143" i="43"/>
  <c r="G140" i="43"/>
  <c r="G116" i="43"/>
  <c r="G93" i="43"/>
  <c r="G92" i="43"/>
  <c r="G91" i="43"/>
  <c r="G78" i="43"/>
  <c r="I127" i="36"/>
  <c r="G66" i="43"/>
  <c r="G81" i="43"/>
  <c r="G90" i="43"/>
  <c r="C64" i="41"/>
  <c r="G61" i="41"/>
  <c r="G59" i="41"/>
  <c r="C57" i="41"/>
  <c r="C52" i="41"/>
  <c r="O79" i="18"/>
  <c r="O82" i="18" s="1"/>
  <c r="O97" i="18" s="1"/>
  <c r="I14" i="38"/>
  <c r="G172" i="43"/>
  <c r="G63" i="16"/>
  <c r="K63" i="41" s="1"/>
  <c r="R31" i="38"/>
  <c r="F121" i="18"/>
  <c r="G94" i="43"/>
  <c r="G50" i="43"/>
  <c r="G96" i="43"/>
  <c r="P52" i="38"/>
  <c r="E52" i="38"/>
  <c r="O24" i="34"/>
  <c r="N24" i="34"/>
  <c r="M24" i="34"/>
  <c r="J99" i="36"/>
  <c r="J101" i="36"/>
  <c r="J103" i="36"/>
  <c r="J105" i="36"/>
  <c r="J107" i="36"/>
  <c r="J109" i="36"/>
  <c r="H130" i="18"/>
  <c r="N130" i="18" s="1"/>
  <c r="L128" i="18"/>
  <c r="N128" i="18" s="1"/>
  <c r="N117" i="18"/>
  <c r="M117" i="18"/>
  <c r="L117" i="18"/>
  <c r="J117" i="18"/>
  <c r="J132" i="18" s="1"/>
  <c r="I117" i="18"/>
  <c r="I132" i="18" s="1"/>
  <c r="H117" i="18"/>
  <c r="G117" i="18"/>
  <c r="G132" i="18" s="1"/>
  <c r="F117" i="18"/>
  <c r="F132" i="18" s="1"/>
  <c r="E117" i="18"/>
  <c r="E132" i="18" s="1"/>
  <c r="D117" i="18"/>
  <c r="H17" i="25"/>
  <c r="C47" i="33"/>
  <c r="G47" i="33"/>
  <c r="I47" i="33"/>
  <c r="G61" i="43"/>
  <c r="G17" i="16" s="1"/>
  <c r="G27" i="43"/>
  <c r="G37" i="43"/>
  <c r="Q301" i="42"/>
  <c r="G162" i="43"/>
  <c r="G19" i="43"/>
  <c r="D127" i="36"/>
  <c r="K14" i="22"/>
  <c r="G79" i="43"/>
  <c r="G80" i="43"/>
  <c r="F127" i="36"/>
  <c r="N52" i="38"/>
  <c r="G52" i="38"/>
  <c r="O415" i="42"/>
  <c r="O410" i="42"/>
  <c r="E127" i="36"/>
  <c r="G9" i="43"/>
  <c r="I63" i="41"/>
  <c r="F130" i="36"/>
  <c r="G134" i="43"/>
  <c r="H23" i="18"/>
  <c r="I18" i="38"/>
  <c r="G146" i="43"/>
  <c r="G48" i="43"/>
  <c r="R15" i="38"/>
  <c r="D121" i="18"/>
  <c r="H121" i="18" s="1"/>
  <c r="N121" i="18" s="1"/>
  <c r="N132" i="18" s="1"/>
  <c r="R30" i="38"/>
  <c r="R35" i="38" s="1"/>
  <c r="I28" i="38"/>
  <c r="G38" i="43"/>
  <c r="G18" i="43"/>
  <c r="R18" i="38"/>
  <c r="E181" i="43"/>
  <c r="G126" i="43"/>
  <c r="R13" i="38"/>
  <c r="G163" i="43"/>
  <c r="G187" i="43"/>
  <c r="G205" i="43"/>
  <c r="G178" i="43"/>
  <c r="I24" i="38"/>
  <c r="G115" i="43"/>
  <c r="H23" i="45"/>
  <c r="G83" i="43"/>
  <c r="R34" i="38"/>
  <c r="I15" i="38"/>
  <c r="R33" i="38"/>
  <c r="G141" i="43"/>
  <c r="N148" i="43" s="1"/>
  <c r="G47" i="43"/>
  <c r="G68" i="43"/>
  <c r="I19" i="38"/>
  <c r="G10" i="43"/>
  <c r="R19" i="38"/>
  <c r="R14" i="38"/>
  <c r="E190" i="43"/>
  <c r="I22" i="38"/>
  <c r="I30" i="38" s="1"/>
  <c r="F82" i="18"/>
  <c r="F97" i="18" s="1"/>
  <c r="G215" i="43"/>
  <c r="I23" i="38"/>
  <c r="M131" i="18"/>
  <c r="N131" i="18" s="1"/>
  <c r="E218" i="43"/>
  <c r="R38" i="38"/>
  <c r="N133" i="18"/>
  <c r="R22" i="38"/>
  <c r="R24" i="38" s="1"/>
  <c r="I13" i="38"/>
  <c r="G69" i="16"/>
  <c r="G114" i="43"/>
  <c r="I27" i="38"/>
  <c r="F19" i="18"/>
  <c r="I32" i="38"/>
  <c r="O27" i="43"/>
  <c r="G27" i="38"/>
  <c r="D14" i="25"/>
  <c r="D19" i="25" s="1"/>
  <c r="H14" i="25"/>
  <c r="H19" i="25" s="1"/>
  <c r="C181" i="43"/>
  <c r="C20" i="16" s="1"/>
  <c r="H12" i="45"/>
  <c r="H13" i="45"/>
  <c r="H14" i="45"/>
  <c r="H17" i="45"/>
  <c r="H10" i="45"/>
  <c r="M283" i="42"/>
  <c r="M282" i="42" s="1"/>
  <c r="H16" i="45"/>
  <c r="G197" i="43"/>
  <c r="J16" i="24"/>
  <c r="L24" i="18"/>
  <c r="N17" i="18"/>
  <c r="E41" i="68"/>
  <c r="H41" i="68" s="1"/>
  <c r="E56" i="68"/>
  <c r="H44" i="68"/>
  <c r="I113" i="36"/>
  <c r="J33" i="36" s="1"/>
  <c r="N261" i="42"/>
  <c r="K109" i="42"/>
  <c r="G19" i="18"/>
  <c r="G34" i="18" s="1"/>
  <c r="G25" i="24"/>
  <c r="J23" i="24"/>
  <c r="K283" i="42"/>
  <c r="K282" i="42" s="1"/>
  <c r="K281" i="42" s="1"/>
  <c r="K329" i="42"/>
  <c r="K305" i="42"/>
  <c r="K304" i="42" s="1"/>
  <c r="K303" i="42" s="1"/>
  <c r="L284" i="42"/>
  <c r="K371" i="42"/>
  <c r="M311" i="42"/>
  <c r="M302" i="42"/>
  <c r="M415" i="42" s="1"/>
  <c r="O261" i="42"/>
  <c r="I50" i="38"/>
  <c r="I52" i="38" s="1"/>
  <c r="M190" i="42"/>
  <c r="M180" i="42" s="1"/>
  <c r="M179" i="42" s="1"/>
  <c r="J17" i="36"/>
  <c r="M128" i="42"/>
  <c r="I19" i="18"/>
  <c r="I34" i="18" s="1"/>
  <c r="N153" i="42"/>
  <c r="M153" i="42"/>
  <c r="K190" i="42"/>
  <c r="K180" i="42" s="1"/>
  <c r="O142" i="43"/>
  <c r="I11" i="55"/>
  <c r="F11" i="55"/>
  <c r="G11" i="55" s="1"/>
  <c r="D20" i="24"/>
  <c r="D27" i="24" s="1"/>
  <c r="K238" i="42"/>
  <c r="N20" i="18"/>
  <c r="N238" i="42"/>
  <c r="E70" i="43"/>
  <c r="N190" i="42"/>
  <c r="N180" i="42" s="1"/>
  <c r="N179" i="42" s="1"/>
  <c r="N178" i="42" s="1"/>
  <c r="Q12" i="63"/>
  <c r="K128" i="42"/>
  <c r="K127" i="42"/>
  <c r="O109" i="42"/>
  <c r="F29" i="35"/>
  <c r="F37" i="35" s="1"/>
  <c r="H12" i="48"/>
  <c r="J18" i="45"/>
  <c r="E153" i="43"/>
  <c r="E129" i="43"/>
  <c r="O153" i="42"/>
  <c r="H62" i="31"/>
  <c r="C98" i="43"/>
  <c r="C40" i="16" s="1"/>
  <c r="G64" i="41" s="1"/>
  <c r="O311" i="42"/>
  <c r="O302" i="42"/>
  <c r="E208" i="43"/>
  <c r="O281" i="42"/>
  <c r="O414" i="42" s="1"/>
  <c r="O416" i="42" s="1"/>
  <c r="O421" i="42" s="1"/>
  <c r="G20" i="24"/>
  <c r="E40" i="43"/>
  <c r="O238" i="42"/>
  <c r="O190" i="42"/>
  <c r="O180" i="42" s="1"/>
  <c r="O59" i="42"/>
  <c r="K13" i="22"/>
  <c r="J32" i="36"/>
  <c r="C70" i="43"/>
  <c r="C31" i="16" s="1"/>
  <c r="K261" i="42"/>
  <c r="M261" i="42"/>
  <c r="M410" i="42" s="1"/>
  <c r="N293" i="42"/>
  <c r="N292" i="42"/>
  <c r="E98" i="43"/>
  <c r="N8" i="42"/>
  <c r="C208" i="43"/>
  <c r="C40" i="43"/>
  <c r="C13" i="16" s="1"/>
  <c r="C129" i="43"/>
  <c r="C55" i="16" s="1"/>
  <c r="G43" i="41" s="1"/>
  <c r="M8" i="42"/>
  <c r="O128" i="42"/>
  <c r="O127" i="42" s="1"/>
  <c r="O8" i="42"/>
  <c r="K8" i="42"/>
  <c r="N371" i="42"/>
  <c r="N128" i="42"/>
  <c r="N127" i="42" s="1"/>
  <c r="D98" i="43"/>
  <c r="G15" i="22"/>
  <c r="E22" i="34"/>
  <c r="E20" i="34"/>
  <c r="E18" i="34"/>
  <c r="E16" i="34"/>
  <c r="Q20" i="63"/>
  <c r="S20" i="63" s="1"/>
  <c r="K59" i="42"/>
  <c r="N391" i="42"/>
  <c r="N329" i="42"/>
  <c r="N311" i="42" s="1"/>
  <c r="N312" i="42"/>
  <c r="N304" i="42"/>
  <c r="N303" i="42" s="1"/>
  <c r="N302" i="42" s="1"/>
  <c r="N380" i="42"/>
  <c r="N283" i="42"/>
  <c r="N282" i="42" s="1"/>
  <c r="N281" i="42" s="1"/>
  <c r="N59" i="42"/>
  <c r="E23" i="34"/>
  <c r="H11" i="63"/>
  <c r="E21" i="34"/>
  <c r="E19" i="34"/>
  <c r="J19" i="34" s="1"/>
  <c r="Q19" i="34" s="1"/>
  <c r="E17" i="34"/>
  <c r="K410" i="42"/>
  <c r="L27" i="18"/>
  <c r="L305" i="42"/>
  <c r="M127" i="42"/>
  <c r="D19" i="18"/>
  <c r="D34" i="18" s="1"/>
  <c r="I44" i="41"/>
  <c r="I35" i="41"/>
  <c r="I34" i="41" s="1"/>
  <c r="I41" i="41" s="1"/>
  <c r="I48" i="41" s="1"/>
  <c r="I43" i="41"/>
  <c r="I64" i="41"/>
  <c r="H30" i="18"/>
  <c r="N30" i="18" s="1"/>
  <c r="I121" i="36"/>
  <c r="J41" i="36" s="1"/>
  <c r="H47" i="36"/>
  <c r="K7" i="42"/>
  <c r="K6" i="42" s="1"/>
  <c r="K408" i="42" s="1"/>
  <c r="E33" i="16"/>
  <c r="I37" i="41"/>
  <c r="E60" i="16"/>
  <c r="J19" i="18"/>
  <c r="J34" i="18" s="1"/>
  <c r="L16" i="18"/>
  <c r="I46" i="41"/>
  <c r="I39" i="41"/>
  <c r="E51" i="16"/>
  <c r="I57" i="41" s="1"/>
  <c r="I56" i="41" s="1"/>
  <c r="I52" i="41"/>
  <c r="I51" i="41"/>
  <c r="E23" i="16"/>
  <c r="E38" i="16"/>
  <c r="E42" i="16" s="1"/>
  <c r="E65" i="16" s="1"/>
  <c r="L23" i="18"/>
  <c r="N23" i="18" s="1"/>
  <c r="D97" i="18"/>
  <c r="H82" i="18"/>
  <c r="H97" i="18" s="1"/>
  <c r="N25" i="18"/>
  <c r="N93" i="18"/>
  <c r="G70" i="43"/>
  <c r="G31" i="16" s="1"/>
  <c r="I137" i="43"/>
  <c r="I208" i="43"/>
  <c r="R23" i="38"/>
  <c r="R27" i="38" s="1"/>
  <c r="L132" i="18"/>
  <c r="I7" i="42"/>
  <c r="J282" i="42"/>
  <c r="I292" i="42"/>
  <c r="J292" i="42" s="1"/>
  <c r="J293" i="42"/>
  <c r="P304" i="42"/>
  <c r="P303" i="42" s="1"/>
  <c r="P302" i="42" s="1"/>
  <c r="Q306" i="42"/>
  <c r="Q304" i="42" s="1"/>
  <c r="V304" i="42"/>
  <c r="U303" i="42"/>
  <c r="E135" i="43"/>
  <c r="Y190" i="42"/>
  <c r="E134" i="43"/>
  <c r="E137" i="43" s="1"/>
  <c r="W190" i="42"/>
  <c r="W303" i="42"/>
  <c r="E19" i="43"/>
  <c r="E22" i="43" s="1"/>
  <c r="E26" i="43" s="1"/>
  <c r="E29" i="43" s="1"/>
  <c r="E79" i="43"/>
  <c r="X312" i="42"/>
  <c r="Y311" i="42"/>
  <c r="Y302" i="42" s="1"/>
  <c r="E49" i="43"/>
  <c r="E54" i="43" s="1"/>
  <c r="Y223" i="42"/>
  <c r="U242" i="42"/>
  <c r="U238" i="42" s="1"/>
  <c r="Q238" i="42"/>
  <c r="Q179" i="42" s="1"/>
  <c r="D134" i="43"/>
  <c r="AA303" i="42"/>
  <c r="AA335" i="42"/>
  <c r="Z329" i="42"/>
  <c r="AA329" i="42" s="1"/>
  <c r="Z371" i="42"/>
  <c r="AA371" i="42" s="1"/>
  <c r="AA372" i="42"/>
  <c r="Z190" i="42"/>
  <c r="Z180" i="42" s="1"/>
  <c r="AA312" i="42"/>
  <c r="AE312" i="42"/>
  <c r="AE305" i="42"/>
  <c r="AD304" i="42"/>
  <c r="AE179" i="42"/>
  <c r="AE178" i="42" s="1"/>
  <c r="Q153" i="42"/>
  <c r="D10" i="43"/>
  <c r="Q335" i="42"/>
  <c r="P329" i="42"/>
  <c r="P391" i="42"/>
  <c r="Q394" i="42"/>
  <c r="T7" i="42"/>
  <c r="D67" i="43"/>
  <c r="S128" i="42"/>
  <c r="S127" i="42" s="1"/>
  <c r="S190" i="42"/>
  <c r="S180" i="42" s="1"/>
  <c r="S179" i="42" s="1"/>
  <c r="D135" i="43"/>
  <c r="X304" i="42"/>
  <c r="Y153" i="42"/>
  <c r="V335" i="42"/>
  <c r="U329" i="42"/>
  <c r="V329" i="42"/>
  <c r="N84" i="18"/>
  <c r="AC305" i="42"/>
  <c r="AB304" i="42"/>
  <c r="AC350" i="42"/>
  <c r="AB329" i="42"/>
  <c r="AC329" i="42"/>
  <c r="AG327" i="42"/>
  <c r="AF312" i="42"/>
  <c r="AG293" i="42"/>
  <c r="AG292" i="42"/>
  <c r="P59" i="42"/>
  <c r="Q128" i="42"/>
  <c r="Q127" i="42" s="1"/>
  <c r="R303" i="42"/>
  <c r="S304" i="42"/>
  <c r="Q329" i="42"/>
  <c r="V372" i="42"/>
  <c r="U371" i="42"/>
  <c r="V371" i="42" s="1"/>
  <c r="V394" i="42"/>
  <c r="U391" i="42"/>
  <c r="V391" i="42" s="1"/>
  <c r="E197" i="43"/>
  <c r="W180" i="42"/>
  <c r="W179" i="42" s="1"/>
  <c r="W178" i="42" s="1"/>
  <c r="Y281" i="42"/>
  <c r="W282" i="42"/>
  <c r="X283" i="42"/>
  <c r="E117" i="43"/>
  <c r="Y128" i="42"/>
  <c r="Y127" i="42"/>
  <c r="N95" i="18"/>
  <c r="I190" i="42"/>
  <c r="I180" i="42" s="1"/>
  <c r="I179" i="42" s="1"/>
  <c r="AB312" i="42"/>
  <c r="AC327" i="42"/>
  <c r="J14" i="34"/>
  <c r="Q14" i="34" s="1"/>
  <c r="G28" i="28"/>
  <c r="AF109" i="42"/>
  <c r="C54" i="43"/>
  <c r="C15" i="16" s="1"/>
  <c r="AF76" i="42"/>
  <c r="AF59" i="42" s="1"/>
  <c r="AF7" i="42" s="1"/>
  <c r="D126" i="36"/>
  <c r="D47" i="36" s="1"/>
  <c r="AG305" i="42"/>
  <c r="AG394" i="42"/>
  <c r="I111" i="36" s="1"/>
  <c r="J31" i="36" s="1"/>
  <c r="AF391" i="42"/>
  <c r="AG391" i="42" s="1"/>
  <c r="I109" i="36"/>
  <c r="J29" i="36" s="1"/>
  <c r="E23" i="28"/>
  <c r="E37" i="28" s="1"/>
  <c r="AH109" i="42"/>
  <c r="AI305" i="42"/>
  <c r="AH304" i="42"/>
  <c r="AH303" i="42"/>
  <c r="AI397" i="42"/>
  <c r="AH391" i="42"/>
  <c r="AI391" i="42" s="1"/>
  <c r="AK338" i="42"/>
  <c r="AK329" i="42" s="1"/>
  <c r="AJ329" i="42"/>
  <c r="AJ311" i="42" s="1"/>
  <c r="AJ302" i="42" s="1"/>
  <c r="AD371" i="42"/>
  <c r="AE371" i="42" s="1"/>
  <c r="AE372" i="42"/>
  <c r="AH281" i="42"/>
  <c r="AH329" i="42"/>
  <c r="AI329" i="42" s="1"/>
  <c r="AI312" i="42"/>
  <c r="G15" i="38"/>
  <c r="G18" i="38" s="1"/>
  <c r="G40" i="38" s="1"/>
  <c r="AJ7" i="42"/>
  <c r="AK305" i="42"/>
  <c r="AK304" i="42" s="1"/>
  <c r="AK303" i="42" s="1"/>
  <c r="AJ190" i="42"/>
  <c r="AJ180" i="42" s="1"/>
  <c r="AJ179" i="42" s="1"/>
  <c r="AJ178" i="42" s="1"/>
  <c r="AM283" i="42"/>
  <c r="AL282" i="42"/>
  <c r="AM282" i="42" s="1"/>
  <c r="AL371" i="42"/>
  <c r="AM371" i="42"/>
  <c r="AM372" i="42"/>
  <c r="AO312" i="42"/>
  <c r="AN304" i="42"/>
  <c r="AO305" i="42"/>
  <c r="AO341" i="42"/>
  <c r="AN329" i="42"/>
  <c r="AO329" i="42" s="1"/>
  <c r="AO372" i="42"/>
  <c r="E69" i="16"/>
  <c r="O143" i="43"/>
  <c r="AL329" i="42"/>
  <c r="AM329" i="42" s="1"/>
  <c r="AL292" i="42"/>
  <c r="AM292" i="42"/>
  <c r="AM293" i="42"/>
  <c r="AN8" i="42"/>
  <c r="AN371" i="42"/>
  <c r="AO371" i="42" s="1"/>
  <c r="AO391" i="42"/>
  <c r="AO338" i="42"/>
  <c r="AO284" i="42"/>
  <c r="AO394" i="42"/>
  <c r="AO380" i="42"/>
  <c r="AN311" i="42"/>
  <c r="AO311" i="42" s="1"/>
  <c r="M19" i="18"/>
  <c r="AN303" i="42"/>
  <c r="AN302" i="42" s="1"/>
  <c r="AL281" i="42"/>
  <c r="AM281" i="42" s="1"/>
  <c r="I101" i="36"/>
  <c r="J21" i="36" s="1"/>
  <c r="AC312" i="42"/>
  <c r="W281" i="42"/>
  <c r="W404" i="42" s="1"/>
  <c r="W405" i="42" s="1"/>
  <c r="X405" i="42" s="1"/>
  <c r="X282" i="42"/>
  <c r="AB303" i="42"/>
  <c r="AC304" i="42"/>
  <c r="D116" i="43"/>
  <c r="Q391" i="42"/>
  <c r="D81" i="43" s="1"/>
  <c r="P311" i="42"/>
  <c r="AD311" i="42"/>
  <c r="AE311" i="42" s="1"/>
  <c r="X303" i="42"/>
  <c r="W302" i="42"/>
  <c r="X302" i="42" s="1"/>
  <c r="Y180" i="42"/>
  <c r="Y179" i="42" s="1"/>
  <c r="Y178" i="42" s="1"/>
  <c r="V303" i="42"/>
  <c r="I281" i="42"/>
  <c r="I414" i="42" s="1"/>
  <c r="C153" i="43"/>
  <c r="C57" i="16" s="1"/>
  <c r="I409" i="42"/>
  <c r="U311" i="42"/>
  <c r="V311" i="42" s="1"/>
  <c r="D80" i="43"/>
  <c r="R302" i="42"/>
  <c r="S302" i="42"/>
  <c r="S303" i="42"/>
  <c r="AG312" i="42"/>
  <c r="I119" i="36"/>
  <c r="J39" i="36" s="1"/>
  <c r="AD303" i="42"/>
  <c r="AE303" i="42" s="1"/>
  <c r="AE304" i="42"/>
  <c r="X281" i="42"/>
  <c r="AC303" i="42"/>
  <c r="AD302" i="42"/>
  <c r="J281" i="42"/>
  <c r="AE302" i="42"/>
  <c r="G46" i="36" l="1"/>
  <c r="I46" i="36" s="1"/>
  <c r="I32" i="36"/>
  <c r="G126" i="36"/>
  <c r="G47" i="36" s="1"/>
  <c r="L47" i="36" s="1"/>
  <c r="I44" i="68"/>
  <c r="L14" i="22"/>
  <c r="K15" i="22"/>
  <c r="L13" i="22"/>
  <c r="J23" i="34"/>
  <c r="Q23" i="34" s="1"/>
  <c r="G24" i="34"/>
  <c r="J20" i="34"/>
  <c r="Q20" i="34" s="1"/>
  <c r="F24" i="34"/>
  <c r="J21" i="34"/>
  <c r="Q21" i="34" s="1"/>
  <c r="H24" i="34"/>
  <c r="J22" i="34"/>
  <c r="Q22" i="34" s="1"/>
  <c r="E24" i="34"/>
  <c r="J18" i="34"/>
  <c r="Q18" i="34" s="1"/>
  <c r="I12" i="50"/>
  <c r="I19" i="44"/>
  <c r="N16" i="18"/>
  <c r="L79" i="18"/>
  <c r="N80" i="18"/>
  <c r="N79" i="18"/>
  <c r="N92" i="18"/>
  <c r="G9" i="59"/>
  <c r="I46" i="59"/>
  <c r="I54" i="43"/>
  <c r="I85" i="43"/>
  <c r="I199" i="43"/>
  <c r="F62" i="31"/>
  <c r="F64" i="31" s="1"/>
  <c r="I181" i="43"/>
  <c r="I12" i="43"/>
  <c r="K23" i="45"/>
  <c r="G127" i="43"/>
  <c r="G129" i="43" s="1"/>
  <c r="G55" i="16" s="1"/>
  <c r="K43" i="41" s="1"/>
  <c r="I218" i="43"/>
  <c r="M132" i="18"/>
  <c r="D132" i="18"/>
  <c r="F41" i="68"/>
  <c r="I41" i="68" s="1"/>
  <c r="N21" i="18"/>
  <c r="N32" i="18"/>
  <c r="N18" i="18"/>
  <c r="G181" i="43"/>
  <c r="G20" i="16" s="1"/>
  <c r="H64" i="31"/>
  <c r="H35" i="49"/>
  <c r="H65" i="49"/>
  <c r="G65" i="49"/>
  <c r="P18" i="38"/>
  <c r="H53" i="31" s="1"/>
  <c r="N18" i="38"/>
  <c r="H25" i="49"/>
  <c r="I12" i="48"/>
  <c r="H15" i="46"/>
  <c r="K18" i="45"/>
  <c r="J11" i="55"/>
  <c r="H28" i="65"/>
  <c r="I22" i="43"/>
  <c r="I26" i="43" s="1"/>
  <c r="I29" i="43" s="1"/>
  <c r="I98" i="43"/>
  <c r="I153" i="43"/>
  <c r="I190" i="43"/>
  <c r="J23" i="45"/>
  <c r="R39" i="38"/>
  <c r="F52" i="31"/>
  <c r="G60" i="16"/>
  <c r="G12" i="44"/>
  <c r="I119" i="43"/>
  <c r="I40" i="43"/>
  <c r="G22" i="43"/>
  <c r="G26" i="43" s="1"/>
  <c r="E126" i="36"/>
  <c r="E47" i="36" s="1"/>
  <c r="I117" i="36"/>
  <c r="J37" i="36" s="1"/>
  <c r="C14" i="87"/>
  <c r="K302" i="42"/>
  <c r="K415" i="42" s="1"/>
  <c r="N88" i="18"/>
  <c r="M97" i="18"/>
  <c r="Q303" i="42"/>
  <c r="D19" i="43"/>
  <c r="AH311" i="42"/>
  <c r="Y404" i="42"/>
  <c r="Y405" i="42" s="1"/>
  <c r="Z311" i="42"/>
  <c r="O404" i="42"/>
  <c r="O405" i="42" s="1"/>
  <c r="O7" i="42"/>
  <c r="O6" i="42" s="1"/>
  <c r="O408" i="42" s="1"/>
  <c r="G27" i="24"/>
  <c r="H132" i="18"/>
  <c r="K179" i="42"/>
  <c r="N24" i="18"/>
  <c r="I70" i="43"/>
  <c r="Q7" i="42"/>
  <c r="Q6" i="42" s="1"/>
  <c r="D61" i="43"/>
  <c r="Q293" i="42"/>
  <c r="Q292" i="42" s="1"/>
  <c r="S109" i="42"/>
  <c r="S7" i="42" s="1"/>
  <c r="S6" i="42" s="1"/>
  <c r="D20" i="43"/>
  <c r="V284" i="42"/>
  <c r="U283" i="42"/>
  <c r="V283" i="42" s="1"/>
  <c r="U8" i="42"/>
  <c r="E8" i="43"/>
  <c r="E12" i="43" s="1"/>
  <c r="G28" i="65"/>
  <c r="AB190" i="42"/>
  <c r="N7" i="42"/>
  <c r="N6" i="42" s="1"/>
  <c r="J126" i="36"/>
  <c r="G137" i="43"/>
  <c r="G56" i="16" s="1"/>
  <c r="I28" i="44"/>
  <c r="J9" i="55"/>
  <c r="G9" i="55" s="1"/>
  <c r="F9" i="55"/>
  <c r="L394" i="42"/>
  <c r="K391" i="42"/>
  <c r="K311" i="42" s="1"/>
  <c r="J312" i="42"/>
  <c r="I311" i="42"/>
  <c r="J311" i="42" s="1"/>
  <c r="S293" i="42"/>
  <c r="R292" i="42"/>
  <c r="S292" i="42" s="1"/>
  <c r="T180" i="42"/>
  <c r="T179" i="42" s="1"/>
  <c r="T178" i="42" s="1"/>
  <c r="T127" i="42"/>
  <c r="T6" i="42" s="1"/>
  <c r="T274" i="42" s="1"/>
  <c r="W59" i="42"/>
  <c r="E80" i="43"/>
  <c r="E85" i="43" s="1"/>
  <c r="N94" i="18"/>
  <c r="N90" i="18"/>
  <c r="U190" i="42"/>
  <c r="U180" i="42" s="1"/>
  <c r="U179" i="42" s="1"/>
  <c r="U178" i="42" s="1"/>
  <c r="AB391" i="42"/>
  <c r="AB59" i="42"/>
  <c r="G12" i="43"/>
  <c r="G10" i="16" s="1"/>
  <c r="G23" i="16" s="1"/>
  <c r="G218" i="43"/>
  <c r="G30" i="16" s="1"/>
  <c r="N96" i="18"/>
  <c r="Q21" i="63"/>
  <c r="S21" i="63" s="1"/>
  <c r="Q18" i="63"/>
  <c r="S18" i="63" s="1"/>
  <c r="Q15" i="63"/>
  <c r="S15" i="63" s="1"/>
  <c r="M59" i="42"/>
  <c r="M7" i="42" s="1"/>
  <c r="M6" i="42" s="1"/>
  <c r="M408" i="42" s="1"/>
  <c r="I261" i="42"/>
  <c r="I153" i="42"/>
  <c r="I127" i="42" s="1"/>
  <c r="I6" i="42" s="1"/>
  <c r="I408" i="42" s="1"/>
  <c r="K23" i="24"/>
  <c r="I10" i="55"/>
  <c r="P281" i="42"/>
  <c r="P404" i="42" s="1"/>
  <c r="P405" i="42" s="1"/>
  <c r="P8" i="42"/>
  <c r="P7" i="42" s="1"/>
  <c r="R128" i="42"/>
  <c r="P128" i="42"/>
  <c r="R153" i="42"/>
  <c r="P153" i="42"/>
  <c r="Q261" i="42"/>
  <c r="Q178" i="42" s="1"/>
  <c r="D37" i="43"/>
  <c r="Q380" i="42"/>
  <c r="Q311" i="42" s="1"/>
  <c r="S261" i="42"/>
  <c r="S178" i="42" s="1"/>
  <c r="U59" i="42"/>
  <c r="U261" i="42"/>
  <c r="W8" i="42"/>
  <c r="W7" i="42" s="1"/>
  <c r="E114" i="43"/>
  <c r="E119" i="43" s="1"/>
  <c r="E196" i="43"/>
  <c r="E199" i="43" s="1"/>
  <c r="H47" i="49"/>
  <c r="Z59" i="42"/>
  <c r="Z7" i="42" s="1"/>
  <c r="Z6" i="42" s="1"/>
  <c r="Z238" i="42"/>
  <c r="Z179" i="42" s="1"/>
  <c r="Z178" i="42" s="1"/>
  <c r="Z274" i="42" s="1"/>
  <c r="AB8" i="42"/>
  <c r="AB7" i="42" s="1"/>
  <c r="AB6" i="42" s="1"/>
  <c r="AB238" i="42"/>
  <c r="R13" i="63"/>
  <c r="R22" i="63" s="1"/>
  <c r="AD8" i="42"/>
  <c r="AD7" i="42" s="1"/>
  <c r="AD6" i="42" s="1"/>
  <c r="AD190" i="42"/>
  <c r="AD180" i="42" s="1"/>
  <c r="AD179" i="42" s="1"/>
  <c r="AE8" i="42"/>
  <c r="AE7" i="42" s="1"/>
  <c r="AE6" i="42" s="1"/>
  <c r="AE274" i="42" s="1"/>
  <c r="AF180" i="42"/>
  <c r="AF179" i="42" s="1"/>
  <c r="AG307" i="42"/>
  <c r="AG304" i="42" s="1"/>
  <c r="AG303" i="42" s="1"/>
  <c r="AF304" i="42"/>
  <c r="S26" i="63"/>
  <c r="Q26" i="63"/>
  <c r="AH8" i="42"/>
  <c r="C66" i="16" s="1"/>
  <c r="AK391" i="42"/>
  <c r="F52" i="68"/>
  <c r="I52" i="68" s="1"/>
  <c r="H71" i="49"/>
  <c r="AK7" i="42"/>
  <c r="AL127" i="42"/>
  <c r="AL180" i="42"/>
  <c r="AL303" i="42"/>
  <c r="AM303" i="42" s="1"/>
  <c r="AM304" i="42"/>
  <c r="AM389" i="42"/>
  <c r="AL380" i="42"/>
  <c r="AM380" i="42" s="1"/>
  <c r="AJ283" i="42"/>
  <c r="AJ282" i="42" s="1"/>
  <c r="AJ281" i="42" s="1"/>
  <c r="AJ404" i="42" s="1"/>
  <c r="AJ405" i="42" s="1"/>
  <c r="AK284" i="42"/>
  <c r="AK283" i="42" s="1"/>
  <c r="AK282" i="42" s="1"/>
  <c r="AK312" i="42"/>
  <c r="AK311" i="42" s="1"/>
  <c r="AK302" i="42" s="1"/>
  <c r="AN127" i="42"/>
  <c r="AO293" i="42"/>
  <c r="AN292" i="42"/>
  <c r="AO292" i="42" s="1"/>
  <c r="AN190" i="42"/>
  <c r="AF190" i="42"/>
  <c r="AF261" i="42"/>
  <c r="I99" i="36"/>
  <c r="J19" i="36" s="1"/>
  <c r="C8" i="43"/>
  <c r="C117" i="43"/>
  <c r="AG238" i="42"/>
  <c r="AG179" i="42" s="1"/>
  <c r="AG178" i="42" s="1"/>
  <c r="E16" i="30"/>
  <c r="AH261" i="42"/>
  <c r="S34" i="18" s="1"/>
  <c r="C135" i="43"/>
  <c r="G48" i="24"/>
  <c r="AK293" i="42"/>
  <c r="AK292" i="42" s="1"/>
  <c r="AK380" i="42"/>
  <c r="AL238" i="42"/>
  <c r="AN180" i="42"/>
  <c r="G15" i="46"/>
  <c r="AP8" i="42"/>
  <c r="D20" i="30"/>
  <c r="AP154" i="42"/>
  <c r="C197" i="43"/>
  <c r="C199" i="43" s="1"/>
  <c r="C16" i="16" s="1"/>
  <c r="AP190" i="42"/>
  <c r="AQ380" i="42"/>
  <c r="C162" i="43"/>
  <c r="C166" i="43" s="1"/>
  <c r="C58" i="16" s="1"/>
  <c r="AQ290" i="42"/>
  <c r="C61" i="43"/>
  <c r="C17" i="16" s="1"/>
  <c r="L46" i="36"/>
  <c r="D14" i="87"/>
  <c r="AP109" i="42"/>
  <c r="C18" i="43"/>
  <c r="C22" i="43" s="1"/>
  <c r="C26" i="43" s="1"/>
  <c r="C29" i="43" s="1"/>
  <c r="C12" i="16" s="1"/>
  <c r="G52" i="41" s="1"/>
  <c r="G51" i="41" s="1"/>
  <c r="AP128" i="42"/>
  <c r="C114" i="43"/>
  <c r="AP238" i="42"/>
  <c r="C134" i="43"/>
  <c r="C137" i="43" s="1"/>
  <c r="C56" i="16" s="1"/>
  <c r="C60" i="16" s="1"/>
  <c r="AQ312" i="42"/>
  <c r="C79" i="43"/>
  <c r="AQ391" i="42"/>
  <c r="C81" i="43"/>
  <c r="AP303" i="42"/>
  <c r="C19" i="43"/>
  <c r="AQ394" i="42"/>
  <c r="C116" i="43"/>
  <c r="AQ284" i="42"/>
  <c r="C9" i="43"/>
  <c r="M123" i="90"/>
  <c r="K123" i="90"/>
  <c r="H20" i="24"/>
  <c r="H27" i="24" s="1"/>
  <c r="J17" i="34"/>
  <c r="Q17" i="34" s="1"/>
  <c r="J16" i="34"/>
  <c r="Q16" i="34" s="1"/>
  <c r="Q16" i="63"/>
  <c r="S16" i="63" s="1"/>
  <c r="J15" i="34"/>
  <c r="Q15" i="34" s="1"/>
  <c r="I24" i="34"/>
  <c r="L15" i="22"/>
  <c r="N15" i="22" s="1"/>
  <c r="Q17" i="63"/>
  <c r="S17" i="63" s="1"/>
  <c r="Q19" i="63"/>
  <c r="S19" i="63" s="1"/>
  <c r="H22" i="63"/>
  <c r="P22" i="63"/>
  <c r="C25" i="16"/>
  <c r="G42" i="38"/>
  <c r="K35" i="41"/>
  <c r="K34" i="41" s="1"/>
  <c r="G40" i="43"/>
  <c r="G13" i="16" s="1"/>
  <c r="G85" i="43"/>
  <c r="G35" i="16" s="1"/>
  <c r="G33" i="16" s="1"/>
  <c r="G153" i="43"/>
  <c r="G57" i="16" s="1"/>
  <c r="G190" i="43"/>
  <c r="G29" i="16" s="1"/>
  <c r="G25" i="16" s="1"/>
  <c r="G208" i="43"/>
  <c r="H52" i="31"/>
  <c r="G29" i="43"/>
  <c r="G54" i="43"/>
  <c r="G15" i="16" s="1"/>
  <c r="G14" i="16" s="1"/>
  <c r="G98" i="43"/>
  <c r="G40" i="16" s="1"/>
  <c r="K64" i="41" s="1"/>
  <c r="G166" i="43"/>
  <c r="G58" i="16" s="1"/>
  <c r="G199" i="43"/>
  <c r="G16" i="16" s="1"/>
  <c r="G44" i="41"/>
  <c r="G46" i="41" s="1"/>
  <c r="X404" i="42"/>
  <c r="U302" i="42"/>
  <c r="V302" i="42" s="1"/>
  <c r="AL311" i="42"/>
  <c r="E67" i="16"/>
  <c r="I28" i="41"/>
  <c r="I30" i="41" s="1"/>
  <c r="N30" i="41" s="1"/>
  <c r="I66" i="41"/>
  <c r="N66" i="41" s="1"/>
  <c r="N404" i="42"/>
  <c r="O179" i="42"/>
  <c r="O178" i="42" s="1"/>
  <c r="O274" i="42" s="1"/>
  <c r="O409" i="42"/>
  <c r="N274" i="42"/>
  <c r="K178" i="42"/>
  <c r="K274" i="42" s="1"/>
  <c r="K409" i="42"/>
  <c r="K411" i="42" s="1"/>
  <c r="M409" i="42"/>
  <c r="M411" i="42" s="1"/>
  <c r="M178" i="42"/>
  <c r="M274" i="42" s="1"/>
  <c r="K404" i="42"/>
  <c r="K414" i="42"/>
  <c r="K416" i="42" s="1"/>
  <c r="M281" i="42"/>
  <c r="G119" i="43"/>
  <c r="G49" i="16" s="1"/>
  <c r="K39" i="41"/>
  <c r="P24" i="34"/>
  <c r="O411" i="42"/>
  <c r="I40" i="38"/>
  <c r="I33" i="38"/>
  <c r="L19" i="18"/>
  <c r="L34" i="18" s="1"/>
  <c r="H19" i="18"/>
  <c r="Q11" i="63"/>
  <c r="R179" i="42"/>
  <c r="R178" i="42" s="1"/>
  <c r="Q283" i="42"/>
  <c r="Q282" i="42" s="1"/>
  <c r="Q281" i="42" s="1"/>
  <c r="D9" i="43"/>
  <c r="U7" i="42"/>
  <c r="U6" i="42" s="1"/>
  <c r="AB180" i="42"/>
  <c r="AB179" i="42" s="1"/>
  <c r="AB178" i="42" s="1"/>
  <c r="AB274" i="42" s="1"/>
  <c r="I302" i="42"/>
  <c r="R282" i="42"/>
  <c r="D8" i="43"/>
  <c r="U282" i="42"/>
  <c r="W128" i="42"/>
  <c r="W127" i="42" s="1"/>
  <c r="W6" i="42" s="1"/>
  <c r="W274" i="42" s="1"/>
  <c r="X293" i="42"/>
  <c r="Y59" i="42"/>
  <c r="Y7" i="42" s="1"/>
  <c r="Y6" i="42" s="1"/>
  <c r="Y274" i="42" s="1"/>
  <c r="I82" i="18"/>
  <c r="AC293" i="42"/>
  <c r="AD261" i="42"/>
  <c r="AD178" i="42" s="1"/>
  <c r="AD274" i="42" s="1"/>
  <c r="AD282" i="42"/>
  <c r="AE283" i="42"/>
  <c r="C119" i="43"/>
  <c r="C49" i="16" s="1"/>
  <c r="C51" i="16" s="1"/>
  <c r="G57" i="41" s="1"/>
  <c r="G56" i="41" s="1"/>
  <c r="AF128" i="42"/>
  <c r="AF127" i="42" s="1"/>
  <c r="AF6" i="42" s="1"/>
  <c r="AG335" i="42"/>
  <c r="I123" i="36" s="1"/>
  <c r="J43" i="36" s="1"/>
  <c r="AF329" i="42"/>
  <c r="AG284" i="42"/>
  <c r="AG283" i="42" s="1"/>
  <c r="AG282" i="42" s="1"/>
  <c r="AG281" i="42" s="1"/>
  <c r="AG372" i="42"/>
  <c r="AF371" i="42"/>
  <c r="AG371" i="42" s="1"/>
  <c r="AG59" i="42"/>
  <c r="AH180" i="42"/>
  <c r="AH179" i="42" s="1"/>
  <c r="AH178" i="42" s="1"/>
  <c r="AH274" i="42" s="1"/>
  <c r="K16" i="24"/>
  <c r="M29" i="18"/>
  <c r="M34" i="18" s="1"/>
  <c r="AH82" i="42"/>
  <c r="AH59" i="42" s="1"/>
  <c r="AH7" i="42" s="1"/>
  <c r="AH6" i="42" s="1"/>
  <c r="G33" i="35"/>
  <c r="AJ153" i="42"/>
  <c r="AJ127" i="42" s="1"/>
  <c r="AJ6" i="42" s="1"/>
  <c r="AJ274" i="42" s="1"/>
  <c r="AK6" i="42"/>
  <c r="AK274" i="42" s="1"/>
  <c r="AL6" i="42"/>
  <c r="AN179" i="42"/>
  <c r="AN178" i="42" s="1"/>
  <c r="AP180" i="42"/>
  <c r="AP179" i="42" s="1"/>
  <c r="AP178" i="42" s="1"/>
  <c r="AN82" i="42"/>
  <c r="AN59" i="42" s="1"/>
  <c r="AN7" i="42" s="1"/>
  <c r="AN6" i="42" s="1"/>
  <c r="AP329" i="42"/>
  <c r="AP292" i="42"/>
  <c r="AQ292" i="42" s="1"/>
  <c r="AP371" i="42"/>
  <c r="AQ371" i="42" s="1"/>
  <c r="G38" i="16" l="1"/>
  <c r="I52" i="31"/>
  <c r="G15" i="31" s="1"/>
  <c r="J24" i="34"/>
  <c r="F53" i="31"/>
  <c r="G52" i="31" s="1"/>
  <c r="E15" i="31" s="1"/>
  <c r="N40" i="38"/>
  <c r="F56" i="31"/>
  <c r="G56" i="31" s="1"/>
  <c r="E16" i="31" s="1"/>
  <c r="G12" i="16"/>
  <c r="K52" i="41" s="1"/>
  <c r="K51" i="41" s="1"/>
  <c r="K44" i="41"/>
  <c r="K46" i="41" s="1"/>
  <c r="K37" i="41"/>
  <c r="K41" i="41" s="1"/>
  <c r="P40" i="38"/>
  <c r="H56" i="31"/>
  <c r="I56" i="31" s="1"/>
  <c r="G16" i="31" s="1"/>
  <c r="Q274" i="42"/>
  <c r="C80" i="43"/>
  <c r="C85" i="43" s="1"/>
  <c r="C35" i="16" s="1"/>
  <c r="G42" i="16"/>
  <c r="AP127" i="42"/>
  <c r="C14" i="16"/>
  <c r="G39" i="41" s="1"/>
  <c r="G19" i="44"/>
  <c r="AP7" i="42"/>
  <c r="P127" i="42"/>
  <c r="P6" i="42" s="1"/>
  <c r="P274" i="42" s="1"/>
  <c r="F10" i="55"/>
  <c r="F12" i="55" s="1"/>
  <c r="J12" i="55" s="1"/>
  <c r="J10" i="55"/>
  <c r="G10" i="55" s="1"/>
  <c r="S274" i="42"/>
  <c r="AI311" i="42"/>
  <c r="AH302" i="42"/>
  <c r="AH404" i="42" s="1"/>
  <c r="Q302" i="42"/>
  <c r="U274" i="42"/>
  <c r="Q404" i="42"/>
  <c r="Q405" i="42" s="1"/>
  <c r="C10" i="43"/>
  <c r="C12" i="43" s="1"/>
  <c r="C10" i="16" s="1"/>
  <c r="AP153" i="42"/>
  <c r="E27" i="38"/>
  <c r="E40" i="38" s="1"/>
  <c r="AK281" i="42"/>
  <c r="AK404" i="42" s="1"/>
  <c r="AK405" i="42" s="1"/>
  <c r="AL179" i="42"/>
  <c r="AL178" i="42" s="1"/>
  <c r="AL274" i="42" s="1"/>
  <c r="AF303" i="42"/>
  <c r="G25" i="28"/>
  <c r="G37" i="28" s="1"/>
  <c r="AF178" i="42"/>
  <c r="AF274" i="42" s="1"/>
  <c r="R127" i="42"/>
  <c r="R6" i="42" s="1"/>
  <c r="R274" i="42" s="1"/>
  <c r="I410" i="42"/>
  <c r="I411" i="42" s="1"/>
  <c r="I178" i="42"/>
  <c r="I274" i="42" s="1"/>
  <c r="AN281" i="42"/>
  <c r="AN404" i="42" s="1"/>
  <c r="AN405" i="42" s="1"/>
  <c r="AC391" i="42"/>
  <c r="AB311" i="42"/>
  <c r="AA311" i="42"/>
  <c r="Z302" i="42"/>
  <c r="Q24" i="34"/>
  <c r="Q22" i="63"/>
  <c r="AP281" i="42"/>
  <c r="AN274" i="42"/>
  <c r="AE282" i="42"/>
  <c r="AD281" i="42"/>
  <c r="J302" i="42"/>
  <c r="I415" i="42"/>
  <c r="I416" i="42" s="1"/>
  <c r="I404" i="42"/>
  <c r="I405" i="42" s="1"/>
  <c r="H34" i="18"/>
  <c r="N19" i="18"/>
  <c r="K46" i="36"/>
  <c r="M404" i="42"/>
  <c r="M414" i="42"/>
  <c r="M416" i="42" s="1"/>
  <c r="AQ329" i="42"/>
  <c r="AP311" i="42"/>
  <c r="E29" i="35"/>
  <c r="E37" i="35" s="1"/>
  <c r="I37" i="35" s="1"/>
  <c r="N29" i="18"/>
  <c r="G29" i="35"/>
  <c r="G37" i="35" s="1"/>
  <c r="J37" i="35" s="1"/>
  <c r="I107" i="36"/>
  <c r="F126" i="36"/>
  <c r="AG329" i="42"/>
  <c r="AF311" i="42"/>
  <c r="I97" i="18"/>
  <c r="L97" i="18" s="1"/>
  <c r="L82" i="18"/>
  <c r="N82" i="18" s="1"/>
  <c r="N97" i="18" s="1"/>
  <c r="V282" i="42"/>
  <c r="U281" i="42"/>
  <c r="S282" i="42"/>
  <c r="R281" i="42"/>
  <c r="G51" i="16"/>
  <c r="G65" i="16" s="1"/>
  <c r="G67" i="16" s="1"/>
  <c r="K57" i="41"/>
  <c r="K56" i="41" s="1"/>
  <c r="E71" i="16"/>
  <c r="I31" i="41"/>
  <c r="G23" i="41"/>
  <c r="G26" i="41" s="1"/>
  <c r="AL302" i="42"/>
  <c r="AM311" i="42"/>
  <c r="N34" i="18" l="1"/>
  <c r="N42" i="38"/>
  <c r="K48" i="41"/>
  <c r="P42" i="38"/>
  <c r="G53" i="38"/>
  <c r="W40" i="38"/>
  <c r="C23" i="16"/>
  <c r="G35" i="41"/>
  <c r="G34" i="41" s="1"/>
  <c r="G37" i="41"/>
  <c r="C33" i="16"/>
  <c r="H61" i="31"/>
  <c r="I61" i="31" s="1"/>
  <c r="G17" i="31" s="1"/>
  <c r="AH405" i="42"/>
  <c r="AP6" i="42"/>
  <c r="AP274" i="42" s="1"/>
  <c r="Z404" i="42"/>
  <c r="AA302" i="42"/>
  <c r="AC311" i="42"/>
  <c r="AB302" i="42"/>
  <c r="V40" i="38"/>
  <c r="E42" i="38"/>
  <c r="E53" i="38"/>
  <c r="K66" i="41"/>
  <c r="G71" i="16"/>
  <c r="K28" i="41"/>
  <c r="K30" i="41" s="1"/>
  <c r="K31" i="41"/>
  <c r="AM302" i="42"/>
  <c r="AL404" i="42"/>
  <c r="AL405" i="42" s="1"/>
  <c r="AF302" i="42"/>
  <c r="AF404" i="42" s="1"/>
  <c r="AF405" i="42" s="1"/>
  <c r="AG311" i="42"/>
  <c r="AG302" i="42" s="1"/>
  <c r="J27" i="36"/>
  <c r="J46" i="36" s="1"/>
  <c r="I126" i="36"/>
  <c r="AQ281" i="42"/>
  <c r="R404" i="42"/>
  <c r="S281" i="42"/>
  <c r="V281" i="42"/>
  <c r="U404" i="42"/>
  <c r="F47" i="36"/>
  <c r="F131" i="36"/>
  <c r="F61" i="31"/>
  <c r="G61" i="31" s="1"/>
  <c r="E17" i="31" s="1"/>
  <c r="AQ311" i="42"/>
  <c r="AP302" i="42"/>
  <c r="AP404" i="42" s="1"/>
  <c r="AE281" i="42"/>
  <c r="AD404" i="42"/>
  <c r="AD405" i="42" s="1"/>
  <c r="Z405" i="42" l="1"/>
  <c r="AA405" i="42" s="1"/>
  <c r="AA404" i="42"/>
  <c r="G41" i="41"/>
  <c r="G48" i="41" s="1"/>
  <c r="G66" i="41" s="1"/>
  <c r="M66" i="41" s="1"/>
  <c r="AC302" i="42"/>
  <c r="AB404" i="42"/>
  <c r="AB405" i="42" s="1"/>
  <c r="C38" i="16"/>
  <c r="C42" i="16" s="1"/>
  <c r="C65" i="16" s="1"/>
  <c r="C67" i="16" s="1"/>
  <c r="AP409" i="42"/>
  <c r="D12" i="89"/>
  <c r="D23" i="89" s="1"/>
  <c r="AP405" i="42"/>
  <c r="K47" i="36"/>
  <c r="I47" i="36"/>
  <c r="U405" i="42"/>
  <c r="V405" i="42" s="1"/>
  <c r="V404" i="42"/>
  <c r="R34" i="18"/>
  <c r="S404" i="42"/>
  <c r="R405" i="42"/>
  <c r="S405" i="42" s="1"/>
  <c r="C71" i="16" l="1"/>
  <c r="G31" i="41"/>
  <c r="G28" i="41"/>
  <c r="G30" i="41" s="1"/>
  <c r="M30" i="41" s="1"/>
  <c r="D25" i="89"/>
  <c r="E44" i="89" l="1"/>
  <c r="E45" i="89" s="1"/>
  <c r="C44" i="89" s="1"/>
  <c r="D45" i="89" s="1"/>
  <c r="D40" i="89"/>
  <c r="D28" i="89"/>
  <c r="C38" i="8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42" authorId="0" shapeId="0" xr:uid="{00000000-0006-0000-2500-000001000000}">
      <text>
        <r>
          <rPr>
            <b/>
            <sz val="9"/>
            <color indexed="81"/>
            <rFont val="Tahoma"/>
            <family val="2"/>
          </rPr>
          <t xml:space="preserve">EL VEHICULO FUE VENDIDO SEGÚN EL SR. ALBERT.-
</t>
        </r>
      </text>
    </comment>
    <comment ref="G48" authorId="0" shapeId="0" xr:uid="{00000000-0006-0000-2500-000002000000}">
      <text>
        <r>
          <rPr>
            <b/>
            <sz val="9"/>
            <color indexed="81"/>
            <rFont val="Tahoma"/>
            <family val="2"/>
          </rPr>
          <t>TRAFICANTE SEGÚN EL SR. ALBERT. LA SRA. USA EL VEHICULO. EL MISMO SOLO POSEE UNA AUTORIZACION PARA MANEJAR.-</t>
        </r>
        <r>
          <rPr>
            <sz val="9"/>
            <color indexed="81"/>
            <rFont val="Tahoma"/>
            <family val="2"/>
          </rPr>
          <t xml:space="preserve">
</t>
        </r>
      </text>
    </comment>
  </commentList>
</comments>
</file>

<file path=xl/sharedStrings.xml><?xml version="1.0" encoding="utf-8"?>
<sst xmlns="http://schemas.openxmlformats.org/spreadsheetml/2006/main" count="18654" uniqueCount="4940">
  <si>
    <t>Gastos acumulados a pagar</t>
  </si>
  <si>
    <t>30.06.09</t>
  </si>
  <si>
    <t>INGRESO</t>
  </si>
  <si>
    <t>EGRESO</t>
  </si>
  <si>
    <t>RESULTADO</t>
  </si>
  <si>
    <t>Total Patrimonio Neto 30/06/2009</t>
  </si>
  <si>
    <t>Total Patrimonio Neto 30/06/2008</t>
  </si>
  <si>
    <t>AL 30/06/09</t>
  </si>
  <si>
    <t>Aplicación</t>
  </si>
  <si>
    <t>(-)</t>
  </si>
  <si>
    <t xml:space="preserve">Aumento </t>
  </si>
  <si>
    <t>Activo</t>
  </si>
  <si>
    <t>Disminucion</t>
  </si>
  <si>
    <t>Pasivo</t>
  </si>
  <si>
    <t>Calculos auxiliares para el cash flow</t>
  </si>
  <si>
    <t>Origen</t>
  </si>
  <si>
    <t>(+)</t>
  </si>
  <si>
    <t>----------------------</t>
  </si>
  <si>
    <t>1)</t>
  </si>
  <si>
    <t>Ventas netas (cobro neto):</t>
  </si>
  <si>
    <t>Clientes saldo inicial</t>
  </si>
  <si>
    <t>+ Ventas totales</t>
  </si>
  <si>
    <t>- Clientes saldo final</t>
  </si>
  <si>
    <t>------------------------</t>
  </si>
  <si>
    <t>============</t>
  </si>
  <si>
    <t>La actividad es de origen de fondos.</t>
  </si>
  <si>
    <t>2)</t>
  </si>
  <si>
    <t>Costo de ventas (pago neto):</t>
  </si>
  <si>
    <t>Existencias saldo final</t>
  </si>
  <si>
    <t xml:space="preserve">+ Costo de ventas </t>
  </si>
  <si>
    <t>- Existencias saldo inicial</t>
  </si>
  <si>
    <t>-------------------------</t>
  </si>
  <si>
    <t>Compras totales del periodo</t>
  </si>
  <si>
    <t>Proveedores saldo inicial</t>
  </si>
  <si>
    <t>+ Compras del periodo</t>
  </si>
  <si>
    <t>- Proveedores saldo final</t>
  </si>
  <si>
    <t>Pago neto a los proveedores</t>
  </si>
  <si>
    <t>3)</t>
  </si>
  <si>
    <t>Pago neto a empleados:</t>
  </si>
  <si>
    <t>Provisiones de S.y J. Saldo inicial</t>
  </si>
  <si>
    <t xml:space="preserve">+ Sueldos y Jornales </t>
  </si>
  <si>
    <t>- Provisiones de S.yJ. Saldo final</t>
  </si>
  <si>
    <t>Pago neto a empleados</t>
  </si>
  <si>
    <t>Impuesto al Valor Agregado:</t>
  </si>
  <si>
    <t>IVA a pagar saldo final</t>
  </si>
  <si>
    <t>- IVA crédito fiscal saldo final</t>
  </si>
  <si>
    <t>- IVA a pagar saldo inicial</t>
  </si>
  <si>
    <t>+ IVA crédito fiscal saldo inicial</t>
  </si>
  <si>
    <t>Aumento del crédito fiscal</t>
  </si>
  <si>
    <t>Ingresos varios:</t>
  </si>
  <si>
    <t>Saldo en el cuadro de resultados</t>
  </si>
  <si>
    <t>Indica un origen de fondos.</t>
  </si>
  <si>
    <t>7)</t>
  </si>
  <si>
    <t>Pago a proveedores (de otros bienes y servicios):</t>
  </si>
  <si>
    <t xml:space="preserve">Pago neto a proveedores </t>
  </si>
  <si>
    <t>Indica una aplicación de fondos.</t>
  </si>
  <si>
    <t>8)</t>
  </si>
  <si>
    <t>Impuesto a la renta:</t>
  </si>
  <si>
    <t>Pago neto del Impuesto</t>
  </si>
  <si>
    <t>9)</t>
  </si>
  <si>
    <t>Participaciones en terceras compañias:</t>
  </si>
  <si>
    <t>Saldo final</t>
  </si>
  <si>
    <t>- saldo inicial</t>
  </si>
  <si>
    <t>10)</t>
  </si>
  <si>
    <t>Inversiones Temporarias:</t>
  </si>
  <si>
    <t>11)</t>
  </si>
  <si>
    <t>Compra de propiedad, planta y equipo:</t>
  </si>
  <si>
    <t>12)</t>
  </si>
  <si>
    <t>Aportes de capital:</t>
  </si>
  <si>
    <t>Saldo final de capital :</t>
  </si>
  <si>
    <t>Saldo inicial de capital :</t>
  </si>
  <si>
    <t>-----------------------</t>
  </si>
  <si>
    <t>= Capitalización :</t>
  </si>
  <si>
    <t>13)</t>
  </si>
  <si>
    <t>Préstamos a largo plazo:</t>
  </si>
  <si>
    <t>Saldo final de préstamos a largo plazo :</t>
  </si>
  <si>
    <t>Saldo inicial de préstamos a largo plazo :</t>
  </si>
  <si>
    <t>= Contratación de nuevos capitales :</t>
  </si>
  <si>
    <t>14)</t>
  </si>
  <si>
    <t>Intereses pagados:</t>
  </si>
  <si>
    <t>Pago de intereses</t>
  </si>
  <si>
    <t>15)</t>
  </si>
  <si>
    <t>Pago de dividendos:</t>
  </si>
  <si>
    <t>Pago de dividendos</t>
  </si>
  <si>
    <t>=============</t>
  </si>
  <si>
    <t>16)</t>
  </si>
  <si>
    <t>Diferencia de cambio</t>
  </si>
  <si>
    <t>17)</t>
  </si>
  <si>
    <t>Prevision para incobrables</t>
  </si>
  <si>
    <t xml:space="preserve">Incremento en las previsiones </t>
  </si>
  <si>
    <t>20)</t>
  </si>
  <si>
    <t>Incremento en Tarjeta de Crédito:</t>
  </si>
  <si>
    <t>Saldo final :</t>
  </si>
  <si>
    <t>Saldo inicial :</t>
  </si>
  <si>
    <t xml:space="preserve">= Aumento del activo </t>
  </si>
  <si>
    <t>Indica una Aplicación.</t>
  </si>
  <si>
    <t>21)</t>
  </si>
  <si>
    <t xml:space="preserve">= Cobros del periodo </t>
  </si>
  <si>
    <t>Disminución del activo - Indica un origen.</t>
  </si>
  <si>
    <t>23)</t>
  </si>
  <si>
    <t>= Aumento del activo :</t>
  </si>
  <si>
    <t>Impuesto al valor agregado</t>
  </si>
  <si>
    <t>Otros Ingresos del Cuadro de Resultado</t>
  </si>
  <si>
    <t>Activo Intangible</t>
  </si>
  <si>
    <t>Pérdida en Vta. Activo Fijo</t>
  </si>
  <si>
    <t>Prevision para Incobrables</t>
  </si>
  <si>
    <t>30.06.2009</t>
  </si>
  <si>
    <t>clientes periodo anterior</t>
  </si>
  <si>
    <t>ventas netas</t>
  </si>
  <si>
    <t>clientes periodo actual</t>
  </si>
  <si>
    <t>activo</t>
  </si>
  <si>
    <t>mercaderias periodo anterior</t>
  </si>
  <si>
    <t>costo de ventas</t>
  </si>
  <si>
    <t>mercaderias periodo actual</t>
  </si>
  <si>
    <t>proveedores periodo anterior</t>
  </si>
  <si>
    <t>proveedores periodo actual</t>
  </si>
  <si>
    <t>aportes y retenciones a pagar</t>
  </si>
  <si>
    <t>pasivo</t>
  </si>
  <si>
    <t>aportes y retenciones a pagar periodo anterior</t>
  </si>
  <si>
    <t>sueldos,ips,aguinaldo,indemnizacion</t>
  </si>
  <si>
    <t>- Retencion IVA SF</t>
  </si>
  <si>
    <t>+ Retencion IVA SI</t>
  </si>
  <si>
    <t>Gastos Operacionales</t>
  </si>
  <si>
    <t>Gastos de Ventas</t>
  </si>
  <si>
    <t xml:space="preserve">Gastos Administrativos </t>
  </si>
  <si>
    <t>+ Acreedores Varios SI</t>
  </si>
  <si>
    <t>- Acreedores Varios SF</t>
  </si>
  <si>
    <t>+ Provisión Impuesto a la Renta SI</t>
  </si>
  <si>
    <t>- Provisión Impuesto a la Renta SF</t>
  </si>
  <si>
    <t>- Ret.Rta. SI</t>
  </si>
  <si>
    <t>+ Ret.Rta. SF</t>
  </si>
  <si>
    <t>- Anticipo Impuesto a la Renta SI</t>
  </si>
  <si>
    <t>+ Anticipo Impuesto a la Renta SF</t>
  </si>
  <si>
    <t>Bienes de Uso saldo final</t>
  </si>
  <si>
    <t>- Revalúo del Ejercicio</t>
  </si>
  <si>
    <t>+ Depreciaciones del Ejercicio</t>
  </si>
  <si>
    <t>- Bienes de Uso saldo inicial</t>
  </si>
  <si>
    <t xml:space="preserve">Saldo inicial de intereses a pagar : </t>
  </si>
  <si>
    <t>+ Gastos financieros del periodo :</t>
  </si>
  <si>
    <t>- Saldo final de intereses a pagar :</t>
  </si>
  <si>
    <t>4.1)</t>
  </si>
  <si>
    <t>4.2)</t>
  </si>
  <si>
    <t>Resultado Acumulado Saldo Final</t>
  </si>
  <si>
    <t>Resultado del Ejercicio Saldo Final</t>
  </si>
  <si>
    <t>Reserva Estatutaria Saldo Final</t>
  </si>
  <si>
    <t>Reserva Legal Saldo Final</t>
  </si>
  <si>
    <t>Dividendos a Pagar Saldo Final</t>
  </si>
  <si>
    <t xml:space="preserve"> - Resultado del Ejercicio</t>
  </si>
  <si>
    <t>-  Resultado del Ejercicio Saldo inicial</t>
  </si>
  <si>
    <t xml:space="preserve"> - Resultado Acumulado Saldo Inicial</t>
  </si>
  <si>
    <t xml:space="preserve"> - Reserva Estatutaria Saldo Inicial</t>
  </si>
  <si>
    <t xml:space="preserve"> - Reserva Legal Saldo Inicial</t>
  </si>
  <si>
    <t xml:space="preserve"> - Dividendos a Pagar Saldo Inicial</t>
  </si>
  <si>
    <t>Otros deudores varios</t>
  </si>
  <si>
    <t>Saldo Inicial :</t>
  </si>
  <si>
    <t xml:space="preserve"> - Saldo final :</t>
  </si>
  <si>
    <t>a</t>
  </si>
  <si>
    <t>Anticipos a proveedores</t>
  </si>
  <si>
    <t>Indica una aplicación.</t>
  </si>
  <si>
    <t>4)</t>
  </si>
  <si>
    <t>Efectivo generado (usado) por otras actividades:</t>
  </si>
  <si>
    <t>Amort. Act. Intangible</t>
  </si>
  <si>
    <t>Act. Intang. SI</t>
  </si>
  <si>
    <t>- Act. Intang. SF</t>
  </si>
  <si>
    <t>No se tienen actividades de éste ítem.</t>
  </si>
  <si>
    <t>Fondos con destino especial:</t>
  </si>
  <si>
    <t xml:space="preserve">Reserva Legal  </t>
  </si>
  <si>
    <t>Diferencia del cambio del periodo:</t>
  </si>
  <si>
    <t xml:space="preserve">Cuentas de Sueldos y Jornales: G. </t>
  </si>
  <si>
    <t>ACTIVOS</t>
  </si>
  <si>
    <t>PATRIMONIO NETO</t>
  </si>
  <si>
    <t>Costo de Ventas (pago neto)</t>
  </si>
  <si>
    <t>Pago a Proveedores</t>
  </si>
  <si>
    <t>Efectivo pagado a empleados</t>
  </si>
  <si>
    <t>Efectivo generado (usado) por otras actividades</t>
  </si>
  <si>
    <t>Aumento (disminución) en pasivos operativos</t>
  </si>
  <si>
    <t>Impuesto a la Renta</t>
  </si>
  <si>
    <t>Inversiones en otras empresas</t>
  </si>
  <si>
    <t>Fondos con destino especial</t>
  </si>
  <si>
    <t>Compra de propiedad, planta y equipo</t>
  </si>
  <si>
    <t>Efectivo Neto por (o usado) en actividades de inversión</t>
  </si>
  <si>
    <t>Dividendos pagados</t>
  </si>
  <si>
    <t>Efectivo y su equivalente al comienzo del periodo</t>
  </si>
  <si>
    <t>Documentos a Cobrar</t>
  </si>
  <si>
    <t>Activos Intangibles</t>
  </si>
  <si>
    <t>PASIVOS</t>
  </si>
  <si>
    <t>ACTIVO CORRIENTE</t>
  </si>
  <si>
    <t>PASIVO CORRIENTE</t>
  </si>
  <si>
    <t>ACTIVO NO CORRIENTE</t>
  </si>
  <si>
    <t>PASIVO NO CORRIENTE</t>
  </si>
  <si>
    <t xml:space="preserve">ESTADO DE RESULTADOS </t>
  </si>
  <si>
    <t xml:space="preserve">       Resultado de Inversiones Permanentes</t>
  </si>
  <si>
    <t xml:space="preserve">       Ingresos Varios</t>
  </si>
  <si>
    <t>WISDON PRODUCT S.A.</t>
  </si>
  <si>
    <t>ESTADO DE ORIGEN Y APLICACIÓN DE FONDOS</t>
  </si>
  <si>
    <t>Cuentas</t>
  </si>
  <si>
    <t>VALORES DE ORIGEN</t>
  </si>
  <si>
    <t>Al Inicio del Periodo</t>
  </si>
  <si>
    <t>Altas y Trasf. Del Periodo</t>
  </si>
  <si>
    <t>Bajas del Periodo</t>
  </si>
  <si>
    <t>Revalúo del Periodo</t>
  </si>
  <si>
    <t>Al Cierre del Periodo</t>
  </si>
  <si>
    <t>Acumuladas al inicio del Periodo</t>
  </si>
  <si>
    <t>%</t>
  </si>
  <si>
    <t>Altas del Periodo</t>
  </si>
  <si>
    <t>Acumuladas al cierre del periodo</t>
  </si>
  <si>
    <t>Neto Resultante</t>
  </si>
  <si>
    <t>AMORTIZACIONES</t>
  </si>
  <si>
    <t xml:space="preserve">CUENTAS </t>
  </si>
  <si>
    <t>Saldo a inicio del ejercicio</t>
  </si>
  <si>
    <t>Capital Social</t>
  </si>
  <si>
    <t>Primas de Emisión</t>
  </si>
  <si>
    <t>Aportes No Capitalz.</t>
  </si>
  <si>
    <t>Revalúos</t>
  </si>
  <si>
    <t>Total</t>
  </si>
  <si>
    <t>Ganancias Reservadas</t>
  </si>
  <si>
    <t>Reserva Legal</t>
  </si>
  <si>
    <t>Otras Reservas</t>
  </si>
  <si>
    <t>Resultados No Asignados</t>
  </si>
  <si>
    <t>Según Estados Contables del Ejercicio Anterior</t>
  </si>
  <si>
    <t>Saldos Ajustados</t>
  </si>
  <si>
    <t>Clase Votos Valor Nominal</t>
  </si>
  <si>
    <t>Capitalización de Revalúo</t>
  </si>
  <si>
    <t>Capitalización de Compromisos de Aportes</t>
  </si>
  <si>
    <t>Distribución de Resultados Acumulados</t>
  </si>
  <si>
    <t>Dividendos en Efectivo</t>
  </si>
  <si>
    <t>Revalúo</t>
  </si>
  <si>
    <t>Desafectación de Reservas</t>
  </si>
  <si>
    <t>Aportes Irrevocables</t>
  </si>
  <si>
    <t>Ganancia (Pérdida) del Ejercicio según el Estado de Resultados</t>
  </si>
  <si>
    <t>Saldo al Cierre del Ejercicio</t>
  </si>
  <si>
    <t xml:space="preserve">EVOLUCION DEL PATRIMONIO NETO </t>
  </si>
  <si>
    <t xml:space="preserve">Flujo de efectivo por las actividades operativas </t>
  </si>
  <si>
    <t>Ventas Netas (cobro neto)</t>
  </si>
  <si>
    <t xml:space="preserve">Total de efectivo de las actividades operativas antes  </t>
  </si>
  <si>
    <t xml:space="preserve">De cambios en los activos de operaciones </t>
  </si>
  <si>
    <t xml:space="preserve">(Aumento) disminución en los activos de operación </t>
  </si>
  <si>
    <t>Fondos colocados a corto plazo</t>
  </si>
  <si>
    <t>Fondos anticipados a proveedores</t>
  </si>
  <si>
    <t>Incremento neto a cobrar por Tarjeta de Crédito</t>
  </si>
  <si>
    <t>Pagos a Proveedores</t>
  </si>
  <si>
    <t>Efectivo Neto de actividades de operación antes de</t>
  </si>
  <si>
    <t>Impuestos</t>
  </si>
  <si>
    <t xml:space="preserve">Efectivo Neto de actividades de operación </t>
  </si>
  <si>
    <t>Flujo de efectivo por las actividades inversión</t>
  </si>
  <si>
    <t>Inversiones temporarias</t>
  </si>
  <si>
    <t>Flujo de efectivo por actividades de financiamiento</t>
  </si>
  <si>
    <t>Aportes de capital</t>
  </si>
  <si>
    <t>Préstamos a largo plazo</t>
  </si>
  <si>
    <t>Intereses pagados</t>
  </si>
  <si>
    <t>Efectivo Neto en actividades financieras</t>
  </si>
  <si>
    <t>Efectos de las ganancias o pérdidas de cambio en el efectivo</t>
  </si>
  <si>
    <t>y sus equivalentes</t>
  </si>
  <si>
    <t>Aumento (ó disminución) neto de efectivos y sus equivalentes</t>
  </si>
  <si>
    <t>Efectivo y su equivalente al final del periodo</t>
  </si>
  <si>
    <t>Instalaciones</t>
  </si>
  <si>
    <t>Rodados</t>
  </si>
  <si>
    <t>TOTAL</t>
  </si>
  <si>
    <t xml:space="preserve">INVERSIONES, ACCIONES, DEBENTURES Y OTROS TITULOS EMITIDOS EN SERIE </t>
  </si>
  <si>
    <t>Denominación y Características de los Valores Emisor</t>
  </si>
  <si>
    <t>Clase</t>
  </si>
  <si>
    <t>Valor Nominal Unitario</t>
  </si>
  <si>
    <t>Cantidad</t>
  </si>
  <si>
    <t>Valor Nominal Total</t>
  </si>
  <si>
    <t>Valor Patrim. Proporc.</t>
  </si>
  <si>
    <t>Valor de Libros</t>
  </si>
  <si>
    <t>Valor de Cotización</t>
  </si>
  <si>
    <t>Información sobre el Emisor</t>
  </si>
  <si>
    <t>% de Cotización</t>
  </si>
  <si>
    <t>Actividad Principal</t>
  </si>
  <si>
    <t>Capital</t>
  </si>
  <si>
    <t>Según Ultimo Balance</t>
  </si>
  <si>
    <t>Resultado</t>
  </si>
  <si>
    <t>Patr. Neto</t>
  </si>
  <si>
    <t>Totales Ejercicio Actual</t>
  </si>
  <si>
    <t>Totales Ejercicio Anterior</t>
  </si>
  <si>
    <t>Inversiones Permanentes (Detallar)</t>
  </si>
  <si>
    <t>CUENTAS</t>
  </si>
  <si>
    <t>Valor de Costo</t>
  </si>
  <si>
    <t>Amortizac.</t>
  </si>
  <si>
    <t>Valor de Cotizac.</t>
  </si>
  <si>
    <t>Sub Total</t>
  </si>
  <si>
    <t>Totales Ejercicio</t>
  </si>
  <si>
    <t>OTRAS INVERSIONES</t>
  </si>
  <si>
    <t>PREVISIONES</t>
  </si>
  <si>
    <t>Deducidas del Activo</t>
  </si>
  <si>
    <t>RUBROS</t>
  </si>
  <si>
    <t>Saldos al Inicio del Ejercicio</t>
  </si>
  <si>
    <t>Disminución (*)</t>
  </si>
  <si>
    <t>Saldos al Cierre del Ejercicio</t>
  </si>
  <si>
    <t>Saldos al Cierre del Ejercicio Anterior</t>
  </si>
  <si>
    <t>Incluidas del Pasivo</t>
  </si>
  <si>
    <t>PARTICIPACION EN OTRAS SOCIEDADES</t>
  </si>
  <si>
    <t>ANEXO A</t>
  </si>
  <si>
    <t>ANEXO B</t>
  </si>
  <si>
    <t>ANEXO C</t>
  </si>
  <si>
    <t>ANEXO D</t>
  </si>
  <si>
    <t>ANEXO E</t>
  </si>
  <si>
    <t>ACTIVOS CORRIENTES</t>
  </si>
  <si>
    <t>DETALLE</t>
  </si>
  <si>
    <t>Monto</t>
  </si>
  <si>
    <t>Cambio Vigente</t>
  </si>
  <si>
    <t>Moneda Local</t>
  </si>
  <si>
    <t>Monto Ejerc. Act.</t>
  </si>
  <si>
    <t>ACTIVO</t>
  </si>
  <si>
    <t>SUBTOTALES</t>
  </si>
  <si>
    <t>ACTIVOS NO CORRIENTES</t>
  </si>
  <si>
    <t>TOTALES</t>
  </si>
  <si>
    <t>PASIVOS CORRIENTES</t>
  </si>
  <si>
    <t>PASIVOS NO CORRIENTES</t>
  </si>
  <si>
    <t>ANEXO H</t>
  </si>
  <si>
    <t>INFORMACION REQUERIDA SOBRE COSTOS Y GASTOS</t>
  </si>
  <si>
    <t>Costo de Bienes de Cambio</t>
  </si>
  <si>
    <t>Ejercicio Actual</t>
  </si>
  <si>
    <t>Ejercicio Anterior</t>
  </si>
  <si>
    <t>Remuneraciones de Adiministradores, directores, síndicos y consejo de vigilancia</t>
  </si>
  <si>
    <t>Honorarios y Remuneraciones por Servicios</t>
  </si>
  <si>
    <t>Sueldos y Jornales</t>
  </si>
  <si>
    <t>Contribuciones Sociales</t>
  </si>
  <si>
    <t>Gastos de Publicidad y Propaganda</t>
  </si>
  <si>
    <t>Intereses a bancos e instituciones financieras</t>
  </si>
  <si>
    <t>Amortización de Bienes de Uso</t>
  </si>
  <si>
    <t>Amortización de Activos Intangibles</t>
  </si>
  <si>
    <t>Previsiones</t>
  </si>
  <si>
    <t>ANEXO F</t>
  </si>
  <si>
    <t xml:space="preserve">Existencias al Comienzo del Período </t>
  </si>
  <si>
    <t>Mercaderías de reventa</t>
  </si>
  <si>
    <t>Productos Terminados</t>
  </si>
  <si>
    <t>Productos en Proceso</t>
  </si>
  <si>
    <t>Materias primas y materiales</t>
  </si>
  <si>
    <t>Otros</t>
  </si>
  <si>
    <t>I. COSTO DE MERCADERIAS O PRODUCTOS VENDIDOS</t>
  </si>
  <si>
    <t>Compras y Costos de Producción del Ejercicio</t>
  </si>
  <si>
    <t>a) Compras</t>
  </si>
  <si>
    <t>Existencia al cierre del Ejercicio</t>
  </si>
  <si>
    <t>II. COSTO DE SERVICIOS PRESTADOS</t>
  </si>
  <si>
    <t>COSTO DE MERCADERIAS O PRODUCTOS VENDIDOS Y SERVICIOS PRESTADOS</t>
  </si>
  <si>
    <t>IRACIS</t>
  </si>
  <si>
    <t xml:space="preserve">    TOTAL PATRIMONIO NETO</t>
  </si>
  <si>
    <t>b) Costos de producción según (Anexo H)</t>
  </si>
  <si>
    <t>ANEXO   I</t>
  </si>
  <si>
    <t>INDICADORES OPERATIVOS</t>
  </si>
  <si>
    <t>Acumulado al Fin del Período</t>
  </si>
  <si>
    <t>Volumen de ventas</t>
  </si>
  <si>
    <t>Cantidad de Empleados</t>
  </si>
  <si>
    <t>Consumo de Energía</t>
  </si>
  <si>
    <t>Cantidad Sucursales</t>
  </si>
  <si>
    <t>Creditos por ventas</t>
  </si>
  <si>
    <t>Clientes activos  (unid.)</t>
  </si>
  <si>
    <t>Operaciones realizadas (Unid.)</t>
  </si>
  <si>
    <t>Inventarios</t>
  </si>
  <si>
    <t>ANEXO   J</t>
  </si>
  <si>
    <t>INDICES ECONÓMICO - FINANCIEROS</t>
  </si>
  <si>
    <t>INDICES</t>
  </si>
  <si>
    <t>Liquidez</t>
  </si>
  <si>
    <t>Endeudamiento</t>
  </si>
  <si>
    <t>Rentabilidad</t>
  </si>
  <si>
    <t>Adelanto a Proveedores</t>
  </si>
  <si>
    <t>comparativa con el mismo periodo del ejercicio anterior.</t>
  </si>
  <si>
    <t>Wisdom Product S.A.</t>
  </si>
  <si>
    <t>Domicilio Legal:</t>
  </si>
  <si>
    <r>
      <t>Dirección:</t>
    </r>
    <r>
      <rPr>
        <sz val="11"/>
        <rFont val="Cambria"/>
        <family val="1"/>
      </rPr>
      <t xml:space="preserve"> Avda. Eusebio Ayala 4380 c/ De la Victoria</t>
    </r>
  </si>
  <si>
    <r>
      <t>Telefax:</t>
    </r>
    <r>
      <rPr>
        <sz val="11"/>
        <rFont val="Cambria"/>
        <family val="1"/>
      </rPr>
      <t xml:space="preserve"> (595-21) 503-000</t>
    </r>
  </si>
  <si>
    <t>Asunción - Paraguay</t>
  </si>
  <si>
    <t>Avda. Eusebio Ayala N° 4380 c/ De la Victoria</t>
  </si>
  <si>
    <t>Actividad Principal:</t>
  </si>
  <si>
    <t>La realización en general de negocios mercantiles, industriales, inmobiliarios, financieros</t>
  </si>
  <si>
    <t>y de cualquier otro tipo o naturaleza, la importación, exportación y distribución de bienes.</t>
  </si>
  <si>
    <t>Actualmente se dedica a la compra y venta de artículos de electrónica y mobiliarios.</t>
  </si>
  <si>
    <t>Inscripción en el Registro Público de Comercio bajo el N° de ----------------</t>
  </si>
  <si>
    <t xml:space="preserve">constituida por Escritura Pública Nº 62 de fecha 19 de mayo de 2003, pasada ante el Escribano Público, Sra. </t>
  </si>
  <si>
    <t>Amada Beatriz Núñez Duarte.</t>
  </si>
  <si>
    <t xml:space="preserve">Inscripción en la Comisión Nacional de Valores: </t>
  </si>
  <si>
    <t>Fecha de Vencimiento del estatuto o contrato social:</t>
  </si>
  <si>
    <t>Composición del Capital:</t>
  </si>
  <si>
    <t>Acciones</t>
  </si>
  <si>
    <t>Tipo</t>
  </si>
  <si>
    <t>N° de Votos</t>
  </si>
  <si>
    <t>que otorga c/u</t>
  </si>
  <si>
    <t>Suscripto</t>
  </si>
  <si>
    <t>G.</t>
  </si>
  <si>
    <t xml:space="preserve">Integrado </t>
  </si>
  <si>
    <t>Por el ejercicio anual N°------ iniciado el 01 de enero de 2010 al 31 de diciembre de 2010, y presentado en forma</t>
  </si>
  <si>
    <t xml:space="preserve">       Total del Activo Corriente</t>
  </si>
  <si>
    <t xml:space="preserve">    Total del Activo</t>
  </si>
  <si>
    <t xml:space="preserve">    Total del Pasivo Corriente</t>
  </si>
  <si>
    <t xml:space="preserve">    Total del Pasivo no Corriente</t>
  </si>
  <si>
    <t>(En miles de guaraníes)</t>
  </si>
  <si>
    <t>Total del Pasivo</t>
  </si>
  <si>
    <t xml:space="preserve">    Total del Pasivo y Patrimonio Neto</t>
  </si>
  <si>
    <t>DEUDORAS</t>
  </si>
  <si>
    <t>ACREEDORAS</t>
  </si>
  <si>
    <r>
      <t>Denominación:</t>
    </r>
    <r>
      <rPr>
        <sz val="10"/>
        <rFont val="Times New Roman"/>
        <family val="1"/>
      </rPr>
      <t xml:space="preserve"> </t>
    </r>
  </si>
  <si>
    <t xml:space="preserve">       Las notas y los anexos que se acompañan son parte integrante de los estados contables</t>
  </si>
  <si>
    <t xml:space="preserve">       Gastos de comercialización (Anexo H)</t>
  </si>
  <si>
    <t xml:space="preserve">       Ventas Netas</t>
  </si>
  <si>
    <t xml:space="preserve">       Costo de mercaderías vendidas (Anexo F)</t>
  </si>
  <si>
    <t xml:space="preserve">       Gastos de administración (Anexo H)</t>
  </si>
  <si>
    <t>--------------------------------------</t>
  </si>
  <si>
    <t xml:space="preserve">      Contador</t>
  </si>
  <si>
    <t>-------------------------------------------</t>
  </si>
  <si>
    <t xml:space="preserve">   Representante Legal</t>
  </si>
  <si>
    <t>Contador</t>
  </si>
  <si>
    <t>Representante Legal</t>
  </si>
  <si>
    <t>----------------------------------</t>
  </si>
  <si>
    <t xml:space="preserve">ESTADO DE EVOLUCION DEL PATRIMONIO NETO </t>
  </si>
  <si>
    <t xml:space="preserve">Total Patrimonio Neto </t>
  </si>
  <si>
    <t xml:space="preserve">Ejercicio finalizado el </t>
  </si>
  <si>
    <t>*Según Estados Contables del Ejercicio Anterior</t>
  </si>
  <si>
    <t>*Ajustes del saldo (Nota)</t>
  </si>
  <si>
    <t>*Saldos ajustados</t>
  </si>
  <si>
    <t>---------------------------</t>
  </si>
  <si>
    <t>*Dividendos en Efectivo</t>
  </si>
  <si>
    <t>Bancos</t>
  </si>
  <si>
    <t>Deudores Varios</t>
  </si>
  <si>
    <t>Proveedores</t>
  </si>
  <si>
    <t>ACTIVOS INTANGIBLES</t>
  </si>
  <si>
    <t>Aportes No Capitaliz.</t>
  </si>
  <si>
    <t xml:space="preserve">          Contador</t>
  </si>
  <si>
    <t>Total ejercicio actual</t>
  </si>
  <si>
    <t>Total ejercicio anterior</t>
  </si>
  <si>
    <t>Totales ejercicio actual</t>
  </si>
  <si>
    <t>Totales ejercicio anterior</t>
  </si>
  <si>
    <t>Aumentos</t>
  </si>
  <si>
    <t>Disminución</t>
  </si>
  <si>
    <t>Del Período</t>
  </si>
  <si>
    <t>Bajas</t>
  </si>
  <si>
    <t>Aumentos     (*)</t>
  </si>
  <si>
    <t>COSTO DE MERCADERIAS O PRODUCTOS VENDIDOS O SERVICIOS PRESTADOS</t>
  </si>
  <si>
    <t>Activo Corriente</t>
  </si>
  <si>
    <t>Pasivo Corriente</t>
  </si>
  <si>
    <t>Pat. Neto</t>
  </si>
  <si>
    <t>Resultado antes del</t>
  </si>
  <si>
    <t>Pat. Neto menos Res. Del Ej.</t>
  </si>
  <si>
    <t xml:space="preserve"> </t>
  </si>
  <si>
    <t>DATOS ESTADÍSTICOS EN MILES</t>
  </si>
  <si>
    <t>ACTIVOS Y PASIVOS EN MONEDA EXTRANJERA</t>
  </si>
  <si>
    <t>ALTERNATIVA A: Estado de Origen y Aplicación de Fondos</t>
  </si>
  <si>
    <t xml:space="preserve">   Ejercicio Finalizado el</t>
  </si>
  <si>
    <t>VARIACION DE FONDOS</t>
  </si>
  <si>
    <t>Fondos al inicio del ejercicio</t>
  </si>
  <si>
    <t>Ajustes de ejercicios anteriores</t>
  </si>
  <si>
    <t>Fondos ajustados al inicio del ejercicio</t>
  </si>
  <si>
    <t>Aumento (Disminución) de fondos</t>
  </si>
  <si>
    <t>Fondos al cierre del ejercicio</t>
  </si>
  <si>
    <t>CAUSAS DE VARIACION DE LOS FONDOS</t>
  </si>
  <si>
    <t>Ventas Cobradas</t>
  </si>
  <si>
    <t>Fondos originados (aplicados) en operaciones ordinarias</t>
  </si>
  <si>
    <t>Integración acciones</t>
  </si>
  <si>
    <t>Nuevas deudas largo plazo</t>
  </si>
  <si>
    <t>Nuevas deudas a corto plazo</t>
  </si>
  <si>
    <t>Otras causas de orígenes de fondos</t>
  </si>
  <si>
    <t>Total de orígenes de fondos</t>
  </si>
  <si>
    <t>Pago de deudas a corto plazo</t>
  </si>
  <si>
    <t>Pago anticipado de deudas a largo plazo</t>
  </si>
  <si>
    <t>Retiros de socios</t>
  </si>
  <si>
    <t>Compras de inversiones permanentes</t>
  </si>
  <si>
    <t>Otras causas de aplicaciones de fondos</t>
  </si>
  <si>
    <t>Aumento(disminución) de fondos</t>
  </si>
  <si>
    <t>resultado</t>
  </si>
  <si>
    <t>METODO INDIRECTO</t>
  </si>
  <si>
    <t>---------------------------------------------------------------------------------</t>
  </si>
  <si>
    <t>Cobro neto de las ventas</t>
  </si>
  <si>
    <t>Moneda Extranjera</t>
  </si>
  <si>
    <t>Dólar</t>
  </si>
  <si>
    <t>Monto Ejerc. Ant.</t>
  </si>
  <si>
    <t>( En miles de guaraníes)</t>
  </si>
  <si>
    <t>RUBRO</t>
  </si>
  <si>
    <t>CUENTA</t>
  </si>
  <si>
    <t>SUB-CTA</t>
  </si>
  <si>
    <t>NOMBRE</t>
  </si>
  <si>
    <t>PASIVO</t>
  </si>
  <si>
    <t>EGRESOS</t>
  </si>
  <si>
    <t>30.06.11</t>
  </si>
  <si>
    <t xml:space="preserve">            Caja Efectivo Asunción Gs.</t>
  </si>
  <si>
    <t xml:space="preserve">            Caja Efectivo Asunciòn US$</t>
  </si>
  <si>
    <t xml:space="preserve">            Caja Efectivo Filadelfia Gs.</t>
  </si>
  <si>
    <t xml:space="preserve">            Caja Efectivo Filadelfia US$</t>
  </si>
  <si>
    <t xml:space="preserve">            Caja Efectivo Loma Plata Gs.</t>
  </si>
  <si>
    <t xml:space="preserve">            Cooperativa Fernheim Cta.Cte.</t>
  </si>
  <si>
    <t xml:space="preserve">            Cooperativa Chortitzer Komitee Cta.Cte.</t>
  </si>
  <si>
    <t xml:space="preserve">            Cooperativa Fernheim Taller</t>
  </si>
  <si>
    <t xml:space="preserve">            Caja Efectivo Loma Plata U$</t>
  </si>
  <si>
    <t xml:space="preserve">            Cooperativa Neuland Cta. Cte.</t>
  </si>
  <si>
    <t xml:space="preserve">            Caja Autofacturas Gs.</t>
  </si>
  <si>
    <t xml:space="preserve">            Caja Autofacturas U$</t>
  </si>
  <si>
    <t xml:space="preserve">            Caja Efectivo Taller Asu Gs.</t>
  </si>
  <si>
    <t xml:space="preserve">            Recaudaciones a Depositar</t>
  </si>
  <si>
    <t xml:space="preserve">            BBVA Banco Cta.Cte. Gs.</t>
  </si>
  <si>
    <t xml:space="preserve">            BBVA Banco Cta.Cte. U$S</t>
  </si>
  <si>
    <t xml:space="preserve">            Itaú Cta. Cte. Gs.</t>
  </si>
  <si>
    <t xml:space="preserve">            Itaú Cta. Cte. U$S</t>
  </si>
  <si>
    <t xml:space="preserve">            Sudameris Bank Cta. Cte. Gs.</t>
  </si>
  <si>
    <t xml:space="preserve">            Sudameris Bank Cta. Cte. US$</t>
  </si>
  <si>
    <t xml:space="preserve">            Banco Continental Cta. Cte. Gs.</t>
  </si>
  <si>
    <t xml:space="preserve">            Banco Continental Cta. Cte. U$S</t>
  </si>
  <si>
    <t xml:space="preserve">            Banco Regional Cta. Cte. Gs</t>
  </si>
  <si>
    <t xml:space="preserve">            Banco Regional Cta. Cte. U$S</t>
  </si>
  <si>
    <t xml:space="preserve">            Banco GNB Cta. Cte. Gs.</t>
  </si>
  <si>
    <t xml:space="preserve">            Banco GNB Cta. Cte. U$S</t>
  </si>
  <si>
    <t xml:space="preserve">            Visión Banco Cta. Cte. Gs.</t>
  </si>
  <si>
    <t xml:space="preserve">            Banco Atlas Cta. Cte. U$S</t>
  </si>
  <si>
    <t xml:space="preserve">            Bancop Cta. Cte. Gs.</t>
  </si>
  <si>
    <t xml:space="preserve">            Bancop Cta. Cte. U$S</t>
  </si>
  <si>
    <t xml:space="preserve">            Vision Banco Cta Cte U$S</t>
  </si>
  <si>
    <t xml:space="preserve">            Banco Atlas Cta Cte Gs.</t>
  </si>
  <si>
    <t xml:space="preserve">            Banco Itapua S.A.</t>
  </si>
  <si>
    <t>A C T I V O</t>
  </si>
  <si>
    <t xml:space="preserve">   ACTIVO CORRIENTE</t>
  </si>
  <si>
    <t xml:space="preserve">      DISPONIBILIDADES</t>
  </si>
  <si>
    <t xml:space="preserve">         CAJAS</t>
  </si>
  <si>
    <t xml:space="preserve">         BANCOS</t>
  </si>
  <si>
    <t xml:space="preserve">      CREDITOS</t>
  </si>
  <si>
    <t xml:space="preserve">         CREDITOS POR VENTAS</t>
  </si>
  <si>
    <t xml:space="preserve">            Deudores por Venta</t>
  </si>
  <si>
    <t xml:space="preserve">            (-) Prevision para Incobrables</t>
  </si>
  <si>
    <t xml:space="preserve">            (-) Intereses s/ Ventas a Devengar</t>
  </si>
  <si>
    <t xml:space="preserve">            Cheques Recibidos a Cobrar</t>
  </si>
  <si>
    <t xml:space="preserve">            Créditos en Gestión de Cobro Judicial</t>
  </si>
  <si>
    <t xml:space="preserve">            (-) Documentos Descontados</t>
  </si>
  <si>
    <t xml:space="preserve">            (-) Clientes Cedidos</t>
  </si>
  <si>
    <t xml:space="preserve">            (-) Venta de Cartera Vision</t>
  </si>
  <si>
    <t xml:space="preserve">            Tarjetas de Credito a Cobrar</t>
  </si>
  <si>
    <t xml:space="preserve">         CREDITOS FISCALES</t>
  </si>
  <si>
    <t xml:space="preserve">            Anticipo Imp.a la Renta</t>
  </si>
  <si>
    <t xml:space="preserve">           Retencion Impuesto a la Renta</t>
  </si>
  <si>
    <t xml:space="preserve">            Crédito Fiscal I.V.A 10 %</t>
  </si>
  <si>
    <t xml:space="preserve">         ADELANTOS</t>
  </si>
  <si>
    <t xml:space="preserve">            Adelantos al Personal</t>
  </si>
  <si>
    <t xml:space="preserve">         OTROS CREDITOS</t>
  </si>
  <si>
    <t xml:space="preserve">            Anticipo a Proveedores</t>
  </si>
  <si>
    <t xml:space="preserve">            Prestamos a Terceros</t>
  </si>
  <si>
    <t xml:space="preserve">            Cuentas a Cobrar</t>
  </si>
  <si>
    <t xml:space="preserve">            Gastos Reembolsables - Asunción</t>
  </si>
  <si>
    <t xml:space="preserve">            Gastos Reembolsables - Filadelfia</t>
  </si>
  <si>
    <t xml:space="preserve">            Gastos Reembolsables Clientes AS</t>
  </si>
  <si>
    <t xml:space="preserve">            Gastos Reembolsables Clientes Fila</t>
  </si>
  <si>
    <t xml:space="preserve">            Gastos Reembolsables Clientes L.P.</t>
  </si>
  <si>
    <t xml:space="preserve">            Cuentas a Rendir</t>
  </si>
  <si>
    <t xml:space="preserve">             Garantia de Alquiler</t>
  </si>
  <si>
    <t xml:space="preserve">            Cuentas del Personal</t>
  </si>
  <si>
    <t xml:space="preserve">            Créditos a Recuperar de Clientes</t>
  </si>
  <si>
    <t xml:space="preserve">            Gastos Reembolsables Judiciales</t>
  </si>
  <si>
    <t xml:space="preserve">            Seguros en Gestion de Cobro</t>
  </si>
  <si>
    <t xml:space="preserve">            Otros Deudores Varios</t>
  </si>
  <si>
    <t xml:space="preserve">            Intereses a Cobrar a Deudores</t>
  </si>
  <si>
    <t xml:space="preserve">            Deudores Varios</t>
  </si>
  <si>
    <t xml:space="preserve">      BIENES DE CAMBIO</t>
  </si>
  <si>
    <t xml:space="preserve">         MERCADERIAS</t>
  </si>
  <si>
    <t xml:space="preserve">            Vehiculos</t>
  </si>
  <si>
    <t xml:space="preserve">            Costos Incorp. Vehic. en Existencia</t>
  </si>
  <si>
    <t xml:space="preserve">            Repuestos para la Venta Fila</t>
  </si>
  <si>
    <t xml:space="preserve">            Repuestos para la Venta As</t>
  </si>
  <si>
    <t xml:space="preserve">            OTs en Proceso</t>
  </si>
  <si>
    <t xml:space="preserve">      OTROS ACTIVOS</t>
  </si>
  <si>
    <t xml:space="preserve">         CARGOS DIFERIDOS</t>
  </si>
  <si>
    <t xml:space="preserve">            Seguros a Vencer</t>
  </si>
  <si>
    <t xml:space="preserve">            Intereses a vencer</t>
  </si>
  <si>
    <t xml:space="preserve">            Alquileres Pagados por Adelantado</t>
  </si>
  <si>
    <t xml:space="preserve">            Honorarios a vencer</t>
  </si>
  <si>
    <t xml:space="preserve">   ACTIVO NO CORRIENTE</t>
  </si>
  <si>
    <t xml:space="preserve">      ACTIVO FIJO</t>
  </si>
  <si>
    <t xml:space="preserve">         BIENES DE USO</t>
  </si>
  <si>
    <t xml:space="preserve">            Instalaciones</t>
  </si>
  <si>
    <t xml:space="preserve">            Herramientas y Enseres</t>
  </si>
  <si>
    <t xml:space="preserve">            Muebles y Equipos de Oficina</t>
  </si>
  <si>
    <t xml:space="preserve">            Equipos de Informatica</t>
  </si>
  <si>
    <t xml:space="preserve">            Rodados</t>
  </si>
  <si>
    <t xml:space="preserve">            Edificaciones</t>
  </si>
  <si>
    <t xml:space="preserve">            Inmuebles</t>
  </si>
  <si>
    <t xml:space="preserve">            Edificaciones en Predio Ajeno</t>
  </si>
  <si>
    <t xml:space="preserve">            (-) Depreciaciones Acumuladas</t>
  </si>
  <si>
    <t xml:space="preserve">            Maquinarias</t>
  </si>
  <si>
    <t xml:space="preserve">            Embarcaciones</t>
  </si>
  <si>
    <t xml:space="preserve">         INVERSIONES</t>
  </si>
  <si>
    <t xml:space="preserve">            Inversiones - Inmuebles</t>
  </si>
  <si>
    <t xml:space="preserve">         BIENES INTANGIBLES</t>
  </si>
  <si>
    <t xml:space="preserve">            Software Informatico</t>
  </si>
  <si>
    <t xml:space="preserve">            (-)Amortización Intangibles</t>
  </si>
  <si>
    <t xml:space="preserve">         DERECHOS EN FIDEICOMISO</t>
  </si>
  <si>
    <t xml:space="preserve">         Inmuebles en Fideicomiso</t>
  </si>
  <si>
    <t xml:space="preserve">            Deudores por Ventas</t>
  </si>
  <si>
    <t xml:space="preserve">            (-) Intereses s/vtas a devengar</t>
  </si>
  <si>
    <t xml:space="preserve">             Creditos en Gestion Judicial</t>
  </si>
  <si>
    <t xml:space="preserve">            (-) Prevision s/cartera Judicial</t>
  </si>
  <si>
    <t xml:space="preserve">         CARGOS DIFERIDOS L.P.</t>
  </si>
  <si>
    <t xml:space="preserve">            Intereses a Vencer L.P.</t>
  </si>
  <si>
    <t xml:space="preserve">            Honorarios a Vencer L.P.</t>
  </si>
  <si>
    <t>PASIVO Y PATRIMONIO NETO</t>
  </si>
  <si>
    <t xml:space="preserve">   P A S I V O</t>
  </si>
  <si>
    <t xml:space="preserve">      PASIVO CORRIENTE</t>
  </si>
  <si>
    <t xml:space="preserve">         OBLIGACIONES COMERCIALES</t>
  </si>
  <si>
    <t xml:space="preserve">            Proveedores</t>
  </si>
  <si>
    <t xml:space="preserve">            Vehículos (compras pendientes)</t>
  </si>
  <si>
    <t xml:space="preserve">            Adelantos de Clientes</t>
  </si>
  <si>
    <t xml:space="preserve">            Cheques a Vencer de Clientes</t>
  </si>
  <si>
    <t xml:space="preserve">            Acreedores Varios</t>
  </si>
  <si>
    <t xml:space="preserve">            Cheques Emitidos en Diferido</t>
  </si>
  <si>
    <t xml:space="preserve">            Reembolsable Escrituras(desde2014)</t>
  </si>
  <si>
    <t xml:space="preserve">         OBLIGACIONES FINANCIERAS</t>
  </si>
  <si>
    <t xml:space="preserve">            OBLIGACIONES BANCARIAS</t>
  </si>
  <si>
    <t xml:space="preserve">               Banco Bilbao Vizcaya Argentaria S.A</t>
  </si>
  <si>
    <t xml:space="preserve">               Sudameris Bank S.A.E.C.A</t>
  </si>
  <si>
    <t xml:space="preserve">               Banco Continental S.A.E.C.A</t>
  </si>
  <si>
    <t xml:space="preserve">               (-) Intereses no Devengados</t>
  </si>
  <si>
    <t xml:space="preserve">               Banco Amambay S.A</t>
  </si>
  <si>
    <t xml:space="preserve">               Banco Regional S.A</t>
  </si>
  <si>
    <t xml:space="preserve">               Banco GNB S.A</t>
  </si>
  <si>
    <t xml:space="preserve">               Visión Banco S.A</t>
  </si>
  <si>
    <t xml:space="preserve">               Banco Atlas S.A</t>
  </si>
  <si>
    <t xml:space="preserve">               Bancop S.A</t>
  </si>
  <si>
    <t xml:space="preserve">               Itapua S.A.</t>
  </si>
  <si>
    <t xml:space="preserve">         OBLIGACIONES NO BANCARIAS</t>
  </si>
  <si>
    <t xml:space="preserve">               Cooperativa Fernheim Cta. Cte.</t>
  </si>
  <si>
    <t xml:space="preserve">         OBLIGACIONES IMPOSITIVAS</t>
  </si>
  <si>
    <t xml:space="preserve">              Retenciones de IVA Emitida</t>
  </si>
  <si>
    <t xml:space="preserve">            Direccion Gral de Grandes Contribuyentes</t>
  </si>
  <si>
    <t xml:space="preserve">         PROVISIONES</t>
  </si>
  <si>
    <t xml:space="preserve">            IPS a Pagar</t>
  </si>
  <si>
    <t xml:space="preserve">            Provision Impuesto a la Renta</t>
  </si>
  <si>
    <t xml:space="preserve">            Provision de Gastos</t>
  </si>
  <si>
    <t xml:space="preserve">      PASIVO NO CORRIENTE</t>
  </si>
  <si>
    <t xml:space="preserve">         OBLIGACIONES BANCARIAS</t>
  </si>
  <si>
    <t xml:space="preserve">            Banco Bilbao Vizcaya Argentaria S.A</t>
  </si>
  <si>
    <t xml:space="preserve">            (-) Intereses no Devengados</t>
  </si>
  <si>
    <t xml:space="preserve">            Banco Continental SAECA</t>
  </si>
  <si>
    <t xml:space="preserve">            Banco Regional S.A.</t>
  </si>
  <si>
    <t xml:space="preserve">   P A T R I M O N I O   N E T O</t>
  </si>
  <si>
    <t xml:space="preserve">      CAPITAL</t>
  </si>
  <si>
    <t xml:space="preserve">         Capital</t>
  </si>
  <si>
    <t xml:space="preserve">      FONDOS Y RESERVAS</t>
  </si>
  <si>
    <t xml:space="preserve">         Reserva de Revaluo</t>
  </si>
  <si>
    <t xml:space="preserve">         Reserva Legal</t>
  </si>
  <si>
    <t xml:space="preserve">      RESULTADOS</t>
  </si>
  <si>
    <t xml:space="preserve">         Resultados Acumulados</t>
  </si>
  <si>
    <t xml:space="preserve">         Resultado del Ejercicio</t>
  </si>
  <si>
    <t xml:space="preserve">         Fondo Reserva Intereses Deud. a Vencer</t>
  </si>
  <si>
    <t>I N G R E S O S</t>
  </si>
  <si>
    <t xml:space="preserve">   INGRESOS OPERATIVOS</t>
  </si>
  <si>
    <t xml:space="preserve">      VENTAS</t>
  </si>
  <si>
    <t xml:space="preserve">         Ventas de Vehiculos</t>
  </si>
  <si>
    <t xml:space="preserve">         Otros Ingresos Operativos</t>
  </si>
  <si>
    <t xml:space="preserve">         Comisiones Cobradas</t>
  </si>
  <si>
    <t xml:space="preserve">         Intereses sobre Ventas</t>
  </si>
  <si>
    <t xml:space="preserve">         Ingresos de Taller</t>
  </si>
  <si>
    <t xml:space="preserve">         Devoluciones</t>
  </si>
  <si>
    <t xml:space="preserve">         Descuentos Obtenidos</t>
  </si>
  <si>
    <t xml:space="preserve">   INGRESOS NO OPERATIVOS</t>
  </si>
  <si>
    <t xml:space="preserve">      INGRESOS EXTRAORDINARIOS</t>
  </si>
  <si>
    <t xml:space="preserve">         Venta Activo Fijo</t>
  </si>
  <si>
    <t xml:space="preserve">         Intereses Cobrados</t>
  </si>
  <si>
    <t xml:space="preserve">         Diferencia de Cambio</t>
  </si>
  <si>
    <t xml:space="preserve">         Creditos Recuperados</t>
  </si>
  <si>
    <t xml:space="preserve">         Intereses Cobrados a Deudores</t>
  </si>
  <si>
    <t xml:space="preserve">   COSTOS</t>
  </si>
  <si>
    <t xml:space="preserve">      COSTOS DE VENTAS</t>
  </si>
  <si>
    <t xml:space="preserve">         Costo de Vehiculos</t>
  </si>
  <si>
    <t xml:space="preserve">         Costos Posteriores de Vehíc</t>
  </si>
  <si>
    <t xml:space="preserve">         Costo Vta. Taller</t>
  </si>
  <si>
    <t xml:space="preserve">         Costo Vta. Taller Asu</t>
  </si>
  <si>
    <t xml:space="preserve">         Costo Venta Activo Fijo</t>
  </si>
  <si>
    <t xml:space="preserve">   GASTOS</t>
  </si>
  <si>
    <t xml:space="preserve">      GASTOS DE VENTAS</t>
  </si>
  <si>
    <t xml:space="preserve">         Comisiones Pagadas</t>
  </si>
  <si>
    <t xml:space="preserve">         Publicidad y Propaganda</t>
  </si>
  <si>
    <t xml:space="preserve">         Manten.y Reparación de Vehiculos</t>
  </si>
  <si>
    <t xml:space="preserve">         Limpieza de Vehiculos</t>
  </si>
  <si>
    <t xml:space="preserve">         Patente Rodado</t>
  </si>
  <si>
    <t xml:space="preserve">         Gastos de Escribanía</t>
  </si>
  <si>
    <t xml:space="preserve">         Movilidad y Transportes</t>
  </si>
  <si>
    <t xml:space="preserve">         Viaticos y Gtos. de Ventas</t>
  </si>
  <si>
    <t xml:space="preserve">         Gastos Varios de Venta</t>
  </si>
  <si>
    <t xml:space="preserve">         Descuentos Concedidos</t>
  </si>
  <si>
    <t xml:space="preserve">        Gastos Varios-Uso Taller</t>
  </si>
  <si>
    <t xml:space="preserve">      GASTOS DE ADMINISTRACION</t>
  </si>
  <si>
    <t xml:space="preserve">         Bonificacion Familiar</t>
  </si>
  <si>
    <t xml:space="preserve">         Vacaciones Pagadas</t>
  </si>
  <si>
    <t xml:space="preserve">         I.P.S Aporte Patronal</t>
  </si>
  <si>
    <t xml:space="preserve">         Aguinaldos</t>
  </si>
  <si>
    <t xml:space="preserve">         Preaviso e Indemnizaciones</t>
  </si>
  <si>
    <t xml:space="preserve">         Gastos de Limpieza del Local</t>
  </si>
  <si>
    <t xml:space="preserve">         Honorarios Profesionales</t>
  </si>
  <si>
    <t xml:space="preserve">         Servicios Personales Pagados</t>
  </si>
  <si>
    <t xml:space="preserve">         Otros Beneficios al Personal</t>
  </si>
  <si>
    <t xml:space="preserve">         Seguros Pagados</t>
  </si>
  <si>
    <t xml:space="preserve">         Alquileres Pagados</t>
  </si>
  <si>
    <t xml:space="preserve">         Gastos de Informática</t>
  </si>
  <si>
    <t xml:space="preserve">         Mantenimiento del Edificio y otros</t>
  </si>
  <si>
    <t xml:space="preserve">         Sueldos y Jornales - Asunción</t>
  </si>
  <si>
    <t xml:space="preserve">         Sueldos y Jornales - Filadelfia</t>
  </si>
  <si>
    <t xml:space="preserve">         Sueldos y Jornales - Loma Plata</t>
  </si>
  <si>
    <t xml:space="preserve">         Remuneracion Personal Superior</t>
  </si>
  <si>
    <t xml:space="preserve">         Sueldos y Jornales - Taller</t>
  </si>
  <si>
    <t xml:space="preserve">         Utiles e Impresos</t>
  </si>
  <si>
    <t xml:space="preserve">        Agua Luz Telefono e Internet</t>
  </si>
  <si>
    <t xml:space="preserve">         Gastos de Seguridad Privada</t>
  </si>
  <si>
    <t xml:space="preserve">         Gastos por Gestión Judicial</t>
  </si>
  <si>
    <t xml:space="preserve">         Gestión de Cobranzas</t>
  </si>
  <si>
    <t xml:space="preserve">         Combustibles y Lubricantes</t>
  </si>
  <si>
    <t xml:space="preserve">         Seguro al Personal</t>
  </si>
  <si>
    <t xml:space="preserve">         Gastos de Pos</t>
  </si>
  <si>
    <t xml:space="preserve">      IMPUESTOS Y PATENTES</t>
  </si>
  <si>
    <t xml:space="preserve">         Patente Comercial</t>
  </si>
  <si>
    <t xml:space="preserve">         Impuesto Inmobiliario</t>
  </si>
  <si>
    <t xml:space="preserve">        Multas y Recargos</t>
  </si>
  <si>
    <t xml:space="preserve">         Impuestos y Tasas Varias</t>
  </si>
  <si>
    <t xml:space="preserve">        Patente de Rodado</t>
  </si>
  <si>
    <t xml:space="preserve">         Impuesto a la Renta</t>
  </si>
  <si>
    <t xml:space="preserve">      GASTOS FINANCIEROS</t>
  </si>
  <si>
    <t xml:space="preserve">         Intereses - Asunción</t>
  </si>
  <si>
    <t xml:space="preserve">         Intereses - Filadelfia</t>
  </si>
  <si>
    <t xml:space="preserve">         Gastos Bancarios</t>
  </si>
  <si>
    <t xml:space="preserve">         Intereses Moratorios</t>
  </si>
  <si>
    <t xml:space="preserve">         Intereses Punitorios</t>
  </si>
  <si>
    <t xml:space="preserve">         Gtos por desembolso de Prestamos</t>
  </si>
  <si>
    <t xml:space="preserve">      OTROS EGRESOS</t>
  </si>
  <si>
    <t xml:space="preserve">         Donaciones y Contribuciones</t>
  </si>
  <si>
    <t xml:space="preserve">         Depreciación Bienes de Produción</t>
  </si>
  <si>
    <t xml:space="preserve">         Prevision Incobrables</t>
  </si>
  <si>
    <t xml:space="preserve">         Gastos No Deducibles</t>
  </si>
  <si>
    <t xml:space="preserve">         Amortización del Ejercicio</t>
  </si>
  <si>
    <t xml:space="preserve">         Creditos Incobrables</t>
  </si>
  <si>
    <t xml:space="preserve">   GANANCIAS Y PERDIDAS</t>
  </si>
  <si>
    <t>PENNER AUTOMOTORES S.R.L.</t>
  </si>
  <si>
    <t>Equipos de Informatica</t>
  </si>
  <si>
    <t>Edificaciones</t>
  </si>
  <si>
    <t>Inmuebles</t>
  </si>
  <si>
    <t>Edificaciones en Predio Ajeno</t>
  </si>
  <si>
    <t>Maquinarias</t>
  </si>
  <si>
    <t>Muebles y Equipos de Oficina</t>
  </si>
  <si>
    <t>Herramientas y Enseres</t>
  </si>
  <si>
    <t>MUEBLES Y UTILES</t>
  </si>
  <si>
    <t>INSTALACIONES</t>
  </si>
  <si>
    <t>RODADOS</t>
  </si>
  <si>
    <t>INMUEBLES</t>
  </si>
  <si>
    <t>EDIFICACIONES</t>
  </si>
  <si>
    <t>Cajas</t>
  </si>
  <si>
    <t>Deudores por Venta</t>
  </si>
  <si>
    <t>Creditos en Gestion de Cobro</t>
  </si>
  <si>
    <t>Documentos a Pagar</t>
  </si>
  <si>
    <t xml:space="preserve">       Efectivo y equivalentes de efectivo</t>
  </si>
  <si>
    <t xml:space="preserve">       Inversiones en bienes inmuebles</t>
  </si>
  <si>
    <t xml:space="preserve">    Deudas comerciales</t>
  </si>
  <si>
    <t xml:space="preserve">    Deudas financieras</t>
  </si>
  <si>
    <t xml:space="preserve">    Deudas diversas</t>
  </si>
  <si>
    <t xml:space="preserve">    Deudas comerciales.</t>
  </si>
  <si>
    <t xml:space="preserve">    Deudas financieras.</t>
  </si>
  <si>
    <t xml:space="preserve">    Resultado del año</t>
  </si>
  <si>
    <t xml:space="preserve">    Reservas   </t>
  </si>
  <si>
    <t xml:space="preserve">    Resultados Acumulados </t>
  </si>
  <si>
    <t xml:space="preserve">    Capital </t>
  </si>
  <si>
    <t xml:space="preserve">       Activos Intangibles</t>
  </si>
  <si>
    <t xml:space="preserve">Cuentas de Orden </t>
  </si>
  <si>
    <t>Cuentas de Orden</t>
  </si>
  <si>
    <t>Corriente</t>
  </si>
  <si>
    <t>Deudores varios</t>
  </si>
  <si>
    <t>Menos: Previsión para deudores incobrables</t>
  </si>
  <si>
    <t>Menos: intereses a vencer s/ créditos</t>
  </si>
  <si>
    <t>Créditos judiciales.</t>
  </si>
  <si>
    <t>Menos: intereses a vencer s/ créditos.</t>
  </si>
  <si>
    <t>La siguiente es la evolución de la previsión para deudores incobrables:</t>
  </si>
  <si>
    <t xml:space="preserve">Saldos al inicio </t>
  </si>
  <si>
    <t>Saldos al cierre</t>
  </si>
  <si>
    <t>El detalle de Otros créditos es el siguiente:</t>
  </si>
  <si>
    <t>No Corriente</t>
  </si>
  <si>
    <t>El detalle de Deudas comerciales es el siguiente:</t>
  </si>
  <si>
    <t>Anticipos de clientes</t>
  </si>
  <si>
    <t>Cheques emitidos en diferido</t>
  </si>
  <si>
    <t>El detalle de Deudas financieras es el siguiente:</t>
  </si>
  <si>
    <t>Cooperativa Fernheim Ltda. - Sobregiros</t>
  </si>
  <si>
    <t>Banco Regional S.A.</t>
  </si>
  <si>
    <t>Banco Bilbao Vizcaya Argentaria Paraguay S.A. - US$</t>
  </si>
  <si>
    <t>Banco Continental S.A.E.C.A.</t>
  </si>
  <si>
    <t>Sudameris Bank S.A.E.C.A.</t>
  </si>
  <si>
    <t>Banco Amambay S.A.</t>
  </si>
  <si>
    <t>Visión Banco S.A</t>
  </si>
  <si>
    <t>Banco Atlas S.A</t>
  </si>
  <si>
    <t>Financiera Rio S.A</t>
  </si>
  <si>
    <t>Itapua S.A.</t>
  </si>
  <si>
    <t>El detalle de las deudas diversas es el siguiente:</t>
  </si>
  <si>
    <t>Remuneraciones</t>
  </si>
  <si>
    <t>Cargas sociales</t>
  </si>
  <si>
    <t>Orlando Penner</t>
  </si>
  <si>
    <t>Ronald Duerksen</t>
  </si>
  <si>
    <t>Comisiones pagadas</t>
  </si>
  <si>
    <t>Nordland S.A.</t>
  </si>
  <si>
    <t>Situacion</t>
  </si>
  <si>
    <t>A. Cartera no Vencida</t>
  </si>
  <si>
    <t>B. Cartera Vencida</t>
  </si>
  <si>
    <t xml:space="preserve">  B.1. Normal</t>
  </si>
  <si>
    <t xml:space="preserve">  B.2. En Gestion de Cobro</t>
  </si>
  <si>
    <t xml:space="preserve">  B.3. En Gestion de Cobro Judicial</t>
  </si>
  <si>
    <t>TOTAL DE LA CARTERA</t>
  </si>
  <si>
    <t>Criterios de Clasificacion utilizados</t>
  </si>
  <si>
    <t>Normal</t>
  </si>
  <si>
    <t>En Gestion de Cobro</t>
  </si>
  <si>
    <t>En Gestion de Cobro Judicial</t>
  </si>
  <si>
    <t>(En G.)</t>
  </si>
  <si>
    <t>(En %)</t>
  </si>
  <si>
    <t>de 91 dias de atraso en adelante</t>
  </si>
  <si>
    <t>ESF</t>
  </si>
  <si>
    <t>Menos: Previsión para deudores incobrables.</t>
  </si>
  <si>
    <t>Compañías vinculadas (Nota 13)</t>
  </si>
  <si>
    <t>Créditos fiscales</t>
  </si>
  <si>
    <t>Anticipo a proveedores</t>
  </si>
  <si>
    <t>NOTAS</t>
  </si>
  <si>
    <t>Gastos a devengar</t>
  </si>
  <si>
    <t>Anticipos al personal</t>
  </si>
  <si>
    <t>Gastos a recuperar de clientes</t>
  </si>
  <si>
    <t>Seguros en gestión de cobro</t>
  </si>
  <si>
    <t xml:space="preserve">            Repuestos para la venta</t>
  </si>
  <si>
    <t xml:space="preserve">            Ordenes de trabajo en proceso</t>
  </si>
  <si>
    <t>Proveedores locales</t>
  </si>
  <si>
    <t>Préstamos de terceros</t>
  </si>
  <si>
    <t>Proveedores locales.</t>
  </si>
  <si>
    <t>Menos: Intereses a Vencer</t>
  </si>
  <si>
    <t>Acreedores fiscales</t>
  </si>
  <si>
    <t>Bancop S.A</t>
  </si>
  <si>
    <t>Banco GNB S.A</t>
  </si>
  <si>
    <t>Banco Continental S.A.E.C.A..</t>
  </si>
  <si>
    <t>Banco Bilbao Vizcaya Argentaria Paraguay S.A. - US$..</t>
  </si>
  <si>
    <t>Menos: Intereses a Vencer..</t>
  </si>
  <si>
    <t>Banco Regional S.A..</t>
  </si>
  <si>
    <t>Itapua S.A..</t>
  </si>
  <si>
    <t>Remuneraciones y cargas sociales a pagar</t>
  </si>
  <si>
    <t>Control</t>
  </si>
  <si>
    <t>Costo de Mercaderias Vendidas</t>
  </si>
  <si>
    <t>Gastos de Comercializacion</t>
  </si>
  <si>
    <t>Gastos de Administracion</t>
  </si>
  <si>
    <t>Resultado Financiero y por Tenencia</t>
  </si>
  <si>
    <t>Otros Gastos de Comercializacion</t>
  </si>
  <si>
    <t>Otros Gastos de Administracion</t>
  </si>
  <si>
    <t>Resultados Extraordinarios</t>
  </si>
  <si>
    <t>Impuestos, Tasas y Contribuciones</t>
  </si>
  <si>
    <t>Honorarios a Vencer L.P.</t>
  </si>
  <si>
    <t>INMUEBLE LOMA PLATA</t>
  </si>
  <si>
    <t>PROPIEDADES, PLANTA Y EQUIPO</t>
  </si>
  <si>
    <t xml:space="preserve">       Otros créditos</t>
  </si>
  <si>
    <t>DEPRECIACIONES</t>
  </si>
  <si>
    <t xml:space="preserve">       Propiedades, planta y equipo</t>
  </si>
  <si>
    <t>Intereses cobrados</t>
  </si>
  <si>
    <t xml:space="preserve">       Otros créditos.</t>
  </si>
  <si>
    <t>Nota</t>
  </si>
  <si>
    <t>Los cálculos del Impuesto a la renta han sido los siguientes:</t>
  </si>
  <si>
    <t>Anexo A</t>
  </si>
  <si>
    <t>Anexo B</t>
  </si>
  <si>
    <t xml:space="preserve">       Inventarios</t>
  </si>
  <si>
    <t>Reclas./Bajas del Periodo</t>
  </si>
  <si>
    <t>(En Guaraníes)</t>
  </si>
  <si>
    <t xml:space="preserve">R U B R O </t>
  </si>
  <si>
    <t>Valores al inicio</t>
  </si>
  <si>
    <t>Disminuciones</t>
  </si>
  <si>
    <t>Reclasificaciones</t>
  </si>
  <si>
    <t>Valores al cierre</t>
  </si>
  <si>
    <t>Acumuladas al inicio</t>
  </si>
  <si>
    <t>Disminu-ciones</t>
  </si>
  <si>
    <t>Del año</t>
  </si>
  <si>
    <t>Ajustes</t>
  </si>
  <si>
    <t>Acumuladas al cierre</t>
  </si>
  <si>
    <t>Ajuste</t>
  </si>
  <si>
    <t>Tasa</t>
  </si>
  <si>
    <t>Importe</t>
  </si>
  <si>
    <t>BIENES DE USO</t>
  </si>
  <si>
    <t>5 - 10</t>
  </si>
  <si>
    <t>INMUEBLES FIDEICOMISO (*)</t>
  </si>
  <si>
    <t>HERRAMIENTAS Y ENSERES</t>
  </si>
  <si>
    <t>EQUIPOS DE INFORMATICA</t>
  </si>
  <si>
    <t>5</t>
  </si>
  <si>
    <t>MAQUINARIA Y EQUIPO</t>
  </si>
  <si>
    <t>EDIFICACIONES EN PREDIO AJENO</t>
  </si>
  <si>
    <t>INTANGIBLES</t>
  </si>
  <si>
    <t>Softwares</t>
  </si>
  <si>
    <t>Balance</t>
  </si>
  <si>
    <t>Inmuebles en Usufructo</t>
  </si>
  <si>
    <t xml:space="preserve">            Anticipo a Comisionistas</t>
  </si>
  <si>
    <t xml:space="preserve">            Remuneracion Pers Sup a Pagar</t>
  </si>
  <si>
    <t xml:space="preserve">           Honorarios a Pagar</t>
  </si>
  <si>
    <t xml:space="preserve">           Provision Aguinaldos</t>
  </si>
  <si>
    <t xml:space="preserve">            Gastos Reembolsables - Loma Plata</t>
  </si>
  <si>
    <t xml:space="preserve">            Comisiones a Pagar</t>
  </si>
  <si>
    <t xml:space="preserve">            Servicios Personales a Pagar</t>
  </si>
  <si>
    <t xml:space="preserve">            Intereses por Bonos a Pagar</t>
  </si>
  <si>
    <t xml:space="preserve">         Ingresos por ajustes de saldos</t>
  </si>
  <si>
    <t xml:space="preserve">        Agua y Cafeteria Showroom</t>
  </si>
  <si>
    <t xml:space="preserve">        Obsequios Promocionales</t>
  </si>
  <si>
    <t xml:space="preserve">         Combustibles Ventas y Transportador</t>
  </si>
  <si>
    <t xml:space="preserve">         Sueldos y Jornales - Taller Asuncion</t>
  </si>
  <si>
    <t xml:space="preserve">         Mto y Reparacion de Equipos</t>
  </si>
  <si>
    <t xml:space="preserve">         Consultorias y Asesorias Varias</t>
  </si>
  <si>
    <t xml:space="preserve">         Gastos Generales</t>
  </si>
  <si>
    <t xml:space="preserve">         Serv Especializados y Correspondencia</t>
  </si>
  <si>
    <t xml:space="preserve">          Capacitacion y Adiestramiento</t>
  </si>
  <si>
    <t xml:space="preserve">          Gastos de Reuniones y Cattering</t>
  </si>
  <si>
    <t xml:space="preserve">          Productos Medicinales</t>
  </si>
  <si>
    <t xml:space="preserve">          Insumos Electricos</t>
  </si>
  <si>
    <t xml:space="preserve">          Insumos Varios Plasticos y Ferreteria</t>
  </si>
  <si>
    <t xml:space="preserve">          Otros Insumos Varios</t>
  </si>
  <si>
    <t xml:space="preserve">         Intereses pagados a Proveedores</t>
  </si>
  <si>
    <t>ASIENTO DE FINANZAS</t>
  </si>
  <si>
    <t>Intereses a Pagar</t>
  </si>
  <si>
    <t>Créditos judiciales</t>
  </si>
  <si>
    <t>COMPARATIVO MARZO 2017-2016-2015</t>
  </si>
  <si>
    <t>diciembre</t>
  </si>
  <si>
    <t>Menos: Egresos ordinarios pagados</t>
  </si>
  <si>
    <t>Más: Otros ingresos ordinarios cobrados</t>
  </si>
  <si>
    <t xml:space="preserve">               Deudas financieras con terceros</t>
  </si>
  <si>
    <t xml:space="preserve">              (-)Intereses s/Deudas Financ. no devengados</t>
  </si>
  <si>
    <t>Banco Regional S.A…</t>
  </si>
  <si>
    <t>Banco GNB S.A…</t>
  </si>
  <si>
    <t>Banco Sudameris S.A.</t>
  </si>
  <si>
    <t>Nota 6 - Inventario</t>
  </si>
  <si>
    <t xml:space="preserve">Nota 5 – Otros créditos </t>
  </si>
  <si>
    <t xml:space="preserve">Nota 4 – Créditos por ventas </t>
  </si>
  <si>
    <t>Clientes Locales</t>
  </si>
  <si>
    <t>Clientes Locales.</t>
  </si>
  <si>
    <t xml:space="preserve">       Bienes en Fideicomiso</t>
  </si>
  <si>
    <t>Costo por venta de activo fijo</t>
  </si>
  <si>
    <t xml:space="preserve">            Recaudaciones a Depositar $</t>
  </si>
  <si>
    <t xml:space="preserve">            Visión Banco S.A</t>
  </si>
  <si>
    <t xml:space="preserve">          Serv Impresión y Fotocopiado</t>
  </si>
  <si>
    <t xml:space="preserve">         Intereses por Deudas con terceros</t>
  </si>
  <si>
    <t xml:space="preserve">Resultados Acumulados </t>
  </si>
  <si>
    <t>PRESENTACIÓN CUADRO DE MOROSIDAD Y CARTERA ACTIVA A JUNIO 2017</t>
  </si>
  <si>
    <t xml:space="preserve">Región Oriental </t>
  </si>
  <si>
    <t xml:space="preserve">Filadelfia </t>
  </si>
  <si>
    <t xml:space="preserve">Loma Plata </t>
  </si>
  <si>
    <t>Total Cartera</t>
  </si>
  <si>
    <t>CORRIENTE</t>
  </si>
  <si>
    <t>Vencidos más de "30 dias"</t>
  </si>
  <si>
    <t>Vencidos más de "60 dias"</t>
  </si>
  <si>
    <t>Vencidos más de "90 dias"</t>
  </si>
  <si>
    <t>JUDICIALES</t>
  </si>
  <si>
    <t>TOTAL CARTERA</t>
  </si>
  <si>
    <t>Visión Banco S.A.</t>
  </si>
  <si>
    <t>INVERSIONES TEMPORALES</t>
  </si>
  <si>
    <t xml:space="preserve">             C.D.A. en garantia</t>
  </si>
  <si>
    <t xml:space="preserve">            Banco GNB S.A.</t>
  </si>
  <si>
    <t xml:space="preserve">              Financiera El Comercio</t>
  </si>
  <si>
    <t xml:space="preserve">            Gastos pagados por Adelantado</t>
  </si>
  <si>
    <t>Financiera El Comercio</t>
  </si>
  <si>
    <t>Banco GNB S.A.</t>
  </si>
  <si>
    <t>C.D.A. en garantia</t>
  </si>
  <si>
    <t>Total Patrimonio Neto 30/09/16</t>
  </si>
  <si>
    <t>Total Patrimonio Neto 30/09/15</t>
  </si>
  <si>
    <t>31.09.15</t>
  </si>
  <si>
    <t xml:space="preserve">Inversiones Temporarias </t>
  </si>
  <si>
    <t xml:space="preserve">         Egresos por ajustes de saldo</t>
  </si>
  <si>
    <t>Banco Itapua S.A.</t>
  </si>
  <si>
    <t>Banco Atlas S.A.</t>
  </si>
  <si>
    <t>Bancop S.A.</t>
  </si>
  <si>
    <t>Cooperativa Chortitzer Ltda.</t>
  </si>
  <si>
    <t>Cooperativa Neuland Ltda.</t>
  </si>
  <si>
    <t>Cooperativa Fernheim Ltda..</t>
  </si>
  <si>
    <t>BBVA Banco.</t>
  </si>
  <si>
    <t>Itau S.A..</t>
  </si>
  <si>
    <t>Banco Continental S.A..</t>
  </si>
  <si>
    <t>Banco Amambay S.A..</t>
  </si>
  <si>
    <t>INMUEBLE EN FILADELFIA 1</t>
  </si>
  <si>
    <t>INMUEBLE EN FILADELFIA 2</t>
  </si>
  <si>
    <t xml:space="preserve">    Deudas financieras por Fideicomiso</t>
  </si>
  <si>
    <t xml:space="preserve">              Continental Fideicomiso</t>
  </si>
  <si>
    <t xml:space="preserve">             (-) Intereses a Vencer Fideicomiso</t>
  </si>
  <si>
    <t>Menos: Intereses a Vencer Fideicomiso</t>
  </si>
  <si>
    <t xml:space="preserve">            Continental Fideicomiso</t>
  </si>
  <si>
    <t xml:space="preserve">    Deudas financieras por Fideicomiso.</t>
  </si>
  <si>
    <t>Menos: Intereses a Vencer Fideicomiso.</t>
  </si>
  <si>
    <t xml:space="preserve">            (-) Intereses a Vencer Fideicomiso</t>
  </si>
  <si>
    <t>Visión Banco S.A..</t>
  </si>
  <si>
    <t>Deudas Financieras con Fideicomiso</t>
  </si>
  <si>
    <t xml:space="preserve">       Inversiones Temporales</t>
  </si>
  <si>
    <t>Pagos por adquisiciones e inversiones</t>
  </si>
  <si>
    <t>Inversiones Temporales</t>
  </si>
  <si>
    <t xml:space="preserve">Los saldos reflejados corresponden al corte de cada periodo. </t>
  </si>
  <si>
    <t>INFORME SOBRE PERSONAS VINCULADAS O RELACIONADAS</t>
  </si>
  <si>
    <t>a) Orlando Penner Durksen</t>
  </si>
  <si>
    <t>Inversiones de la sociedad en valores de otras empresas que representen más del 10% del activo de la sociedad</t>
  </si>
  <si>
    <t>Nombre de la Empresa</t>
  </si>
  <si>
    <t>Monto de la Inversión</t>
  </si>
  <si>
    <t>Tipo de valor</t>
  </si>
  <si>
    <t>Indicar el porcentaje de participación en el capital integrado de la sociedad emisora (solo en el caso de inversión en acciones)</t>
  </si>
  <si>
    <t>Activos de la sociedad comprometidos en más del 20% en garantía de obligaciones de otra u otras empresas</t>
  </si>
  <si>
    <t>Valor de los bienes gravados</t>
  </si>
  <si>
    <t>Tipo de bien o valor</t>
  </si>
  <si>
    <t>Monto de la deuda garantizada</t>
  </si>
  <si>
    <t>La entidad no posee bienes otorgados en garantías en más del 20% en garantía de obligaciones de otras empresas en el ejercicio informado.</t>
  </si>
  <si>
    <t xml:space="preserve">Nombre de la Sociedad Vinculada </t>
  </si>
  <si>
    <t xml:space="preserve">Factores de Vinculación </t>
  </si>
  <si>
    <t xml:space="preserve">Vinculación por nivel de endeudamiento: </t>
  </si>
  <si>
    <t xml:space="preserve">Activo </t>
  </si>
  <si>
    <t>Miles de Guaranies</t>
  </si>
  <si>
    <t>Persona Vinculada</t>
  </si>
  <si>
    <t>Cuenta</t>
  </si>
  <si>
    <t>Inversiones en Inmuebles</t>
  </si>
  <si>
    <t>Ingresos</t>
  </si>
  <si>
    <t>Intereses Cobrados</t>
  </si>
  <si>
    <r>
      <t>Egresos</t>
    </r>
    <r>
      <rPr>
        <u/>
        <sz val="9"/>
        <color indexed="8"/>
        <rFont val="Times New Roman"/>
        <family val="1"/>
      </rPr>
      <t/>
    </r>
  </si>
  <si>
    <t>Los Saldos con partes vinculadas fueron los siguientes:</t>
  </si>
  <si>
    <t>Las transacciones con partes vinculadas fueron las siguientes:</t>
  </si>
  <si>
    <t>Rem. Personal Superior</t>
  </si>
  <si>
    <t>Otros Gastos</t>
  </si>
  <si>
    <t>Perdidas por Valuación</t>
  </si>
  <si>
    <t xml:space="preserve">            Financiera El Comercio SAECA</t>
  </si>
  <si>
    <t xml:space="preserve">            Retencion IVA</t>
  </si>
  <si>
    <t xml:space="preserve">         Revalúo Tecnico</t>
  </si>
  <si>
    <t xml:space="preserve">         Gastos Extraordinarios</t>
  </si>
  <si>
    <t xml:space="preserve">         Reparacion y Mto de Rodados</t>
  </si>
  <si>
    <t>Diferencia de Cambio</t>
  </si>
  <si>
    <t xml:space="preserve">           DEUDAS FINANCIERAS CON TERCEROS</t>
  </si>
  <si>
    <t>Por el ejercicio finalizado el 31/12/2016 comparativo con el ejercicio anterior</t>
  </si>
  <si>
    <t>31.12.16</t>
  </si>
  <si>
    <t>Inversiones - Inmuebles</t>
  </si>
  <si>
    <t>(-)Amortización Intangibles</t>
  </si>
  <si>
    <t>Intereses a Vencer L.P.</t>
  </si>
  <si>
    <t>Bienes en Fideicomiso</t>
  </si>
  <si>
    <t>BIENES EN FIDEICOMISO (*)</t>
  </si>
  <si>
    <t>Bienes en Fideicomiso (*)</t>
  </si>
  <si>
    <t>Financiera El Comercio S.A.E.C.A.</t>
  </si>
  <si>
    <t>determinada sobre saldo devengadas mensualmente. Estas inversiones van variando en capital</t>
  </si>
  <si>
    <t>Intereses Cobrados a Deudores</t>
  </si>
  <si>
    <t>Intereses Financieros Pagados</t>
  </si>
  <si>
    <t>Venta de Activo Fijo</t>
  </si>
  <si>
    <t>Costo de Activo Fijo</t>
  </si>
  <si>
    <t xml:space="preserve">        Gastos de Vehiculos Post Vta</t>
  </si>
  <si>
    <t>Revalúo Técnico</t>
  </si>
  <si>
    <t>(*) Corresponde al aumento de valor de inmuebles y edificios según tasaciones realizadas de abril y noviembre 2017 por los Ing. Rafael Sapienza Avila y Eduardo Francisco Pangrazio.</t>
  </si>
  <si>
    <t xml:space="preserve">    Revalúo Técnico</t>
  </si>
  <si>
    <t xml:space="preserve"> ANEXO G</t>
  </si>
  <si>
    <t xml:space="preserve">Caja Efectivo </t>
  </si>
  <si>
    <t>Otros Bancos</t>
  </si>
  <si>
    <t>Clientes locales</t>
  </si>
  <si>
    <t>Constitución de previsiones</t>
  </si>
  <si>
    <t>Desafectación de previsiones</t>
  </si>
  <si>
    <t>Impuesto a la Renta del Periodo</t>
  </si>
  <si>
    <t>Los gastos del personal incurridos han sido las siguientes:</t>
  </si>
  <si>
    <t>Venta de Bienes</t>
  </si>
  <si>
    <t>Venta de Servicios</t>
  </si>
  <si>
    <t>Intereses y Otros Ingresos Financieros (Incluidos los intereses, comisiones, rendimientos y ganancias de Capital colocados en el Exterior)</t>
  </si>
  <si>
    <t>Otros ingresos Gravados por el IRACIS</t>
  </si>
  <si>
    <t>Menos:Devoluciones, bonificaciones y descuentos otorgados</t>
  </si>
  <si>
    <t>C- TOTAL DE COSTOS</t>
  </si>
  <si>
    <t xml:space="preserve">Sueldos y Salarios sujetos al Regimen de Seguro Social admitido por Ley </t>
  </si>
  <si>
    <t>Aguinaldos</t>
  </si>
  <si>
    <t>Cargas Sociales - Aporte Patronal</t>
  </si>
  <si>
    <t>Remuneración Personal Superior (Excluidos aquellos que aporten al Regimen de Seguro Social admitido por Ley)</t>
  </si>
  <si>
    <t>Honorarios Profesionales y otras remuneraciones por conceptos de servicios personales</t>
  </si>
  <si>
    <t>Arrendamiento, cesion de uso y locacion de bienes y derechos</t>
  </si>
  <si>
    <t>Fletes y Gastos de Comercializacion</t>
  </si>
  <si>
    <t>Donaciones</t>
  </si>
  <si>
    <t>Depreciaciones y amortizaciones</t>
  </si>
  <si>
    <t>Previsiones y/o castigo por malos creditos</t>
  </si>
  <si>
    <t>Gastos y contribuciones a favor del personal</t>
  </si>
  <si>
    <t>Impuesto a la Renta IRACIS</t>
  </si>
  <si>
    <t>Gastos Generales</t>
  </si>
  <si>
    <t>Otros gastos (no señalados expresamente en los items anteriores</t>
  </si>
  <si>
    <t xml:space="preserve">            (-) Venta de Cartera MF</t>
  </si>
  <si>
    <t xml:space="preserve">            (-) Venta de Cartera Ganadera Vista Alegre</t>
  </si>
  <si>
    <t xml:space="preserve">            (-) Venta de Cartera El Comercio</t>
  </si>
  <si>
    <t xml:space="preserve">            (-) Venta de Cartera Ganad Vista Alegre</t>
  </si>
  <si>
    <t xml:space="preserve">            Registro de Marca</t>
  </si>
  <si>
    <t>DEPRECIACION BIENES ENERO</t>
  </si>
  <si>
    <t>Software Informatico</t>
  </si>
  <si>
    <t>Registro de Marcas</t>
  </si>
  <si>
    <t>REV TRANSF INTERESES A VEN LP</t>
  </si>
  <si>
    <t>Valor Registrado Periodo Actual</t>
  </si>
  <si>
    <t>Valor Registrado Periodo Ant.</t>
  </si>
  <si>
    <t>antic prov gs</t>
  </si>
  <si>
    <t>prov total usd</t>
  </si>
  <si>
    <t>prov cp</t>
  </si>
  <si>
    <t>prov lp</t>
  </si>
  <si>
    <t>Venta de Activos</t>
  </si>
  <si>
    <t>Nota 4.1 – Composición de Cartera de Créditos</t>
  </si>
  <si>
    <t xml:space="preserve">            (-) Venta de Cartera Otras Entidades</t>
  </si>
  <si>
    <t xml:space="preserve">            (-) Venta de Cartera Otras entidades</t>
  </si>
  <si>
    <t>Saldo inicial</t>
  </si>
  <si>
    <t>Totales:</t>
  </si>
  <si>
    <t>DEPRECIACIONES BIENES MAYO</t>
  </si>
  <si>
    <t>prest no banc total usd</t>
  </si>
  <si>
    <t>prest no banc cp usd</t>
  </si>
  <si>
    <t>prest no banc lp usd</t>
  </si>
  <si>
    <t>Financiera El Comercio..</t>
  </si>
  <si>
    <t xml:space="preserve">              Itapua Fideicomiso</t>
  </si>
  <si>
    <t xml:space="preserve">            Itapua Fideicomiso</t>
  </si>
  <si>
    <t xml:space="preserve">            Financiera El Comercio SAECA U$D</t>
  </si>
  <si>
    <t xml:space="preserve">            (-) Venta de Cartera Solar</t>
  </si>
  <si>
    <t xml:space="preserve">         Licencia Comercial</t>
  </si>
  <si>
    <t>TRANSF INTERES A VENC LP</t>
  </si>
  <si>
    <t>3-4-175</t>
  </si>
  <si>
    <t>Prestamos a personas vinculadas</t>
  </si>
  <si>
    <t xml:space="preserve">       Prestamos a personas vinculadas</t>
  </si>
  <si>
    <t xml:space="preserve">            Solra S.A. Cta Ahorro</t>
  </si>
  <si>
    <t xml:space="preserve">              Bonos a Pagar</t>
  </si>
  <si>
    <t xml:space="preserve">              (-) Intereses por bonos no devengados</t>
  </si>
  <si>
    <t xml:space="preserve">         DEUDAS POR BONOS</t>
  </si>
  <si>
    <t xml:space="preserve">         Costo IVA</t>
  </si>
  <si>
    <t xml:space="preserve">        DEUDAS POR BONOS EMITIDOS</t>
  </si>
  <si>
    <t xml:space="preserve">            Bonos a Pagar</t>
  </si>
  <si>
    <t xml:space="preserve">            (-) Intereses por Bonos no devengados</t>
  </si>
  <si>
    <t>Valores netos al 31 de diciembre de 2018</t>
  </si>
  <si>
    <t>Diciembre 2018</t>
  </si>
  <si>
    <t>Diciembre de 2018</t>
  </si>
  <si>
    <t>Saldo a Diciembre-2018</t>
  </si>
  <si>
    <t>NISSAN</t>
  </si>
  <si>
    <t>CAMIONETA</t>
  </si>
  <si>
    <t>Grupo</t>
  </si>
  <si>
    <t>USADOS</t>
  </si>
  <si>
    <t>NISSAN 866282</t>
  </si>
  <si>
    <t>FRONTIER C/S 4X4 TD 2,5 MEC : FRONTIER PLATA</t>
  </si>
  <si>
    <t>NISSAN 0050144</t>
  </si>
  <si>
    <t>NAVARA D/C 4X4 LE FULL AUT. C/CUERO : NAVARA GRIS</t>
  </si>
  <si>
    <t>NISSAN Z0004020</t>
  </si>
  <si>
    <t>NAVARA D/C 4X4 LE FULL AUT. C/CUERO : NAVARA DORADO</t>
  </si>
  <si>
    <t>NISSAN K929445</t>
  </si>
  <si>
    <t>FRONTIER D/C 4X4 TD 2,5 MEC : FRONTIER VERDE - JUDICIALES</t>
  </si>
  <si>
    <t>NISSAN K351367</t>
  </si>
  <si>
    <t>FRONTIER D/C 4X4 NP300S MEC. STANDAR : FRONTIER AZUL</t>
  </si>
  <si>
    <t>NISSAN 0050380</t>
  </si>
  <si>
    <t>FRONTIER C/S 4X4 DX QD 3,2 : FRONTIER VERDE</t>
  </si>
  <si>
    <t>AUTOMOVIL</t>
  </si>
  <si>
    <t>NISSAN K130488</t>
  </si>
  <si>
    <t>TIIDA SEDAN ENTRY MEC. : TIIDA GRIS</t>
  </si>
  <si>
    <t>TOYOTA</t>
  </si>
  <si>
    <t>TOYOTA 577949</t>
  </si>
  <si>
    <t>HILUX D/C 4X4 MEC : HILUX BLANCO</t>
  </si>
  <si>
    <t>STATION WAGON</t>
  </si>
  <si>
    <t>TOYOTA 037947</t>
  </si>
  <si>
    <t>RAV4 4X4 DIESEL : RAV4 NEGRO</t>
  </si>
  <si>
    <t>VOLKSWAGEN</t>
  </si>
  <si>
    <t>NUEVOS</t>
  </si>
  <si>
    <t>VOLKSWAGEN 016202</t>
  </si>
  <si>
    <t>KOMBI 1.6 : KOMBI CELESTE</t>
  </si>
  <si>
    <t>VOLKSWAGEN 000294</t>
  </si>
  <si>
    <t>AMAROK V6 HIGHLINE 4X4 AUT. ASI ELE. : AMAROK GRIS</t>
  </si>
  <si>
    <t>VOLKSWAGEN A000532</t>
  </si>
  <si>
    <t>AMAROK V6 HIGHLINE 4X4 AUT. ASI ELE. : AMAROK PLATA</t>
  </si>
  <si>
    <t>VOLKSWAGEN 003036</t>
  </si>
  <si>
    <t>AMAROK V6 HIGHLINE FULL : AMAROK BEIGE METALIZADO</t>
  </si>
  <si>
    <t>VOLKSWAGEN 004808</t>
  </si>
  <si>
    <t>AMAROK V6 HIGHLINE 4X4 AUT. INTERMEDIA : AMAROK BEIGE</t>
  </si>
  <si>
    <t>VOLKSWAGEN 005873</t>
  </si>
  <si>
    <t>AMAROK V6 HIGHLINE 4X4 AUT. INTERMEDIA : AMAROK BLANCO</t>
  </si>
  <si>
    <t>VOLKSWAGEN A000785</t>
  </si>
  <si>
    <t>AMAROK V6 HIGHLINE 4X4 AUT. TELA : AMAROK BEIGE</t>
  </si>
  <si>
    <t>VOLKSWAGEN 003147</t>
  </si>
  <si>
    <t>AMAROK V6 HIGHLINE 4X4 AUT. TELA : AMAROK PLATA</t>
  </si>
  <si>
    <t>VOLKSWAGEN 002005</t>
  </si>
  <si>
    <t>AMAROK V6 HIGHLINE TELA : AMAROK BEIGE</t>
  </si>
  <si>
    <t>VOLKSWAGEN 002029</t>
  </si>
  <si>
    <t>AMAROK V6 HIGHLINE TELA : AMAROK PLATA</t>
  </si>
  <si>
    <t>VOLKSWAGEN 002829</t>
  </si>
  <si>
    <t>VOLKSWAGEN 001815</t>
  </si>
  <si>
    <t>VOLKSWAGEN 001399</t>
  </si>
  <si>
    <t>AMAROK V6 HIGHLINE TELA : AMAROK BLANCO</t>
  </si>
  <si>
    <t>VOLKSWAGEN 006047</t>
  </si>
  <si>
    <t>AMAROK V6 HIGHLINE INTERMEDIO : AMAROK PLATA</t>
  </si>
  <si>
    <t>VOLKSWAGEN 006151</t>
  </si>
  <si>
    <t>AMAROK V6 HIGHLINE INTERMEDIO : AMAROK GRIS</t>
  </si>
  <si>
    <t>VOLKSWAGEN 008509</t>
  </si>
  <si>
    <t>VOLKSWAGEN 061275</t>
  </si>
  <si>
    <t>SAVEIRO CAB. EXTEND : SAVEIRO PLATA</t>
  </si>
  <si>
    <t>VOLKSWAGEN 000031</t>
  </si>
  <si>
    <t>AMAROK V6 HIGHLINE FULL : AMAROK BEIGE</t>
  </si>
  <si>
    <t>VOLKSWAGEN 000723</t>
  </si>
  <si>
    <t>AMAROK HIGHLINE B/T 4X2 AUT S/CUERO : AMAROK BLANCO</t>
  </si>
  <si>
    <t>VOLKSWAGEN 000737</t>
  </si>
  <si>
    <t>VOLKSWAGEN 001066</t>
  </si>
  <si>
    <t>AMAROK V6 HIGHLINE TELA : AMAROK GRIS</t>
  </si>
  <si>
    <t>VOLKSWAGEN 001045</t>
  </si>
  <si>
    <t>VOLKSWAGEN K001047</t>
  </si>
  <si>
    <t>VOLKSWAGEN 001039</t>
  </si>
  <si>
    <t>VOLKSWAGEN A001056</t>
  </si>
  <si>
    <t>VOLKSWAGEN A001051</t>
  </si>
  <si>
    <t>VOLKSWAGEN 001530</t>
  </si>
  <si>
    <t>AMAROK HIGHLINE B/T 4X4 AUT S/CUERO : AMAROK BLANCO</t>
  </si>
  <si>
    <t>VOLKSWAGEN 001531</t>
  </si>
  <si>
    <t>AMAROK HIGHLINE B/T 4X4 AUT C/CUERO : AMAROK GRIS</t>
  </si>
  <si>
    <t>VOLKSWAGEN 001659</t>
  </si>
  <si>
    <t>AMAROK HIGHLINE B/T 4X4 AUT S/CUERO : AMAROK GRIS</t>
  </si>
  <si>
    <t>VOLKSWAGEN 001120</t>
  </si>
  <si>
    <t>TIGUAN COMFORT 3 HILERAS : TIGUAN BLANCO</t>
  </si>
  <si>
    <t>VOLKSWAGEN A001522</t>
  </si>
  <si>
    <t>AMAROK V6 HIGHLINE FULL : AMAROK GRIS</t>
  </si>
  <si>
    <t>VOLKSWAGEN A001906</t>
  </si>
  <si>
    <t>AMAROK HIGHLINE B/T 4X4 AUT S/CUERO : AMAROK PLATA</t>
  </si>
  <si>
    <t>VOLKSWAGEN 001616</t>
  </si>
  <si>
    <t>VOLKSWAGEN 001532</t>
  </si>
  <si>
    <t>TIGUAN TRENDLINE 3 HILERAS : TIGUAN GRIS PLATINO</t>
  </si>
  <si>
    <t>VOLKSWAGEN 001105</t>
  </si>
  <si>
    <t>TIGUAN COMFORT 3 HILERAS : TIGUAN ROJO RUBY</t>
  </si>
  <si>
    <t>VOLKSWAGEN 001534</t>
  </si>
  <si>
    <t>TIGUAN COMFORT 3 HILERAS : TIGUAN GRIS PLATINO</t>
  </si>
  <si>
    <t>VOLKSWAGEN 001552</t>
  </si>
  <si>
    <t>TIGUAN TRENDLINE 2 HILERAS : TIGUAN BLANCO</t>
  </si>
  <si>
    <t>VOLKSWAGEN M000894</t>
  </si>
  <si>
    <t>TIGUAN COMFORT 2 HILERAS : TIGUAN BLANCO</t>
  </si>
  <si>
    <t>VOLKSWAGEN 001469</t>
  </si>
  <si>
    <t>VOLKSWAGEN 001517</t>
  </si>
  <si>
    <t>VOLKSWAGEN 001535</t>
  </si>
  <si>
    <t>VOLKSWAGEN 016051</t>
  </si>
  <si>
    <t>SAVEIRO CROSS D/CABINA : SAVEIRO PLATA</t>
  </si>
  <si>
    <t>VOLKSWAGEN 067332</t>
  </si>
  <si>
    <t>SAVEIRO CAB. SIMPLE : SAVEIRO BLANCO</t>
  </si>
  <si>
    <t>VOLKSWAGEN M000645</t>
  </si>
  <si>
    <t>TIGUAN HIGHLINE 3 HILERAS : TIGUAN ROJO</t>
  </si>
  <si>
    <t>VOLKSWAGEN 001948</t>
  </si>
  <si>
    <t>AMAROK HIGHLINE B/T 4X4 AUT S/CUERO : AMAROK BEIGE METALIZADO</t>
  </si>
  <si>
    <t>VOLKSWAGEN 001926</t>
  </si>
  <si>
    <t>VOLKSWAGEN001925</t>
  </si>
  <si>
    <t>AMAROK HIGHLINE B/T 4X4 AUT C/CUERO : AMAROK AZUL METALIZADO</t>
  </si>
  <si>
    <t>VOLKSWAGEN 001938</t>
  </si>
  <si>
    <t>AMAROK HIGHLINE B/T 4X4 AUT S/CUERO : AMAROK AZUL METALIZADO</t>
  </si>
  <si>
    <t>VOLKSWAGEN 001828</t>
  </si>
  <si>
    <t>AMAROK HIGHLINE B/T 4X4 AUT C/CUERO : AMAROK PLATA</t>
  </si>
  <si>
    <t>VOLKSWAGEN 001791</t>
  </si>
  <si>
    <t>AMAROK V6 HIGHLINE FULL : AMAROK BLANCO</t>
  </si>
  <si>
    <t>VOLKSWAGEN 001749</t>
  </si>
  <si>
    <t>AMAROK V6 HIGHLINE FULL : AMAROK PLATA</t>
  </si>
  <si>
    <t>VOLKSWAGEN 001774</t>
  </si>
  <si>
    <t>VOLKSWAGEN 001944</t>
  </si>
  <si>
    <t>AMAROK HIGHLINE B/T 4X4 AUT S/CUERO : AMAROK BEIGE</t>
  </si>
  <si>
    <t>VOLKSWAGEN 001939</t>
  </si>
  <si>
    <t>VOLKSWAGEN 002309</t>
  </si>
  <si>
    <t>VOLKSWAGEN 002267</t>
  </si>
  <si>
    <t>AMAROK HIGHLINE B/T 4X4 AUT C/CUERO : AMAROK BLANCO</t>
  </si>
  <si>
    <t>VOLKSWAGEN 002156</t>
  </si>
  <si>
    <t>AMAROK COMFORT B/T 4X4 MEC MANUAL L.V. : AMAROK BLANCO</t>
  </si>
  <si>
    <t>VOLKSWAGEN 002016</t>
  </si>
  <si>
    <t>VOLKSWAGEN 002021</t>
  </si>
  <si>
    <t>AMAROK V6 HIGHLINE FULL : AMAROK AZUL</t>
  </si>
  <si>
    <t>VOLKSWAGEN 001741</t>
  </si>
  <si>
    <t>VOLKSWAGEN 001951</t>
  </si>
  <si>
    <t>VOLKSWAGEN 002064</t>
  </si>
  <si>
    <t>VOLKSWAGEN 002308</t>
  </si>
  <si>
    <t>AMAROK HIGHLINE FULL B/T 4X4 AUT. C/C : AMAROK BLANCO</t>
  </si>
  <si>
    <t>VOLKSWAGEN 002264</t>
  </si>
  <si>
    <t>VOLKSWAGEN A002260</t>
  </si>
  <si>
    <t>AMAROK HIGHLINE FULL B/T 4X4 AUT. C/C : AMAROK PLATA</t>
  </si>
  <si>
    <t>VOLKSWAGEN 002330</t>
  </si>
  <si>
    <t>AMAROK HIGHLINE B/T4X4 AUT. C/C : AMAROK PLATA</t>
  </si>
  <si>
    <t>VOLKSWAGEN 002259</t>
  </si>
  <si>
    <t>AMAROK HIGHLINE B/T4X4 AUT. C/C : AMAROK BLANCO</t>
  </si>
  <si>
    <t>VOLKSWAGEN 002294</t>
  </si>
  <si>
    <t>VOLKSWAGEN 002015</t>
  </si>
  <si>
    <t>VOLKSWAGEN A001820</t>
  </si>
  <si>
    <t>AMAROK HIGHLINE 4X4 S/CUERO : AMAROK PLATA</t>
  </si>
  <si>
    <t>VOLKSWAGEN 001569</t>
  </si>
  <si>
    <t>VOLKSWAGEN 002278</t>
  </si>
  <si>
    <t>AMAROK HIGHLINE B/T 4X4 AUT C/CUERO : AMAROK BEIGE</t>
  </si>
  <si>
    <t>VOLKSWAGEN 002170</t>
  </si>
  <si>
    <t>AMAROK HIGHLINE 4X4 S/CUERO : AMAROK GRIS</t>
  </si>
  <si>
    <t>VOLKSWAGEN 002271</t>
  </si>
  <si>
    <t>VOLKSWAGEN 002218</t>
  </si>
  <si>
    <t>AMAROK HIGHLINE 4X4 S/CUERO : AMAROK BLANCO</t>
  </si>
  <si>
    <t>VOLKSWAGEN 002384</t>
  </si>
  <si>
    <t>VOLKSWAGEN 002389</t>
  </si>
  <si>
    <t>VOLKSWAGEN 002751</t>
  </si>
  <si>
    <t>VOLKSWAGEN 016703</t>
  </si>
  <si>
    <t>SAVEIRO CAB. SIMPLE : SAVEIRO PLATA</t>
  </si>
  <si>
    <t>VOLKSWAGEN 016700</t>
  </si>
  <si>
    <t>VOLKSWAGEN 016787</t>
  </si>
  <si>
    <t>VOLKSWAGEN 001869</t>
  </si>
  <si>
    <t>TIGUAN HIGHLINE 3 HILERAS : TIGUAN BLANCO</t>
  </si>
  <si>
    <t>VOLKSWAGEN 020889</t>
  </si>
  <si>
    <t>VOLKSWAGEN 016784</t>
  </si>
  <si>
    <t>VOLKSWAGEN 002668</t>
  </si>
  <si>
    <t>TOUAREG 3.0 TDI : TOUAREG DORADO</t>
  </si>
  <si>
    <t>VOLKSWAGEN 001751</t>
  </si>
  <si>
    <t>VOLKSWAGEN 001048</t>
  </si>
  <si>
    <t>VOLKSWAGEN 021752</t>
  </si>
  <si>
    <t>SAVEIRO DOBLE CABINA : SAVEIRO ROJO</t>
  </si>
  <si>
    <t>VOLKSWAGEN 001872</t>
  </si>
  <si>
    <t>AMAROK COMFORT M/T 4X4 C/S : AMAROK BLANCO</t>
  </si>
  <si>
    <t>VOLKSWAGEN 002125</t>
  </si>
  <si>
    <t>VOLKSWAGEN 001666</t>
  </si>
  <si>
    <t>VOLKSWAGEN 002060</t>
  </si>
  <si>
    <t>VOLKSWAGEN 002303</t>
  </si>
  <si>
    <t>AMAROK HIGHLINE B/T 4X4 MEC : AMAROK GRIS</t>
  </si>
  <si>
    <t>VOLKSWAGEN 002217</t>
  </si>
  <si>
    <t>VOLKSWAGEN 002194</t>
  </si>
  <si>
    <t>VOLKSWAGEN 002316</t>
  </si>
  <si>
    <t>AMAROK HIGHLINE B/T 4X4 MEC : AMAROK PLATA</t>
  </si>
  <si>
    <t>VOLKSWAGEN 002623</t>
  </si>
  <si>
    <t>VOLKSWAGEN 002286</t>
  </si>
  <si>
    <t>VOLKSWAGEN 001918</t>
  </si>
  <si>
    <t>VOLKSWAGEN 001933</t>
  </si>
  <si>
    <t>VOLKSWAGEN 001628</t>
  </si>
  <si>
    <t>VOLKSWAGEN 002484</t>
  </si>
  <si>
    <t>VOLKSWAGEN 002975</t>
  </si>
  <si>
    <t>VOLKSWAGEN 002938</t>
  </si>
  <si>
    <t>VOLKSWAGEN 003348</t>
  </si>
  <si>
    <t>VOLKSWAGEN 001868</t>
  </si>
  <si>
    <t>VOLKSWAGEN 001733</t>
  </si>
  <si>
    <t>VOLKSWAGEN 001040</t>
  </si>
  <si>
    <t>VOLKSWAGEN 014911</t>
  </si>
  <si>
    <t>SAVEIRO CROSS D/CABINA : SAVEIRO ROJO</t>
  </si>
  <si>
    <t>VOLKSWAGEN 013371</t>
  </si>
  <si>
    <t>VOLKSWAGEN 016150</t>
  </si>
  <si>
    <t>SAVEIRO CROSS D/CABINA : SAVEIRO BLANCO</t>
  </si>
  <si>
    <t>VOLKSWAGEN 014406</t>
  </si>
  <si>
    <t>VOLKSWAGEN 013526</t>
  </si>
  <si>
    <t>VOLKSWAGEN P014402</t>
  </si>
  <si>
    <t>VOLKSWAGEN 013123</t>
  </si>
  <si>
    <t>SAVEIRO CROSS D/CABINA : SAVEIRO NEGRO</t>
  </si>
  <si>
    <t>VOLKSWAGEN 005136</t>
  </si>
  <si>
    <t>VOLKSWAGEN 013698</t>
  </si>
  <si>
    <t>VOLKSWAGEN 016588</t>
  </si>
  <si>
    <t>SAVEIRO CAB. SIMPLE : SAVEIRO ROJO</t>
  </si>
  <si>
    <t>VOLKSWAGEN 002223</t>
  </si>
  <si>
    <t>AMAROK HIGHLINE B/T 4X4 AUT S/CUERO : AMAROK AZUL</t>
  </si>
  <si>
    <t>VOLKSWAGEN KA001940</t>
  </si>
  <si>
    <t>VOLKSWAGEN 001934</t>
  </si>
  <si>
    <t>VOLKSWAGEN 002372</t>
  </si>
  <si>
    <t>VOLKSWAGEN 002920</t>
  </si>
  <si>
    <t>VOLKSWAGEN 001585</t>
  </si>
  <si>
    <t>VOLKSWAGEN 001581</t>
  </si>
  <si>
    <t>VOLKSWAGEN 002188</t>
  </si>
  <si>
    <t>VOLKSWAGEN 002189</t>
  </si>
  <si>
    <t>VOLKSWAGEN 081988</t>
  </si>
  <si>
    <t>GOL HATCH TREND S/LLANTA : GOL BLANCO</t>
  </si>
  <si>
    <t>VOLKSWAGEN 015257</t>
  </si>
  <si>
    <t>VOLKSWAGEN 021586</t>
  </si>
  <si>
    <t>VOLKSWAGEN 020560</t>
  </si>
  <si>
    <t>VOLKSWAGEN 020298</t>
  </si>
  <si>
    <t>VOLKSWAGEN 016612</t>
  </si>
  <si>
    <t>VOLKSWAGEN 016271</t>
  </si>
  <si>
    <t>VOLKSWAGEN 016168</t>
  </si>
  <si>
    <t>VOLKSWAGEN 016287</t>
  </si>
  <si>
    <t>VOLKSWAGEN 015675</t>
  </si>
  <si>
    <t>SAVEIRO CAB. SIMPLE : SAVEIRO NEGRO</t>
  </si>
  <si>
    <t>VOLKSWAGEN 017071</t>
  </si>
  <si>
    <t>VOLKSWAGEN 016858</t>
  </si>
  <si>
    <t>VOLKSWAGEN 016901</t>
  </si>
  <si>
    <t>VOLKSWAGEN 020596</t>
  </si>
  <si>
    <t>VOLKSWAGEN 015337</t>
  </si>
  <si>
    <t>VOLKSWAGEN 015338</t>
  </si>
  <si>
    <t>VOLKSWAGEN 016707</t>
  </si>
  <si>
    <t>VOLKSWAGEN 015366</t>
  </si>
  <si>
    <t>VOLKSWAGEN 016327</t>
  </si>
  <si>
    <t>VOLKSWAGEN 015003</t>
  </si>
  <si>
    <t>VOLKSWAGEN 017098</t>
  </si>
  <si>
    <t>VOLKSWAGEN 015019</t>
  </si>
  <si>
    <t>VOLKSWAGEN 007443</t>
  </si>
  <si>
    <t>AMAROK HIGHLINE B/T 4X4 AUT C/CUERO : AMAROK NEGRO</t>
  </si>
  <si>
    <t>VOLKSWAGEN EA000922</t>
  </si>
  <si>
    <t>AMAROK COMFORT B/T 4X4 AUT. : AMAROK BEIGE</t>
  </si>
  <si>
    <t>VOLKSWAGEN B8035666</t>
  </si>
  <si>
    <t>AMAROK HIGHLINE B/T 4X2 AUT S/CUERO : AMAROK NEGRO</t>
  </si>
  <si>
    <t>VOLKSWAGEN A014353</t>
  </si>
  <si>
    <t>VOLKSWAGEN A000526</t>
  </si>
  <si>
    <t>AMAROK COMFORT B/T 4X4 AUT : AMAROK BLANCO</t>
  </si>
  <si>
    <t>VOLKSWAGEN GA000835</t>
  </si>
  <si>
    <t>VOLKSWAGEN B8022814</t>
  </si>
  <si>
    <t>AMAROK COMFORT B/T 4X2 MEC : AMAROK PLATA</t>
  </si>
  <si>
    <t>VOLKSWAGEN A000778</t>
  </si>
  <si>
    <t>AMAROK HIGHLINE B/T 4X4 AUT : AMAROK GRIS OSCURO</t>
  </si>
  <si>
    <t>VOLKSWAGEN A001111</t>
  </si>
  <si>
    <t>VOLSKWAGEN KM000533</t>
  </si>
  <si>
    <t>TIGUAN COMFORT 3 HILERAS : TIGUAN PLATA/BLANCO</t>
  </si>
  <si>
    <t>VOLKSWAGEN DA024849</t>
  </si>
  <si>
    <t>AMAROK COMFORT B/T 4X4 AUT : AMAROK PLATA</t>
  </si>
  <si>
    <t>VOLKSWAGEN B8068856</t>
  </si>
  <si>
    <t>AMAROK COMFORT M/T 4X2 MEC D/C : AMAROK GRIS</t>
  </si>
  <si>
    <t>VOLKSWAGEN FA000627</t>
  </si>
  <si>
    <t>VOLKSWAGEN B8024148</t>
  </si>
  <si>
    <t>AMAROK COMFORT B/T 4X2 MEC : AMAROK BLANCO</t>
  </si>
  <si>
    <t>VOLKSWAGEN FA021292</t>
  </si>
  <si>
    <t>VOLKSWAGEN A007252</t>
  </si>
  <si>
    <t>AMAROK HIGHLINE B/T EXTREME AUT 4X4 : AMAROK AZUL</t>
  </si>
  <si>
    <t>VOLKSWAGEN 8031521</t>
  </si>
  <si>
    <t>AMAROK HIGHLINE B/T 4X2 MEC : AMAROK GRIS</t>
  </si>
  <si>
    <t>VOLKSWAGEN A024940</t>
  </si>
  <si>
    <t>AMAROK COMFORT M/T 4X4 MEC L.V.M. : AMAROK BEIGE</t>
  </si>
  <si>
    <t>VOLKSWAGEN Z008689</t>
  </si>
  <si>
    <t>VOLKSWAGEN A008568</t>
  </si>
  <si>
    <t>AMAROK COMFORT M/T 4X4 MEC : AMAROK GRIS</t>
  </si>
  <si>
    <t>VOLKSWAGEN 011623</t>
  </si>
  <si>
    <t>VOLKSWAGEN 8036017</t>
  </si>
  <si>
    <t>AMAROK HIGHLINE B/T 4X4 MEC S/CUERO : AMAROK SAND BEIGE</t>
  </si>
  <si>
    <t>VOLKSWAGEN A025755</t>
  </si>
  <si>
    <t>AMAROK COMFORT B/T 4X4 MEC : AMAROK BLANCO</t>
  </si>
  <si>
    <t>VOLSWAGEN 8021050</t>
  </si>
  <si>
    <t>AMAROK COMFORT B/T 4X4 MEC MANUAL L.V. : AMAROK BEIGE</t>
  </si>
  <si>
    <t>VOLKSWAGEN P086294</t>
  </si>
  <si>
    <t>PARATI SURF 1.6 : PARATI GRIS</t>
  </si>
  <si>
    <t>VOLKSWAGEN T094483</t>
  </si>
  <si>
    <t>GOL HATCH TREND S/LLANTA : GOL BLANCO - EN DESARME</t>
  </si>
  <si>
    <t>VOLKSWAGEN P508717</t>
  </si>
  <si>
    <t>VOLKSWAGEN 023594</t>
  </si>
  <si>
    <t>GOL 1.6 GL : GOL BLANCO</t>
  </si>
  <si>
    <t>VOLKSWAGEN M299355</t>
  </si>
  <si>
    <t>VENTO . : VENTO AZUL</t>
  </si>
  <si>
    <t>VOLKSWAGEN P508881</t>
  </si>
  <si>
    <t>GOL HATCH TREND S/LLANTA : GOL GRIS</t>
  </si>
  <si>
    <t>VOLKSWAGEN P039996</t>
  </si>
  <si>
    <t>SAVEIRO CAB. EXTEND : SAVEIRO GRIS QUARZO</t>
  </si>
  <si>
    <t>VOLKSWAGEN 600181</t>
  </si>
  <si>
    <t>FUSCA NEW BEETLE : FUSCA PLATA</t>
  </si>
  <si>
    <t>VOLKSWAGEN 053353</t>
  </si>
  <si>
    <t>GOL SEDAN HIGHLINE : GOL PLATA</t>
  </si>
  <si>
    <t>VOLKSWAGEN 062288</t>
  </si>
  <si>
    <t>VIRTUS MSI : VIRTUS BLANCO</t>
  </si>
  <si>
    <t>VOLKSWAGEN 4002524</t>
  </si>
  <si>
    <t>FOX EXTREME 1.6 : FOX PLATA</t>
  </si>
  <si>
    <t>VOLKSWAGEN 003018</t>
  </si>
  <si>
    <t>FOX EXTREME 1.6 : FOX BLANCO</t>
  </si>
  <si>
    <t>VOLKSWAGEN 013290</t>
  </si>
  <si>
    <t>VOLKSWAGEN 514988</t>
  </si>
  <si>
    <t>POLO 1.6 MSI : POLO PLATA</t>
  </si>
  <si>
    <t>VOLKSWAGEN 515183</t>
  </si>
  <si>
    <t>POLO 1.6 MSI : POLO PLATA TUNSTENO</t>
  </si>
  <si>
    <t>VOLKSWAGEN 522797</t>
  </si>
  <si>
    <t>POLO 1.6 MSI : POLO BLANCO</t>
  </si>
  <si>
    <t>VOLKSWAGEN 522006</t>
  </si>
  <si>
    <t>NEW VIRTUS 1.6 MSI : NEW VIRTUS PLATA</t>
  </si>
  <si>
    <t>VOLKSWAGEN 512669</t>
  </si>
  <si>
    <t>NEW VIRTUS 1.6 MSI : NEW VIRTUS BLANCO</t>
  </si>
  <si>
    <t>VOLKSWAGEN 043613</t>
  </si>
  <si>
    <t>GOL SEDAN TREND : GOL PLATA</t>
  </si>
  <si>
    <t>VOLKSWAGEN 019787</t>
  </si>
  <si>
    <t>GOL SEDAN TREND : GOL BLANCO</t>
  </si>
  <si>
    <t>VOLKSWAGEN 080586</t>
  </si>
  <si>
    <t>GOL HATCH TREND S/LLANTA : GOL PLATA</t>
  </si>
  <si>
    <t>VOLKSWAGEN 014060</t>
  </si>
  <si>
    <t>GOL SEDAN TREND : GOL GRIS</t>
  </si>
  <si>
    <t>VOLKSWAGEN 082459</t>
  </si>
  <si>
    <t>GOL HATCH TREND S/LLANTA : GOL ROJO</t>
  </si>
  <si>
    <t>VOLKSWAGEN 079095</t>
  </si>
  <si>
    <t>VOLKSWAGEN 078872</t>
  </si>
  <si>
    <t>VOLKSWAGEN 078848</t>
  </si>
  <si>
    <t>VOLKSWAGEN 082777</t>
  </si>
  <si>
    <t>VOLKSWAGEN 078925</t>
  </si>
  <si>
    <t>GOL HATCH TREND S/LLANTA : GOL NEGRO</t>
  </si>
  <si>
    <t>VOLKSWAGEN 080450</t>
  </si>
  <si>
    <t>VOLKSWAGEN 082874</t>
  </si>
  <si>
    <t>VOLKSWAGEN 512123</t>
  </si>
  <si>
    <t>VIRTUS MSI : VIRTUS PLATA TUNSTENO</t>
  </si>
  <si>
    <t>VOLKSWAGEN 519162</t>
  </si>
  <si>
    <t>VIRTUS MSI : VIRTUS ROJO</t>
  </si>
  <si>
    <t>VOLKSWAGEN 522104</t>
  </si>
  <si>
    <t>NEW POLO HATCH 1.6 : NEW POLO PLATA TUNSTENO</t>
  </si>
  <si>
    <t>VOLKSWAGEN 523235</t>
  </si>
  <si>
    <t>NEW POLO HATCH 1.6 : NEW POLO ROJO</t>
  </si>
  <si>
    <t>VOLKSWAGEN 516113</t>
  </si>
  <si>
    <t>NEW POLO HATCH 1.6 : NEW POLO BLANCO</t>
  </si>
  <si>
    <t>VOLKSWAGEN 028606</t>
  </si>
  <si>
    <t>GOL SEDAN TREND : GOL AZUL</t>
  </si>
  <si>
    <t>VOLKSWAGEN 013958</t>
  </si>
  <si>
    <t>VOLKSWAGEN 020329</t>
  </si>
  <si>
    <t>SUZUKI</t>
  </si>
  <si>
    <t>SUZUKI 103451</t>
  </si>
  <si>
    <t>SX4 . : SX4 PLATA</t>
  </si>
  <si>
    <t>CHEVROLET</t>
  </si>
  <si>
    <t>CHEVROLET B251632</t>
  </si>
  <si>
    <t>MONTANA LS1.4 : MONTANA VERDE HERA ASH NEG</t>
  </si>
  <si>
    <t>CHEVROLET A148834</t>
  </si>
  <si>
    <t>SILVERADO MEC. 4X2 CAB. SIMPLE : SILVERADO GRIS</t>
  </si>
  <si>
    <t>CHEVROLET C427505</t>
  </si>
  <si>
    <t>S10 D/C 4X2 INT : S10 VERDE ADHARA</t>
  </si>
  <si>
    <t>HYUNDAI</t>
  </si>
  <si>
    <t>HYUNDAI 894013</t>
  </si>
  <si>
    <t>H1 FURGON : H1 BLANCO</t>
  </si>
  <si>
    <t>HYUNDAI 574299</t>
  </si>
  <si>
    <t>TUCSON 4X2 GL : TUCSON PLATA</t>
  </si>
  <si>
    <t>HYUNDAI 048694</t>
  </si>
  <si>
    <t>CRETA AUT. GLS 1.6 NAFT. : CRETA ROJO</t>
  </si>
  <si>
    <t>HYUNDAI P6U308282</t>
  </si>
  <si>
    <t>HYUNDAI U990212</t>
  </si>
  <si>
    <t>TUCSON MEC. 4X2 DIESEL : TUCSON BLANCO</t>
  </si>
  <si>
    <t>HYUNDAI U582113</t>
  </si>
  <si>
    <t>TUCSON MEC. 4X2 DIESEL : TUCSON PLATA</t>
  </si>
  <si>
    <t>HYUNDAI P815051</t>
  </si>
  <si>
    <t>HB20X FLEX : HB20X BLANCO</t>
  </si>
  <si>
    <t>HYUNDAI 862613</t>
  </si>
  <si>
    <t>HYUNDAI 966426</t>
  </si>
  <si>
    <t>HB20X FLEX : HB20X PLATA</t>
  </si>
  <si>
    <t>CAMION</t>
  </si>
  <si>
    <t>HYUNDAI 584642</t>
  </si>
  <si>
    <t>H-100 PORTER HR 2.6  1TON. : H-100 BLANCO</t>
  </si>
  <si>
    <t>MITSUBISHI</t>
  </si>
  <si>
    <t>MITSUBISHI 000356</t>
  </si>
  <si>
    <t>NATIVA . : NATIVA AZUL</t>
  </si>
  <si>
    <t>MITSUBISHI 028076</t>
  </si>
  <si>
    <t>TRITON . : TRITON PLATA</t>
  </si>
  <si>
    <t>HONDA</t>
  </si>
  <si>
    <t>MOTOCICLETA</t>
  </si>
  <si>
    <t>HONDA 004619</t>
  </si>
  <si>
    <t xml:space="preserve">WAVE NF 110 : WAVE </t>
  </si>
  <si>
    <t>ISUZU</t>
  </si>
  <si>
    <t>ISUZU H524042</t>
  </si>
  <si>
    <t>D-MAX C/ AMPL. 2.5 4X4 MEC. : D-MAX PLATA</t>
  </si>
  <si>
    <t>MERCEDES BENZ</t>
  </si>
  <si>
    <t>MERCEDEZ BENZ 567338</t>
  </si>
  <si>
    <t>ML 300 CDI 4MATIC : ML 300 CDI PLATA IRIDIO METAL</t>
  </si>
  <si>
    <t>RENAULT</t>
  </si>
  <si>
    <t>RENAULT 839432</t>
  </si>
  <si>
    <t>KANGOO EXPRESS CONFORT : KANGOO BLANCO</t>
  </si>
  <si>
    <t>BMW</t>
  </si>
  <si>
    <t>BMW D01762</t>
  </si>
  <si>
    <t>X3 3.0 I : X3 NEGRO</t>
  </si>
  <si>
    <t>SCANIA</t>
  </si>
  <si>
    <t>SCANIA 326008</t>
  </si>
  <si>
    <t>P93 . : P93 AZUL</t>
  </si>
  <si>
    <t>BEECHCRAFT</t>
  </si>
  <si>
    <t>AVION</t>
  </si>
  <si>
    <t>AVIONETA58</t>
  </si>
  <si>
    <t xml:space="preserve">MOD 58 BARON MOD 58 BARON : MOD 58 BARON </t>
  </si>
  <si>
    <t xml:space="preserve">            Volkswagen Argentina</t>
  </si>
  <si>
    <r>
      <t xml:space="preserve">            </t>
    </r>
    <r>
      <rPr>
        <u/>
        <sz val="11"/>
        <rFont val="Times New Roman"/>
        <family val="1"/>
      </rPr>
      <t>Vehiculos</t>
    </r>
  </si>
  <si>
    <t xml:space="preserve">            Volkswagen Brasil</t>
  </si>
  <si>
    <t xml:space="preserve">            Volkswagen Mexico</t>
  </si>
  <si>
    <t xml:space="preserve">            Volkswagen Alemania</t>
  </si>
  <si>
    <t xml:space="preserve">             Hyundai</t>
  </si>
  <si>
    <t>AMAROK COMFORT B/T 4X4 MEC : AMAROK GRIS</t>
  </si>
  <si>
    <t>Bonos Emitidos</t>
  </si>
  <si>
    <t>Bonos Emitidos.</t>
  </si>
  <si>
    <t xml:space="preserve">       Créditos por ventas</t>
  </si>
  <si>
    <t xml:space="preserve">       Créditos por ventas.</t>
  </si>
  <si>
    <t xml:space="preserve">    Deudas financieras por fideicomiso</t>
  </si>
  <si>
    <t xml:space="preserve">       Bienes en fideicomiso</t>
  </si>
  <si>
    <t xml:space="preserve">       Activos intangibles</t>
  </si>
  <si>
    <t xml:space="preserve">    Revalúo técnico</t>
  </si>
  <si>
    <t xml:space="preserve">    Resultados acumulados </t>
  </si>
  <si>
    <t xml:space="preserve">       Total del Activo no Corriente</t>
  </si>
  <si>
    <r>
      <t xml:space="preserve">    Deudas financieras por bonos</t>
    </r>
    <r>
      <rPr>
        <sz val="10"/>
        <color indexed="9"/>
        <rFont val="Times New Roman"/>
        <family val="1"/>
      </rPr>
      <t>.</t>
    </r>
  </si>
  <si>
    <t>Deudas Financieras por bonos</t>
  </si>
  <si>
    <t xml:space="preserve">       Ventas netas</t>
  </si>
  <si>
    <t xml:space="preserve">       Ganancia (Pérdida) ordinaria</t>
  </si>
  <si>
    <t>Anexo D</t>
  </si>
  <si>
    <t xml:space="preserve">       Resultado financiero y por tenencia (Anexo H)</t>
  </si>
  <si>
    <t>(**) Según escritura de modificación de estatutos de fecha 6/6/2018 se resuelve disminuir el capital para reducir los saldos con las vinculadas Nordland y Orlando Penner.</t>
  </si>
  <si>
    <t>Capitalización de Revalúo(*)</t>
  </si>
  <si>
    <t>Rescate de Capital(**)</t>
  </si>
  <si>
    <t>Dic-18</t>
  </si>
  <si>
    <t>Dic-17</t>
  </si>
  <si>
    <t xml:space="preserve">Primer inmueble: Finca N° 83, Cta. Ctral. 15-0211-14 </t>
  </si>
  <si>
    <t xml:space="preserve">Segundo inmueble: Finca N° 13287, Cta. Ctral. 15-1221-06 </t>
  </si>
  <si>
    <t xml:space="preserve">Tercer inmueble: Finca N° 13288, Cta. Ctral. 15-1221-04 </t>
  </si>
  <si>
    <t>Cuarto inmueble: Finca N° 13288, Cta. Ctral. 15-1221-03 E31</t>
  </si>
  <si>
    <t xml:space="preserve">Quinto inmueble: Finca N° 13288, Cta. Ctral. 15-1221-05. </t>
  </si>
  <si>
    <t xml:space="preserve">Sexto inmueble: Finca N° 13978, Cta. Ctral. 15-1221-02. </t>
  </si>
  <si>
    <t>Los inmuebles en fideicomiso son las siguientes las cuales están ubicadas en el Distrito de Santísima Trinidad:</t>
  </si>
  <si>
    <t>Inversiones no corrientes</t>
  </si>
  <si>
    <t>Estos inmuebles son:</t>
  </si>
  <si>
    <t>Inversiones en bienes inmuebles</t>
  </si>
  <si>
    <t>Nota 3 – Efectivo y Equivalentes de efectivo</t>
  </si>
  <si>
    <t>El detalle de Efectivo y equivalentes de efectivo es el siguiente:</t>
  </si>
  <si>
    <t>El detalle de Créditos por ventas es el siguiente:</t>
  </si>
  <si>
    <r>
      <t>Clientes locales</t>
    </r>
    <r>
      <rPr>
        <sz val="11"/>
        <color indexed="9"/>
        <rFont val="Times New Roman"/>
        <family val="1"/>
      </rPr>
      <t>.</t>
    </r>
  </si>
  <si>
    <r>
      <t>Créditos judiciales</t>
    </r>
    <r>
      <rPr>
        <sz val="11"/>
        <color indexed="9"/>
        <rFont val="Times New Roman"/>
        <family val="1"/>
      </rPr>
      <t>.</t>
    </r>
  </si>
  <si>
    <r>
      <t>Menos: Previsión para deudores incobrables</t>
    </r>
    <r>
      <rPr>
        <sz val="11"/>
        <color indexed="9"/>
        <rFont val="Times New Roman"/>
        <family val="1"/>
      </rPr>
      <t>.</t>
    </r>
  </si>
  <si>
    <r>
      <t>Menos: intereses a vencer s/ créditos</t>
    </r>
    <r>
      <rPr>
        <sz val="11"/>
        <color indexed="9"/>
        <rFont val="Times New Roman"/>
        <family val="1"/>
      </rPr>
      <t>.</t>
    </r>
  </si>
  <si>
    <t>Honorarios a vencer L.P.</t>
  </si>
  <si>
    <t xml:space="preserve">            Otras marcas</t>
  </si>
  <si>
    <r>
      <t>Proveedores locales</t>
    </r>
    <r>
      <rPr>
        <sz val="11"/>
        <color indexed="9"/>
        <rFont val="Times New Roman"/>
        <family val="1"/>
      </rPr>
      <t>.</t>
    </r>
  </si>
  <si>
    <t xml:space="preserve">Nota 7 - Deudas comerciales </t>
  </si>
  <si>
    <t>Nota 8 - Deudas financieras</t>
  </si>
  <si>
    <r>
      <t>Menos: Intereses a Vencer.</t>
    </r>
    <r>
      <rPr>
        <sz val="11"/>
        <color indexed="9"/>
        <rFont val="Times New Roman"/>
        <family val="1"/>
      </rPr>
      <t>.</t>
    </r>
  </si>
  <si>
    <t>El detalle de Deudas con fideicomiso es el siguiente:</t>
  </si>
  <si>
    <t>El detalle de Deudas con bonos es el siguiente:</t>
  </si>
  <si>
    <t>Menos: Intereses a vencer fideicomiso</t>
  </si>
  <si>
    <r>
      <t>Menos: Intereses a vencer fideicomiso</t>
    </r>
    <r>
      <rPr>
        <sz val="11"/>
        <color indexed="9"/>
        <rFont val="Times New Roman"/>
        <family val="1"/>
      </rPr>
      <t>.</t>
    </r>
  </si>
  <si>
    <t xml:space="preserve">Nota 9 - Deudas diversas </t>
  </si>
  <si>
    <t>Utilidad antes del impuesto</t>
  </si>
  <si>
    <t>Tasa de impuesto</t>
  </si>
  <si>
    <t>Impuesto sobre utilidad</t>
  </si>
  <si>
    <t>Efecto en el impuesto corriente de Gastos no deducibles por:</t>
  </si>
  <si>
    <t>Prevision por incobrable</t>
  </si>
  <si>
    <t>Gastos no deducibles</t>
  </si>
  <si>
    <t>Otros gastos no deducibles</t>
  </si>
  <si>
    <t>Multas</t>
  </si>
  <si>
    <t>Reserva legal</t>
  </si>
  <si>
    <t>Total Impuesto a la Renta</t>
  </si>
  <si>
    <t>13.1</t>
  </si>
  <si>
    <t>13.2</t>
  </si>
  <si>
    <t>Los anexos y las notas 1 al 13 que se acompañan forman parte integral de los estados financieros.</t>
  </si>
  <si>
    <t xml:space="preserve">       Resultados extraordinarios </t>
  </si>
  <si>
    <t xml:space="preserve">       Resultados Extraordinarios </t>
  </si>
  <si>
    <t xml:space="preserve">       Impuesto a la Renta (Nota 11)</t>
  </si>
  <si>
    <t>*Otras Reservas (Nota 13.4)</t>
  </si>
  <si>
    <t>Revalúo (Nota 13.3)</t>
  </si>
  <si>
    <t xml:space="preserve">       Ganancia o Pérdida del año</t>
  </si>
  <si>
    <t>Saldo al Cierre del año</t>
  </si>
  <si>
    <t>Ganancia (Pérdida) del año según el Estado de Resultados</t>
  </si>
  <si>
    <t>Saldo al inicio del año</t>
  </si>
  <si>
    <t xml:space="preserve">         PENNER AUTOMOTORES S.R.L.</t>
  </si>
  <si>
    <t xml:space="preserve">       Ingresos Extraordinarios e intereses</t>
  </si>
  <si>
    <t xml:space="preserve">       Ingresos extraordinarios e intereses</t>
  </si>
  <si>
    <t>Ingresos por diferencias de cambio</t>
  </si>
  <si>
    <t xml:space="preserve">              Banco Rio Fideicomiso</t>
  </si>
  <si>
    <t xml:space="preserve">            Banco Rio Fideicomiso</t>
  </si>
  <si>
    <t xml:space="preserve">         Intereses por Bonos</t>
  </si>
  <si>
    <t>VOLKSWAGEN M001878</t>
  </si>
  <si>
    <t>VOLKSWAGEN 001907</t>
  </si>
  <si>
    <t>TIGUAN HIGHLINE 3 HILERAS : TIGUAN PLATA/BLANCO</t>
  </si>
  <si>
    <t>VOLKSWAGEN DA023908</t>
  </si>
  <si>
    <t>AMAROK COMFORT B/T 4X4 MEC : AMAROK PLATA</t>
  </si>
  <si>
    <t>AMAROK COMFORT M/T 4X4 MEC : AMAROK BLANCO</t>
  </si>
  <si>
    <t>VOLKSWAGEN ZFA017028</t>
  </si>
  <si>
    <t>AMAROK COMMFORT M/T 4X2 MEC C/S : AMAROK BLANCO</t>
  </si>
  <si>
    <t>WOLKSWAGEN A011975</t>
  </si>
  <si>
    <t>VOLKSWAGEN 567789</t>
  </si>
  <si>
    <t>VOLKSWAGEN 563492</t>
  </si>
  <si>
    <t>VOLKSWAGEN 566851</t>
  </si>
  <si>
    <t>VOLKSWAGEN 567975</t>
  </si>
  <si>
    <t>KIA RIO 6765873</t>
  </si>
  <si>
    <t>RIO SEDAN MEC. : RIO BLANCO</t>
  </si>
  <si>
    <t>JEEP 574448</t>
  </si>
  <si>
    <t>GRAND CHEROKEE LIMITED : GRAND CHEROKEE PLATA</t>
  </si>
  <si>
    <t xml:space="preserve">       Prestamos a personas vinculadas.</t>
  </si>
  <si>
    <t>Asiento de reapertura</t>
  </si>
  <si>
    <t>REVALUO DE BIENES ENERO</t>
  </si>
  <si>
    <t>REVALUO DE BIENES FEBRERO</t>
  </si>
  <si>
    <t>DEPRECIACION BIENES FEBRERO</t>
  </si>
  <si>
    <t>REVALUO DE BIENES MARZO</t>
  </si>
  <si>
    <t>DEPRECIACION BIENES MARZO</t>
  </si>
  <si>
    <t>AMORTIZ INTANGIBLES ENERO</t>
  </si>
  <si>
    <t>AMORTIZ INTANGIBLE FEBRERO</t>
  </si>
  <si>
    <t>AMORTIZ INTANGIBLE MARZO</t>
  </si>
  <si>
    <t>Prestamos a personas vinculadas - Corriente</t>
  </si>
  <si>
    <t>Prestamos a personas vinculadas - No Corriente</t>
  </si>
  <si>
    <t>Prestamos a personas vinculadas Corriente y No Corriente</t>
  </si>
  <si>
    <t>Nota 10 - Gastos del personal</t>
  </si>
  <si>
    <t>Nota 11 - Impuesto a la Renta</t>
  </si>
  <si>
    <t xml:space="preserve">                                    </t>
  </si>
  <si>
    <t xml:space="preserve">    Deudas financieras por bonos</t>
  </si>
  <si>
    <t xml:space="preserve">            Banco Rio S.A</t>
  </si>
  <si>
    <t xml:space="preserve">            Banco Rio Cta Cte U$S</t>
  </si>
  <si>
    <t xml:space="preserve">            Banco Rio Cta Cte. Gs</t>
  </si>
  <si>
    <t xml:space="preserve">            Caja Efectivo Taller Fila Gs.</t>
  </si>
  <si>
    <t xml:space="preserve">               Banco Rio SAECA</t>
  </si>
  <si>
    <t xml:space="preserve">           Banco Basa</t>
  </si>
  <si>
    <t>REVALUO DE BIENESABRIL</t>
  </si>
  <si>
    <t>DEPRECIACION BIENES ABRIL</t>
  </si>
  <si>
    <t>REVALUO DE BIENES MAYO</t>
  </si>
  <si>
    <t>REVALUO BIENES JUNIO</t>
  </si>
  <si>
    <t>DEPRECIACION MES JUNIO</t>
  </si>
  <si>
    <t>AMORTIZ INTANGIBLE ABRIL</t>
  </si>
  <si>
    <t>AMORT INTANGIBLE MAYO</t>
  </si>
  <si>
    <t>AMORT INTANGIBLE JUNIO</t>
  </si>
  <si>
    <t>REV TRANS INTERES LP</t>
  </si>
  <si>
    <t>TRANSF INTERESES A V LP</t>
  </si>
  <si>
    <t>REV INTERESES A VENCER</t>
  </si>
  <si>
    <t>TRANSF INTERESES CART LP</t>
  </si>
  <si>
    <t>DEV HONORARIO ABRIL</t>
  </si>
  <si>
    <t>DEVENG HONORARIO FIDEI. MAYO</t>
  </si>
  <si>
    <t>DEV HONORARIO JUNIO</t>
  </si>
  <si>
    <t xml:space="preserve">Son inversiones financieras en otra entidad del grupo, que constan de préstamos financieros a una tasa </t>
  </si>
  <si>
    <t>según se cumplen los plazos y según la necesidad de capital de la empresa vinculada.</t>
  </si>
  <si>
    <t>Banco Rio S.A.</t>
  </si>
  <si>
    <t>NISSAN Z0116031</t>
  </si>
  <si>
    <t>FRONTIER D/C 4X4 QD 3,2 : FRONTIER AZUL</t>
  </si>
  <si>
    <t>TOYOTA 5037947</t>
  </si>
  <si>
    <t>AMAROK V6 HIGHLINE INTERMEDIA : AMAROK BLANCO</t>
  </si>
  <si>
    <t>TIGUAN HIGHLINE 3 HILERAS : TIGUAN AZUL</t>
  </si>
  <si>
    <t>VOLKSWAGEN 005985</t>
  </si>
  <si>
    <t>AMAROK BASICO MT 4X4 2.0 : AMAROK BLANCO</t>
  </si>
  <si>
    <t>VOLKSWAGEN 002056</t>
  </si>
  <si>
    <t>VOLKSWAGEN A001796</t>
  </si>
  <si>
    <t>VOLKSWAGEN A001627</t>
  </si>
  <si>
    <t>VOLKSWAGEN 001069</t>
  </si>
  <si>
    <t>VOLKSWAGEN 001070</t>
  </si>
  <si>
    <t>VOLKSWAGEN 001055</t>
  </si>
  <si>
    <t>VOLKSWAGEN 005263</t>
  </si>
  <si>
    <t>VOLKSWAGEN 005291</t>
  </si>
  <si>
    <t>VOLKSWAGEN A001633</t>
  </si>
  <si>
    <t>VOLKSWAGEN 0173841</t>
  </si>
  <si>
    <t>SAVEIRO CAB. EXTEND : SAVEIRO GRIS</t>
  </si>
  <si>
    <t>VOLKSWAGEN 011402</t>
  </si>
  <si>
    <t>AMAROK HIGHLINE B/T 4X4 AUT : AMAROK GRIS</t>
  </si>
  <si>
    <t>VOLKSWAGEN 000641</t>
  </si>
  <si>
    <t>VOLKSWAGEN 8029252</t>
  </si>
  <si>
    <t>VOLKSWAGENA001962</t>
  </si>
  <si>
    <t>VOLKSWAGEN ZEA001122</t>
  </si>
  <si>
    <t>AMAROK COMFORT M/T 4X2 MEC D/C : AMAROK BLANCO</t>
  </si>
  <si>
    <t>VOLKSWAGEN000943</t>
  </si>
  <si>
    <t>VOLKSWAGEN B8031700</t>
  </si>
  <si>
    <t>AMAROK HIGHLINE B/T 4X4 MEC S/CUERO : AMAROK BEIGE</t>
  </si>
  <si>
    <t>VOLKSWAGEN A002859</t>
  </si>
  <si>
    <t>VOLKSWAGEN A002111</t>
  </si>
  <si>
    <t>VOLKSWAGEN GA003885</t>
  </si>
  <si>
    <t>VOLKSWAGEN A024316</t>
  </si>
  <si>
    <t>VENTO 2.5 NAFTERO AUT. : VENTO AZUL</t>
  </si>
  <si>
    <t>VOLKSWAGEN 014289</t>
  </si>
  <si>
    <t>GOLF 1.6 TOTAL FLEX : GOLF PLATA</t>
  </si>
  <si>
    <t>VOLKSWAGEN 520101</t>
  </si>
  <si>
    <t>VOLKSWAGEN 604132</t>
  </si>
  <si>
    <t>VOLKSWAGEN 605745</t>
  </si>
  <si>
    <t>POLO 1.6 MSI : POLO GRIS</t>
  </si>
  <si>
    <t>VOLKSWAGEN 565411</t>
  </si>
  <si>
    <t>CHEVROLET R117699</t>
  </si>
  <si>
    <t>CORSA CLASSIC SEDAN : CORSA BEIGE</t>
  </si>
  <si>
    <t>HYUNDAI0826505</t>
  </si>
  <si>
    <t>TUCSON AUT 4X2 NAFTERO : TUCSON PLATA</t>
  </si>
  <si>
    <t>HONDA L500301</t>
  </si>
  <si>
    <t>CR-V 1.5T 5DR 2WDEX CVT : CR-V PLATA</t>
  </si>
  <si>
    <t>HONDA 114246</t>
  </si>
  <si>
    <t>HR-V LX CVT : HR-V GRIS</t>
  </si>
  <si>
    <t>HONDA 113626</t>
  </si>
  <si>
    <t>HR-V LX CVT : HR-V PLATA</t>
  </si>
  <si>
    <t>HONDA 202877</t>
  </si>
  <si>
    <t>CR-V MEC. 4X4 : CR-V PLATA</t>
  </si>
  <si>
    <t>(*) Posee bienes en Fideicomiso con Banco Rio como Fiduciaria y Banco Continental como Beneficiario a 20 años.</t>
  </si>
  <si>
    <t>(*)Banco Continental - Fideicomiso</t>
  </si>
  <si>
    <t>(**)Banco Río - Fideicomiso</t>
  </si>
  <si>
    <t>(**)Banco Itapúa - Fideicomiso</t>
  </si>
  <si>
    <r>
      <t>(*)Banco Continental - Fideicomiso</t>
    </r>
    <r>
      <rPr>
        <sz val="11"/>
        <color indexed="9"/>
        <rFont val="Times New Roman"/>
        <family val="1"/>
      </rPr>
      <t>.</t>
    </r>
  </si>
  <si>
    <r>
      <t>(**)Banco Río - Fideicomiso</t>
    </r>
    <r>
      <rPr>
        <sz val="11"/>
        <color indexed="9"/>
        <rFont val="Times New Roman"/>
        <family val="1"/>
      </rPr>
      <t>.</t>
    </r>
  </si>
  <si>
    <r>
      <t>(**)Banco Itapúa - Fideicomiso</t>
    </r>
    <r>
      <rPr>
        <sz val="11"/>
        <color indexed="9"/>
        <rFont val="Times New Roman"/>
        <family val="1"/>
      </rPr>
      <t>.</t>
    </r>
  </si>
  <si>
    <t>(*)Banco Continental - Fideicomiso.</t>
  </si>
  <si>
    <t>(**)Banco Itapúa - Fideicomiso.</t>
  </si>
  <si>
    <t>(*)Fiduciaria Banco Rio S.A.E.C.A.</t>
  </si>
  <si>
    <t>(**)Fiduciaria Banco Continental S.A.E.C.A.</t>
  </si>
  <si>
    <t>corresponde a aportes por comisiones</t>
  </si>
  <si>
    <t>13.4</t>
  </si>
  <si>
    <t xml:space="preserve">            BNF Cta Cte Gs</t>
  </si>
  <si>
    <t xml:space="preserve">            Interfisa SA</t>
  </si>
  <si>
    <t xml:space="preserve">              Financiera Pyo Japonesa</t>
  </si>
  <si>
    <t xml:space="preserve">              Interfisa Banco SAECA</t>
  </si>
  <si>
    <t xml:space="preserve">            Financiera Pyo Japonesa</t>
  </si>
  <si>
    <t>SETIEMBRE</t>
  </si>
  <si>
    <t>NISSAN Z0008667</t>
  </si>
  <si>
    <t>X-TRAIL 4X4 FULL AUT : X-TRAIL BEIGE</t>
  </si>
  <si>
    <t>NISSAN 0102193</t>
  </si>
  <si>
    <t>FRONTIER D/C 4X2 : FRONTIER BEIGE</t>
  </si>
  <si>
    <t>NISSAN Z0004487</t>
  </si>
  <si>
    <t>X-TRAIL NAFTERO AUT : X-TRAIL PLATA</t>
  </si>
  <si>
    <t>NISSAN 000679</t>
  </si>
  <si>
    <t>FRONTIER D/C 4X4 TDI 2.0 : FRONTIER VERDE</t>
  </si>
  <si>
    <t>TOYOTA 579542</t>
  </si>
  <si>
    <t>HILUX D/C 4X4 MEC : HILUX NEGR0</t>
  </si>
  <si>
    <t>TOYOTA 547022</t>
  </si>
  <si>
    <t>HILUX D/C 4X2 : HILUX BLANCO</t>
  </si>
  <si>
    <t>TOYOTA 039525</t>
  </si>
  <si>
    <t>TACOMA NAFTERO 3.5 AUT. 6 SPEEDY : TACOMA PLATA</t>
  </si>
  <si>
    <t>SAVEIRO ROBUST C/S : SAVEIRO PLATA</t>
  </si>
  <si>
    <t>VOLKSWAGEN 002008</t>
  </si>
  <si>
    <t>AMAROK V6 HIGHLINE FULL CUERO : AMAROK AZUL</t>
  </si>
  <si>
    <t>VOLKSWAGEN 003997</t>
  </si>
  <si>
    <t>T-CROSS TRENDLINE  1.0  AUT. : T-CROSS PLATA</t>
  </si>
  <si>
    <t>VOLKSWAGEN 008204</t>
  </si>
  <si>
    <t>VOLKSWAGEN 000804</t>
  </si>
  <si>
    <t>SAVEIRO ROBUST D/C : SAVEIRO BLANCO</t>
  </si>
  <si>
    <t>VOLKSWAGEN 002120</t>
  </si>
  <si>
    <t>VOLKSWAGEN 003347</t>
  </si>
  <si>
    <t>T-CROSS COMFORT C/ TECHO : T-CROSS BLANCO</t>
  </si>
  <si>
    <t>VOLKSWAGEN 005161</t>
  </si>
  <si>
    <t>VOLKSWAGEN 005382</t>
  </si>
  <si>
    <t>VOLKSWAGEN 005369</t>
  </si>
  <si>
    <t>VOLKSWAGEN 004637</t>
  </si>
  <si>
    <t>VOLKSWAGEN 002276</t>
  </si>
  <si>
    <t>VOLKSWAGEN 002379</t>
  </si>
  <si>
    <t>VOLKSWAGEN 003993</t>
  </si>
  <si>
    <t>VOLKSWAGEN 003421</t>
  </si>
  <si>
    <t>VOLKSWAGEN 002285</t>
  </si>
  <si>
    <t>VOLKSWAGEN 002138</t>
  </si>
  <si>
    <t>VOLKSWAGEN 002405</t>
  </si>
  <si>
    <t>VOLKSWAGEN 002390</t>
  </si>
  <si>
    <t>VOLKSWAGEN 003254</t>
  </si>
  <si>
    <t>VOLKSWAGEN 002292</t>
  </si>
  <si>
    <t>VOLKSWAGEN 002202</t>
  </si>
  <si>
    <t>VOLKSWAGEN 002295</t>
  </si>
  <si>
    <t>VOLKSWAGEN 002266</t>
  </si>
  <si>
    <t>VOLKSWAGEN 002302</t>
  </si>
  <si>
    <t>VOLKSWAGEN 003925</t>
  </si>
  <si>
    <t>VOLKSWAGEN 004861</t>
  </si>
  <si>
    <t>VOLKSWAGEN 007583</t>
  </si>
  <si>
    <t>VOLKSWAGEN 002448</t>
  </si>
  <si>
    <t>T-CROSS COMFORT C/ TECHO : T-CROSS GRIS</t>
  </si>
  <si>
    <t>VOLKSWAGEN 003402</t>
  </si>
  <si>
    <t>T-CROSS HIGHLINE 1.4 TSI AUT. C/ TECHO : T-CROSS BRONCE</t>
  </si>
  <si>
    <t>VOLKSWAGEN 005208</t>
  </si>
  <si>
    <t>AMAROK COMFORT M/T 4X4 MEC L.V.M. : AMAROK BLANCO</t>
  </si>
  <si>
    <t>VOLKSWAGEN 002607</t>
  </si>
  <si>
    <t>VOLKSWAGEN 003379</t>
  </si>
  <si>
    <t>VOLKSWAGEN 020111</t>
  </si>
  <si>
    <t>GOL HATCH TREND S/ LLANTA AUT. : GOL ROJO</t>
  </si>
  <si>
    <t>VOLKSWAGEN 011584</t>
  </si>
  <si>
    <t>T-CROSS COMFORT 1.0 S/ TECHO : T-CROSS GRIS</t>
  </si>
  <si>
    <t>VOLKSWAGEN 011474</t>
  </si>
  <si>
    <t>T-CROSS COMFORT 1.0 S/ TECHO : T-CROSS ROJO CRIMSON</t>
  </si>
  <si>
    <t>VOLKSWAGEN 011943</t>
  </si>
  <si>
    <t>T-CROSS COMFORT 1.0 S/ TECHO : T-CROSS PLATA</t>
  </si>
  <si>
    <t>VOLKSWAGEN 010463</t>
  </si>
  <si>
    <t>T-CROSS COMFORT 1.0 S/ TECHO : T-CROSS NEGRO</t>
  </si>
  <si>
    <t>VOLKSWAGEN 012328</t>
  </si>
  <si>
    <t>T-CROSS HIGHLINE 1.4 TSI AUT. C/ TECHO : T-CROSS GRIS</t>
  </si>
  <si>
    <t>VOLKSWAGEN 010820</t>
  </si>
  <si>
    <t>T-CROSS HIGHLINE 1.4 TSI AUT. C/ TECHO : T-CROSS ROJO CRIMSON</t>
  </si>
  <si>
    <t>VOLKSWAGEN 011963</t>
  </si>
  <si>
    <t>T-CROSS HIGHLINE 1.4 TSI AUT. C/ TECHO : T-CROSS NEGRO</t>
  </si>
  <si>
    <t>VOLKSWAGEN 006207</t>
  </si>
  <si>
    <t>AMAROK HIGHLINE B/T 4X2 AUT S/CUERO : AMAROK GRIS</t>
  </si>
  <si>
    <t>VOLKSWAGEN 016092</t>
  </si>
  <si>
    <t>T-CROSS TRENDLINE  1.0  AUT. : T-CROSS ROJO</t>
  </si>
  <si>
    <t>VOLKSWAGEN KA000254</t>
  </si>
  <si>
    <t>VOLKSWAGEN ZKA001902</t>
  </si>
  <si>
    <t>VOLKSWAGEN 8031599</t>
  </si>
  <si>
    <t>AMAROK HIGHLINE B/T 4X4 MEC S/CUERO : AMAROK GRIS</t>
  </si>
  <si>
    <t>VOLKSWAGEN EA000548</t>
  </si>
  <si>
    <t>AMAROK COMFORT B/T 4X4 AUT. : AMAROK ROJO</t>
  </si>
  <si>
    <t>VOLKSWAGEN P035695</t>
  </si>
  <si>
    <t>SAVEIRO DOBLE CABINA : SAVEIRO PLATA</t>
  </si>
  <si>
    <t>VOLKSWAGEN A000525</t>
  </si>
  <si>
    <t>VOLKSWAGEN DA019509</t>
  </si>
  <si>
    <t>AMAROK HIGHLINE M/T 4X2 MEC : AMAROK PLATA</t>
  </si>
  <si>
    <t>VOLKSWAGEN A000025</t>
  </si>
  <si>
    <t>AMAROK V6 HIGHLINE 4X4 AUT. ASI ELE. : AMAROK BLANCO</t>
  </si>
  <si>
    <t>VOLKSWAGEN 0115920</t>
  </si>
  <si>
    <t>VOLKSWAGEN B8059702</t>
  </si>
  <si>
    <t>AMAROK COMFORT M/T 4X4 MEC : AMAROK PLATA</t>
  </si>
  <si>
    <t>VOLKSWAGEN A007156</t>
  </si>
  <si>
    <t>VOLKSWAGEN P032102</t>
  </si>
  <si>
    <t>VOLKSWAGEN W532593</t>
  </si>
  <si>
    <t>TIGUAN DIESEL : TIGUAN GRIS</t>
  </si>
  <si>
    <t>VOLKSWAGEN EA000849</t>
  </si>
  <si>
    <t>AMAROK COMFORT M/T 4X2 MEC : AMAROK GRIS</t>
  </si>
  <si>
    <t>VOLKSWAGEN W114586</t>
  </si>
  <si>
    <t>TIGUAN NAFTA : TIGUAN GRIS</t>
  </si>
  <si>
    <t>VOLKSWAGEN JA001559</t>
  </si>
  <si>
    <t>AMAROK 2.0 TRENDLINE D/C 4X4 : AMAROK BLANCO</t>
  </si>
  <si>
    <t>VOLKSWAGEN P033772</t>
  </si>
  <si>
    <t>SAVEIRO DOBLE CABINA : SAVEIRO BLANCO</t>
  </si>
  <si>
    <t>VOLKSWAGENA001067</t>
  </si>
  <si>
    <t>VOLKSWAGEN DT164044</t>
  </si>
  <si>
    <t>GOL HATCH TREND C/LLANTA : GOL PLATA</t>
  </si>
  <si>
    <t>VOLKSWAGEN T037395</t>
  </si>
  <si>
    <t>GOL SEDAN HIGHLINE : GOL BLANCO</t>
  </si>
  <si>
    <t>POLO 1.6 MSI MEC : POLO PLATA TUNSTENO</t>
  </si>
  <si>
    <t>VIRTUS MSI 1.6 MEC : VIRTUS PLATA TUNSTENO</t>
  </si>
  <si>
    <t>NEW POLO 1.6 MEC : NEW POLO ROJO</t>
  </si>
  <si>
    <t>NEW VIRTUS 1.6 MSI AUT. : NEW VIRTUS GRIS PLATINO</t>
  </si>
  <si>
    <t>NEW VIRTUS 1.6 MSI AUT. : NEW VIRTUS BLANCO</t>
  </si>
  <si>
    <t>POLO 1.6 MSI AUT : POLO GRIS TITANIO</t>
  </si>
  <si>
    <t>NEW VIRTUS 1.6 MSI MEC. : NEW VIRTUS GRIS</t>
  </si>
  <si>
    <t>POLO 1.6 MSI AUT : POLO BLANCO</t>
  </si>
  <si>
    <t>POLO 1.6 MSI AUT : POLO GRIS</t>
  </si>
  <si>
    <t>VOLKSWAGEN P004841</t>
  </si>
  <si>
    <t>POLO 1.6 MSI MEC : POLO BLANCO</t>
  </si>
  <si>
    <t>VOLKSWAGEN 603573</t>
  </si>
  <si>
    <t>VIRTUS MSI 1.6 AUT. : VIRTUS PLATA</t>
  </si>
  <si>
    <t>VOLKSWAGEN 018083</t>
  </si>
  <si>
    <t>GOL HATCH TREND S/ LLANTA AUT. : GOL BLANCO</t>
  </si>
  <si>
    <t>VOLKSWAGEN 019748</t>
  </si>
  <si>
    <t>VOLKSWAGEN 019618</t>
  </si>
  <si>
    <t>GOL HATCH TREND S/ LLANTA AUT. : GOL GRIS TITANIO</t>
  </si>
  <si>
    <t>VOLKSWAGEN 020204</t>
  </si>
  <si>
    <t>VOLKSWAGEN 018577</t>
  </si>
  <si>
    <t>VOLKSWAGEN 018009</t>
  </si>
  <si>
    <t>GOL HATCH TREND S/ LLANTA AUT. : GOL NEGRO</t>
  </si>
  <si>
    <t>VOLKSWAGEN 020102</t>
  </si>
  <si>
    <t>VOLKSWAGEN 018714</t>
  </si>
  <si>
    <t>GOL HATCH TREND S/ LLANTA AUT. : GOL PLATA SIRIUS</t>
  </si>
  <si>
    <t>VOLKSWAGEN 020088</t>
  </si>
  <si>
    <t>VOLKSWAGEN 018754</t>
  </si>
  <si>
    <t>VOLKSWAGEN 018449</t>
  </si>
  <si>
    <t>VOLKSWAGEN LT018847</t>
  </si>
  <si>
    <t>VOLKSWAGEN 606081</t>
  </si>
  <si>
    <t>VOLKSWAGEN 013159</t>
  </si>
  <si>
    <t>GOL SEDAN AUT : GOL BLANCO</t>
  </si>
  <si>
    <t>VOLKSWAGEN 018414</t>
  </si>
  <si>
    <t>GOL HATCH TREND S/LLANTA MEC. : GOL BLANCO</t>
  </si>
  <si>
    <t>VOLKSWAGEN 018368</t>
  </si>
  <si>
    <t>VOLKSWAGEN 009706</t>
  </si>
  <si>
    <t>GOL HATCH TREND S/LLANTA MEC. : GOL ROJO</t>
  </si>
  <si>
    <t>VOLKSWAGEN T010580</t>
  </si>
  <si>
    <t>KIA 7717111</t>
  </si>
  <si>
    <t>SPORTAGE 4X2 AUT. NAF. : SPORTAGE PLATA</t>
  </si>
  <si>
    <t>HYUNDAI FU038445</t>
  </si>
  <si>
    <t>TUCSON AUT 4X4 GLS CRDI DIESEL : TUCSON BLANCO</t>
  </si>
  <si>
    <t>AUDI D000196</t>
  </si>
  <si>
    <t>Q7 3.0 TDI : Q7 AZUL</t>
  </si>
  <si>
    <t>FIAT 3144957</t>
  </si>
  <si>
    <t>SIENA ELX 1.7 TDS : SIENA PLATA</t>
  </si>
  <si>
    <t>SSANGYONG 300681</t>
  </si>
  <si>
    <t>REXTON STATION WAGON : REXTON PLATA</t>
  </si>
  <si>
    <t>Setiembre 2019</t>
  </si>
  <si>
    <t>Por el ejercicio finalizado el 30/09/2019 y comparativo con el ejercicio anterior</t>
  </si>
  <si>
    <t>REVALUO BIENES JULIO</t>
  </si>
  <si>
    <t>DEPRECIACION MES JULIO</t>
  </si>
  <si>
    <t>REVALUO BIENES AGOSTO</t>
  </si>
  <si>
    <t>DEPRECIACION MES AGOSTO</t>
  </si>
  <si>
    <t>REVALUO BIENES SETIEMBRE</t>
  </si>
  <si>
    <t>DEPRECIACION MES SETIEMBRE</t>
  </si>
  <si>
    <t>TRANSF CH A020076 A USO EMPRES</t>
  </si>
  <si>
    <t>Correccion de Vta Rod ch007443</t>
  </si>
  <si>
    <t>CORREC.VTA RODADO 582113</t>
  </si>
  <si>
    <t>AMORT INTANGIBLE JULIO</t>
  </si>
  <si>
    <t>AMORT INTANGIBLE AGOSTO</t>
  </si>
  <si>
    <t>AMORTIZ INTANGIBLES SET</t>
  </si>
  <si>
    <t>TRANSF INTERES CART LP</t>
  </si>
  <si>
    <t xml:space="preserve">Solar S.A. </t>
  </si>
  <si>
    <t>Financiera Pyo Japonesa</t>
  </si>
  <si>
    <t>Interfisa Banco SAECA</t>
  </si>
  <si>
    <t>Financiera Pyo Japonesa.</t>
  </si>
  <si>
    <t>Setiembre 2018</t>
  </si>
  <si>
    <t>NISSAN 0056307</t>
  </si>
  <si>
    <t>PATHFINDER STATION WAGON : PATHFINDER PLATA</t>
  </si>
  <si>
    <t>NISSANZ0117966</t>
  </si>
  <si>
    <t>FRONTIER D/C 4X4 QD 3,2 : FRONTIER NEGRO</t>
  </si>
  <si>
    <t>TOYOTA 144568</t>
  </si>
  <si>
    <t>ETIOS HB FLEX AUT. 1.5 : ETIOS GRIS</t>
  </si>
  <si>
    <t>SAVEIRO C/S FULL : SAVEIRO PLATA</t>
  </si>
  <si>
    <t>SAVEIRO C/S FULL : SAVEIRO BLANCO</t>
  </si>
  <si>
    <t>SAVEIRO ROBUST C/S : SAVEIRO BLANCO</t>
  </si>
  <si>
    <t>AMAROK FLOTA D/C 4X4 2.0 MEC : AMAROK BLANCO</t>
  </si>
  <si>
    <t>SAVEIRO ROBUST C/S : SAVEIRO ROJO</t>
  </si>
  <si>
    <t>T-CROSS COMFORT 1.0 C/ TECHO : T-CROSS BLANCO</t>
  </si>
  <si>
    <t>VOLKSWAGEN 017935</t>
  </si>
  <si>
    <t>T-CROSS HIGHLINE AUT S/TECHO 1.4 : T-CROSS BLANCO</t>
  </si>
  <si>
    <t>VOLKSWAGEN 008263</t>
  </si>
  <si>
    <t>VOLKSWAGEN 008192</t>
  </si>
  <si>
    <t>VOLKSWAGEN 004558</t>
  </si>
  <si>
    <t>VOLKSWAGEN 008336</t>
  </si>
  <si>
    <t>VOLKSWAGEN 002050</t>
  </si>
  <si>
    <t>SAVEIRO CROSS : SAVEIRO PLATA</t>
  </si>
  <si>
    <t>VOLKSWAGEN 032818</t>
  </si>
  <si>
    <t>SAVEIRO ROBUST D/C : SAVEIRO PLATA</t>
  </si>
  <si>
    <t>VOLKSWAGEN 032402</t>
  </si>
  <si>
    <t>VOLKSWAGEN 032724</t>
  </si>
  <si>
    <t>VOLKSWAGEN 032746</t>
  </si>
  <si>
    <t>VOLKSWAGEN 032743</t>
  </si>
  <si>
    <t>VOLKSWAGEN 031451</t>
  </si>
  <si>
    <t>VOLKSWAGEN 033096</t>
  </si>
  <si>
    <t>VOLKSWAGEN 010058</t>
  </si>
  <si>
    <t>VOLKSWAGEN012338</t>
  </si>
  <si>
    <t>VOLKSWAGEN010207</t>
  </si>
  <si>
    <t>AMAROK HIGHLINE B/T 4X4 AUT S/CUERO : AMAROK BIEGE</t>
  </si>
  <si>
    <t>VOLKSWAGEN 004006</t>
  </si>
  <si>
    <t>AMAROK FLOTA M/T 4X2 D/C 2.0 : AMAROK PLATA</t>
  </si>
  <si>
    <t>VOLKSWAGEN 010733</t>
  </si>
  <si>
    <t>VOLKSWAGEN 011541</t>
  </si>
  <si>
    <t>VOLKSWAGEN 011345</t>
  </si>
  <si>
    <t>VOLSKWAGEN 036727</t>
  </si>
  <si>
    <t>VOLKSWAGEN 010164</t>
  </si>
  <si>
    <t>VOLKSWAGEN009147</t>
  </si>
  <si>
    <t>VOLKSWAGEN A000731</t>
  </si>
  <si>
    <t>AMAROK HIGHLINE B/T 4X2 AUT S/CUERO : AMAROK PLATA</t>
  </si>
  <si>
    <t>VOLKSWAGEN A000490</t>
  </si>
  <si>
    <t>AMAROK V6 HIGHLINE FULL CUERO : AMAROK GRIS</t>
  </si>
  <si>
    <t>VOLKSWAGEN FA020618</t>
  </si>
  <si>
    <t>VOLKSWAGEN P072785</t>
  </si>
  <si>
    <t>VOLKSWAGEN A000595</t>
  </si>
  <si>
    <t>AMAROK COMFORT M/T 4X4 MEC L.V.M. : AMAROK PLATA</t>
  </si>
  <si>
    <t>VOLKSWAGEN A001063</t>
  </si>
  <si>
    <t>VOLKSWAGEN 071396</t>
  </si>
  <si>
    <t>TIGUAN NAFTA  2.0 AUT : TIGUAN BORDO</t>
  </si>
  <si>
    <t>VOLKSWAGEN A021248</t>
  </si>
  <si>
    <t>VOLKSWAGEN 064772</t>
  </si>
  <si>
    <t>GOL MEC. 1.9 DIESEL : GOL GRIS</t>
  </si>
  <si>
    <t>VOLKSWAGEN T050920</t>
  </si>
  <si>
    <t>GOL HATCH HIGHLINE : GOL PLATA</t>
  </si>
  <si>
    <t>NEW VIRTUS 1.6 MSI MEC. : NEW VIRTUS PLATA TUNSTENO</t>
  </si>
  <si>
    <t>NEW VIRTUS 1.6 MSI AUT. : NEW VIRTUS PLATA</t>
  </si>
  <si>
    <t>VOLKSWAGEN 063515</t>
  </si>
  <si>
    <t>GOL HATCH TREND MEC. : GOL PLATA</t>
  </si>
  <si>
    <t>VOLKSWAGEN 057112</t>
  </si>
  <si>
    <t>SUV</t>
  </si>
  <si>
    <t>VOLKSWAGEN 016237</t>
  </si>
  <si>
    <t>T-CROSS TRENDLINE  1.0  AUT. : T-CROSS BLANCO</t>
  </si>
  <si>
    <t>VOLKSWAGEN 030102</t>
  </si>
  <si>
    <t>T-CROSS TRENDLINE  1.0  AUT. : T-CROSS GRIS</t>
  </si>
  <si>
    <t>KIA</t>
  </si>
  <si>
    <t>KIA 054607</t>
  </si>
  <si>
    <t>SPORTAGE 4X2 MEC. DIESEL : SPORTAGE PLATA</t>
  </si>
  <si>
    <t>HYUNDAI 101545</t>
  </si>
  <si>
    <t>TUCSON AUT 4X2 DIESEL : TUCSON BORDO</t>
  </si>
  <si>
    <t>HYUNDAI U945187</t>
  </si>
  <si>
    <t>TUCSON AUT 4X4 GLS CRDI DIESEL : TUCSON NEGRO</t>
  </si>
  <si>
    <t>CR-V 1.5T 5DR 2WDEX CVT : CR-V AZUL</t>
  </si>
  <si>
    <t>HONDA 009217</t>
  </si>
  <si>
    <t>AFRICA TWIN 1000 CC : AFRICA TWIN BLANCO</t>
  </si>
  <si>
    <t>ISUZU 507351</t>
  </si>
  <si>
    <t>D-MAX DOBLE CABINA : D-MAX PLATA</t>
  </si>
  <si>
    <t>JEEP</t>
  </si>
  <si>
    <t>AUDI</t>
  </si>
  <si>
    <t>AUDI 075211</t>
  </si>
  <si>
    <t>A3 SEDAN 1.2 TFSI : A3 AZUL</t>
  </si>
  <si>
    <t>FIAT</t>
  </si>
  <si>
    <t>FIAT 9040329</t>
  </si>
  <si>
    <t>FIORINO FURGON 1.3 FLEX : FIORINO BLANCO</t>
  </si>
  <si>
    <t>RENAULT 769811</t>
  </si>
  <si>
    <t>RENAULT 727013</t>
  </si>
  <si>
    <t>KANGOO EXPRESS : KANGOO BLANCO</t>
  </si>
  <si>
    <t>SSANGYONG</t>
  </si>
  <si>
    <t>SSANGYONG 035349</t>
  </si>
  <si>
    <t>NEW REXTON 2.2 NOBLESSE 4WD A/T : NEW REXTON BLANCO</t>
  </si>
  <si>
    <t>CF MOTO</t>
  </si>
  <si>
    <t>UTV</t>
  </si>
  <si>
    <t>USADO</t>
  </si>
  <si>
    <t>CF MOTO 000444</t>
  </si>
  <si>
    <t>CF 1000 AUT 4X4 1.0 : CF 1000 NARANJA</t>
  </si>
  <si>
    <t>DICIEMBRE</t>
  </si>
  <si>
    <t>Diciembre 2019</t>
  </si>
  <si>
    <t>Honorarios Profesionales</t>
  </si>
  <si>
    <t>Adel Vanina Salinas</t>
  </si>
  <si>
    <t>ANTICIPO</t>
  </si>
  <si>
    <t>CAJA RRHH GS.</t>
  </si>
  <si>
    <t>ANTICIPO FEBRERO</t>
  </si>
  <si>
    <t>ANTICIPO MARZO</t>
  </si>
  <si>
    <t>ANTICIPO ABRIL</t>
  </si>
  <si>
    <t>ANTICIPO MAYO</t>
  </si>
  <si>
    <t>CUOTA DE VEHICULO VANINA SALINAS</t>
  </si>
  <si>
    <t>ANTICIPO JUNIO</t>
  </si>
  <si>
    <t>CUOTA VEHICULO VANINA SALINAS</t>
  </si>
  <si>
    <t>ANTICIPO JULIO</t>
  </si>
  <si>
    <t>ANTICIPO AGOSTO</t>
  </si>
  <si>
    <t>ANTICIPO SETIEMRE</t>
  </si>
  <si>
    <t>ANTICIPO OCTUBRE</t>
  </si>
  <si>
    <t>ANTICIPO NOVIEMBRE</t>
  </si>
  <si>
    <t>Rev. Adel Vanina</t>
  </si>
  <si>
    <t>REV.ANTICIPO VANINA SALINAS</t>
  </si>
  <si>
    <t>ANTICIPO VANINA SALINAS</t>
  </si>
  <si>
    <t>REV.DE ANTICIPO VANINA SALINAS</t>
  </si>
  <si>
    <t>ANTIC.VANINA SALINAS</t>
  </si>
  <si>
    <t>REV.ANTICIP VANINA SALINAS</t>
  </si>
  <si>
    <t>REV ANTICIPO VANINA SALINAS</t>
  </si>
  <si>
    <t>AS Honorarios Profes</t>
  </si>
  <si>
    <t>HONORARIOS PROF LAURA TORRES ENERO 2019</t>
  </si>
  <si>
    <t>CAJA FINANZAS</t>
  </si>
  <si>
    <t>HONORARIO JOSE ORUE COB EXTRAJUD</t>
  </si>
  <si>
    <t>HONORARIOS LAURA BENITEZ FEBRERO/2019</t>
  </si>
  <si>
    <t>HONORARIOS LAURA BENITEZ</t>
  </si>
  <si>
    <t>HONOR PROF NURIA ISNARDI CASO BRITOS</t>
  </si>
  <si>
    <t>HONOR PROF LAURA BENITEZ CASO BRITOS</t>
  </si>
  <si>
    <t>HONORARIOS MARZO LILIAN GILL</t>
  </si>
  <si>
    <t>HONORARIOS PROF LAURA BENITEZ ABRIL 2019</t>
  </si>
  <si>
    <t>HONOR PROF ABRIL LILIAN GILL</t>
  </si>
  <si>
    <t>HONORARIOS CASO MILCIADES GODOY CALONGA</t>
  </si>
  <si>
    <t>HONORARIOS LILIAN GILL MAYO</t>
  </si>
  <si>
    <t>HONOR PROF LAURA BENITEZ MAYO/19</t>
  </si>
  <si>
    <t>HONORARIOS RUBEN ARTURO ARANDA</t>
  </si>
  <si>
    <t>SERVICIOS PROFESIONALES LILIAN GILL JUNI</t>
  </si>
  <si>
    <t>HONORARIOS PROFESIONALES DRA. LAURA BENI</t>
  </si>
  <si>
    <t>HONORARIOS PROF.ISMAEL LOPEZ /L.B.Y N.I.</t>
  </si>
  <si>
    <t>HONORARIOS LILIAN GILL - JULIO 2019</t>
  </si>
  <si>
    <t>HONORARIOS PROFESIONALES DE JULIO/2019</t>
  </si>
  <si>
    <t>HONORARIOS POR SINDICATURA</t>
  </si>
  <si>
    <t>HONOR PROF LAURA BENITEZ CASO AGUSTIN BA</t>
  </si>
  <si>
    <t>SERVICIOS PROFESIONALES POR EL MES DE AG</t>
  </si>
  <si>
    <t>HONORARIOS PROF. DE AGOSTO 2019</t>
  </si>
  <si>
    <t>HON.PROF.C/VICENTE LESME L.BENITEZ Y N.I</t>
  </si>
  <si>
    <t>SERVICIOS PROFESIONALES DEL MES DE SEPTI</t>
  </si>
  <si>
    <t>HONORARIOS PROF. DEL MES DE SEPT.2019</t>
  </si>
  <si>
    <t>HONORARIOS PROF. CORRESP. AL MES DE OCTU</t>
  </si>
  <si>
    <t xml:space="preserve">HONORARIOS PROFESIONALES CORREP. AL MES </t>
  </si>
  <si>
    <t>HONORARIOS DRA. LAURA BENITEZ</t>
  </si>
  <si>
    <t>SERV. PROF. CORRESP. A NOV. 2019</t>
  </si>
  <si>
    <t>HONORARIOS PROF NORMA GOMEZ</t>
  </si>
  <si>
    <t>HONORARIOS LAURA BENITEZ DIC 2019.-*</t>
  </si>
  <si>
    <t>HONORARIOS DICIEMBRE LILIAN GILL</t>
  </si>
  <si>
    <t>HONOR PROF LAURA BENITEZ DICIEMBRE</t>
  </si>
  <si>
    <t>HONOR.PROF DRA. L.BENITEZ CASO JOSE MIGU</t>
  </si>
  <si>
    <t>CAJA FINANZAS U$</t>
  </si>
  <si>
    <t>HONORARIOS PROFESIONALES RAMON ZARZA PIN</t>
  </si>
  <si>
    <t>HONOR PROF CASO NORMA BAEZ/</t>
  </si>
  <si>
    <t>HONORARIOS PROF JULIO-RAMON ZARZA</t>
  </si>
  <si>
    <t>HONORARIOS PROF RAMON ZARZA AGOSTO</t>
  </si>
  <si>
    <t>HONORARIOS PROFESIONALES</t>
  </si>
  <si>
    <t>HONORARIOS PROF. CORRESP. A OCT.2019</t>
  </si>
  <si>
    <t>HONOR PROF RAMON ZARZA NOVIEMBRE 2019</t>
  </si>
  <si>
    <t>HONORARIOS RAMON ZARZA DICIEMBRE</t>
  </si>
  <si>
    <t>SERVICIOS PRESTADOS - CORRECION DE DOCUM</t>
  </si>
  <si>
    <t>FONDO FIJO</t>
  </si>
  <si>
    <t>HONORARIOS PROF DIC Y ENERO NURIA ISNARD</t>
  </si>
  <si>
    <t>GASTOS DE TALLER NURIA I</t>
  </si>
  <si>
    <t>HONORARIOS PROF.NURIA ISNARDI</t>
  </si>
  <si>
    <t>GASTOS DE TALLER NURIA ISNARDI</t>
  </si>
  <si>
    <t>HONORARIOS PROF.MARZO</t>
  </si>
  <si>
    <t>DESC.POR TALLER NURIA ISNARDI</t>
  </si>
  <si>
    <t>CANC.CTA TALLER NURIA ISNARDI</t>
  </si>
  <si>
    <t>HONORARIOS PROFESIONALES MAYO NURIA ISNA</t>
  </si>
  <si>
    <t>HONORARIOS JUNIO NURIA ISNARDI</t>
  </si>
  <si>
    <t>HONORRIOS PROF.JULIO NURIA ISNARDI</t>
  </si>
  <si>
    <t>PAGO TALLER JUAN PEREIRA</t>
  </si>
  <si>
    <t>HONORARIOS PROF.SETIEMBRE NURIA ISNARDI</t>
  </si>
  <si>
    <t>HONORARIOS PROF NURIA ISNARDI</t>
  </si>
  <si>
    <t>HONORARIOS PROF MORENO RUFFINELLI</t>
  </si>
  <si>
    <t>Operaciones credito</t>
  </si>
  <si>
    <t>HONOR. MORENO RUFF. CASO HECTOR CALONGA</t>
  </si>
  <si>
    <t>HONORARIOS PROF. POR AS. JUR.</t>
  </si>
  <si>
    <t>HON. PROF. POR ASESORIA JURÍDICA</t>
  </si>
  <si>
    <t>HONOR. PRES. PLANILLA MTESS 2018</t>
  </si>
  <si>
    <t>HONORARIOS PROF. P/ ASESORAMIENTO JUR. R</t>
  </si>
  <si>
    <t>HONORARIO JORGE CANO P/E.FRIESEN Y AMADO</t>
  </si>
  <si>
    <t>HONORARIOS PROFESIONALES POR AS. JUR. RE</t>
  </si>
  <si>
    <t>HONOR. INSCRIP. ABOGACIA DEL TESORO</t>
  </si>
  <si>
    <t>OFICIO COMISIONADO A JOANNI VINICIOS SCH</t>
  </si>
  <si>
    <t>HONOR.PROF INHIB.CASO HECTOR DOLDAN</t>
  </si>
  <si>
    <t>HONOR.PROF INHIB.CASO WERNER GIESBRECHT</t>
  </si>
  <si>
    <t>HONOR. PROF. P/ CASO TERESITA DE JESÚS A</t>
  </si>
  <si>
    <t>HONORARIOS PROF. P/ ASESORÍA JURÍDICA RE</t>
  </si>
  <si>
    <t>HONOR. PROF. P/ INHIBICIÓN DE VENDER Y G</t>
  </si>
  <si>
    <t>HONORARIOS PROF. P/ SERV. DE CONSULTORÍA</t>
  </si>
  <si>
    <t>HONOR. PROF. P/ ASES. JUR. PERM. REF. 09</t>
  </si>
  <si>
    <t>HONORARIOS PROF. P/ AS. JUR. REF. A OCT.</t>
  </si>
  <si>
    <t>HONOR. PROF. P/ INHIB. GRAL. GRAV. Y VEN</t>
  </si>
  <si>
    <t>HONOR. PROF. P/ INHIB. GRAV. Y VEND. CAS</t>
  </si>
  <si>
    <t>HONOR. PROF. POR AS. JURÍD.-NOV.19</t>
  </si>
  <si>
    <t>ACTUALIZACION DE DATOS EN SIST.REI-D/CON</t>
  </si>
  <si>
    <t>FIL Honorarios Profe</t>
  </si>
  <si>
    <t>COOPERATIVA FERNHEIM</t>
  </si>
  <si>
    <t>Dev Antic Honorarios</t>
  </si>
  <si>
    <t>HONORRIOS PROF NURIA ISNARDI</t>
  </si>
  <si>
    <t>Rev adel honorario</t>
  </si>
  <si>
    <t>REV.HONORARIO NURIA I</t>
  </si>
  <si>
    <t>PAGO POR TALLER NURIA ISNARDI</t>
  </si>
  <si>
    <t>CANC.POR TALLER NURIA ISNARDI</t>
  </si>
  <si>
    <t>GASTOS DE TALLER JUAN P</t>
  </si>
  <si>
    <t>Servicios Personales Asuncion</t>
  </si>
  <si>
    <t>As Servicios Pers</t>
  </si>
  <si>
    <t>HONOR.LUIS FIGUEREDO DIC</t>
  </si>
  <si>
    <t>HONORARIOS FRANCISCO CARDOZO</t>
  </si>
  <si>
    <t>COMISIONES ENERO  DIEGO MARECO</t>
  </si>
  <si>
    <t>HONORARIOS NOV VANINA SALINAS</t>
  </si>
  <si>
    <t>HONORARIOS DIC VANINA SALINAS</t>
  </si>
  <si>
    <t>HONORARIOS ENERO VANINA SALINAS</t>
  </si>
  <si>
    <t>COMSIONES DIC PEDRO GARCIA</t>
  </si>
  <si>
    <t>COMISIONES ENERO JOSE GARCIA</t>
  </si>
  <si>
    <t>HONORARIOS ENERO LUIS FIGUEREDO</t>
  </si>
  <si>
    <t>COMISIONES ENERO ALBERT LOWEN</t>
  </si>
  <si>
    <t>HONORARIOS CTE A ENERO JOSE GONZALEZ</t>
  </si>
  <si>
    <t>COMISIONES FEBERO DIEGO MARECO</t>
  </si>
  <si>
    <t>HNOR.PROF.VANINA SALINAS</t>
  </si>
  <si>
    <t>COMISIONES FEBRERO JOSE GARCIA</t>
  </si>
  <si>
    <t>COMISIONES FEBRERO ALBERT LOWEN</t>
  </si>
  <si>
    <t>HONORARIOS PROF.LUIS FIGUEREDO</t>
  </si>
  <si>
    <t>HONORARIOS FEBRERO JOSE GONZALEZ</t>
  </si>
  <si>
    <t>SERVICIOS PERSONALES CESAR BENEGAS MARZO</t>
  </si>
  <si>
    <t>SERVICIOS MARZO DIEGO MARECO</t>
  </si>
  <si>
    <t>HONORARIOS MARZO VANINA SALINAS</t>
  </si>
  <si>
    <t>SUELDO MARZO JOSE GARCIA</t>
  </si>
  <si>
    <t>SERVICIOS PERSONALES ALBERT LOWEN</t>
  </si>
  <si>
    <t>SERVICIOS PRESTADOS LUIS FIGUEREDO</t>
  </si>
  <si>
    <t>SERVCIOS PERSONALES JOSE GONZALEZ</t>
  </si>
  <si>
    <t>SERVICIOS PERSONALES MARZO JOSE GONZALEZ</t>
  </si>
  <si>
    <t>SERVICIOS PERSONALES CESAR BENEGAS</t>
  </si>
  <si>
    <t>SERVICIOS PERSONALES DIEGO AMRECO</t>
  </si>
  <si>
    <t>HONORARIOS PROF.VANINA SALINAS</t>
  </si>
  <si>
    <t>SERVICIOS PERSONALES JOSE GARCIA</t>
  </si>
  <si>
    <t>COMISIONES ABRIL ALBERT LOWEN</t>
  </si>
  <si>
    <t>SERV.PERSONALES JOSE GONZALEZ</t>
  </si>
  <si>
    <t>COMISIONES MAYO DIEGO MARECO</t>
  </si>
  <si>
    <t>HONORARIOS PROFESIONALES MAYO VANINA SAL</t>
  </si>
  <si>
    <t>COMSIONES MAYO JOSE GARCIA</t>
  </si>
  <si>
    <t>SERVICIOS PRESTADOS MAYO LUIS FIGUEREDO</t>
  </si>
  <si>
    <t>SERVICIOS PERSONALES MAYO JOSE GONZALEZ</t>
  </si>
  <si>
    <t>SERVICIOS PROFESIONALES MAYO CESAR BENEG</t>
  </si>
  <si>
    <t>COMISIONES MAYO ALBERT LOWEN</t>
  </si>
  <si>
    <t>COMISIONES JUNIO DIEGO MARECO</t>
  </si>
  <si>
    <t>HONORRIOS PROD.VANINA SALINAS</t>
  </si>
  <si>
    <t>COMISIONES JUNIO JOSE GARCIA</t>
  </si>
  <si>
    <t>COMISIONES JUNIO ALBERT LOWEN</t>
  </si>
  <si>
    <t>SERVICIOS PERSONALES JUNIO JOSE GONZALEZ</t>
  </si>
  <si>
    <t>SERVICIOS PERS.JULIO DIEGO MARECO</t>
  </si>
  <si>
    <t>SERVICIOS PER.JULIO JOSE GARCIA</t>
  </si>
  <si>
    <t>SERVICIOS PRESTADOS JULIO LUIS FIGUEREDO</t>
  </si>
  <si>
    <t>COMISIONES JULIO ALBERT LOWEN</t>
  </si>
  <si>
    <t>SERVICIOS PERSONALES JOSE GONZALEZ</t>
  </si>
  <si>
    <t>SERVICIOS PERSONALES AGOSTO JUAN PEREIRA</t>
  </si>
  <si>
    <t>SEVICIOS PERSONALES VANINA SALINAS</t>
  </si>
  <si>
    <t>SERVICIOS PRESTADOS AGOSTO LUIS FIGUERED</t>
  </si>
  <si>
    <t>COMISIONES AGOSTO ALBERT LOWEN</t>
  </si>
  <si>
    <t>SERVICIOS PERSONALES AGOSTO JOSE GARCIA</t>
  </si>
  <si>
    <t>SERV.PERS.SET JUAN PEREIRA</t>
  </si>
  <si>
    <t>SERV.PERS.SET CESAR BENEGAS</t>
  </si>
  <si>
    <t>SERVICIOS PERS.SET VANINA SALINAS</t>
  </si>
  <si>
    <t>SERV.PERSONALES SET JOSE GARCIA</t>
  </si>
  <si>
    <t>SERV.PRES.SET LUIS FIGUEREDO</t>
  </si>
  <si>
    <t>SERV.PERSON.SET ALBERT LOWEN</t>
  </si>
  <si>
    <t>SERVICIOS PERSONALES SET.JOSE GONZALEZ</t>
  </si>
  <si>
    <t>SERVICIOS PERS OCT AUDREY PEREIRA</t>
  </si>
  <si>
    <t>SERV.PERS.OCT JUAN PEREIRA</t>
  </si>
  <si>
    <t>SERV.PERS. CESAR BENEGAS</t>
  </si>
  <si>
    <t>SERV.PERS.OCT VANINA SALINAS</t>
  </si>
  <si>
    <t>SERV.PERS.OCT JOSE GARCIA</t>
  </si>
  <si>
    <t>SERV.PERSONALES LUIS FIGUEREDO</t>
  </si>
  <si>
    <t>SERV.PERS.OCT ALBERT LOWEN</t>
  </si>
  <si>
    <t>SERV.PERS JOSE GONZALEZ</t>
  </si>
  <si>
    <t>SERVICIOS PERSONALES AGOS.SET Y OCT DIEG</t>
  </si>
  <si>
    <t>SERV PERSON NOV AUDREY PEREIRA</t>
  </si>
  <si>
    <t>SERV PERS NOV JUAN PEREIRA</t>
  </si>
  <si>
    <t>SERV PERSON NOV LISANDRA SALINAS</t>
  </si>
  <si>
    <t>SERVICIOS PRESTADOS NOV LUIS FIGUEREDO</t>
  </si>
  <si>
    <t>HONORARIOS PROF.NOV FRANCISCO CARDOZO</t>
  </si>
  <si>
    <t>SERV PERS NOV ALBERT LOWEN</t>
  </si>
  <si>
    <t>SERVICIOS PERSONALES</t>
  </si>
  <si>
    <t>SERVICIOS PERSONALES NOV</t>
  </si>
  <si>
    <t>SERV PERSONALES JOSE GONZALEZ</t>
  </si>
  <si>
    <t>SERV PERSONALES NOV DIEGO MARECO</t>
  </si>
  <si>
    <t>SEVICIOS PRESTADOS LUIS FIGUEREDO</t>
  </si>
  <si>
    <t>SERVICIOS PERSONALES AUDREY PEREIRA</t>
  </si>
  <si>
    <t>SERVICIOS PERSONALES JUAN ESTEBAN PEREIR</t>
  </si>
  <si>
    <t>SERVICIOS PRESTADOS DIEGO AMRECO</t>
  </si>
  <si>
    <t>SERVICIOS PERSONALES VANINA SALINAS</t>
  </si>
  <si>
    <t>AGUINALDO FRANCISCO CARDOZO</t>
  </si>
  <si>
    <t>SERIVICIOS PERSONALES AUDREY PEREIRA</t>
  </si>
  <si>
    <t>SEVICIOS PERSONALES CESAR BENEGAS</t>
  </si>
  <si>
    <t>SERVICIOS PRESTADOS</t>
  </si>
  <si>
    <t>SERVICIOS FRANCISCO CARDOZO</t>
  </si>
  <si>
    <t>SEVICIOS PERSONALES ALBERT LOWEN</t>
  </si>
  <si>
    <t>SERVICIOS PERSONALES SANDRO REIMER</t>
  </si>
  <si>
    <t>Adel Cesar Benegas</t>
  </si>
  <si>
    <t>ANTICIPO CTE A JULIO CESAR BENEGAS</t>
  </si>
  <si>
    <t>ANTICIPO DICIEMBRE</t>
  </si>
  <si>
    <t>REv adel Cesar Beneg</t>
  </si>
  <si>
    <t>REV.CESAR BENEGAS</t>
  </si>
  <si>
    <t>REV.ANTICIPO CESAR EBNEGAS</t>
  </si>
  <si>
    <t>REV ANTICIPO CESAR BENEGAS</t>
  </si>
  <si>
    <t>Servicios Personales Filadelfia</t>
  </si>
  <si>
    <t>Adel.Patrik</t>
  </si>
  <si>
    <t>SERVICIOS PERS. PATRIK FRIESEN-MAYO</t>
  </si>
  <si>
    <t>CAJA EFECT. FILA GS.</t>
  </si>
  <si>
    <t>SERVICIOS PERS. PATRIK FRIESEN -JUNIO</t>
  </si>
  <si>
    <t>SERVICIOS PERS. PATRIK FRIESEN JULIO</t>
  </si>
  <si>
    <t>SERVICIOS PERS. PATRIK FRIESEN AGOSTO</t>
  </si>
  <si>
    <t>SERVICIOS PERS. PATRIK SETIEMBRE</t>
  </si>
  <si>
    <t>SERVICIOS PERS-PATRIK FRIESEN -OCTUBRE</t>
  </si>
  <si>
    <t>SERVICIOS PERS. PATRIK FR NOVIEMBRE</t>
  </si>
  <si>
    <t>SERVICIOS PERSONALES-PATRIK FRIESEN</t>
  </si>
  <si>
    <t>SERVICIOS PERSONALES PATRIK FRIESEN DICI</t>
  </si>
  <si>
    <t>Adelantos Olivia</t>
  </si>
  <si>
    <t>SERVICIOS PERSONALES OLIVIA</t>
  </si>
  <si>
    <t>SERVICIOS PERS. OLIVIA PENNER FEBRERO</t>
  </si>
  <si>
    <t>SERVICIOS PERS. LIQUIDACION - OLIVIA PEN</t>
  </si>
  <si>
    <t>Adelantos Stefan</t>
  </si>
  <si>
    <t>SERVICIOS STEFAN ENERO</t>
  </si>
  <si>
    <t>SERVICIOS PERSONALES STEFAN PENNER FEBRE</t>
  </si>
  <si>
    <t>SERVICIOS PERS. STEFAN PENNER MARZO</t>
  </si>
  <si>
    <t>Adel. Revita Stahl</t>
  </si>
  <si>
    <t>ADELANTO</t>
  </si>
  <si>
    <t>ADELANTO - REVITA STAHL</t>
  </si>
  <si>
    <t>SERVICIOS PERSONALES - LARA REVITA STAHL</t>
  </si>
  <si>
    <t>ADELANTO P/ FEBRERO - REVITA STAHL</t>
  </si>
  <si>
    <t>ADELANTO REVITA</t>
  </si>
  <si>
    <t>ADELANTO REVITA FEBRERO</t>
  </si>
  <si>
    <t>ADELANTO REVITA MARZO</t>
  </si>
  <si>
    <t>ADELANTO MES DE JUNIO</t>
  </si>
  <si>
    <t>SERVICIOS PERSONALES FEBRERO - REVITA</t>
  </si>
  <si>
    <t>CAJA GS. TALLER FILA</t>
  </si>
  <si>
    <t>SERVICIOS PERSONALES - REVITA STAHL</t>
  </si>
  <si>
    <t>SERVICIOS PERSONALES ABRIL - REVITA STAH</t>
  </si>
  <si>
    <t>Rev Adel Revita</t>
  </si>
  <si>
    <t>REVERSIÓN DE ADELANTO - REVITA STAHL</t>
  </si>
  <si>
    <t>REVERSIÓN DE ADELANTO</t>
  </si>
  <si>
    <t>REVERSION ADELANTO - REVITA STAHL</t>
  </si>
  <si>
    <t>REVERSION DE ADELANTO REVITA STAHL</t>
  </si>
  <si>
    <t>Adel Oliver Florenti</t>
  </si>
  <si>
    <t>SERVICIOS OLIVER  ENERO</t>
  </si>
  <si>
    <t>SERVICIOS PERSONALES OLIVER FLORENTIN</t>
  </si>
  <si>
    <t>SERVICIOS PERSONALES OLIVER FLORENTIN -M</t>
  </si>
  <si>
    <t>ADELANTO MES DE ABRIL OLIVER FLORENTIN</t>
  </si>
  <si>
    <t>SERVICIOS PERS. OLIVER FLORENTIN MAYO</t>
  </si>
  <si>
    <t>SERVICIOS PERS OLIVER FLORENTIN JUNIO</t>
  </si>
  <si>
    <t>SERVICIOS PERS. JULIO OLIVER FLORENTIN</t>
  </si>
  <si>
    <t>SERVICIOS PERS. OLIVER FLORENTIN AGOSTO</t>
  </si>
  <si>
    <t>SERVICIOS PERS. OLIVER FLORENTIN</t>
  </si>
  <si>
    <t xml:space="preserve">SERVICIOS PERSONALES - OLIVER FLORENTIN </t>
  </si>
  <si>
    <t>SERVICIOS PERS. NOVIEMBRE OLIVER FL.</t>
  </si>
  <si>
    <t>SERVICIOS PERS. OLIVER FLORENTIN DICIEMB</t>
  </si>
  <si>
    <t>Servicios Personales Loma Plata</t>
  </si>
  <si>
    <t>HONORARIOS PROFES.MARCUS BRAUN</t>
  </si>
  <si>
    <t>Adel Valerian Penner</t>
  </si>
  <si>
    <t>SUELDO MES DE DICIEMBRE VALERIAN PENNER</t>
  </si>
  <si>
    <t>CAJA EFECT. LP GS.</t>
  </si>
  <si>
    <t>SUELDO VALERIAN PENNER MES DE ENERO</t>
  </si>
  <si>
    <t>SUELDO MES DE FEBRERO VALERIAN PENNER</t>
  </si>
  <si>
    <t>SUELDO MES DE MARZO VALERIAN PENNER</t>
  </si>
  <si>
    <t>HONORARIOS MES DE ABRIL VALERIAN PENNER</t>
  </si>
  <si>
    <t>SUELDO MES DE MAYO VALERIAN PENNER</t>
  </si>
  <si>
    <t>HONORARIOS PROFESIONALES MES DE JUNIO</t>
  </si>
  <si>
    <t>HONORARIOS</t>
  </si>
  <si>
    <t>Adel Mirian Klassen</t>
  </si>
  <si>
    <t>SUELDO MES DE DICIEMBRE MIRIAM KLASSEN</t>
  </si>
  <si>
    <t>HONORARIOS MES DE ENERO MIRIAM KLASSEN</t>
  </si>
  <si>
    <t>HONOROARIOS MES DE FEBRERO MIRIAM KLASSE</t>
  </si>
  <si>
    <t>Adel Raquel RAmirez</t>
  </si>
  <si>
    <t>SUELDO MES DE ABRIL RAQUEL ESPINOLA</t>
  </si>
  <si>
    <t>SALARIO MES DE MAYO 2019 - SANDRA RAQUEL</t>
  </si>
  <si>
    <t>SALARIO MES DE JUNIO 2019</t>
  </si>
  <si>
    <t>Serv Personales LP</t>
  </si>
  <si>
    <t>HONORARIOS CTE A JUNIO SANDRO REIMER</t>
  </si>
  <si>
    <t xml:space="preserve">SERVICIOS PERSONALES CTE A JUNIO SANDRO </t>
  </si>
  <si>
    <t>SERV.PERSONALES CTE A MAYO SANDRO REIMER</t>
  </si>
  <si>
    <t>SERV PERS NOV SANDRO REIMER</t>
  </si>
  <si>
    <t>Servicios Personales Taller Fila</t>
  </si>
  <si>
    <t>SERVICIOS PERSONALES -PATRIK FRIESEN - F</t>
  </si>
  <si>
    <t>SERVICIOS PERS. PATRIK FRIESEN - MARZO</t>
  </si>
  <si>
    <t>ADELANTO MES DE ABRIL - PATRIK FRIESEN</t>
  </si>
  <si>
    <t>SERVICIOS PERSONALES -PATRIK FRIESEN ENE</t>
  </si>
  <si>
    <t>Adelantos Tony</t>
  </si>
  <si>
    <t>SERVICIOS PERSONALES TONY REDMANN ENERO</t>
  </si>
  <si>
    <t>SERVICIOS PERSONALES - TONY REDMANN - FE</t>
  </si>
  <si>
    <t>SERVICIO - ANTHONY REDMANN - MARZO</t>
  </si>
  <si>
    <t>SERVICIOS ABRIL - ANTHONY REDMANN</t>
  </si>
  <si>
    <t>SERVICIOS MES DE MAYO - ANTHONY REDMANN</t>
  </si>
  <si>
    <t>SERVICIOS PERSONALES - JUNIO TONY REDMAN</t>
  </si>
  <si>
    <t>SERVICIOS PERSONALES - ANTHONY REDMANN</t>
  </si>
  <si>
    <t>SERVICIOS PERSONALES SETIEMBRE - ANTHONY</t>
  </si>
  <si>
    <t>ADELANTO OCTUBRE - ANTHONY REDMANN</t>
  </si>
  <si>
    <t>SERVICIOS PERSONALES . ANTHONY REDMANN</t>
  </si>
  <si>
    <t>SERVICIOS PERSONALES DICIEMBRE</t>
  </si>
  <si>
    <t>ADELANTO MES DE OCTUBRE</t>
  </si>
  <si>
    <t>ADELANTO MAYO - REVITA STAHL</t>
  </si>
  <si>
    <t>SERVICIOS PERSONALES DEL MES - REVITA</t>
  </si>
  <si>
    <t xml:space="preserve">SERVICIOS PERSONALES SETIEMBRE - REVITA </t>
  </si>
  <si>
    <t>SERVICIOS PERSONALES OCTUBRE - REVITA ST</t>
  </si>
  <si>
    <t>SERVICIOS DICIEMBRE - REVITA STAHL</t>
  </si>
  <si>
    <t>REVERSION DE ADELANTO - REVITA STAHL</t>
  </si>
  <si>
    <t>Adel Sascha Redman</t>
  </si>
  <si>
    <t>SERVICIOS PERSONALES - SASCHA REDMANN FE</t>
  </si>
  <si>
    <t>SERVICIOS PERSONALES SASCHA REDMANN ENER</t>
  </si>
  <si>
    <t>Fila Servicios Pers.</t>
  </si>
  <si>
    <t>SERVICIOS PERSONALES JUNIO MARCUS ECKERT</t>
  </si>
  <si>
    <t>Serv pers TAll Fila</t>
  </si>
  <si>
    <t>SERVICIOS - MARCUS KELLNER</t>
  </si>
  <si>
    <t>SERVICIOS PERSONALES - MARCUS ECKERT</t>
  </si>
  <si>
    <t>ADELANTO - MARCUS ECKERT</t>
  </si>
  <si>
    <t>SERVICIOS DICIEMBRE - MARCUS ECKERT REGI</t>
  </si>
  <si>
    <t>Comisiones Pagadas Fila</t>
  </si>
  <si>
    <t>FIL Comisiones Pagad</t>
  </si>
  <si>
    <t>COMISION DICIEMBRE</t>
  </si>
  <si>
    <t>COMISION ENERO</t>
  </si>
  <si>
    <t>COMISION - MES DE FEBRERO</t>
  </si>
  <si>
    <t>COMISION GUNDOLF BREUL</t>
  </si>
  <si>
    <t>COMISION MES DE DICIEMBRE - STEFAN PENNE</t>
  </si>
  <si>
    <t>COMISION</t>
  </si>
  <si>
    <t>COMISION FEBRERO -STEFAN PENNER</t>
  </si>
  <si>
    <t>COMISION DE FEBRERO PATRIK FRIESEN</t>
  </si>
  <si>
    <t>COMISION OLIVER FLORENTIN - FEBRERO</t>
  </si>
  <si>
    <t>SERVICIOS-COMIISON- OLIVER FLORENTIN- MA</t>
  </si>
  <si>
    <t>COMISION PATRIK FRIESEN - MARZO</t>
  </si>
  <si>
    <t>COMISION -OLIVER FLORENTIN -ABRIL</t>
  </si>
  <si>
    <t>COMISION -PATRIK FRIESEN -ABRIL</t>
  </si>
  <si>
    <t>SERVICIOS-COMISION</t>
  </si>
  <si>
    <t>COMISION.- MAYO PATRIK FRIESEN</t>
  </si>
  <si>
    <t>COMISION OLIVER JUNIO</t>
  </si>
  <si>
    <t>COMISION -PATRIK FRIESEN- JUNIO</t>
  </si>
  <si>
    <t>COMISION- OLIVER FLORENTIN AGOSTO</t>
  </si>
  <si>
    <t>COMISION JULIO-PATRIK FRIESEN</t>
  </si>
  <si>
    <t>COMIISION OLIVER F. AGOSTO</t>
  </si>
  <si>
    <t>COMISION COBRADAS- PATRIK F- AGOSTO</t>
  </si>
  <si>
    <t>COMISION OLIVER SEPTIEMBRE</t>
  </si>
  <si>
    <t>COMISION PATRIK SEPTIEMBRE</t>
  </si>
  <si>
    <t>COMISION MES DE OCTUBRE</t>
  </si>
  <si>
    <t>COMISION PATRIK FRIESEN NOVIEMBRE</t>
  </si>
  <si>
    <t>COMISION MES DE NOVIEMBRE</t>
  </si>
  <si>
    <t xml:space="preserve">COMISION-GUNDOLF BREUL -JUNIO A OCTUBRE </t>
  </si>
  <si>
    <t>CTA. NEULAND(EXPA)</t>
  </si>
  <si>
    <t>COMISION MES DE ABRIL - REVITA STAHL</t>
  </si>
  <si>
    <t>COOP.FERNHEIM TALLER</t>
  </si>
  <si>
    <t>COMISION MES DE JUNIO - REVITA</t>
  </si>
  <si>
    <t>COMISION MES DE MARZO</t>
  </si>
  <si>
    <t>Comisiones Pagadas L.P.</t>
  </si>
  <si>
    <t>L.P Comisiones Pagad</t>
  </si>
  <si>
    <t>COMISION COBRADA POR TRANSF. BANCARIA</t>
  </si>
  <si>
    <t>COOP. CHORTITZER</t>
  </si>
  <si>
    <t>COMISION COBRADA POR TRANSFERENCIA BANCA</t>
  </si>
  <si>
    <t>COMISION POR TRANSF. A CAJA DE ASUNCION</t>
  </si>
  <si>
    <t>COMISION POR TRANSF. A CAJA ASU DE CHORT</t>
  </si>
  <si>
    <t>COMISION POR TRANSF. A CAJA REGIONAL ASU</t>
  </si>
  <si>
    <t>COMISION PAGADA POR SIPAP ASU</t>
  </si>
  <si>
    <t>COMISIONES PAGADAS POR SIPAP ASU</t>
  </si>
  <si>
    <t>COMISION POR VENTA - COOP. CHORTI</t>
  </si>
  <si>
    <t>COMISION DE ENERO VALERIAN PENNER</t>
  </si>
  <si>
    <t>COMISION MES DE FEBRERO</t>
  </si>
  <si>
    <t>COMISION POR MES DE FEBRERO MIRIAM KLASS</t>
  </si>
  <si>
    <t>COMISION MES DE MARZO MARCUS BRAUN</t>
  </si>
  <si>
    <t>COMISION ABRIL VALERIAN PENNER</t>
  </si>
  <si>
    <t>COMISIONES MAYO 2019 - VALERIAN PENNER E</t>
  </si>
  <si>
    <t>COMISION POR TRANSFERENCIA A CAJA ASUNCI</t>
  </si>
  <si>
    <t>COMISION POR VENTA</t>
  </si>
  <si>
    <t>Adelantos Marcus</t>
  </si>
  <si>
    <t>SALARIO MES DE DICIEMBRE MARCUS BRAUN</t>
  </si>
  <si>
    <t>HONORARIOS STEPHAN MARCUS BRAUN</t>
  </si>
  <si>
    <t>SUELDO MES DE FEBRERO MARCUS BRAUN</t>
  </si>
  <si>
    <t>SUELDO MES DE MARZO MARCUS BRAUN</t>
  </si>
  <si>
    <t>Comisiones Pagadas Taller Fila</t>
  </si>
  <si>
    <t>Comisiones Pag Tal F</t>
  </si>
  <si>
    <t>COMISION MES DE MAYO - REVITA STAHL</t>
  </si>
  <si>
    <t>COMISION DE JULIO - REVITA STAHL</t>
  </si>
  <si>
    <t>COMSION AGOSTO - REVITA STAHL</t>
  </si>
  <si>
    <t>COMISION MES DE SETIEMBRE - REVITA STAHL</t>
  </si>
  <si>
    <t>COMISION MES DE OCTUBRE - REVITA STAHL</t>
  </si>
  <si>
    <t>COMISION DE NOVIEMBRE - REVITA STAHL</t>
  </si>
  <si>
    <t>ORLANDO PENNER</t>
  </si>
  <si>
    <t>NURIA ISNARDI</t>
  </si>
  <si>
    <t>LUIS FIGUEREDO</t>
  </si>
  <si>
    <t>JOSE GONZALEZ</t>
  </si>
  <si>
    <t>FRANCISCO CARDOZO</t>
  </si>
  <si>
    <t>SANTIAGO DE ZAVALIA</t>
  </si>
  <si>
    <t>PATRIK FRIESEN</t>
  </si>
  <si>
    <t>ERICH MUHR</t>
  </si>
  <si>
    <t>ALBERT LOWEN</t>
  </si>
  <si>
    <t>STEFAN PENNER</t>
  </si>
  <si>
    <t>THONY REDMAN</t>
  </si>
  <si>
    <t>Remuneracion Personal Superior - Asu</t>
  </si>
  <si>
    <t>AS Remun.Pers.Sup</t>
  </si>
  <si>
    <t>COMISION P/VENTAS ENERO O.PENNER</t>
  </si>
  <si>
    <t>COMISION P/VENTAS FEBRERO - ORLANDO PENN</t>
  </si>
  <si>
    <t>COMISION P/VENTAS MARZO ORLANDO PENNER</t>
  </si>
  <si>
    <t>COMISION O.P. P/VENTAS ABRIL</t>
  </si>
  <si>
    <t>COMISION P/VENTAS MAYO 2019 OP</t>
  </si>
  <si>
    <t>COMISION P/VTAS JUNIO ORLANDO PENNER</t>
  </si>
  <si>
    <t>COMISIÓN P/ VENTAS O.P. - JULIO/19</t>
  </si>
  <si>
    <t>COMISION P/VENTAS AGOSTO ORLANDO PENNER</t>
  </si>
  <si>
    <t>COMISIÓN P/ VENTAS SEPT.2019</t>
  </si>
  <si>
    <t>COMISIÓN P/ VTAS. OCTUBRE 2019 - O.P.</t>
  </si>
  <si>
    <t>COMISION P/VENTAS NOVIEMBRE 2019-O.PENNE</t>
  </si>
  <si>
    <t>COMISION P/VENTAS 2019</t>
  </si>
  <si>
    <t>COMISION P/VENTAS DICIEMBRE 2019 O.PENNE</t>
  </si>
  <si>
    <t>HONORARIOS DIC SANTIAGO DE ZAVALIA</t>
  </si>
  <si>
    <t>HONORARIOS ENERO SANTIAGO DE ZAVALIA</t>
  </si>
  <si>
    <t>HONORARIOS PROF.SANTIAGO DE ZAVALIA</t>
  </si>
  <si>
    <t>HONORARIOS PROFESIONALES SANTIAGO DE ZAV</t>
  </si>
  <si>
    <t>HONORARIOS PROFESIONALES AGOSTO SANTIAGO</t>
  </si>
  <si>
    <t>HONORARIOS SET.SANTIAGO DE ZAVALIA</t>
  </si>
  <si>
    <t>HONORARIOS PROF OCT SANTIAGO DE ZAVALIA</t>
  </si>
  <si>
    <t>HONORARIOS D/CONSULT S.A.</t>
  </si>
  <si>
    <t>HONORARIOS FEBRERO 2019</t>
  </si>
  <si>
    <t>HONORARIOS D/CONSULT MARZO 2019</t>
  </si>
  <si>
    <t>HONORARIO D/CONSULT ABRIL</t>
  </si>
  <si>
    <t>HONOR. CONTAB. MAYO/19 D/CONSULT</t>
  </si>
  <si>
    <t>HONOR. CONTAB. JUNIO/19</t>
  </si>
  <si>
    <t>HONORARIOS D/CONSULT JULIO 2019</t>
  </si>
  <si>
    <t>HONOR D/CONSULT AGOSTO/19</t>
  </si>
  <si>
    <t>HONORARIOS D/CONSULT SET/2019</t>
  </si>
  <si>
    <t>HONR.D/CONSULT S.A.-OCTUBRE 2019</t>
  </si>
  <si>
    <t>HONOR. PROF. CORRESP. A NOV.2019</t>
  </si>
  <si>
    <t>HONORARIOS D/CONSULT DIC 2019</t>
  </si>
  <si>
    <t>Adel Zavalia</t>
  </si>
  <si>
    <t>ANTICIPO CTE A JULIO SANTIAGO DE ZAVALIA</t>
  </si>
  <si>
    <t>Rev Adel Zavalia</t>
  </si>
  <si>
    <t>REV.SANTIAGO DE ZAVALIA</t>
  </si>
  <si>
    <t>Comisiones Pagadas As</t>
  </si>
  <si>
    <t>AS Comisiones Pagada</t>
  </si>
  <si>
    <t xml:space="preserve">COMISION P/VENTA VW AMAROK 2013 RODRIGO </t>
  </si>
  <si>
    <t>COMISIONES THEODOR WARKENTIN</t>
  </si>
  <si>
    <t>COMISIÓN P/ VENTAS - CHEVROLET BLAZER</t>
  </si>
  <si>
    <t>COMISION A.RICHTER-MAYO 2019</t>
  </si>
  <si>
    <t>COMISIÓN POR VENTA MB ML 320</t>
  </si>
  <si>
    <t>COM. DERLIS RAFAEL RIOS FLORENTIN/SAVEIR</t>
  </si>
  <si>
    <t xml:space="preserve">COMISIÓN POR VTA. NATIVA - ALBERTO RUIZ </t>
  </si>
  <si>
    <t>PAGO COMISIONES ALFRED RICHTER - GS</t>
  </si>
  <si>
    <t>COMISION DANILO PEREIRA P/VTA AMAROK 023</t>
  </si>
  <si>
    <t>COMISION AMAROK EMILIO RAMIREZ $300</t>
  </si>
  <si>
    <t>COMISION P/VENTA HONDA HRV NEGRO A.SABAT</t>
  </si>
  <si>
    <t>COMISION POR VENTAS AMAROK V6 NIPON EMPR</t>
  </si>
  <si>
    <t>COMISION POR VENTAS ENERO A ABRIL 2019</t>
  </si>
  <si>
    <t>COMISION P/VENTA FOX EXTREME CH.011360</t>
  </si>
  <si>
    <t>COMISION P/VTA. EMILIO RAMIREZ</t>
  </si>
  <si>
    <t>COMISIONES PGADAS JAVIER MILTOS</t>
  </si>
  <si>
    <t>COMISION P/VENTAS-SIGRUN BAUMANN-VW RAMO</t>
  </si>
  <si>
    <t>COMISIONES DE VENTAS - SEGUN DETALLE AL</t>
  </si>
  <si>
    <t>COMISION VENTA OSLAN/SAUL CARRASCO</t>
  </si>
  <si>
    <t>COMISION DIESA P/DEPOSITO EN DOLARES</t>
  </si>
  <si>
    <t>COMISION P/DEPOSITO DIESA</t>
  </si>
  <si>
    <t>COMISION CHEVROLET - SILVERADO</t>
  </si>
  <si>
    <t>COMISIÓN P/ VTA. A MARTA MORALES</t>
  </si>
  <si>
    <t>COMISIONES ENERO JOSE GONZALEZ</t>
  </si>
  <si>
    <t>COMISIONES ENERO DIEGO MARECO</t>
  </si>
  <si>
    <t>COMISIONES ERICH MUHR</t>
  </si>
  <si>
    <t>COMISIONES CTE A FEBRERO JOSE GONZALEZ</t>
  </si>
  <si>
    <t>COMISIONES CTE A DIC DIEGO MARECO</t>
  </si>
  <si>
    <t>COMISIONES MARZO DIEGO MARECO</t>
  </si>
  <si>
    <t>COMISIONES MARZO JOSE GONZALEZ</t>
  </si>
  <si>
    <t>COMSIONES ABRIL  DIEGO MARECO</t>
  </si>
  <si>
    <t>COMSIIONES ABRIL JOSE GONZALEZ</t>
  </si>
  <si>
    <t>COMSION CTE A MARZO JOSE GONZALEZ</t>
  </si>
  <si>
    <t>COMISIONES ABRIL CESAR BENEGAS</t>
  </si>
  <si>
    <t>COMISIONES MAYO CESAR BENEGAS</t>
  </si>
  <si>
    <t>COMISIONES MAYO JOSE GONZALEZ</t>
  </si>
  <si>
    <t>COMISIONES JUNIO CESAR BENEGAS</t>
  </si>
  <si>
    <t>COMISIONES DIEGO MARECO</t>
  </si>
  <si>
    <t>COMISIONES JUNIO JOSE GONZALEZ</t>
  </si>
  <si>
    <t>COMISIONES JULIO CESAR BENEGAS</t>
  </si>
  <si>
    <t>COMISIONES CTE A JULIO JOSE GONZALEZ</t>
  </si>
  <si>
    <t>COMISIONES CESAR BENEGAS</t>
  </si>
  <si>
    <t>COMISIONES CTE A AGOSTO JOSE GONZALEZ</t>
  </si>
  <si>
    <t>COMISIONES AL MES SET.JOSE GONZALEZ</t>
  </si>
  <si>
    <t>COMISIONES OCT CESAR BENEGAS</t>
  </si>
  <si>
    <t>COMISIONES OCTUBRE JOSE GONZALEZ</t>
  </si>
  <si>
    <t>SERVICIOS PERS. CESAN BENEGAS</t>
  </si>
  <si>
    <t>COMISIONES AL MES DE NOV JOSE GONZALEZ</t>
  </si>
  <si>
    <t>COMISIONES NOV DIEGO MARECO</t>
  </si>
  <si>
    <t>COMISIONES CESAR BENEGAS NOV</t>
  </si>
  <si>
    <t>Adel Diego Mareco</t>
  </si>
  <si>
    <t>CUOTA DE VEH.1/36 DIEGO MARECO</t>
  </si>
  <si>
    <t>CUOTA DE VEHICULO DIEGO MARECO</t>
  </si>
  <si>
    <t>CUOTA VEHICULO DIEGO MARECO</t>
  </si>
  <si>
    <t>CUOTA DE VEH.DIEGO MARECO</t>
  </si>
  <si>
    <t>CUOTA DE VEHICULO DIEGO CENTURION</t>
  </si>
  <si>
    <t>CUOTA DE VEHICULO</t>
  </si>
  <si>
    <t>Rev Adel Diego Marec</t>
  </si>
  <si>
    <t>REV.DIEGO MARECO</t>
  </si>
  <si>
    <t>REV.CUOTA VEHICULO DIEGO MARECO</t>
  </si>
  <si>
    <t>REV.CUOTA DE VEHICULO DIEGO MARECO</t>
  </si>
  <si>
    <t>CUOTA VEHICULO DIEGO CENTURION</t>
  </si>
  <si>
    <t>VANINA SALINAS</t>
  </si>
  <si>
    <t>LAURA BENITEZ</t>
  </si>
  <si>
    <t>RAMON ZARZA</t>
  </si>
  <si>
    <t>JOSE GARCIA</t>
  </si>
  <si>
    <t>DETERMINACION DE GASTOS DEDUCIBLES Y NO DEDUCIBLES</t>
  </si>
  <si>
    <t>TOTAL INGRESOS</t>
  </si>
  <si>
    <t>DEDUCIBILIDAD 2,5%</t>
  </si>
  <si>
    <t>CODIGOS</t>
  </si>
  <si>
    <t>DEDUCIBLES</t>
  </si>
  <si>
    <t>NO DEDUCIBLES</t>
  </si>
  <si>
    <t xml:space="preserve">           Servicios Personales</t>
  </si>
  <si>
    <t xml:space="preserve">           Remuneracion Personal Superior</t>
  </si>
  <si>
    <t xml:space="preserve">           AL 31 DE DICIEMBRE DE 2019</t>
  </si>
  <si>
    <t>SANDRO REIMER</t>
  </si>
  <si>
    <t>MARCUS</t>
  </si>
  <si>
    <t xml:space="preserve">            Documentos a Cobrar</t>
  </si>
  <si>
    <t xml:space="preserve">           Fondos a Regularizar</t>
  </si>
  <si>
    <t xml:space="preserve">            (-)Intereses s/Doc a devengar</t>
  </si>
  <si>
    <t xml:space="preserve">           (-) Intereses s/Doc a devengar</t>
  </si>
  <si>
    <t>Costos de Repuestos Taller Asu</t>
  </si>
  <si>
    <t>Repuestos p/ OTs Asu</t>
  </si>
  <si>
    <t>PAR DE MARCHA ATRAS Y DESPLAZANTE</t>
  </si>
  <si>
    <t>KIT DE CORREA DENTADA DE ARGENTINA</t>
  </si>
  <si>
    <t>COMPRA DE CARDAN CHEVROLET S10 S/ FAC</t>
  </si>
  <si>
    <t>KIT DE REPARACION DE MOTOR AMAROK</t>
  </si>
  <si>
    <t>CARDAN DELANTERO USADO AMAROK</t>
  </si>
  <si>
    <t>BUJES DE PARRILLA TIGUAN S/FACTURA</t>
  </si>
  <si>
    <t>KIT DE CORREA DENTADA AMAROK S/ FACTURA</t>
  </si>
  <si>
    <t>PICO INYECTOR AMAROK USADO</t>
  </si>
  <si>
    <t>MODULO DE ABS AMAROK S/ FACTURA</t>
  </si>
  <si>
    <t>COMPRA REPUESTO USADO S/ FACTURA</t>
  </si>
  <si>
    <t>TERMOSTATO AMAROK V6</t>
  </si>
  <si>
    <t>MECANISMO ABRE CAPOT</t>
  </si>
  <si>
    <t>TAPA DE ESPEJO RETROVISOR</t>
  </si>
  <si>
    <t>PICOS INYECTORES S/ FACURA</t>
  </si>
  <si>
    <t>Costos de Repuestos Taller Filadelfia</t>
  </si>
  <si>
    <t>Repuestos p/OT Fila</t>
  </si>
  <si>
    <t>HERRAMIENTA</t>
  </si>
  <si>
    <t>ADELANTO MAYO - FREDY SERVIN</t>
  </si>
  <si>
    <t>PARCHE</t>
  </si>
  <si>
    <t>Costos de Serv Terc. Taller Asuncion</t>
  </si>
  <si>
    <t>Servicios p/OT AS</t>
  </si>
  <si>
    <t>PAGO DE LAVADO DE CLIENTES S/FAC</t>
  </si>
  <si>
    <t>SOLDADURA EN COBRE DE CAÑO DE AGUA S/F</t>
  </si>
  <si>
    <t>REPARACION DE BOMBA DE DIRECCION SIN FAC</t>
  </si>
  <si>
    <t>LAVADO DE VEHICULO DE CLIENTE S/FAC</t>
  </si>
  <si>
    <t>PAGO DE LAVADO DE VEHICULO S/ FACTURA</t>
  </si>
  <si>
    <t>TENSORES TRASEROS TIGUAN</t>
  </si>
  <si>
    <t>TAPA DE ALTERNADOR AMAROK USADA S/ FACTU</t>
  </si>
  <si>
    <t>LAVADO</t>
  </si>
  <si>
    <t>REPARACION DE BOMBA HIDRAULICA S/FACTURA</t>
  </si>
  <si>
    <t>BOTON P/ BAULERA - AROMATIZANTE</t>
  </si>
  <si>
    <t>LLANTAS S/ FACT</t>
  </si>
  <si>
    <t>Viaticos y Gtos de Ventas As</t>
  </si>
  <si>
    <t>AS Viat.y Gtos Vtas</t>
  </si>
  <si>
    <t>VIAJE A FILADELFIA</t>
  </si>
  <si>
    <t>Publicidad y Propaganda Loma Plata</t>
  </si>
  <si>
    <t>L.P Public. y Propag</t>
  </si>
  <si>
    <t>ENTRADA DEL DÍA 12/08/19 - LORENA ORTELL</t>
  </si>
  <si>
    <t>ENTRADA PARA EXPO TREBOL/LORENA 13/08/19</t>
  </si>
  <si>
    <t>Combustibles y Lubricantes Taller</t>
  </si>
  <si>
    <t>Tall Fil Combu y Lub</t>
  </si>
  <si>
    <t>NAFTA 91 S/F</t>
  </si>
  <si>
    <t>GASOIL P/ AMAROK TALLER S/F</t>
  </si>
  <si>
    <t>Gastos Varios de Ventas</t>
  </si>
  <si>
    <t>Gtos Varios de Vtas</t>
  </si>
  <si>
    <t>2 ENTRADAS RENDIC. SR. A.LOWEN/CHACO-EXP</t>
  </si>
  <si>
    <t>Sueldos y Jornales - Loma Plata</t>
  </si>
  <si>
    <t>L.P Sueldos y Jornal</t>
  </si>
  <si>
    <t>SUELDO MES DE MARZO CATALINA RAMIREZ</t>
  </si>
  <si>
    <t>SUELDO MES DE MARZO RAQUEL ESPINOLA</t>
  </si>
  <si>
    <t>Otros Beneficios al Personal</t>
  </si>
  <si>
    <t>AS OtroBenef.al Pers</t>
  </si>
  <si>
    <t>PROPINA MOZO/ALMUERZO FIN DE AÑO</t>
  </si>
  <si>
    <t>COMPRA DE FLORES P/ CENTRO DE MESA/ALMUE</t>
  </si>
  <si>
    <t>SERV. DE PROV. EQUIPOS/PELOTA FUTB./ALMU</t>
  </si>
  <si>
    <t>Agua y Luz Asuncion</t>
  </si>
  <si>
    <t>AS ESSAP</t>
  </si>
  <si>
    <t>CONSUMO AGUA POTABLE - GRIFO PUBLICO MAR</t>
  </si>
  <si>
    <t>SERVICIO DE AGUA CORRIENTE</t>
  </si>
  <si>
    <t>Movilidad y Transportes Taller Asu</t>
  </si>
  <si>
    <t>Gastos Flete Tall As</t>
  </si>
  <si>
    <t>ENVIO DE DINERO P/ COMPRA DE REPUESTOS D</t>
  </si>
  <si>
    <t>SERVICIO DE FLETE</t>
  </si>
  <si>
    <t>SERVICIOS DE FLETE</t>
  </si>
  <si>
    <t>TRANSFERENCIA PARA COMPRA DE REPUESTO DE</t>
  </si>
  <si>
    <t>RETIRO DE REPUESTO DE BRASIL</t>
  </si>
  <si>
    <t>ENVIO DE REPUESTOS</t>
  </si>
  <si>
    <t>Limpieza del Local y Jardineria L.P.</t>
  </si>
  <si>
    <t>LP Limpieza y Jardin</t>
  </si>
  <si>
    <t>LIMPIESA DE PATIO</t>
  </si>
  <si>
    <t>PAGO A REEMPLAZO DE LIMPIEZA</t>
  </si>
  <si>
    <t>SUELDO CATALINA RAMIREZ ENERO Y FEBRERO</t>
  </si>
  <si>
    <t>Rep y Mto de Rodados Asu</t>
  </si>
  <si>
    <t>AS Manten. y Rep.Veh</t>
  </si>
  <si>
    <t>CARGA DE EXTINTOR P/ USO O.P.</t>
  </si>
  <si>
    <t>COLOCACION DE CUBIERTA NISSAN TALLER</t>
  </si>
  <si>
    <t>PAGO POR SERVICIOS DE GOMERIA S/ FACTURA</t>
  </si>
  <si>
    <t>Serv. Especial. y Correspondencia Asu</t>
  </si>
  <si>
    <t>AS Gtos.de Encomien</t>
  </si>
  <si>
    <t>ENVIO DE DINERO P/ PAGO DE REPUESTO</t>
  </si>
  <si>
    <t>Gestion de Cobranzas</t>
  </si>
  <si>
    <t>Otros Gstos.Gest.Cob</t>
  </si>
  <si>
    <t>SERV. DE TRANSP. PRIV./RENDIC. LILIAN GI</t>
  </si>
  <si>
    <t>GTOS. UJIER FILADELFIA/RENDIC. LILIAN GI</t>
  </si>
  <si>
    <t>SERVICIO DE UBER/TRANSPORTE/RENDIC. LILI</t>
  </si>
  <si>
    <t>Gastos de Reuniones y Catering Asu</t>
  </si>
  <si>
    <t>As Reunion y Catteri</t>
  </si>
  <si>
    <t>SERV. DE PARRILLA/ASADO/DESPE. SR.SANTIA</t>
  </si>
  <si>
    <t>PAGO CARRETILLERO SUPERSEIS/ COMPRA P/ G</t>
  </si>
  <si>
    <t>COCIDO P/ CLIENTES DE TALLER S/ FACTURA</t>
  </si>
  <si>
    <t>COCIDO P/ CLIENTAS S/ FACTURA</t>
  </si>
  <si>
    <t>Uniformes e Implementos de Seguridad Asu</t>
  </si>
  <si>
    <t>Uniformes As</t>
  </si>
  <si>
    <t>ARREGLO PANTALONES P/ UNIFORME, COLOCACI</t>
  </si>
  <si>
    <t>Combustibles y Lubricantes Asu</t>
  </si>
  <si>
    <t>As Combustible Adm</t>
  </si>
  <si>
    <t>RENCIDICÓN O.P.</t>
  </si>
  <si>
    <t>Otros Insumos Varios Asuncion</t>
  </si>
  <si>
    <t>As Otros Insumos</t>
  </si>
  <si>
    <t>GTOS. DE GOMERÍA/NISSAN LOGÍSTICA</t>
  </si>
  <si>
    <t>Otros Insumos Varios Taller Asuncion</t>
  </si>
  <si>
    <t>Tall As Otr Insumos</t>
  </si>
  <si>
    <t>TAMBORES P/ CARGA DE ACEITE USADO S/FACT</t>
  </si>
  <si>
    <t>COMPRA DE TELA S/ FACTURA (PLANAS)</t>
  </si>
  <si>
    <t>Gastos Bancarios</t>
  </si>
  <si>
    <t>COMISON P/DEP.MON.EXTRANJERA</t>
  </si>
  <si>
    <t>GTOS BANCARIOS-NOTAS/CERTIFICACIONES BAS</t>
  </si>
  <si>
    <t>PEAJE VIAJE A FRIESLAND RAMÓN CUBILLA</t>
  </si>
  <si>
    <t xml:space="preserve">UN PASAJE COMÚN - RAMÓN CUBILLA VIAJE A </t>
  </si>
  <si>
    <t>UN PASAJE - VIAJE A FRIESLAND RAMÓN CUBI</t>
  </si>
  <si>
    <t>PEAJE A. LOWEN - VIAJE A FRIESLAND</t>
  </si>
  <si>
    <t>PEAJE - A. LOWEN VIAJE A FRIESLAND</t>
  </si>
  <si>
    <t>PEAJE RENDIC. SR. A.LOWEN/CHACO-EXPO-ROD</t>
  </si>
  <si>
    <t>PEAJE/RENDIC. A.LOWEN VIAJE AL CHACO</t>
  </si>
  <si>
    <t>PEAJE/A.LOWEN VIAJE A CAMPO 9</t>
  </si>
  <si>
    <t>PEAJES/ VIAJE A.LOWEN AL CHACO</t>
  </si>
  <si>
    <t>PEAJES/VIAJE SR. ALBERT A COL.FRIESLAND</t>
  </si>
  <si>
    <t>Viaticos y Gtos. de Ventas Taller</t>
  </si>
  <si>
    <t>Viat y G.Vtas Tall F</t>
  </si>
  <si>
    <t>PEAJE</t>
  </si>
  <si>
    <t>PEAJE VIAJE A FRIESLAND - RAMÓN CUBILLA</t>
  </si>
  <si>
    <t>Sueldos y Jornales - Taller Filadelfia</t>
  </si>
  <si>
    <t>Adel Magno Caceres</t>
  </si>
  <si>
    <t>ADELANTO MES DE SEPTIEMBRE</t>
  </si>
  <si>
    <t>ADEL ENERO DANIEL CACERES</t>
  </si>
  <si>
    <t>ADEL DANIEL CACERES FEBRERO</t>
  </si>
  <si>
    <t>ADEL DANIEL CACERES-MARZO</t>
  </si>
  <si>
    <t>ADELANTO MES DE ABRIL . DANIEL CACERES</t>
  </si>
  <si>
    <t>ADELANTO MES DE MAYO - MAGNO DANIEL CACE</t>
  </si>
  <si>
    <t>SERVICIOS JUNIO - MAGNO DANIEL CACERES</t>
  </si>
  <si>
    <t>ADELANTO - MAGNO DANIEL CACERES</t>
  </si>
  <si>
    <t>ADELANTO AGOSTO - MAGNO DANIEL CACERES</t>
  </si>
  <si>
    <t>ADELANTO P/ SETIEMBRE - MAGNO DANIEL CAC</t>
  </si>
  <si>
    <t>ADELANTO NOVIEMBRE - MAGNO DANIEL CACERE</t>
  </si>
  <si>
    <t>ADELANTO DICIEMBRE - DANIEL CACERES</t>
  </si>
  <si>
    <t>ADELANTO DICIEMBRE - MAGNO DANIEL CACERE</t>
  </si>
  <si>
    <t>Bonificaciones y Gratificaciones Fila</t>
  </si>
  <si>
    <t>Bonific Fliar Fila.</t>
  </si>
  <si>
    <t>BONIFICACIÓN FLIAR - GRACIELA RAMIREZ</t>
  </si>
  <si>
    <t>BONIFICACION FAMIILAR</t>
  </si>
  <si>
    <t>BONIFICACION FAMILIAR GRACIELA RAMIREZ F</t>
  </si>
  <si>
    <t>BONIFICACION FAMILIAR - GRACIELA</t>
  </si>
  <si>
    <t>BONIFICACION FAMILIAR - GRACIELA RA.</t>
  </si>
  <si>
    <t>BONIFICACION FAMILIAR -GRACIELA RA</t>
  </si>
  <si>
    <t>BONIFICACION FAMILIAR -GRACIELA RAMIREZ</t>
  </si>
  <si>
    <t>BONIF. FAMILIAR GRACIELA RAMIREZ</t>
  </si>
  <si>
    <t>BONIF. FAMILIAR GRACIELA RAM. NOVIEMBRE</t>
  </si>
  <si>
    <t>BONIF. FAMILIAR GRACIELA RAM.- DICIEMBRE</t>
  </si>
  <si>
    <t>Aguinaldos As</t>
  </si>
  <si>
    <t>AS Aguinaldos</t>
  </si>
  <si>
    <t>PARTE DE AGUINALDO PAGADO A ERICH MUHR C</t>
  </si>
  <si>
    <t>AGUINALDO OSMAR ALCARAZ</t>
  </si>
  <si>
    <t>AGUINALDO JOSE YALA</t>
  </si>
  <si>
    <t>AGUINALDO ALBA MEDINA</t>
  </si>
  <si>
    <t>AGUINALDO EUGENIO PLANAS</t>
  </si>
  <si>
    <t>AGUINALDO MARCELA VILLALBA</t>
  </si>
  <si>
    <t>AGUINALDO VIDAL ADORNO</t>
  </si>
  <si>
    <t>AGUINALDO SILVIO ROTELA</t>
  </si>
  <si>
    <t>AGUINALDO ANTONIO SANTACRUZ</t>
  </si>
  <si>
    <t>AGUINALDO MARIA VILLAMAYOR</t>
  </si>
  <si>
    <t>AGUINALDO OLGA GONZALEZ</t>
  </si>
  <si>
    <t>AGUINALDO BELEN LAJARTHE</t>
  </si>
  <si>
    <t>AGUINALDO JOSE ROLON</t>
  </si>
  <si>
    <t>AGUINALDO WILLIAM AMARILLA</t>
  </si>
  <si>
    <t>AGUINALDO EVER BAEZ</t>
  </si>
  <si>
    <t>AGUINALDO ARELY RITCHER</t>
  </si>
  <si>
    <t>AGUINALDO ERICH MUHR</t>
  </si>
  <si>
    <t>AGUINALDO CAMILA RIOS</t>
  </si>
  <si>
    <t>AGUINALDO MAGALI ALFONSO</t>
  </si>
  <si>
    <t>AGUINALDO ANALIA BENITEZ</t>
  </si>
  <si>
    <t>AGUINALDO IVAN BAEZ</t>
  </si>
  <si>
    <t>AGUINALDO KAREN ACOSTA IPS</t>
  </si>
  <si>
    <t>Aguinaldos Fila</t>
  </si>
  <si>
    <t>FIL Aguinaldos</t>
  </si>
  <si>
    <t>ADEL GABRIELA WILLMS DICIEMBRE</t>
  </si>
  <si>
    <t>ADEL GRACIELA RAMIREZ- DICIEMBRE</t>
  </si>
  <si>
    <t>ADEL DICIEMBRE EULALIO DOMINGUEZ</t>
  </si>
  <si>
    <t>Aguinaldos L.P.</t>
  </si>
  <si>
    <t>L.P Aguinaldos</t>
  </si>
  <si>
    <t>AQUINALDO AÑO 2019 - ERNESTO MORENO - LP</t>
  </si>
  <si>
    <t>AGUINALDO AÑO 2019 - SANDRA RAQUEL ESPIN</t>
  </si>
  <si>
    <t xml:space="preserve">AGUINALDO AÑO 2019 - LORENA ORTELLADO - </t>
  </si>
  <si>
    <t>AGUINALDO AÑO 2019 - CATALINA RAMIREZ SA</t>
  </si>
  <si>
    <t>Aguinaldos Taller Fila</t>
  </si>
  <si>
    <t>Aguinaldo Taller Fil</t>
  </si>
  <si>
    <t>AGUINALDO TALLER 2019 - JUAN ESTEBAN BOG</t>
  </si>
  <si>
    <t>AGUINALDO TALLER .- JUAN CARLOS HASEITEL</t>
  </si>
  <si>
    <t>AGUINALDO TALLER - WALTER ARZAMENDIA</t>
  </si>
  <si>
    <t>AGUINALDO TALLER - ARIEL BARRIOS</t>
  </si>
  <si>
    <t>Aguinaldos Taller Asu</t>
  </si>
  <si>
    <t>Aguinaldo Tall Asu</t>
  </si>
  <si>
    <t>AGUINALDO IPS EDUARDO GARCIA</t>
  </si>
  <si>
    <t>AGUINALDO JOSE RIVERO</t>
  </si>
  <si>
    <t>AGUINALDO MARCOS GALEANO</t>
  </si>
  <si>
    <t>AGUINALDO VICTOR FLEITAS</t>
  </si>
  <si>
    <t>AGUINALDO PASCUAL</t>
  </si>
  <si>
    <t>AGUINALDO JUAN CACERES</t>
  </si>
  <si>
    <t>AGUINALDO ANGEL MOSCARDA</t>
  </si>
  <si>
    <t>AGUINALDO FABIO GONZALEZ</t>
  </si>
  <si>
    <t>AGUINALDO EMILIO JARA</t>
  </si>
  <si>
    <t>AGUINALDO IPS JORGE COUSIÑO</t>
  </si>
  <si>
    <t>Seguro AMH</t>
  </si>
  <si>
    <t>Pago Seg. AMH</t>
  </si>
  <si>
    <t>AMH GUARANI- DANIEL CACERES</t>
  </si>
  <si>
    <t>AMH APORTE - FREDI SERVIN</t>
  </si>
  <si>
    <t>APORTE AMH FREDY SERVIN</t>
  </si>
  <si>
    <t>APORTE AMH FREDI SERVIN</t>
  </si>
  <si>
    <t>APORTE AMH - DANIEL CACERES</t>
  </si>
  <si>
    <t>APORTE AMH - FREDI SERVIN</t>
  </si>
  <si>
    <t>AMH FREDY SERVIN</t>
  </si>
  <si>
    <t>AMH DANIEL CACERES</t>
  </si>
  <si>
    <t>AMH GILBERTO OREDAQUI</t>
  </si>
  <si>
    <t>AMH ADOLFINO</t>
  </si>
  <si>
    <t>SEGURO AMH - FREDY SERVIN</t>
  </si>
  <si>
    <t>SEGURO AMH - MAGNO DANIEL CACERES</t>
  </si>
  <si>
    <t>SEGURO AMH - GILBERTO OREDAQUI</t>
  </si>
  <si>
    <t>AMH - GABRIEL CAMPUZANO</t>
  </si>
  <si>
    <t>AMH GABRIEL CAMPUZANO</t>
  </si>
  <si>
    <t>AMH DAVID ORTIZ</t>
  </si>
  <si>
    <t>AMH FERNHEIM CAJA 20</t>
  </si>
  <si>
    <t>SEGURO AMH - DAVID ORTIZ</t>
  </si>
  <si>
    <t>SEGURO AMH - DANIEL CACERES</t>
  </si>
  <si>
    <t>SEGURO AMH - GABRIEL CAMPUZANO</t>
  </si>
  <si>
    <t>AMH SEGURO DAVID ORTIZ</t>
  </si>
  <si>
    <t>AMH SEGURO - DANIEL CACERES</t>
  </si>
  <si>
    <t>Pasajes Asuncion</t>
  </si>
  <si>
    <t>AS Gtos.Pasaj y Peaj</t>
  </si>
  <si>
    <t>PEAJES ANTONIO SANTACRUZ</t>
  </si>
  <si>
    <t>PEAJE VIAJE A CAMPO 9 RENDIC RAMON CUBIL</t>
  </si>
  <si>
    <t>PASAJE REND RAMON CUBILLA</t>
  </si>
  <si>
    <t>PEAJE  VIAJE A CAMPO 9 RAMON CUBILLA</t>
  </si>
  <si>
    <t>PASAJE DE CAMPO 9 RAMON CUBILLA</t>
  </si>
  <si>
    <t>RENDICION PEAJES VIAJES AL CHACO ANTONIO</t>
  </si>
  <si>
    <t>PEAJE A FRIESLAND RENDIC.RAMON CUBILLA</t>
  </si>
  <si>
    <t>RENDICION DE PEAJES VIAJES AL CHACO -ANT</t>
  </si>
  <si>
    <t>PASAJE DE FRIESLAND RENDIC.RAMON CUBILLA</t>
  </si>
  <si>
    <t>Pasajes Taller Filadelfia</t>
  </si>
  <si>
    <t>Tall Gtos Pasaj Peaj</t>
  </si>
  <si>
    <t>PAGO DE PEAJE - PRUEBA VEHICULO DE CLIEN</t>
  </si>
  <si>
    <t>Movilidad y Transportes As</t>
  </si>
  <si>
    <t>RENDICION PEAJES VIAJES AL CHACO</t>
  </si>
  <si>
    <t>2 PEAJE NUEVA LONDRES - FERIA CAMPO 9</t>
  </si>
  <si>
    <t>2 PEAJES RENDIC A.LOWEN</t>
  </si>
  <si>
    <t>PEAJE CAMPO 9 ENTREGA V6-NIPON EMPREND.</t>
  </si>
  <si>
    <t>PEAJES RENDIC A.SANTACRUZ</t>
  </si>
  <si>
    <t xml:space="preserve">PEAJE REND. J. ROLÓN VIAJE A CARMEN DEL </t>
  </si>
  <si>
    <t>VIATICO VIAJE - SR FRANCISCO CARDOZO - C</t>
  </si>
  <si>
    <t>4 PEAJES M.O.P.C.-RENDICION VIAJE A FRIE</t>
  </si>
  <si>
    <t>PEAJE M.O.P.C. RENDICION VIAJES TRANSPOR</t>
  </si>
  <si>
    <t>3 PEAJES RENDIC A.LOWEN</t>
  </si>
  <si>
    <t>PEAJE VIAJE CAMPO 8 RENDIC RAMON CUBILLA</t>
  </si>
  <si>
    <t>10 PEAJES M.O.P.C. RENDICION J.ORUE</t>
  </si>
  <si>
    <t>PEAJE RENDICION RAMON CUBILLA VIAJE A CA</t>
  </si>
  <si>
    <t xml:space="preserve">PASAJE DE VUELTA RAMON CUBILLA DE CAMPO </t>
  </si>
  <si>
    <t>PEAJE PRUEBA CONSUMO GOL PETERSEN</t>
  </si>
  <si>
    <t>4 PEAJES RENDICION ANTONIO SANTACRUZ</t>
  </si>
  <si>
    <t>PEAJE RAMON CUBILLA CAMPO 9</t>
  </si>
  <si>
    <t>PASAJE RAMON CUBILLA CAMPO 9</t>
  </si>
  <si>
    <t>PEAJE RAMON CAMPO 8 - NUEVA LONDRES</t>
  </si>
  <si>
    <t xml:space="preserve">2 PEAJES M.O.P.C. VIAJE CAMPO 9 - ARELY </t>
  </si>
  <si>
    <t>PEJAE ANTONIO SANTACRUZ - YPACARAI / NUE</t>
  </si>
  <si>
    <t>PASAJE RAMON CUBILLA</t>
  </si>
  <si>
    <t>PEAJE VIAJE CAMPO 9 - ARELY RICHTER</t>
  </si>
  <si>
    <t>PASAJE BUS - RAMON CUBILLA - LINEA 18</t>
  </si>
  <si>
    <t>PEAJE PRUEBA DE SAVEIRO ROBUS - VENTA JO</t>
  </si>
  <si>
    <t>RENDICION 4 PEAJES M.O.P.C.</t>
  </si>
  <si>
    <t>PEAJE CAMPO 9 RAMON CUBILLA</t>
  </si>
  <si>
    <t>3 PEAJES P/MUESTRA DE VEHICULOS J.GONZAL</t>
  </si>
  <si>
    <t>PEAJE - VIAJE A CAMPO - RAMON CUBILLA</t>
  </si>
  <si>
    <t>PASAJE VIAJE A CAMPO 9 -RAMON CUBILLA</t>
  </si>
  <si>
    <t>RENDICION 8 PEAJES A.SANTACRUZ</t>
  </si>
  <si>
    <t>PEAJES M.O.P.C. RENDICION ANTONIO SANTAC</t>
  </si>
  <si>
    <t>RENDICION PEAJE TAPE PORA A.SANTACRUZ</t>
  </si>
  <si>
    <t>PEAJE VIAJE CAMPO 9 RAMON CUBILLA</t>
  </si>
  <si>
    <t>PEAJE M.O.P.C VIAJE A CAMPO 9</t>
  </si>
  <si>
    <t>RENDICION PEAJES M.O.P.C. A.SANTACRUZ</t>
  </si>
  <si>
    <t>PEAJE VIAJE A FRIESLAND A.LOWEN</t>
  </si>
  <si>
    <t>4 PEAJES RENDICION A.SANTACRUZ</t>
  </si>
  <si>
    <t>PEAJE RENDICION VIAJE CHACO - A.LOWEN</t>
  </si>
  <si>
    <t>2 PEAJES M.O.P.C. REND VIAJE CHACO A.LOW</t>
  </si>
  <si>
    <t>RENDICION PEAJES VIAJE A CAMPO 9 - RAMON</t>
  </si>
  <si>
    <t>RENDIC 8 PEAJES VIAJE A CHACO A.SANTACRU</t>
  </si>
  <si>
    <t>RENDICION PEAJES A.SANTACRUZ VIAJES AL C</t>
  </si>
  <si>
    <t>PEAJES M.O.P.C. VIAJE LOMA PLATA A LOWEN</t>
  </si>
  <si>
    <t>PEAJES MO.P.C. RENDICION A.LOWEN</t>
  </si>
  <si>
    <t>2 PASAJES RAMON CUBILLA</t>
  </si>
  <si>
    <t>PEAJE 03-05</t>
  </si>
  <si>
    <t>PEAJE 08/05</t>
  </si>
  <si>
    <t>PEAJE A. SANTACRUZ (VIAJE AL CHACO)</t>
  </si>
  <si>
    <t>PEAJE VIAJE A CAMPO 9</t>
  </si>
  <si>
    <t>PASAJE CRUCERO DEL ESTE</t>
  </si>
  <si>
    <t>PASAJE LA SANTANIANA S.A.</t>
  </si>
  <si>
    <t>PEAJE PRUEBA DE VEHÍCULO (2 VEHÍCULOS)</t>
  </si>
  <si>
    <t>PEAJE C. BENEGAS - COBRO A TERMINAL OCCI</t>
  </si>
  <si>
    <t>PEAJE RENDIC PEAJES A.SANTACRUZ</t>
  </si>
  <si>
    <t>PEAJE VIAJE A. LOWEN AL CHACO</t>
  </si>
  <si>
    <t>RENDICIÓN A. SANTACRUZ 24/05/19</t>
  </si>
  <si>
    <t>PEAJE - VIAJE CÉSAR BENEGAS A CNEL.OVIED</t>
  </si>
  <si>
    <t>PEAJE VIAJE A CAACUPÉ - ENTREGA DE VEHÍC</t>
  </si>
  <si>
    <t xml:space="preserve">PEAJE - REND. VIAJE DEL SR. A. LOWEN AL </t>
  </si>
  <si>
    <t>PEAJE RAMÓN VIAJE A CAMPO 9</t>
  </si>
  <si>
    <t>RENDIC. LILIAN GILL VIÁTICOS - LOMA PLAT</t>
  </si>
  <si>
    <t>PEAJE RAMÓN CUBILLA - VIAJE A P.J.C.</t>
  </si>
  <si>
    <t>PEAJE VIAJE PJC</t>
  </si>
  <si>
    <t>PEAJE 12-06-2019</t>
  </si>
  <si>
    <t>PEAJE REND. ANT. SANTACRUZ VIAJE A CAMPO</t>
  </si>
  <si>
    <t>PASAJE - REND. VIAJE A CAMPO 9 - 18/06/1</t>
  </si>
  <si>
    <t>PASAJE REND. VIAJE A CAMPO 9 - 18/06/19</t>
  </si>
  <si>
    <t>PEAJE - REND. VIAJE A CAMPO 9 - 18/06/19</t>
  </si>
  <si>
    <t>PASAJE REND. ANT. SANTACRUZ VIAJE A CAMP</t>
  </si>
  <si>
    <t>6 PEAJES   VIAJE AL CHACO A.LOWEN</t>
  </si>
  <si>
    <t>PEAJE - RENDIC. 2 VIAJES 19/06 Y 27/06 R</t>
  </si>
  <si>
    <t>RENDICION  PEAJES A.SANTACRUZ VIAJE A LO</t>
  </si>
  <si>
    <t>UN PASAJE - RENDIC. 2 VIAJES 19/06 Y 27/</t>
  </si>
  <si>
    <t>PEAJE - REND. SR. ALBERT VIAJE AL CHACO</t>
  </si>
  <si>
    <t>PEAJES -  RENDIC. SR. A. LOWEN VIAJE A C</t>
  </si>
  <si>
    <t>PEAJES M.O.P.C. VIAJE A CAACUPE J.GARCIA</t>
  </si>
  <si>
    <t>RENDICION PEAJES A.SANTACRUZ</t>
  </si>
  <si>
    <t>PEAJE - VIAJE AL CHACO - ANTONIO SANTACR</t>
  </si>
  <si>
    <t>PEAJE - RAMÓN CUBILLA VIAJE A CAMPO 8</t>
  </si>
  <si>
    <t xml:space="preserve">UN PASAJE RENDICIÓN RAMÓN CUBILLA VIAJE </t>
  </si>
  <si>
    <t>UN PASAJE LÍNEA REGULAR</t>
  </si>
  <si>
    <t>RENDIC. PEAJE VIAJE A FILA - RAMÓN CUBIL</t>
  </si>
  <si>
    <t>2 PEAJES CAMPO 9 - TRASLADO VW GOL</t>
  </si>
  <si>
    <t xml:space="preserve">PEAJE - PRUEBA VW 017028 AMAROK RENDIC. </t>
  </si>
  <si>
    <t>RENDICION PEAJES ANTONIO SANTACRUZ</t>
  </si>
  <si>
    <t>RENDICIÓN PEAJES VIAJE AL CHACO - ANTONI</t>
  </si>
  <si>
    <t>PEAJE/ENTREGA DE VEHÍCULO DIOCESIS DE CN</t>
  </si>
  <si>
    <t>PEAJE/RENDIC. RAMÓN CUBILLA VIAJE A CAMP</t>
  </si>
  <si>
    <t>RENDIC PEAJES A.SANTACRUZ</t>
  </si>
  <si>
    <t>PASAJE/RENDIC. RAMÓN CUBILLA VIAJE A CAM</t>
  </si>
  <si>
    <t>RENDIC. PEAJES A. SANTACRUZ</t>
  </si>
  <si>
    <t>PEAJE/ RENDIC. RAMÓN CUBILLA VIAJE A CAM</t>
  </si>
  <si>
    <t xml:space="preserve">UN PASAJE COMÚN / RENDIC. RAMÓN CUBILLA </t>
  </si>
  <si>
    <t xml:space="preserve">UN PASAJE/RENDIC. RAMÓN CUBILLA VIAJE A </t>
  </si>
  <si>
    <t>PEAJE / RENDIC. VIAJE A CAMPO 9</t>
  </si>
  <si>
    <t>PEAJE M.O.P.C. VIAJE A CAMPO 9 RAMON CUB</t>
  </si>
  <si>
    <t>RENDIC PEAJES M.O.P.C. A.SANTACRUZ</t>
  </si>
  <si>
    <t>PASAJE RAMON CAMPO 9</t>
  </si>
  <si>
    <t>RENDICION PEAJES VIAJE A CAMPO 9 A.SANTA</t>
  </si>
  <si>
    <t>PASAJE ANTONIO SANTACRUZ</t>
  </si>
  <si>
    <t>PEAJE - RENDIC. A.SANTACRUZ VIAJE A CAMP</t>
  </si>
  <si>
    <t>PASAJES CAMPO 9 ANTONIO SANTACRUZ</t>
  </si>
  <si>
    <t xml:space="preserve">UN PASAJE - RENDIC. A.SANTACRUZ VIAJE A </t>
  </si>
  <si>
    <t>2 PEAJES RENDIC PLANAS-PRUEBA AMAROK CH.</t>
  </si>
  <si>
    <t>RENDIC PEAJES A.SANTACRUZ VIAJE CHACO</t>
  </si>
  <si>
    <t>PASAJE ANTONIO SANTACRUZ VUELTA CAMPO 9</t>
  </si>
  <si>
    <t>PEAJES ANTONIO SANTACRUZ VUELTA CAMPO 9</t>
  </si>
  <si>
    <t>2 PEAJES/RENDIC. ARELY VIAJE A CAMPO 9</t>
  </si>
  <si>
    <t>REND 4 PEAJES M.O.P.C.-CAMPO 9 A.SANTACR</t>
  </si>
  <si>
    <t>UN PASAJE LÍNEA DE TRANSP. REGULAR</t>
  </si>
  <si>
    <t>PEAJES/ ANTONIO SANTACRUZ VIAJE AL CHACO</t>
  </si>
  <si>
    <t>PEAJES/ RENDIC. A.SANTACRUZ VIAJE AL CHA</t>
  </si>
  <si>
    <t>PEAJE/REND. RAMON CUB. VIAJE A CAMPO 9</t>
  </si>
  <si>
    <t>PEAJE/ RENDIC. A.SANTACRUZ VIAJE A FILAD</t>
  </si>
  <si>
    <t>PEAJE RENDIC. A.SANTACRUZ VIAJE AL CHACO</t>
  </si>
  <si>
    <t>UN PASAJE COMÚN/RENDIC. RAMÓN CUBILLA VI</t>
  </si>
  <si>
    <t>UN PASAJE/ RENDIC. RAMÓN CUBILLA VIAJE A</t>
  </si>
  <si>
    <t>PEAJES RENDIC. ANTONIO SANTA CRUZ</t>
  </si>
  <si>
    <t>PEAJE RENDIC. ANTONIO SANTACRUZ</t>
  </si>
  <si>
    <t>RENDICIÓN PEAJES A. SANTACRUZ</t>
  </si>
  <si>
    <t>UN PASAJE COMÚN/</t>
  </si>
  <si>
    <t>PASAJE A ASU/ RENDIC. RAMÓN CUBILLA</t>
  </si>
  <si>
    <t>PEAJE/ RENDIC. ANTONIO SANTACRUZ VIAJE A</t>
  </si>
  <si>
    <t>PEAJE TASACIÓN DE 3 VEHÍCULOS TERMINAL O</t>
  </si>
  <si>
    <t>PEAJES/ RENDIC. A.SANTACRUZ VIAJE A CAMP</t>
  </si>
  <si>
    <t>PEAJE/ RENDIC. ANTONIO SANTACRUZ</t>
  </si>
  <si>
    <t>RENDIC PEAJES ANTONIO SANTACURZ</t>
  </si>
  <si>
    <t>PEAJE/ RENDIC. A.SANTACRUZ</t>
  </si>
  <si>
    <t>PEAJE/A.SANTACRUZ VIAJE A CAMPO 9</t>
  </si>
  <si>
    <t>PEAJE/ AMAROK 2014 EX WARKENTIN</t>
  </si>
  <si>
    <t>PASAJE/A.SANTACRUZ VIAJE A CAMPO 9</t>
  </si>
  <si>
    <t>UN PASAJE COMÚN</t>
  </si>
  <si>
    <t>PEAJE/VIAJE ANTONIO S. AL CHACO</t>
  </si>
  <si>
    <t>PEAJE/RENDIC. A. SANTACRUZ VIAJE A CAMPO</t>
  </si>
  <si>
    <t>RENDIC. PEAJES A.SANTACRUZ</t>
  </si>
  <si>
    <t>PEAJE VIAJE A CAACUPE - RETIRO VEHICULO</t>
  </si>
  <si>
    <t>PEAJE/RENDIC.ANTONIO S.VIAJE AL CHACO</t>
  </si>
  <si>
    <t>PEAJES VIAJE  FRIESLAND</t>
  </si>
  <si>
    <t>RENDIC. PEAJES/ A.SANTACRUZ</t>
  </si>
  <si>
    <t>RENDICION PEAJES ANTONIO VIAJE AL CHACO</t>
  </si>
  <si>
    <t>Movilidad y Transportes Taller</t>
  </si>
  <si>
    <t>PAGO DE PEAJE EMBOSCADA</t>
  </si>
  <si>
    <t>PEAJE EMBOSCADA</t>
  </si>
  <si>
    <t>PEAJE - PRUEBA DE VEHICULO</t>
  </si>
  <si>
    <t>PRUEBA DE VEHICULO CLIENTE</t>
  </si>
  <si>
    <t>PEAJE EMBOSCADA - PRUEBA VEHICULO CLIENT</t>
  </si>
  <si>
    <t>PRUEBA DE VEHÍCULO CLIENTE</t>
  </si>
  <si>
    <t>PRUEBA DE LARGA DISTANCIA VEHICULO DE CL</t>
  </si>
  <si>
    <t>PRUEBA DE LARGA DISTANCIA HYNDAI SANTA F</t>
  </si>
  <si>
    <t xml:space="preserve">PRUEBA DE LARGA DSITANCIA HYUNDAI SANTA </t>
  </si>
  <si>
    <t>PRUEBA DE LARGA DISTANCIA, VEHICULO DE C</t>
  </si>
  <si>
    <t>PRUEBA LARGA DISTANCIA, VEHICULO DE CLIE</t>
  </si>
  <si>
    <t>PRUEBA DE LARGA DISTANCIA DE VEHICULO</t>
  </si>
  <si>
    <t>PRUEBA LARGA DISTANCIA DE VEHICULO</t>
  </si>
  <si>
    <t>PRUEBA DE LARGA DISTANCIA</t>
  </si>
  <si>
    <t>Pasaje y Peaj TAllAS</t>
  </si>
  <si>
    <t>PEAJE POZO COLORADO</t>
  </si>
  <si>
    <t>PEAJE REMANSO</t>
  </si>
  <si>
    <t>Mantenimiento y Rep de Equipos L.P.</t>
  </si>
  <si>
    <t>LP Reparacio Varias</t>
  </si>
  <si>
    <t>PEAJE MONTANIA AUXILIO A ALEJANDRO PORTI</t>
  </si>
  <si>
    <t>PEAJE MONTANIA</t>
  </si>
  <si>
    <t>PEAJE TTE. MARTINEZ</t>
  </si>
  <si>
    <t>Capacitacion y Adiestramiento Tall Fila</t>
  </si>
  <si>
    <t>Tall Fila Capacitaci</t>
  </si>
  <si>
    <t>Gastos de Gestion Judicial</t>
  </si>
  <si>
    <t>Notificaciones Judic</t>
  </si>
  <si>
    <t>LIQUIDACION DE JUICIO LAIS ELENA GARCETE</t>
  </si>
  <si>
    <t>GASTOS JUDICIALES FILA</t>
  </si>
  <si>
    <t>PAGO AL UJIER</t>
  </si>
  <si>
    <t>NOTIF. PENNER AUT.CONTRA CARLOS DIAZ MER</t>
  </si>
  <si>
    <t>NOTIF.PENNER AUT. CONTRA PEDRO DAMIAN GA</t>
  </si>
  <si>
    <t>NOTIF.PENNER AUT. CONTRA IRIS GONZALES Y</t>
  </si>
  <si>
    <t>NOTIF.PENNER AUT. CONTRA MAQUINARIAS KL</t>
  </si>
  <si>
    <t>NOTIF.PENNER AUT. CONTRA ISABELINO RIVAS</t>
  </si>
  <si>
    <t>NOTIF. PENNER AUT. CONTRA ANTERO ALMEDA</t>
  </si>
  <si>
    <t>NOTIF. PENNER AUT. CONTRA MARIA .A. GAMA</t>
  </si>
  <si>
    <t>NOTIF. PENNER AUT. CONTR CARLOS DIAZ MER</t>
  </si>
  <si>
    <t>NOTIF.PENNER AUT.CONTRA VENANCIO ERICO G</t>
  </si>
  <si>
    <t>NOTIF. PENNER AUT. CONTRA ARNOLD HIEBERT</t>
  </si>
  <si>
    <t>NOTIF.PENNER AUT.CONTRA LUIS F. ZAVALA</t>
  </si>
  <si>
    <t>NOTIF.PENNER AUT. CONTRA ELIAS LEDEZMA</t>
  </si>
  <si>
    <t>NOTIF.PENNER AUT.CONTRA JOSE ARMIN CHAPA</t>
  </si>
  <si>
    <t xml:space="preserve">NOTIF.PENNER AUT.CONTRA EUSEBIO ALCARAZ </t>
  </si>
  <si>
    <t>NOTIF.PENNER AUT.CONTRA CYNTHIA RITA LOZ</t>
  </si>
  <si>
    <t>NOTIF.PENNER AUT.CONTRA ANGEL MARTINEZ D</t>
  </si>
  <si>
    <t>NOTIF.PENNER AUT CONTRA MAQUINARIAS HARD</t>
  </si>
  <si>
    <t>NOTIF. PENNER AUT. CONTRA ISABELINO RIVA</t>
  </si>
  <si>
    <t>NOTIF.PENNER AUT.CONTRA LOTTERMAN</t>
  </si>
  <si>
    <t>NOTIFIC.JUICIO EJECUTIV.ANTERO RUIZ ALMA</t>
  </si>
  <si>
    <t>NOTIF-JUICIO EJECUTIVO.LINIQUER LOTTERMA</t>
  </si>
  <si>
    <t>NOTIFIC.JUICIO EJECUTIVO. ISABELINO RIVA</t>
  </si>
  <si>
    <t xml:space="preserve">NOTIFIC. JUICIO EJECUTIV. ARNOLD HIBERT </t>
  </si>
  <si>
    <t>NOTIFICACION A CRUCE BOQUERON/ DORALICIA</t>
  </si>
  <si>
    <t>NOTIFICACION A LA COLONIA PARA TODO / RU</t>
  </si>
  <si>
    <t>NOTIFICACION A VENANCIO ERICO GOMEZ</t>
  </si>
  <si>
    <t>NOTIFICACION A CARLOS DIAZ MERELES</t>
  </si>
  <si>
    <t>NOTIFICACION A ARNOLD HIEBERT THIESSEN</t>
  </si>
  <si>
    <t>NOTIFICACION A AGUSTINA ASTIGARRADA - AC</t>
  </si>
  <si>
    <t>NOTIFIC. VIDAL EUSEBIO ALCARAZE ISABEL G</t>
  </si>
  <si>
    <t>NOTIFIC. ANTERO RUIZ ALMADA - LP</t>
  </si>
  <si>
    <t>NOTIFIC. AGUSTIN BARRIOS GONZALEZ - LP</t>
  </si>
  <si>
    <t>NOTIF. VENANCIO ERICO GOMEZ - LP</t>
  </si>
  <si>
    <t>NOTIF. ANGEL MARTINEZ DE LOS SANTOS - LP</t>
  </si>
  <si>
    <t>NOTIF. LINNIQUER LOTERMANN  HENTZ - LP</t>
  </si>
  <si>
    <t>NOTIFIC. MAQUINARIAS K.L. - LP</t>
  </si>
  <si>
    <t>NOTIFICACION DE UJIER A ISABELINO MARTIN</t>
  </si>
  <si>
    <t>NOTIF. DE ACCION PREPAR. ISABELINO MARTI</t>
  </si>
  <si>
    <t>NOTIF. PROVID. ISABELINO MARTINEZ Y ASUN</t>
  </si>
  <si>
    <t>NOTIF. CYNTHIA LOZADA DE CAZURIAGA - LP</t>
  </si>
  <si>
    <t>NOTIFIC. JOSE ARMIN CHAPARRO - LP</t>
  </si>
  <si>
    <t>NOTIFIC. JUDIC. TADEO JAVIER ARCE - TTE.</t>
  </si>
  <si>
    <t>NOTIFICACION JUDIC .LEONARDO PAEZ</t>
  </si>
  <si>
    <t>2° NOTIF. AGUST. ASTIG./RENDIC. LILIAN G</t>
  </si>
  <si>
    <t>NOTIFICACION MAQUINARIAS KL</t>
  </si>
  <si>
    <t>NOTIFICACION MILCIADES GODOY CALONGA</t>
  </si>
  <si>
    <t>NOTIFICACION ELIAS ROLANDO LEDESMA SANDO</t>
  </si>
  <si>
    <t>NOTIFICACION PEDRO DAMIAN GALEANO ESCOBA</t>
  </si>
  <si>
    <t>NOTIFICACION ARIEL ALEJANDRO PEREIRA</t>
  </si>
  <si>
    <t>NOTIFICACION ARIEL ALEJANDOR PEREIRA GON</t>
  </si>
  <si>
    <t>NOTIFICACION LIZ FABIOLA GOMEZ MALDONADO</t>
  </si>
  <si>
    <t>NOTIFICACION FABIO FROILAN FRASQUERI</t>
  </si>
  <si>
    <t xml:space="preserve">NOTIFICACION LIZ MARIEL FLORES Y MARCOS </t>
  </si>
  <si>
    <t>NOTIFICACION EVER GAMARRA</t>
  </si>
  <si>
    <t>NOTIFICACION SEBASTIAN MONTIEL CABAÑAS</t>
  </si>
  <si>
    <t>NOTIFICACION ISMAEL LOPEZ DUARTE</t>
  </si>
  <si>
    <t>NOTIFICACION IRIS GONZALES Y JORGE PEREI</t>
  </si>
  <si>
    <t>NOTIFICACION MAQUINARIAS HARDER S.A.</t>
  </si>
  <si>
    <t>NOTIFICACION LUIS FERNANDO ZAVALA</t>
  </si>
  <si>
    <t>NOTIFICACION DORALICIA AQUINO CRISTALDO</t>
  </si>
  <si>
    <t>NOTIFICACION VENANCIO ERICO GOMEZ</t>
  </si>
  <si>
    <t>NOTIFICACION RUFINO KLASSEN WIEBE</t>
  </si>
  <si>
    <t>NOTIFICACION VENANCIO ERICO GOMEZ TORRES</t>
  </si>
  <si>
    <t>Tasas Judiciales</t>
  </si>
  <si>
    <t>LIQUIDACION TASA JUDICIAL - VENANCIO ERI</t>
  </si>
  <si>
    <t>PAAGO DE TASA JUDICIAL - JOSE A. BARRIOS</t>
  </si>
  <si>
    <t>PAGO DE TASA JUDICIAL - CYNTHIA R. LOZAD</t>
  </si>
  <si>
    <t>PAGO DE TASA JUDICIAL - TADEO J. ARCE AC</t>
  </si>
  <si>
    <t>TASA JUDICIAL RICARDO MACIEL ZILIOTO</t>
  </si>
  <si>
    <t>PAGO DE TASA JUDICIAL - VIDAL E. ALCARAZ</t>
  </si>
  <si>
    <t>PAGO TASA JUDICIAL - CARLOS DIAZ MERELES</t>
  </si>
  <si>
    <t>LIQ JUICIO - TASA JUDICIAL - AGUSTINA ES</t>
  </si>
  <si>
    <t>LIQ JUICIO - TASA JUDICIAL - ELIAS LEDES</t>
  </si>
  <si>
    <t>LIQ JUICIO - TASA JUDICIAL - EDGAR CORON</t>
  </si>
  <si>
    <t>LIQ JUICIO - TASA JUDICIAL - IRIS GONZAL</t>
  </si>
  <si>
    <t>LIQ JUICIO - TASA JUDICIAL - MAQUINARIAS</t>
  </si>
  <si>
    <t>LIQUIDACION JUICIO - TASA JUDICIAL - PAB</t>
  </si>
  <si>
    <t>LIQ JUICIO - TASA JUDICIAL - PEDRO GALEA</t>
  </si>
  <si>
    <t>LIQUIDACION JUICIO - TASA JUDICIAL - PAM</t>
  </si>
  <si>
    <t>TASAS JUDICC MAQUINARIAS HARDER</t>
  </si>
  <si>
    <t>TASAS JUDICIALES MAQUINARISAS HARDER</t>
  </si>
  <si>
    <t>TASA JUDICIAL MARIO GAMARRA</t>
  </si>
  <si>
    <t>TASA JUDICIAL JORGE PEREIRA</t>
  </si>
  <si>
    <t>TASA JUDICIAL ELIAS LEDESMA</t>
  </si>
  <si>
    <t>TASA JUDICIAL CORNELIO PENNER</t>
  </si>
  <si>
    <t>TASA JUDICIAL IRIS GONZALEZ</t>
  </si>
  <si>
    <t>TASA LIQUIDACION JUDICIAL - ISAMEL LOPEZ</t>
  </si>
  <si>
    <t>LIQUIDACION TASA JUDICIAL - LUIS ZAVALA</t>
  </si>
  <si>
    <t>LIQUIDACION TASA JUDICIAL - ISMAEL LOPEZ</t>
  </si>
  <si>
    <t>LIQUIDACION TASA JUDICIAL - DIEGO LEBRON</t>
  </si>
  <si>
    <t>LIQUIDACION TASA JUDICIAL - MIRIAN LEBRO</t>
  </si>
  <si>
    <t>LIQUIDACION TASA JUDICIAL - OSCAR LEBRON</t>
  </si>
  <si>
    <t>PAGO LIQUIDACION JUDICIAL - RUBEN ARANDA</t>
  </si>
  <si>
    <t>PAGO LIQUIDACION JUDICIAL - LUCAS TALAMO</t>
  </si>
  <si>
    <t>PAGO LIQUIDACION JUDICIAL - ARNOLD HIEBE</t>
  </si>
  <si>
    <t xml:space="preserve">LIQUIDACION JUDICIAL - DALTRO GONCALVEZ </t>
  </si>
  <si>
    <t>LIQUIDACION JUDICIAL - JULF ROLINK - CON</t>
  </si>
  <si>
    <t xml:space="preserve">LIQUIDACION JUDICIAL - TEODORO BERNAL - </t>
  </si>
  <si>
    <t>LIQUIDACION JUDICIAL - MILCIADES SANABRI</t>
  </si>
  <si>
    <t>LIQUIDACION JUICIO - DOROTEO JARA BENITE</t>
  </si>
  <si>
    <t>LIQUIDACION JUICIO - JOSE CHAPARRO - ACC</t>
  </si>
  <si>
    <t xml:space="preserve">LIQUIDACION JUICIO - MILCIADES SANABRIA </t>
  </si>
  <si>
    <t>LIQUIDACION JUICIO - ANGEL MARTINEZ DE L</t>
  </si>
  <si>
    <t>LIQUIDACION TASA JUDICIAL - LINIQUER LOT</t>
  </si>
  <si>
    <t>LIQUIDACION TASA JUDICIAL - ISABELINO RI</t>
  </si>
  <si>
    <t>LIQUIDACION TASA JUDICIAL-LUIS FER. ZAVA</t>
  </si>
  <si>
    <t>LIQUIDACION TASA JUDICIAL - DIEGO RIVERO</t>
  </si>
  <si>
    <t xml:space="preserve">LIQUIDACION TASA JUDICIAL - ANTERO RUIZ </t>
  </si>
  <si>
    <t>LIQUIDACION TASA JUDICIAL - VICENTE LESM</t>
  </si>
  <si>
    <t>LIQUIDACION TASA JUD.-LINIQUER LOTTERMAN</t>
  </si>
  <si>
    <t>LIQUIDACION TASA JUDICIAL - ISBELINO RIV</t>
  </si>
  <si>
    <t xml:space="preserve">LIQUIDACION TASA JUDICIAL-ANTERO RUIZ - </t>
  </si>
  <si>
    <t>LIQUIDACION DE JUICIOS S/DETALLE</t>
  </si>
  <si>
    <t>LUIDACION DE JUICIOS S/DETALLE 16/04/19</t>
  </si>
  <si>
    <t>ANTECED JUDICIAL - ORLANDO PENNER PARA B</t>
  </si>
  <si>
    <t>PREP. A. EJECUTIVA - VICENTE ANDRES LESM</t>
  </si>
  <si>
    <t>INF. ELECT. DE COND. DE COMINIO - DORALI</t>
  </si>
  <si>
    <t>INF. ELECT. DE COND. DOMINIO - ALFREDO R</t>
  </si>
  <si>
    <t>INF. ELECT. COND. DE DOMINIO - RUBEN ARA</t>
  </si>
  <si>
    <t>INF. ELECT. COND. DE DOMINIO - MARTIN UL</t>
  </si>
  <si>
    <t>LIQUID TASA JUD - COND DOMINIO - KARL WI</t>
  </si>
  <si>
    <t>LIQUID TASA JUD - COND DOMINIO - COMB BO</t>
  </si>
  <si>
    <t xml:space="preserve">LIQUID TASA JUD - COND DOMINIO - RICHAR </t>
  </si>
  <si>
    <t>LIQ. TASA JUD. - LIZ FABIOLA GOMEZ</t>
  </si>
  <si>
    <t>LIQ. TASA JUD. - VENANCIO GOMEZ</t>
  </si>
  <si>
    <t>LIQ. TASA JUD. - ANDERSON ALCARAZ</t>
  </si>
  <si>
    <t>LIQ. TASA JUD. - DIEGO ALCARAZ</t>
  </si>
  <si>
    <t>LIQ. TASA JUD. - NEURI KUHN</t>
  </si>
  <si>
    <t>LIQ. TASA JUD. - SILVESTRE CASURIAGA</t>
  </si>
  <si>
    <t>LIQ. TASA JUD. - RICHAR GILBERTO ARZAMEN</t>
  </si>
  <si>
    <t>LIQ. TASA JUD. - ARNALDO DELEON</t>
  </si>
  <si>
    <t>LIQ. TASA JUD. - COND. DOMINIO - ANDERSO</t>
  </si>
  <si>
    <t>LIQ. TASA JUD.-COND. DOMINIO-ARNALDO DEL</t>
  </si>
  <si>
    <t>LIQ. TASA JUD.-COND. DOMINIO-RICHARD GIL</t>
  </si>
  <si>
    <t>LIQ. TASA JUD.-COND. DOMINIO-NEURI KUHN</t>
  </si>
  <si>
    <t>LIQ. TASA JUD.-COND. DOMINIO-DIEGO ALCAR</t>
  </si>
  <si>
    <t>LIQ. TASA JUD. - COND. DOMINIO - LIZ FAB</t>
  </si>
  <si>
    <t>LIQ. TASA JUD. - COND. DOMINIO- SILVESTR</t>
  </si>
  <si>
    <t>LIQ. TASA JUD.-COND. DOMINIO - ADRIANA V</t>
  </si>
  <si>
    <t>LIQ. TASA JUD. - EVER REINALDO GAMARRA</t>
  </si>
  <si>
    <t>LIQ. TASA JUD. - ARIEL ALEJANDRO PEREIRA</t>
  </si>
  <si>
    <t>LIQ. TASA JUD. - ARIEL ALEJ. PEREIRA/ DA</t>
  </si>
  <si>
    <t>LIQ. TASA JUD. - FABRIO FROILAN FRASQUER</t>
  </si>
  <si>
    <t>LIQ. TASA JUD. LIZ MARIELA FLORES</t>
  </si>
  <si>
    <t>LIQ. TASA JUD. - SEBASTIAN MONTIEL CABAÑ</t>
  </si>
  <si>
    <t>LIQ. TASA JUD. COND. DOMINIO - EVER REIN</t>
  </si>
  <si>
    <t>LIQ. TASA JUD. - COND. DOMINIO - ARIEL A</t>
  </si>
  <si>
    <t>LIQ. TASA JUD. - COND. DOMINIO - DAISY R</t>
  </si>
  <si>
    <t>LIQ. TASA JUD. - COND. DOMINIO - FABIO F</t>
  </si>
  <si>
    <t>LIQ. TASA JUD. - COND. DOMINIO - ZUNILDA</t>
  </si>
  <si>
    <t>LIQ. TASA JUD.- COND. DOMINIO-LIZ MARIEL</t>
  </si>
  <si>
    <t>LIQ. TASA JUD.-COND. DOMINIO-MARCOS DANI</t>
  </si>
  <si>
    <t>LIQ. TASA JUD.-COND. DOMINIO-SEBASTIAN M</t>
  </si>
  <si>
    <t>LIQ. TASA JUD.-COND. DOMINIO-FELIPE GONC</t>
  </si>
  <si>
    <t>LIQ.TASA JUD.-COND.DOMINIO-SILVIO RAMIRE</t>
  </si>
  <si>
    <t>LIQ. TASA JUD.-COND. DOMINIO-MARCIANA ME</t>
  </si>
  <si>
    <t>Otros Gstos Gest.Jud</t>
  </si>
  <si>
    <t>GESTIONES JUDICIALES -DRA NURIA</t>
  </si>
  <si>
    <t>GASTOS JUDICIALES</t>
  </si>
  <si>
    <t>UGIER NEULAND</t>
  </si>
  <si>
    <t>UJIER FILDELFIA</t>
  </si>
  <si>
    <t>NOTIFICACIONES Y GASTOS JUDICIALES</t>
  </si>
  <si>
    <t>GASTOS JUDICIALES (JOSE ORUE)</t>
  </si>
  <si>
    <t>CONDICION DE DOMINIO MAQ KL LOMA PLATA</t>
  </si>
  <si>
    <t>Pasaj y Peaje G.Cob</t>
  </si>
  <si>
    <t>PEAJE - GESTIÓN DE COBRANZA</t>
  </si>
  <si>
    <t>PEAJE GESTIÓN DE COBRANZA/ TERMINAL OCCI</t>
  </si>
  <si>
    <t>1 CERTIF. DE COND. DE DOMINIO/RENDIC. LI</t>
  </si>
  <si>
    <t>SERVICIO DE UBER - TRANSPORTE/RENDIC. LI</t>
  </si>
  <si>
    <t>Insumos Informaticos Asuncion</t>
  </si>
  <si>
    <t>AS Gtos.de Informáti</t>
  </si>
  <si>
    <t>RENOVACION DE DOMINIOS - ANUAL CNC HASTA</t>
  </si>
  <si>
    <t>Otros Insumos Varios Taller Fila</t>
  </si>
  <si>
    <t>Tall Fil Otr Insumos</t>
  </si>
  <si>
    <t>Otros Insumos Varios Adm</t>
  </si>
  <si>
    <t>Adm Otros Insumos</t>
  </si>
  <si>
    <t>PAGO ARANCEL MTO 2019-CNV</t>
  </si>
  <si>
    <t>AUDITORIA AMBIETAL LOMA PLATA</t>
  </si>
  <si>
    <t>APROBACION SEAM - LIC AMBIENTAL LOMA PLA</t>
  </si>
  <si>
    <t>Patente Comercial Asuncion</t>
  </si>
  <si>
    <t>AS Patente Comercial</t>
  </si>
  <si>
    <t>HABILITACION CAMION -SCANIA-CIGUEÑA</t>
  </si>
  <si>
    <t>PATENTE COMERCIAL 2 SEMESTRE</t>
  </si>
  <si>
    <t>PATENTE COMERCIAL PRIMER SEMESTRE-2019</t>
  </si>
  <si>
    <t>Patente Comercial Filadelfia</t>
  </si>
  <si>
    <t>FIL Patente Comercia</t>
  </si>
  <si>
    <t>PATENTE COM PLAYA</t>
  </si>
  <si>
    <t>IMPUESTOS PATENTE COMERCIAL E INDUSTRIAL</t>
  </si>
  <si>
    <t>CONSTANCIA DE PATENTE COMERCIAL</t>
  </si>
  <si>
    <t>Patente Comercial Loma Plata</t>
  </si>
  <si>
    <t>L.P Patente Comercia</t>
  </si>
  <si>
    <t>PATENTE COMERCIAL 2019 1° SEMESTRE</t>
  </si>
  <si>
    <t>PAGO DE PATENTE COMERCIAL 2 SEMESTRE LOM</t>
  </si>
  <si>
    <t>Patente Comercial Taller Filadelfia</t>
  </si>
  <si>
    <t>Patente TAller Fila</t>
  </si>
  <si>
    <t>PATENTE COM TALLER</t>
  </si>
  <si>
    <t>PATENTE -HABILITACION NISSAN FRONT TALLE</t>
  </si>
  <si>
    <t>PATENTE -HABILITACION GOL-TALLER</t>
  </si>
  <si>
    <t>PATENTE COMERCIAL 2DO SEMESTRE</t>
  </si>
  <si>
    <t>Impuesto Inmobilario Asuncion</t>
  </si>
  <si>
    <t>FIL Impuesto Inmobil</t>
  </si>
  <si>
    <t>IMPUESTO IMOBIL</t>
  </si>
  <si>
    <t>IMPUESTO INMOBIL</t>
  </si>
  <si>
    <t>IMPUESTOS INMOBILIARIOS</t>
  </si>
  <si>
    <t>L.P Impuesto Inmobil</t>
  </si>
  <si>
    <t>PATENTE INMOBILIARIO 2019</t>
  </si>
  <si>
    <t>Impuestos y Tasas Varias Asuncion</t>
  </si>
  <si>
    <t>AS Imp.yTasas</t>
  </si>
  <si>
    <t>PAGO P/ CARTELERIA PENNER AUTOMOTORES</t>
  </si>
  <si>
    <t>TASA P/SERV DE DESINFECCION</t>
  </si>
  <si>
    <t>TASA POR SERV. DE DESINFECCION - 2019</t>
  </si>
  <si>
    <t>IMP. PAT. DE ROD. - AD SOLUCIONES INDUST</t>
  </si>
  <si>
    <t>TRAILER-HABILITACIÓN</t>
  </si>
  <si>
    <t>Patente de Rodado</t>
  </si>
  <si>
    <t>AS Patente de Rodado</t>
  </si>
  <si>
    <t>HABILITACION - CIGUEÑA</t>
  </si>
  <si>
    <t>IMPUESTO PATENTE RODADOS CH.ET219409</t>
  </si>
  <si>
    <t>IMPUESTO PATENTE RODADOS VW AMAROK EX PA</t>
  </si>
  <si>
    <t>IMPUESTO PATENTE TEST DRIVEVW AMAROK CH.</t>
  </si>
  <si>
    <t>RENOVACIÓN HABILITACIÓN SCANIA</t>
  </si>
  <si>
    <t>RENOVACIÓN HABILITACIÓN DE CIGUEÑA</t>
  </si>
  <si>
    <t>PATENTE RODADOS KIA CERARO NEGRO - USO S</t>
  </si>
  <si>
    <t>PATENTE TODADOS VW AMAROK HDB 199 CH.005</t>
  </si>
  <si>
    <t>HABILITACION VW AMAROK CH.001791 OP</t>
  </si>
  <si>
    <t>HABILITACION VW GOL ROJO USO LOGISTICA</t>
  </si>
  <si>
    <t>PATENTE VW AMAROK BLANCO CH.:001122</t>
  </si>
  <si>
    <t>HABILITACION SAVEIRO TALLER 089223</t>
  </si>
  <si>
    <t>HABILITACION NISSAN TALLER 858325</t>
  </si>
  <si>
    <t>HABILITACION GOL TALLER 019831</t>
  </si>
  <si>
    <t>FIL Patente de Rodad</t>
  </si>
  <si>
    <t>HABILITACION- TEST DRIVE FILADELFIA- V6</t>
  </si>
  <si>
    <t>IMPUESTOS POR PATENTE DE RODADO AMAROK 2</t>
  </si>
  <si>
    <t>MOTO PLAYA</t>
  </si>
  <si>
    <t>PATENTE-KIA RIO NEGRO PLAYA</t>
  </si>
  <si>
    <t>PATENTE AÑO 2018 - SAVEIRO BLP 985</t>
  </si>
  <si>
    <t>PATENTE AÑO 2017 - SAVEIRO BLP985</t>
  </si>
  <si>
    <t>PATENTE AÑO 2019 - SAVEIRO BLP985</t>
  </si>
  <si>
    <t>HABILITACION SAVEIRO PLATA</t>
  </si>
  <si>
    <t>HABILITACION</t>
  </si>
  <si>
    <t>PATENTE AL RODADO AMAROK EX W.GOETZ</t>
  </si>
  <si>
    <t>HABILITACIÓN - NISSAN ROJO</t>
  </si>
  <si>
    <t>HABILITACION AMAROK C/S 4X4</t>
  </si>
  <si>
    <t>L.P Patente de Rodad</t>
  </si>
  <si>
    <t>PATENTE PARA NISSAN DE COBRANZA</t>
  </si>
  <si>
    <t>PAGO DE PATENTE PARA VEHICULO AMAROK CH:</t>
  </si>
  <si>
    <t>Multas y Recargos</t>
  </si>
  <si>
    <t>Fila.Multas y Recarg</t>
  </si>
  <si>
    <t>MULTA</t>
  </si>
  <si>
    <t>MULTA D.CACERES</t>
  </si>
  <si>
    <t>As.Multas y Recargos</t>
  </si>
  <si>
    <t>OTRAS CONTRAVENCIONES - MULTA RETENCIONE</t>
  </si>
  <si>
    <t>MULTA POR RETENCIONES EMITIDAS</t>
  </si>
  <si>
    <t>PAGO DE MULTAS - RETENCIONES - BOLETA N°</t>
  </si>
  <si>
    <t>OTRAS CONTRAVENCIONES-MULTAS POR RETENCI</t>
  </si>
  <si>
    <t>PAGO MULTA POR RETENCIONES EMITIDAS - BO</t>
  </si>
  <si>
    <t>DGR - OTRAS CONTRAVENCIONES - MULTA RETE</t>
  </si>
  <si>
    <t>MULTA POR RETENCIONES DGR</t>
  </si>
  <si>
    <t>DGR - PAGO DE OTRAS CONTRAVENCIONES</t>
  </si>
  <si>
    <t>MULTA P/RETENCION</t>
  </si>
  <si>
    <t>DGR - RETENCIONES MULTAS</t>
  </si>
  <si>
    <t>MULTA POR RETENCION</t>
  </si>
  <si>
    <t>DGR - OTRAS CONTRAVENCIONES - BOLETA N°9</t>
  </si>
  <si>
    <t>OTRAS CONTRAVENCIONES - MULTA POR RETENC</t>
  </si>
  <si>
    <t>PAGO DE OTRAS CONTRAVENCIONES MULTA RETE</t>
  </si>
  <si>
    <t>DGR - OTRAS CONTRAVENCIONES BOL N°970096</t>
  </si>
  <si>
    <t>OTRAS CONTRAVENCIONES - BOLETA N°9701016</t>
  </si>
  <si>
    <t>MULTA NISSAN TALLER "CONTAMINACION"</t>
  </si>
  <si>
    <t>PAGO DE MULTA KIA RIO</t>
  </si>
  <si>
    <t xml:space="preserve">MULTA P/ FOCO DE FARO DELANTERO QUEMADO </t>
  </si>
  <si>
    <t>Gastos No Deducibles - Asunción</t>
  </si>
  <si>
    <t>AGUINALDO PROPORCIONAL MICHELLE RODRIGUE</t>
  </si>
  <si>
    <t>AS Gastos no Deduc.</t>
  </si>
  <si>
    <t>GASTOS AUTORIZADOS OP - JR OCTUBRE</t>
  </si>
  <si>
    <t>DIFERENCIA CONCILIATORIA</t>
  </si>
  <si>
    <t>DIFERENCIA EN VENTA DE CARTERA 16/01/19</t>
  </si>
  <si>
    <t>DGR - OTRAS CONTRAV - INICIATIVAS COMERC</t>
  </si>
  <si>
    <t>GSTOS BANCARIOS SUDAMERIS</t>
  </si>
  <si>
    <t>GASTOS BANCARIOS CONTINENTAL $3,30</t>
  </si>
  <si>
    <t>COMISION POR PAGO IPS DESDE LA WEB - IPS</t>
  </si>
  <si>
    <t>AYUDA EMPR. - MA.JOSE VILLAMAYOR - DUELO</t>
  </si>
  <si>
    <t>RETENCION NO COBRADA MAPFRE/GNB POLIZA S</t>
  </si>
  <si>
    <t>RETENCION COMFAR DIC 2018</t>
  </si>
  <si>
    <t>RETENCION COMFAR</t>
  </si>
  <si>
    <t>GASTO PROPINA CENA FIN DE AÑO 2018</t>
  </si>
  <si>
    <t>VALE COMBUSTIBLE - FERIA CAMPO 9 - ALBER</t>
  </si>
  <si>
    <t>RETENCION HOTEL ALFF - GND - NO SE COBRO</t>
  </si>
  <si>
    <t>RETENCION DE FABRICA PYA DE SIERRAS</t>
  </si>
  <si>
    <t>RETENCION NO COBRADA NORTE TRADING</t>
  </si>
  <si>
    <t>PART.CONC.DIFERENCIA PAGO A BRINGCO S.A.</t>
  </si>
  <si>
    <t>HIELO - CENA 05/08</t>
  </si>
  <si>
    <t>SERVICIO DE PARRILLERO/ASADO REU. COMERC</t>
  </si>
  <si>
    <t>GASTOS AUTORIZADOS OP - JR</t>
  </si>
  <si>
    <t>EFECT.LORENA ORTELLADO MUDANZA LOMA PLAT</t>
  </si>
  <si>
    <t>RETENCION RONALD DUERKSEN FACT.68076</t>
  </si>
  <si>
    <t>PAGO PASERO-COMPRAS BRASIL P.CONSANI</t>
  </si>
  <si>
    <t>EMPAQUETADOR-SUPERMERCADO/DESPE. SR.SANT</t>
  </si>
  <si>
    <t>GSTOS.EMPAQUETADOR-SUPER/DESPE. SR.SANTI</t>
  </si>
  <si>
    <t>RETENC THE TOOLS DEPOT FACTR.1019</t>
  </si>
  <si>
    <t>COMPRA DE EMBUTIDOS-ASADO/DESPE. SR.SANT</t>
  </si>
  <si>
    <t>RETENCION NORMA GOMEZ</t>
  </si>
  <si>
    <t>GASTOS VARIOS - OP/JR - AUTORIZADO SR OR</t>
  </si>
  <si>
    <t>CONSUMICION LILIA GILL</t>
  </si>
  <si>
    <t xml:space="preserve">TRANSPORTE/RENDIC. LILIAN GILL VIAJE AL </t>
  </si>
  <si>
    <t>DIESA S.A. DIF.P/FACT CHORTITZER ARREGLO</t>
  </si>
  <si>
    <t>GASTOS BANCARIOS BANCOP 31/01/19</t>
  </si>
  <si>
    <t>PAGO P/ SERV.RECOLECTOR DE BASURA</t>
  </si>
  <si>
    <t>PASAJE RAMON DE FRIESLAND A SANTANI S/CO</t>
  </si>
  <si>
    <t>8 BIDONES AGUA SELTZ</t>
  </si>
  <si>
    <t>4 PEAJES SAN PEDRO RENDIC JOSE ORUE</t>
  </si>
  <si>
    <t>PAGO A RECOLECTOR DE BASURA</t>
  </si>
  <si>
    <t>TAXI MARIA JOSE - COMPRAS SUPER</t>
  </si>
  <si>
    <t>PAGO COPACO POR MORA LINEA E1</t>
  </si>
  <si>
    <t>COMPRA DE LECHE REUNIONES - ARELY</t>
  </si>
  <si>
    <t>COMPRA DE CARNE PARA ASADO VENDEDORES</t>
  </si>
  <si>
    <t>TAXI VIAJE A MOLECOR</t>
  </si>
  <si>
    <t>PASAJE RAMON CUBILLA CAMPO 9 A ASUNCION.</t>
  </si>
  <si>
    <t>DIANA DEL VALLE POR 1 DIA</t>
  </si>
  <si>
    <t>PGO SERVICIO DE RECOLECCION DE BASURAS</t>
  </si>
  <si>
    <t>OTRAS NOTAS - RESPUESTA ADITORIA EXTERNA</t>
  </si>
  <si>
    <t>PAGO RECOLECTOR DE BASURA</t>
  </si>
  <si>
    <t>PAGO POR GUARDIA SEMANA SANTA VIDAL ADOR</t>
  </si>
  <si>
    <t>RECOLECCION DE BASURAS</t>
  </si>
  <si>
    <t>ENTRADAS EXPO NEULAND S/COMPROBANTE</t>
  </si>
  <si>
    <t xml:space="preserve">TAXI - VIAJE A CENCAR S.A. - JOSÉ ROLÓN </t>
  </si>
  <si>
    <t>CARGA DE LÍNEA DE CELULAR - CESAR BENEGA</t>
  </si>
  <si>
    <t>CONSUMICION - CESAR BENEGAS - VIAJE A CN</t>
  </si>
  <si>
    <t>AYUDA - DONACIÓN (S/ ADHESIONES)</t>
  </si>
  <si>
    <t>SERVICIO DE RECOLECCIÓN DE BASURA - ASUN</t>
  </si>
  <si>
    <t>COMB. 0KM</t>
  </si>
  <si>
    <t>RECIBO DE SOBRE DECAAAGUAZU P/ ESCRITURA</t>
  </si>
  <si>
    <t>PASAJE DE COLECTIVO - REND. JOSÉ AYALA</t>
  </si>
  <si>
    <t>MECHA CONC. IRWIN 6,0MM - REND. JOSÉ AYA</t>
  </si>
  <si>
    <t>GASTOS DE ESCRITURACION L.ORTELLADO ABRI</t>
  </si>
  <si>
    <t>CERTIFICACION DE FIRMA TAUBER SILVERO-PA</t>
  </si>
  <si>
    <t>GASTOS JUDICIALES-CONSULTAS REGISTRO AUT</t>
  </si>
  <si>
    <t>SERV. DE RECOLECCIÓN DE BASURA POR EL ME</t>
  </si>
  <si>
    <t>MULTA CAMINERA- PASTOREO Y CDE, PASAJE S</t>
  </si>
  <si>
    <t>PAGO SR.ALBERT LOWEN P/GTOS TARJETA VIAJ</t>
  </si>
  <si>
    <t>RECEP. DE SOBRE PROVENIENTE DE CAMPO 9 -</t>
  </si>
  <si>
    <t>HABILITACION RODADOS NISSAN 006427/CHEVR</t>
  </si>
  <si>
    <t>FOTOCOPIA EXPEDIENTE S/COMPROBANTE-CORNE</t>
  </si>
  <si>
    <t>GASTOS S/COMPROBANTE</t>
  </si>
  <si>
    <t>SERVICIO DE RECOLECCIÓN DE BASURA JULIO/</t>
  </si>
  <si>
    <t>GTOS. S/COMPROBANTE LILIAN GILL</t>
  </si>
  <si>
    <t>CAMINERA-ACOPLADO S/ HABILITACIÓN/RENDIC</t>
  </si>
  <si>
    <t>COLABORACIÓN P/ POLICÍA</t>
  </si>
  <si>
    <t>COMPRA DE CHIPA P/OP</t>
  </si>
  <si>
    <t>ANTECEDENTE POLICIAL</t>
  </si>
  <si>
    <t>SERVICIO DE RECOLECCIÓN DE BASURA</t>
  </si>
  <si>
    <t>GTOS. DE PEAJE Y ALMUERZO/ ASIST. AL SR.</t>
  </si>
  <si>
    <t>GTOS VARIOS MUNICIPALIDAD LILIAN GILL</t>
  </si>
  <si>
    <t>PAGO CERTIFICACION PAGARE BANCO RIO</t>
  </si>
  <si>
    <t>SERVICIO DE GOMERIA AMAROK TEST DRIVE</t>
  </si>
  <si>
    <t>COMPRA DE CEPILLO P/LIMPIEZA REJILLA A.A</t>
  </si>
  <si>
    <t>VIDAL ADORNO -PGO P/UN DIA</t>
  </si>
  <si>
    <t>PGO ESSAP P/LIMPIEZA CAÑERIA</t>
  </si>
  <si>
    <t>MULTA VW T-CROSS OKM.C/GOLPE LADO DERECH</t>
  </si>
  <si>
    <t>GTOS DE GOMERIA VW GOL PLAYA-</t>
  </si>
  <si>
    <t>HABILITAC.+ENVIO AMAROK CH.000490 P/RAUL</t>
  </si>
  <si>
    <t>SERVICIO DE RECOLECIÓN DE BASURA</t>
  </si>
  <si>
    <t>HABILITACION AMAROK EX EVA DE WITTE</t>
  </si>
  <si>
    <t>COMBUSTIBLE PARA CH.826505 TUCSON</t>
  </si>
  <si>
    <t>COMBUSTIBLE P/AMAROK OKM.CH.004821</t>
  </si>
  <si>
    <t>CAMINERA-VIAJE A FRIESLAND A.SANTACRUZ</t>
  </si>
  <si>
    <t>RECOLECTOR DE BASURA</t>
  </si>
  <si>
    <t>COMPRA DE TAMBOR SIN BOLETA - SR.PLANAS</t>
  </si>
  <si>
    <t>ENCOMIENDA DOC,PROV DE CAAGUAZU</t>
  </si>
  <si>
    <t>HORAS EXTRAS EDUARDO GARCIA DIC</t>
  </si>
  <si>
    <t>HORAS EXTRAS JORGE COUSIÑO DIC</t>
  </si>
  <si>
    <t>COMISIONES CTE A DIC SR PLANAS</t>
  </si>
  <si>
    <t>ANTICIPO JOSE RIVERO</t>
  </si>
  <si>
    <t>SALARIO ENERO CAMILA RIOS</t>
  </si>
  <si>
    <t>SALARIO ENERO FREDY MARTINEZ</t>
  </si>
  <si>
    <t>SALARIO ENERO ALFONSO VILLALBA</t>
  </si>
  <si>
    <t>COMISIONES CTE DIC LROENA ORTELLADO</t>
  </si>
  <si>
    <t>SALARIO ENERO CIRA MAGALI ALFONSO</t>
  </si>
  <si>
    <t>GRATIFICACION 3/6 ERICH MUHR</t>
  </si>
  <si>
    <t>SALARIO CTE A ENERO JOSE RIVERO</t>
  </si>
  <si>
    <t>SALARIO POR DIAS TRABAJADOS KAREN ACOSTA</t>
  </si>
  <si>
    <t>SALARIO ENERO CESAR BENEGAS</t>
  </si>
  <si>
    <t>COMISIONES CTE A DIC FREDY BENITEZ</t>
  </si>
  <si>
    <t>HORAS TRABAJADAS 143,9 JORGE COUSIÑO</t>
  </si>
  <si>
    <t>HORAS TRABAJADAS 186,34 EDUARDO GARCIA</t>
  </si>
  <si>
    <t>COMISIONES ENERO LORENA ORTELLADO</t>
  </si>
  <si>
    <t>SALARIO POR DIAS TRAB.SANDRO BAEZ</t>
  </si>
  <si>
    <t>SUELDO POR DIAS TRABAJADOS ANALIA BENITE</t>
  </si>
  <si>
    <t>SUELDO POR DIAS TRABAJADOS OSMAR ALCARAZ</t>
  </si>
  <si>
    <t>SALARIO FEB MAGALI ALONSO</t>
  </si>
  <si>
    <t>SALARIO FEBRERO CESAR BENEGAS</t>
  </si>
  <si>
    <t>COMSIONES CTE  AENERO FREDY BENITEZ</t>
  </si>
  <si>
    <t>SALARIO FEBRERO KAREN ACOSTA</t>
  </si>
  <si>
    <t>HORAS EXTRAS 132,45 EDUARDO GARCIA CTE A</t>
  </si>
  <si>
    <t>HRAS TRAB.149,7 CTE A FEBERO JORGE COUSI</t>
  </si>
  <si>
    <t>SALARIO MARZO OSMAR ALCARAZ</t>
  </si>
  <si>
    <t>SALARIO MARZO IVAN BAEZ</t>
  </si>
  <si>
    <t>SALARIO MARZO ANALIA BENITEZ</t>
  </si>
  <si>
    <t>SALARIO MARZO MAGALI ALFONSO</t>
  </si>
  <si>
    <t>COMISIONES KAREN ACOSTA</t>
  </si>
  <si>
    <t>HORAS TRABAJADAS 101,06 JORGE COUSIÑO</t>
  </si>
  <si>
    <t>HORAS TRABAJADAS 95,2 EDUAROD AGRCIA</t>
  </si>
  <si>
    <t>SALARIO ABRIL OSMAR ALCARAZ</t>
  </si>
  <si>
    <t>SALARIO ABRIL ANALIA BENITEZ</t>
  </si>
  <si>
    <t>SALARIO CTE A ABRIL PASCUAL CONSANI</t>
  </si>
  <si>
    <t>COMISIONES CTE A ABRIL KAREN ACOSTA</t>
  </si>
  <si>
    <t>HORAS TRAB.133,1 JORGE COUSIÑO</t>
  </si>
  <si>
    <t>HRAS TRABAJADAS 93,6 EDUARDO GARCIA</t>
  </si>
  <si>
    <t>SALARIO MAYO GIULIANNO PEZZINO</t>
  </si>
  <si>
    <t>SALARIO MAYO JUAN PEREIRA</t>
  </si>
  <si>
    <t>PARTIDAS CONCILIATORIAS</t>
  </si>
  <si>
    <t>ANTICIPO JUNIO GIULIANNO PEZZINO</t>
  </si>
  <si>
    <t>DIAS TRAB.CTE A MAYO SANDRO REIMER</t>
  </si>
  <si>
    <t>SALARIO JUNIO GIULIANNO PEZZINO</t>
  </si>
  <si>
    <t>SALARIO JUNIO MARCOS GALEANO</t>
  </si>
  <si>
    <t>ANTICIPO JULIO GIULIANNO PEZZINO</t>
  </si>
  <si>
    <t>ANTICIPO JULIO MARCOS GALEANO</t>
  </si>
  <si>
    <t>SALARIO GIULIANNO PEZZINO</t>
  </si>
  <si>
    <t>SAALRIO JULIO MARCOS GALEANO</t>
  </si>
  <si>
    <t>ANTICIPO AGOSTO MARCOS GALEANO</t>
  </si>
  <si>
    <t>DIAS TRABAJADOS EMILIO JARA</t>
  </si>
  <si>
    <t>SALARIO AGOSTO MARCOS GALEANO</t>
  </si>
  <si>
    <t>SALARIO SETIEMBRE EMILIO JARA</t>
  </si>
  <si>
    <t>SALARIO OCTUBRE EMILIO JARA</t>
  </si>
  <si>
    <t>PARTE DE SALARIO NOV WALTER GIRET</t>
  </si>
  <si>
    <t>DIAS TRABAJ.NOV MICHELLE RODRIGUEZ</t>
  </si>
  <si>
    <t>COMISIONES CTE A NOV WALTER GIRET</t>
  </si>
  <si>
    <t>COMISION GUSTAVO RIVAROLA</t>
  </si>
  <si>
    <t>AGUINALDO EDUARDO GARCIA</t>
  </si>
  <si>
    <t>AGUINALDO JORGE COUSIÑO</t>
  </si>
  <si>
    <t>AGUINALDO KAREN GND</t>
  </si>
  <si>
    <t>AGUINALDO WALTER GIRET</t>
  </si>
  <si>
    <t>ANTICIPO EXT.CTE A DIC MICHELLE RODRIGUE</t>
  </si>
  <si>
    <t>EFECTIVO FINDE AÑO</t>
  </si>
  <si>
    <t>SALARIO DICI MICHELLE RODRIGUEZ</t>
  </si>
  <si>
    <t>SUELDO BRENDA BARRETO</t>
  </si>
  <si>
    <t>COPORATIVO GUSTAVO RIVAROLA</t>
  </si>
  <si>
    <t>FIN RIO-MOV REG. CANCELAC -DIF EN PGO PR</t>
  </si>
  <si>
    <t>RETENCION DE RALF THIELMANN NO COBRADA</t>
  </si>
  <si>
    <t>DIF.EN PAGO DE PREST.AMABAY 18-03-19</t>
  </si>
  <si>
    <t>ENVIO DE PAQUETE P/ LA DOCTORA NURIA A F</t>
  </si>
  <si>
    <t>MUNICIPALIDAD DE ASUNCION - PCI - GESTIO</t>
  </si>
  <si>
    <t>DEVOL P/DESCUENTO A.RICHTER COM.MAYO-AUT</t>
  </si>
  <si>
    <t>ALBERT LOWEN - VIATICO COLOMBIA VW - LAN</t>
  </si>
  <si>
    <t>COMISIONES PAGADAS AL SR PLANAS CTE A AG</t>
  </si>
  <si>
    <t>GASTOS SDO PROMEDIO INF-FIELCO ENERO</t>
  </si>
  <si>
    <t>LICENCIA ADOBE MARKETING - CUOTA ENERO 2</t>
  </si>
  <si>
    <t>LICENCIA ADOBE MARKETING - SETIEMBRE</t>
  </si>
  <si>
    <t>LICENCIA DE ADOBE MARKETING - NOVIEMBRE</t>
  </si>
  <si>
    <t>GTO BANCARIOS BCO.RIO MAYO-S/COMPROBANTE</t>
  </si>
  <si>
    <t>GASTOS BANCARIOS BANCO RIO 31/10/19</t>
  </si>
  <si>
    <t>DEBITO CUENTA VIEJA- BCO.RIO JUNIO-S/COM</t>
  </si>
  <si>
    <t>Gastos No Deducibles - Filadelfia</t>
  </si>
  <si>
    <t>FIL Gtos. no Deduc</t>
  </si>
  <si>
    <t>TVD CHACO DIC Y ENE</t>
  </si>
  <si>
    <t>TVD-CHACO- SR ORLANDO</t>
  </si>
  <si>
    <t>CABLE</t>
  </si>
  <si>
    <t>GASTO BOLETA DE VERIFICACION J.R</t>
  </si>
  <si>
    <t>ADEL GABRIELA WILLMS-ABRIL</t>
  </si>
  <si>
    <t>VIATICOS EXPO NEULAND</t>
  </si>
  <si>
    <t>EXPO PIONEROS EULALIO Y ERNST VIATICO</t>
  </si>
  <si>
    <t>TRABAJO DE POZO/BANDERAS EXPO</t>
  </si>
  <si>
    <t>ADEL MAYO - GABRIELLA WILLMS</t>
  </si>
  <si>
    <t>EULALIO DOMINGUEZ EXPO PIONEROS</t>
  </si>
  <si>
    <t>ADEL GABRIELA WILLMS- JUNIO</t>
  </si>
  <si>
    <t>ADEL GABRIELA WILLMS- JULIO</t>
  </si>
  <si>
    <t>EXPO TREBOL.- EULALIO R. DOMINGUEZ</t>
  </si>
  <si>
    <t>GABRIELA WILLMS AGOSTO ADELANTO</t>
  </si>
  <si>
    <t>PRESTAMO DE TANQUECITO DE AGUA</t>
  </si>
  <si>
    <t>BOLETA DE VERIFICACION PARA AMAROK EX RU</t>
  </si>
  <si>
    <t>NAFTA MOTO PLAYA</t>
  </si>
  <si>
    <t>BONIFICACION FIN DE AÑO EULALIO DOMINGUE</t>
  </si>
  <si>
    <t>BONIFICACION FIN DE AÑO GRACIELA RAMIREZ</t>
  </si>
  <si>
    <t>BONIFICACION FIN DE AÑO PATRIK FRIESEN</t>
  </si>
  <si>
    <t>BONIFICACION FIN DE AÑO OLIVER FLORENTIN</t>
  </si>
  <si>
    <t>BONIFICACION FIN DE AÑO GABRIELA WILLMS</t>
  </si>
  <si>
    <t>Fil Gastos No D (R)</t>
  </si>
  <si>
    <t>ADELANTO MES DEJULIO</t>
  </si>
  <si>
    <t>VERIFICACION AUTMOTOR SR.EULALIO DOMINGU</t>
  </si>
  <si>
    <t>Gastos No Deducibles - Loma Plata</t>
  </si>
  <si>
    <t>PAGO EXTRA/EXPO TREBOL</t>
  </si>
  <si>
    <t>L.P Gtos. no Deduc.</t>
  </si>
  <si>
    <t>PAGO POR SERVICIO DE PARRILLA - LANZAMIE</t>
  </si>
  <si>
    <t>SALARIO/OCTUBRE 2019</t>
  </si>
  <si>
    <t>CONTANCIA DE PRESENTACION DE BALANCE PAR</t>
  </si>
  <si>
    <t>LP Gastos No D (R)</t>
  </si>
  <si>
    <t>SALARIO JULIO/2019 - LIMPIADORA REEMPLAZ</t>
  </si>
  <si>
    <t>SALARIO AGOSTO 2019</t>
  </si>
  <si>
    <t>SALARIO MES DE SETIEMBRE 2019</t>
  </si>
  <si>
    <t>SALARIO MES DE NOVIEMBRE 2019</t>
  </si>
  <si>
    <t>AGUINALDO AÑO 2019 - LETICIA RAQUEL AYAL</t>
  </si>
  <si>
    <t>OBSEQUIO DE FIN DE AÑO PARA EMPLEADOS DE</t>
  </si>
  <si>
    <t xml:space="preserve">SALARIO DICIEMBRE/2019 - LETICIA RAQUEL </t>
  </si>
  <si>
    <t>Gastos No Deducibles Taller Filadelfia</t>
  </si>
  <si>
    <t>Taller Gtos No Deduc</t>
  </si>
  <si>
    <t xml:space="preserve">PAGO DE GARANTIAS NO PAGADOS DE DIESA A </t>
  </si>
  <si>
    <t>ADELNATO JAVIER DUARTE MARZO</t>
  </si>
  <si>
    <t>ADELANTO FREDY SERVIN MARZO</t>
  </si>
  <si>
    <t>CARDAN 4X4 AMAROK CON CRUZATA ORDEN : AL</t>
  </si>
  <si>
    <t>LIQUIDACION FINAL-DANIEL DUARTGE</t>
  </si>
  <si>
    <t>PAGO P/ MARZO - MARCUS ECKERT</t>
  </si>
  <si>
    <t>AMH SEGURO - FREDY SERVIN</t>
  </si>
  <si>
    <t>ADELANTO P/ ABRIL - MARCUS ECKERT</t>
  </si>
  <si>
    <t>ADELANTO - GILBERTO OREDAQUI</t>
  </si>
  <si>
    <t>ADELANTO - ADOLFINO</t>
  </si>
  <si>
    <t>ADELANTO MARCUS ECKERT</t>
  </si>
  <si>
    <t>COMBUSTIBLE S/F</t>
  </si>
  <si>
    <t>ADEL ENERO FREDY SERVIN</t>
  </si>
  <si>
    <t>ADEL JAVIER DUARTE ENERO</t>
  </si>
  <si>
    <t>ADEL FREDY SERVIN -ENERO</t>
  </si>
  <si>
    <t>ARACHACO - PEAJE</t>
  </si>
  <si>
    <t>ADEL FREDY SERVIN ENERO</t>
  </si>
  <si>
    <t>ADELFREDY SERVIN ENERO</t>
  </si>
  <si>
    <t>JAVIER DUARTE ADEL ENERO</t>
  </si>
  <si>
    <t>ADEL FREDY SERVIN-ENERO</t>
  </si>
  <si>
    <t>ADEL ENERO - FREDY SERVIN</t>
  </si>
  <si>
    <t>PEAJE-REMOLQUE</t>
  </si>
  <si>
    <t>ADEL JAVIER DUARTE FEBRERO</t>
  </si>
  <si>
    <t>ADEL FEBRERO FREDY SERVIN</t>
  </si>
  <si>
    <t>ADEL FREDY SERVIN - FEBRERO</t>
  </si>
  <si>
    <t>RELAY LLAVE- ALZA VIDIROS USADO- GUNDOLF</t>
  </si>
  <si>
    <t>ADEL FREDY SERVIN FEBRERO</t>
  </si>
  <si>
    <t>ADEL FREDY SERVIN-FEBRERO</t>
  </si>
  <si>
    <t>ADELANTO MARZO - JAVIER DUARTE</t>
  </si>
  <si>
    <t>ADELANTO MARZO - FREDY SERVIN MEDINA</t>
  </si>
  <si>
    <t>ADELANTO FREDI SERVIN</t>
  </si>
  <si>
    <t>ADELANTO - JAVIER DUARTE</t>
  </si>
  <si>
    <t>ADELANTO - FREDI SERVIN</t>
  </si>
  <si>
    <t>PAGO SEMANAL - FREDY SERVIN</t>
  </si>
  <si>
    <t>JAVIER DUARTE - ADELANTO SEMANA 18-23/03</t>
  </si>
  <si>
    <t>FREDI SERVIN - ADELANTO</t>
  </si>
  <si>
    <t>ADELANTO P/ ABRIL- FREDI SERVIN</t>
  </si>
  <si>
    <t>CARDAN BRASIL X 3</t>
  </si>
  <si>
    <t>PAGO SEMANAL - JAVIER DUARTE</t>
  </si>
  <si>
    <t>FREDI SERVIN - ADEL. P/ ABRIL</t>
  </si>
  <si>
    <t>ADELANTO ABRIL - FREDY SERVIN</t>
  </si>
  <si>
    <t>ADELANTO - FREDY SERVIN</t>
  </si>
  <si>
    <t>ADELANTO ABRIL - JAVIER DUARTE</t>
  </si>
  <si>
    <t>ADELANTO MAYO - JAVIER DUARTE</t>
  </si>
  <si>
    <t>ADELANTO - PAGO AL LAVADERO DANIEL</t>
  </si>
  <si>
    <t>CARDAN 4X4 AMAROK VIKTOR ISAAK</t>
  </si>
  <si>
    <t>ADELANTO CAYETANO - LIMPIEZA DE LAVADERO</t>
  </si>
  <si>
    <t>ADELANTO JUNIO - GABRIEL CAMPUZANO</t>
  </si>
  <si>
    <t>ADELANTO JUNIO - GILBERTO OREDAQUI</t>
  </si>
  <si>
    <t>JUAN C.HASEITEL</t>
  </si>
  <si>
    <t>LIMPIEZA DE LAVADERO - ERATO CHIQUENOI</t>
  </si>
  <si>
    <t>ADELANTO P/ JULIO - GABRIEL CAMPUZANO</t>
  </si>
  <si>
    <t>ADELANTO P/ JULIO - DAVID IBAÑEZ</t>
  </si>
  <si>
    <t>ADELANTO - DAVID ORTIZ</t>
  </si>
  <si>
    <t>ADELANTO - GABRIEL CAMPUZANO</t>
  </si>
  <si>
    <t>ADELANTO - GABRIEL ORTIZ</t>
  </si>
  <si>
    <t>ADELANTO P/ AGOSTO - DAVID ORTIZ</t>
  </si>
  <si>
    <t>ADELANTO AGOSTO - GABRIEL CAMPUZANO</t>
  </si>
  <si>
    <t>DESCARGA DE BASURA</t>
  </si>
  <si>
    <t>ADELANTO MES DE SETIEMBRE - GABRIEL CAMP</t>
  </si>
  <si>
    <t>ADELANTO OCTUBRE - DAVID ORTIZ</t>
  </si>
  <si>
    <t>ADELANTO NOVIEMBRE - DAVID ORTIZ</t>
  </si>
  <si>
    <t>ADELANTO NOVIEMBRE - GABRIEL CAMPUZANO</t>
  </si>
  <si>
    <t>ADELANTO DICIEMBRE - GABRIEL CAMPUZANO</t>
  </si>
  <si>
    <t>GRATIFICACIÓN AL PERSONAL</t>
  </si>
  <si>
    <t>ADELANTO DICIEMBRE - ARTURO ESCURRA</t>
  </si>
  <si>
    <t>ADELANTO DICIEMBRE - DAVID ORTIZ</t>
  </si>
  <si>
    <t>ADELANTO DICIEMBRE - MONSERRATH ARECO</t>
  </si>
  <si>
    <t>ANILLOS DE GOMA</t>
  </si>
  <si>
    <t>COMPRA DE CUADERNO S/ FAC USO EN DEPOSIT</t>
  </si>
  <si>
    <t>PAGO POR EXPEDICION DE HABILITACION DE U</t>
  </si>
  <si>
    <t>COMPRA REPUESTO S/ FAC</t>
  </si>
  <si>
    <t>Gastos No Deducibles Taller Asuncion</t>
  </si>
  <si>
    <t>Gto no Deduc Tall AS</t>
  </si>
  <si>
    <t>EFECTIVO FIN DE AÑO</t>
  </si>
  <si>
    <t>ASERRIN PARA USO DE TALLER</t>
  </si>
  <si>
    <t>RETRO DE ENCOMIENDA</t>
  </si>
  <si>
    <t>PAGO POR SERVICIO DE TAXI S/ FACTURA</t>
  </si>
  <si>
    <t>GIRO DE DINERO PARA COMPRA DE REPUESTO</t>
  </si>
  <si>
    <t>ASERRIN P/ LIMPIEZA DE TALLER</t>
  </si>
  <si>
    <t xml:space="preserve">FORMULARIO ADICIONAL A LOS EFECTOS DEL CALCULO DEL </t>
  </si>
  <si>
    <t>IMPUESTO A LA RENTA</t>
  </si>
  <si>
    <t>(Adjuntar éste formulario al borrador del Balance, Cuadro de Revalúo y Borrador del</t>
  </si>
  <si>
    <t xml:space="preserve">              Formulario 101 y archivarlo junto en el Legajo Impositivo del Cliente)</t>
  </si>
  <si>
    <t>Nro.</t>
  </si>
  <si>
    <t>CONCEPTO</t>
  </si>
  <si>
    <t>PERDIDA</t>
  </si>
  <si>
    <t>GANANCIA</t>
  </si>
  <si>
    <t>I.</t>
  </si>
  <si>
    <t>RESULTADO SEGUN BALANCE:</t>
  </si>
  <si>
    <t>II.</t>
  </si>
  <si>
    <t>(+) GASTOS NO DEDUCIBLES:</t>
  </si>
  <si>
    <t>III</t>
  </si>
  <si>
    <t>IV</t>
  </si>
  <si>
    <t>(=) RENTA NETA GRAVADA</t>
  </si>
  <si>
    <t>V</t>
  </si>
  <si>
    <t>(X 10 %=) IMPUESTO A LA RENTA</t>
  </si>
  <si>
    <t>Retenciones de Impuesto a la Renta</t>
  </si>
  <si>
    <t>Anticipo de Imp.a la Renta - Pagados a la Fecha</t>
  </si>
  <si>
    <t>SALDO A PAGAR</t>
  </si>
  <si>
    <t>Hecho por: Vanina Salinas</t>
  </si>
  <si>
    <t>Fecha:</t>
  </si>
  <si>
    <t xml:space="preserve">Verificado por:  </t>
  </si>
  <si>
    <t xml:space="preserve">Fecha:  </t>
  </si>
  <si>
    <t xml:space="preserve">Aprobado por: </t>
  </si>
  <si>
    <t xml:space="preserve">Fecha: </t>
  </si>
  <si>
    <t>ASIENTO</t>
  </si>
  <si>
    <t>PROVISION DE IRACIS</t>
  </si>
  <si>
    <t xml:space="preserve">    A ANTICIPO IRACIS</t>
  </si>
  <si>
    <t xml:space="preserve">   A Retenciones iracis</t>
  </si>
  <si>
    <t>RESERVA LEGAL GND</t>
  </si>
  <si>
    <t>Ganancia despues de iracis</t>
  </si>
  <si>
    <t xml:space="preserve">    A RESERVA LEGAL</t>
  </si>
  <si>
    <t>EJERCICIO FISCAL CONCLUIDO AL: 31/12/19</t>
  </si>
  <si>
    <t>GND</t>
  </si>
  <si>
    <t>MULTAS</t>
  </si>
  <si>
    <t>GASTOS SIN FACTURA</t>
  </si>
  <si>
    <t>AUTOFACTURAS ND</t>
  </si>
  <si>
    <t>(-) CREDITOS INCOBRABLES</t>
  </si>
  <si>
    <t>MONTO DEMANDADO</t>
  </si>
  <si>
    <t>MONTO DEL SISTEMA</t>
  </si>
  <si>
    <t>N°</t>
  </si>
  <si>
    <t>COD. CLIENTE</t>
  </si>
  <si>
    <t>NOMBRE DE CLIENTE</t>
  </si>
  <si>
    <t>GARANTIA</t>
  </si>
  <si>
    <t>Nº CI</t>
  </si>
  <si>
    <t>VEHICULO ADQUIRIDO</t>
  </si>
  <si>
    <t>DOLARES</t>
  </si>
  <si>
    <t>GUARANIES</t>
  </si>
  <si>
    <t>JUZGADO-SECRETARIA</t>
  </si>
  <si>
    <t>PROBABILIDAD DE COBRO O BIENES EMBARGADOS</t>
  </si>
  <si>
    <t>SITUACION</t>
  </si>
  <si>
    <t>ULTIMA ACTUACIÓN PROCESAL</t>
  </si>
  <si>
    <t>DOCUMENTOS</t>
  </si>
  <si>
    <t>PROBABILIDAD DE RECUPERO</t>
  </si>
  <si>
    <t>ABRAHAN WALL FROI</t>
  </si>
  <si>
    <t>ACCION EJECUTIVA</t>
  </si>
  <si>
    <t>GOL SEDAN BASICO N 2011</t>
  </si>
  <si>
    <t>JUZGADO  PRIMERA INSTANCIA 3 TURNO</t>
  </si>
  <si>
    <t>TOYOTA PLATZ COLOR PLOMO CON MATRICULA BKP591 AÑO 2002</t>
  </si>
  <si>
    <t>INHIBIDO EN SENTENCIA</t>
  </si>
  <si>
    <t>El 21/12/18 retiramos oficio comisivo dirigido al Juez de Paz de Rio Verde a fin de que se notifique al demandado la sentencia definitiva, avisamos al cliente para que lo retiren y lo diligencien. El 21/12/2018, retiramos oficio comisivo dirigido al Juez de Paz de Rio Verde a fin de que se notifique al demandado la sentencia definitiva, avisamos al cliente para que lo retiren y lo diligencien.</t>
  </si>
  <si>
    <t>SI</t>
  </si>
  <si>
    <t>MEDIA</t>
  </si>
  <si>
    <t>ADRIANO SALDIVAR BARBOSA</t>
  </si>
  <si>
    <t>Chevrolet SILVERADO Usado 2004</t>
  </si>
  <si>
    <t>JUZGADO  PRIMERA INSTANCIA 13 TURNO SECRETARIA 26</t>
  </si>
  <si>
    <t>NO REGISTRA BIENES A SU NOMBRE</t>
  </si>
  <si>
    <t xml:space="preserve">SIN TRÁMITES PENDIENTES. En fecha 25/06/18 el Registro Público informó que procedió a inscribir la inhibición decretada. </t>
  </si>
  <si>
    <t>NO</t>
  </si>
  <si>
    <t>BAJA</t>
  </si>
  <si>
    <t>AGRO GENETICA S.A.</t>
  </si>
  <si>
    <t>PRENDARIO</t>
  </si>
  <si>
    <t>80079384-6</t>
  </si>
  <si>
    <t>Isuzu D-Max U chasis 524042  2011</t>
  </si>
  <si>
    <t>JUZGADO 1ER TURNO SECRETARIA 2 DE SANLO</t>
  </si>
  <si>
    <t>DMAX USADO 2011</t>
  </si>
  <si>
    <t>INTIMACION DE PAGO</t>
  </si>
  <si>
    <t>SE RETIRO OFICIO COMISIVO PENDIENTE PARA DILIGENCIAR EN SANTA RITA. VEHICULO EN PODER DE PENNER AUTOMOTORES SRL</t>
  </si>
  <si>
    <t>ALTA</t>
  </si>
  <si>
    <t>AGUSTINA ASTIGARRADA</t>
  </si>
  <si>
    <t>GOL DIESEL 1.9 2008 USADO</t>
  </si>
  <si>
    <t>JUZGADO DE PAZ LOMA PLATA</t>
  </si>
  <si>
    <t>Se verifican bienes</t>
  </si>
  <si>
    <t>CITACION</t>
  </si>
  <si>
    <t>Se inicio accion preparatoria de juicio ejecutivo el dia 27 de marzo de 2019.- Se notifico la priera providencia, se aguarda plazo para solicitar hacer efectivo el apaercibimiento.- Se solicito hacer efectivo el 13/11/2019. Se notifico el Art 451, se debe agregar el mandamiento diligenciado y solicitar citacion.-</t>
  </si>
  <si>
    <t>ALFREDO FROILAN VILLALBA CABRAL</t>
  </si>
  <si>
    <t>FRONTIER D/C 4X4 (9634$) PATROL 3.0 GRX MEC. (17345$)</t>
  </si>
  <si>
    <t>JUZGADO  PRIMERA INSTANCIA 11 TURNO SECRETARIA 21</t>
  </si>
  <si>
    <t>POSEE SEGÚN REGISTRO: 1)FRONTIER D/C 4X4 3.0 2)PATROL 3.0 GRX MEC. 3) MATRICULA 8662/RUR H04,PADRON 9541 DE CAPITAN MEZA 4) MATRICULA 19354/RURH24,PADRON 2920 DE EDELIRA.</t>
  </si>
  <si>
    <t>Retiramos oficio dirigido a Catastro a fin de que informe la avaluación fiscal del inmueble individualizado como Finca y/o Matrícula N° 1354 del Distrito de Edelira. Se encuentra para enviar oficio para recabar condiciones de dominio. Se decretó la inhibición mediante A.I. N° 618 de fecha 10/07/2019. La D.G.R.P. procedió a inscribir la inhibición decretada.</t>
  </si>
  <si>
    <t>VER DOCUMENTOS DRA</t>
  </si>
  <si>
    <t>AMADO RAMON SALINAS</t>
  </si>
  <si>
    <t>NAVARA D/C 4*4 MEC USADO 2009</t>
  </si>
  <si>
    <t xml:space="preserve">En fecha 9/10/18 el Juzgado dictó el A.I. N° 3126 que resuelve tener por iniciado el juicio ejecutivo, intimar de pago al demandado y trabar embargo ejecutivo sobre sus bienes suficientes. El oficial de justicia está diligenciando el mandamiento de intimación de pago y embargo ejecutivo. En fecha 08/08/2019, agregamos al expediente la constancia de embargo ejecutivo trabado sobre el vehículo TOYOTA matrícula LRK 001. En fecha 22/08/2019, retiramos el oficio comisivo, el cual fue entregado para la notificación correspondiente al demandado del A.I N° 3126 de fecha 09/10/18, </t>
  </si>
  <si>
    <t>ANA MARIELA CACERES GONZALEZ</t>
  </si>
  <si>
    <t>HYUNDAI I 10 NUEVO 2012</t>
  </si>
  <si>
    <t xml:space="preserve">JUZGADO DE PAZ CATEDRAL </t>
  </si>
  <si>
    <t>La actuaria del juzgado, Abg. Cynthia Rodriguez, se excusó de intervenir en el proceso en razón de que fue denunciada por la parte demandante en el Juzgado Penal de Filadelfia, por lo cual designa a la Actuaria que sigue en orden de turno. El 31/06/18 se dictó la providencia mediante el cual se designa a la Actuaria del Tercer Turno, Eliana Rodríguez. En la misma fecha, el juzgado dictó la providencia que tiene por iniciada la acción preparatoria de juicio ejecutivo, cita a la parte demandada para que comparezca al juzgado a reconocer las firmas, y comisiona al Juez de Paz de la ciudad de PJC a fin de notificar a la demandada. En octubre de 2018 la actuaria Eliana Rodríguez firmó la primera providencia y el oficio comisivo correspondiente, el cual retiramos y entregamos a Penner Automotores para practicar la diligencia. Actualmente se está diligenciando dicho oficio comisivo</t>
  </si>
  <si>
    <t>VER DOCUMENTOS</t>
  </si>
  <si>
    <t>ANGEL MARTINEZ DE LOS SANTOS Y ZADY DULCELINA ALEGRE MEZA</t>
  </si>
  <si>
    <t>2836129/3179269</t>
  </si>
  <si>
    <t>GOL SEDAN</t>
  </si>
  <si>
    <t>JUZGADO DE PRIMERA INSTANCIA FILADELFIA</t>
  </si>
  <si>
    <t>PRE ACUERDO</t>
  </si>
  <si>
    <t>Se solicito hacer efectivo el apercibimiento. La codeudora manifesto querer arribar a un Acuerdo de Pago Judicial, paralelamente se le remitira la liquidacion.-</t>
  </si>
  <si>
    <t>ARIEL EUGENIO DUARTE RIVAROLA</t>
  </si>
  <si>
    <t>FRONTIER C/S 4X4 TD 2,5 MEC CHASIS 907432 U 2012 COLOR PLATA</t>
  </si>
  <si>
    <t>VEHICULO TIPO MOTO YAMAHA 372 CHAPA</t>
  </si>
  <si>
    <t>Se solicito hacer efectivo el apercibimiento. Se retiro el mandamiento se encuentra en poder del oficial de justicia.- Se solicito oficio comisivo para notificar la citacion.</t>
  </si>
  <si>
    <t>ARNOLD HIEBERT THIESSEN</t>
  </si>
  <si>
    <t>JUZGADO DE PAZ DE FILADELFIA</t>
  </si>
  <si>
    <t>FINIQUITADO</t>
  </si>
  <si>
    <t>Finiquitado.-</t>
  </si>
  <si>
    <t>NISSAN FRONTIER 4X4 MECANICO</t>
  </si>
  <si>
    <t>INMUEBLE DISTRITO DE MARIANO ROQUE ALONSO CTA CTE 27-21-1 PROPIEDAD HORIZONTAL FINCA N° 2286</t>
  </si>
  <si>
    <t>ACUERDO JUDICIAL</t>
  </si>
  <si>
    <t>Se notifico la citacion, vencido el plazo se solicitara sentencia, se notificara y ahí presentaremos el Acuerdo de Pago Judicial firmado en tre las partes.-</t>
  </si>
  <si>
    <t>ANTERO RUIZ ALMADA</t>
  </si>
  <si>
    <t>ACUERDO DE PAGO</t>
  </si>
  <si>
    <t>Se notifico el AI de hacer efectivo, se intimo por parte del oficial de justicia, se notifico el Art 451 del CPC.-</t>
  </si>
  <si>
    <t>C Y N EMPRENDIMIENTOS</t>
  </si>
  <si>
    <t>80076920-1</t>
  </si>
  <si>
    <t xml:space="preserve">AMAROK COMFORT B/T 4X4 </t>
  </si>
  <si>
    <t>JUZGADO  PRIMERA INSTANCIA 3 TURNO SECRETARIA 5</t>
  </si>
  <si>
    <t>En fecha 17/12/2018 solicitamos fijación de nueva audiencia y nuevo oficio comisivo, ante la imposibilidad del oficial de justicia de diligenciar el oficio comisivo anterior. Por providencia de fecha 27/12/2018 el juzgado libró oficio comisivo que será oportunamente diligenciado. Solicitamos fijación de nueva audiencia y nuevo oficio comisivo, debido a que el ujier de la ciudad de Arroyos y Esteros  ha incurrido en un error material en la redacción de la referida cedula de notificación, consignando erróneamente la fecha de audiencias de reconocimiento de firma.</t>
  </si>
  <si>
    <t>BAJA 30%</t>
  </si>
  <si>
    <t>CANDIDO GALEANO DIAZ</t>
  </si>
  <si>
    <t>D/C 4X2 MEXICANA</t>
  </si>
  <si>
    <t>JUZGADO DE PAZ DE VILLA MORRA PRIMER TURNO SECRETARIA 2</t>
  </si>
  <si>
    <t>SIN BIENES EMBARGADOS</t>
  </si>
  <si>
    <t xml:space="preserve">CASO FINIQUITADO. El juzgado dictó la S.D. N° 2464 de fecha 06/11/18 que resuelve: TENER por finiquitado el presente juicio, ORDENAR el archivamiento del expediente. </t>
  </si>
  <si>
    <t>CARLOS ALBERTO AGUILAR</t>
  </si>
  <si>
    <t>AMAROK BASICO D/C 4X4 MT. NUEVO 2012</t>
  </si>
  <si>
    <t>JUZGADO  PRIMERA INSTANCIA 14 TURNO SECRETARIA 28</t>
  </si>
  <si>
    <t>CONVOCATORIA</t>
  </si>
  <si>
    <t>En fecha 13/12/18 abonamos los gastos para la notificacion del traslado del incidente al convocatario.-El Síndico contestó traslado en fecha 19/07/2019 que admite el crédito a favor de Penner Automotores por la suma de 44.819.422. Se halla pendiente la resolución del juzgado.</t>
  </si>
  <si>
    <t>CARLOS DIAZ MERELES</t>
  </si>
  <si>
    <t>GOL HATCH TREND 2011</t>
  </si>
  <si>
    <t>Verificar bienes</t>
  </si>
  <si>
    <t>Se inicio accion preparatoria de juicio ejecutivo el 28/05/19.- Se solicito hacer efectivo el apercibimiento.-</t>
  </si>
  <si>
    <t>CARLOS RAMON RENAULT CANDIA</t>
  </si>
  <si>
    <t>AMAROK HIGHLINE FULL B/T 4X4 AUT</t>
  </si>
  <si>
    <t>Mediante A.I. N°1447 de fecha 03/12/18 el Juzgado dispuso: Hacer efectivo el apercibimiento en tener por iniciado el presente juicio ejecutivo, intimar a la parte demandada y librar el correspondiente mandamiento de intimación de pago. Retiramos mandamiento de intimación de pago y embargo ejecutivo.  El 27/06/2019, se dictó S.D. N° 212. La D.G.R.P. informó que el demandado no posee inmuebles a su nombre y la D.N.R.A. informó que posee 8 vehículos individualizados como: 1) AGV655: no posee medidas cautelares. 2) ATD642: no posee medidas cautelares. 3) AYK770: posee una prenda. Monto: Usd. 12.996. Fecha de caducidad: 26/12/2008. Acreedor: SUEÑOLAR S.A. (finalizado). 4) BBP769: no posee medidas cautelares. 5) OAJ381: no posee medidas cautelares. 6) BBR377: posee una prenda. Monto: Usd. 9.000. Fecha de caducidad: 05/02/2016. Acreedor: GOROSTIAGA AUTOMOVILES S.A (finalizado). 7) AVO266: no posee medidas cautelares. 8) BXO580: posee una prenda. Monto: Uds. 41.900. Fecha de caducidad: 05/05/2019. Acreedor: PENNER AUTOMOTORES SRL. Enviamos mail al cliente consultando si estaría interesado en rematar alguno de los vehículos que posee el demandado, para realizar los trámites tendientes a ello.</t>
  </si>
  <si>
    <t>CARMELO PATROCINIO ROJAS FARIÑA</t>
  </si>
  <si>
    <t xml:space="preserve"> FRONTIER C/S 4X4 DX QD 3,2 CHASIS 0051032 BLANCO U 2012</t>
  </si>
  <si>
    <t>VEHICULO RECUPERADO  FRONTIER C/S 4X4 DX QD 3,2 CHASIS 0051032 BLANCO U 2012</t>
  </si>
  <si>
    <t>PRIMERA PROVIDENCIA</t>
  </si>
  <si>
    <t>Se aguarda firma de la primera providencia para luego proceder a notificar.- Se firmo primera providencia solicitar oficio comisivo.- Presentamos el segundo urgimiento</t>
  </si>
  <si>
    <t>CASIMIRO NUÑEZ BENITEZ</t>
  </si>
  <si>
    <t>FRONTIER D/C 4*4 FULL MEC USADO 2012</t>
  </si>
  <si>
    <t>JUZGADO 16 TURNO SECRETARIA 2</t>
  </si>
  <si>
    <t>El día 06/07/18 se dictó la providencia que tiene por iniciada la acción preparatoria de juicio ejecutivo y emplaza al demandado para que comparezca ante el Juzgado a reconocer las firmas que se le atribuyen. El 19/07/18 se libró el oficio comisivo para notificar al demandado la providencia. Entregamos el oficio a Penner Automotores. El ujier del Juzgado de Paz aún no pudo practicar la diligencia, por lo que consultamos al cliente la posibilidad de practicar la notificación mediante el ujier de Asunción. Aguardamos la confirmación. En fecha 29/10/2019, solicitamos citación para oponer excepciones. Esta presentación se encuentra para proveer por parte del juzgado.</t>
  </si>
  <si>
    <t>CORNELIO PENNER KLASSEN</t>
  </si>
  <si>
    <t>AMAROK COMFORT B/T 4X4 AUT</t>
  </si>
  <si>
    <t>VEHICULO SECUESTRADO EN PLAYA SE DEBE APLICAR LA TASACION A LA DEUDA</t>
  </si>
  <si>
    <t>Se embargo el vehiculo objeto de prenda. Se agrego informe del mandamiento de secuestro y se solicito citacion para oponer excepciones. En fecha 15 de febrero de 2019, el deudor entrego en playa el vehiculo.- Cuenta con otro embargo ejecutivo de 76.000 Dolares se verifico el expedoente el cual esta en sentencia por lo que se debera, tomar intervencion y en vista que el deudor Cornelio comunico en ese expediente del 12 tyrno la convocatoria corresponde ordenen el levantamiento de embargo por la Ley de Quiebras.-</t>
  </si>
  <si>
    <t>CYNTHIA RITA LOZADA</t>
  </si>
  <si>
    <t>HYUNDAI TUCSON 2013</t>
  </si>
  <si>
    <t>Se inicio accion preparatoria de juicio ejecutivo el 28/05/19.- Se encuentra para notificar la primera providencia.-</t>
  </si>
  <si>
    <t>DAVID ANTONIO MARTINEZ SANTANDER</t>
  </si>
  <si>
    <t>HILUX CAB/PLUS 4X4 2004 U</t>
  </si>
  <si>
    <t>POSEE INMUEBLE, MATRICULA N° 12022URB L10 ÑEMBY CTA. CTE. CATASTRAL 27-2711-16.  VEHICULO CHEVROLET CORSA MONTANA CAMIONETA AÑO 2007 COLOR PLATA CHASIS N° 9BGXF80R07C167056, CHAPA BBC883.</t>
  </si>
  <si>
    <t>REMATE</t>
  </si>
  <si>
    <t xml:space="preserve">Presentamos escrito dándonos por notificado del AI N° 1332 del 28/08/17 que rechaza el incidente de nulidad que dedujo el demandado. Asimismo, abonamos viático a la ujier a fin de que notifique al demandado la providencia de citación a oponer excepciones. En fecha 16/11/18 la ujier procedió a notificar al demandado. Se encuentra pendiente de que se provea nuestro escrito de darnos por notificado del AI que rechaza el incidente de nulidad. </t>
  </si>
  <si>
    <t xml:space="preserve">DIEGO RUBEN LEBRON CACERES </t>
  </si>
  <si>
    <t>ACCION PREPARATORIA CON GARANTIA PRENDARIA</t>
  </si>
  <si>
    <t>AMAROK HIGHLINE FULL B/T 4X4 AUT. C/C</t>
  </si>
  <si>
    <t>VEHICULO EN PLAYA Registra automotores Toyota Tacoma Negro año 2001 mas la Amarok 2016 -</t>
  </si>
  <si>
    <t>Se solicito hacer efectivo el apercibimiento.- Se encuentra para la firma del mandamiento de intimacion y embargo ejecutivo.- Se saco orden de secuestro se detuvo por la firma delAcuerdo de pago, se debe proseguir con el mismo.- Se agrego mandamiento diligenciado se solicito la citacion.-</t>
  </si>
  <si>
    <t>DORALICIA AQUINO DE SORAIRE</t>
  </si>
  <si>
    <t>ISUZU C/S 4X2 2.5 U 2012 CHASIS 500022 COLOR PLATA</t>
  </si>
  <si>
    <t>VEHICULO SECUESTRADO EN PLAYA Y POSIBLE ACUERDO DE PAGO- SE DEBE APLICAR EL MONTO DE LA TASACION</t>
  </si>
  <si>
    <t>Se firmo primera providencia de fecha 15 de febrero de 2019, se solicitara oficio comisivo para notificar la misma. Se agregara oficio comisivo y se solicitara hacer efectivo. Se intimo de pago y embargo.- Se notifico la citacion.-</t>
  </si>
  <si>
    <t>DOROTEO JARA BENITEZ Y URSULINA MENDOZA</t>
  </si>
  <si>
    <t>3305509/2249376</t>
  </si>
  <si>
    <t>JUZGADO DE PAZ DE LOMA PLATA</t>
  </si>
  <si>
    <t xml:space="preserve">Se inicio accion preparatoria de juicio ejecutivo el 08 de agosto de 2019. Se firmo la primera providencia y se solicito oficio comisivo para notificar a Capiata el 17/12/2019.- </t>
  </si>
  <si>
    <t>EDGAR DANIEL CORONEL VEGA</t>
  </si>
  <si>
    <t xml:space="preserve">CHEVROLET MONTANA </t>
  </si>
  <si>
    <t>14 TURNO SEC 28</t>
  </si>
  <si>
    <t>VEHICULO EN PLAYA</t>
  </si>
  <si>
    <t>Se inicio accion preparatoria de juicio ejecutivo, se aguarada firma de la primera providencia y firma de oficio comisivo par a Concepcion.- Audiencia para el dia 25/02/2020</t>
  </si>
  <si>
    <t>EDILENE RAMONA AYALA</t>
  </si>
  <si>
    <t>GOL SEDAN TRENDT USADO</t>
  </si>
  <si>
    <t xml:space="preserve">TIENE EL VEHICULO EN SU PODER </t>
  </si>
  <si>
    <t>Se inicio accion preparatoria de juicio ejecutivo. Se notifico la primera providencia via oficio y se solicito hacer efectivo.- Se notificara el AI de hacer efectivo via oficio comisivo.- Se solicitara citacion.</t>
  </si>
  <si>
    <t>ELIAS ROLANDO LEDESMA SANDOVAL</t>
  </si>
  <si>
    <t>NISSAN PIC UP 2001</t>
  </si>
  <si>
    <t>Registra Automotores Kia Picanto 2017 PRENDADO POR MULTIMOTORS SRL</t>
  </si>
  <si>
    <t>SENTENCIA</t>
  </si>
  <si>
    <t>Se inicio accion preparatoria de juicio ejecutivo y se fijo audiencia de reconocimiento para el dia 9 de abril de 2019, se procedio a notificar el dia 2 de abril de 2019.- Se intimo de pago y embargo.- Se procedio a notificar la providencia de citacion.- Se solicto sentencia el 6/11/2019.-</t>
  </si>
  <si>
    <t>ENRIQUE FRIESEN FROESE</t>
  </si>
  <si>
    <t>FRONTIER D/C 4X4 TD 2,5 MEC. FULL</t>
  </si>
  <si>
    <t>En fecha 20/12/2018 solicitamos comisión al Juez de Paz de la ciudad de Rio Verde para la notificación del A.I. N° 847 que tuvo por iniciada la ejecución. Por providencia de fecha 29/04/2019, el juzgado ordenó se cite a la parte demandada  para que se presente a oponer excepciones. En fecha 31/05/19, presentamos el mandamiento de intimación de pago diligenciado y solicitamos informe de bienes de los demandados. La dirección de Registros Públicos informó que los demandados: 1)Enrique Friesen con C.I 3.345.655 : no registra bienes inmuebles inscriptos a su nombre. 2)GERTRUDIS WALL BERGEN, con C.I. N° 5.666.802 : no registra bienes inmuebles inscriptos a su nombre. En fecha 17/09/2019, solicitamos se libre oficio a la Dirección Nacional del Registro de Automotores a fin de que informen si el demandado posee o no bienes inscriptos a su nombre.  El 03/10/2019, el registro informó que el demandado no posee bienes automotores inscriptos a su nombre. En fecha 13/11/2019, se solicitó se decrete la inhibición general de los demandados.</t>
  </si>
  <si>
    <t>ENRRIQUE FRIESEN FRIESEN</t>
  </si>
  <si>
    <t>FRONTIER C/S 4X4 TD 2,5 MEC N</t>
  </si>
  <si>
    <t>Finca N° 1.085 del Distrito de Tacuati</t>
  </si>
  <si>
    <t>El 14/12/18 el Juzgado dictó el A.I. N° 1343 que resuelve tener por iniciado el juicio ejecutivo, intimar de pago al demandado y trabar embargo ejecutivo sobre sus bienes suficientes. El oficial de justicia está diligenciando el mandamiento de intimación de pago y embargo ejecutivo. El 13/05/2019, agregamos el mandamiento debidamente diligenciado con la constancia de haberse trabado embargo sobre la Finca N° 1.085 del Distrito de Tacuati, en fecha 29/04/2019.  Asimismo, solicitamos oficio comisivo para notificar el A.I. que tiene por iniciado el juicio ejecutivo y lo  entregamos a la empresa Penner.</t>
  </si>
  <si>
    <t>FANY LUJAN SANDOVAL</t>
  </si>
  <si>
    <t xml:space="preserve">PRESTAMO </t>
  </si>
  <si>
    <t>POSEE FINCA N° 5695/RUR D03 PADRON 6177 DE LA CIUDAD DE ARROYOS Y ESTEROS.</t>
  </si>
  <si>
    <t>Hasta la fecha no pudimos notificar la demanda debido a que no contamos con datos exactos sobre el domicilio de la deudora y la ujier no puede localizar el domicilio denunciado. Reiteramos vía al mail al cliente el dato que precisamos. Cabe señalar que los documentos se hallan prescriptos y ha transcurrido el plazo de caducidad.</t>
  </si>
  <si>
    <t>FABIO FROILAN FRASQUERI RIOS Y ZUNILDA BRITEZ DE LA SIERRA</t>
  </si>
  <si>
    <t>5868053/4282771</t>
  </si>
  <si>
    <t xml:space="preserve">GOL SEDAN TRENDT </t>
  </si>
  <si>
    <t>Se inicio accion preparatoria de juicio ejecutivo, se notifico la primera providencia y se solicitara hacer efectivo el apercibimiento.-</t>
  </si>
  <si>
    <t>FRANCISCO ACOSTA SARAVIA</t>
  </si>
  <si>
    <t>PATROL 4X4 U 1998</t>
  </si>
  <si>
    <t>TRABAJA EN LA UNIVERSIDAD NACIONAL DE CAAGUAZU - FACULTAD DE LA PRODUCCION -  SE EMBARGO SALARIO EN CNEL OVIEDO</t>
  </si>
  <si>
    <t>EMBARGO DE SUELDO</t>
  </si>
  <si>
    <t>El Juzgado decretó embargo de salario del demandado, se procedió a la apertura de una cuenta judicial en BNF. El oficio dirigido a la FACULTAD DE CIENCIAS DE LA PRODUCCIÓN (embargo de salario). Se encuentra en poder del cliente a fin de que lo diligencie su oficial justicia. El Registro Automotor informó que el demandado no posee vehículos y el Registro público informó que el demandado posee dos inmuebles a su nombre: 1) 13173/ URB L06 ITAUGUA. 2) 323/ RUR C19 SANTA ROSA DEL AGUARAY. Presentamos escrito solicitando informe de contaduría, extracción de fondos, informe de condiciones de dominio y se libren oficios. Contaduría informó que no se registra movimiento en la cuenta del juicio. Ambas fincas cuentan con inscripción preventiva de otro acreedor.</t>
  </si>
  <si>
    <t>FRANCISCO DANIEL SANCHEZ BAEZ</t>
  </si>
  <si>
    <t>D-MAX D/C 3.0 4X4 AUT</t>
  </si>
  <si>
    <t>Mediante AI N° 572 de fecha 22/08/18 el Juzgado dispuso: Hacer efectivo el apercibimiento y tener por iniciado el presente juicio ejecutivo, intimar a la parte demandada y librar el correspondiente mandamiento de intimación de pago. El oficial de justicia designado ya retiro el mandamiento de intimación de pago y embargo ejecutivo para su diligenciamiento. El 30/04/2019, se notificó al demandado el A.I. N° 572 de fecha 22/08/18. Se dictó providencia de fecha 20/06/2019 (citación para oponer excepciones). El 12/11/2019, presentamos escrito agregando el oficio comisivo diligenciado. Solicitamos se dicte sentencia de remate y comisión a Juez de Paz.</t>
  </si>
  <si>
    <t>FRANZ HARMS PETERS</t>
  </si>
  <si>
    <t>SAVEIRO CAB. EXT. 2017</t>
  </si>
  <si>
    <t>VEHICULO EN PLAYA DE LOMA SE USA INTERNAMENTE IGUAL BIENES A VERIFICAR</t>
  </si>
  <si>
    <t>Se aguarda firma de la primera providencia para luego proceder a notificar.- Se presento urgimiento.-</t>
  </si>
  <si>
    <t>FREDY GUSTAVO YAÑEZ</t>
  </si>
  <si>
    <t>CR-V  USADO 2007</t>
  </si>
  <si>
    <t>JUZGADO  PRIMERA INSTANCIA 1 TURNO SECRETARIA 2</t>
  </si>
  <si>
    <t>HONDA. MATRICULA BBA004 TIPO CR-V, COLOR PLATA, AÑO 2007. CHASSIS N° JHLRE48507C208103 ESTE VEHICULO YA NO TIENE EN SU PODER EL DEMANDADO. SI UN TOYOTA TIPO CORSA MATRICULA OAN410</t>
  </si>
  <si>
    <t>Mediante AI N° 1261 de fecha 09/11/18 el juzgado resolvió decretar la inhibición del demandado. El Registro Público procedió a inscribir la medida cautelar decretada.</t>
  </si>
  <si>
    <t>GARCIA S.A. IMPORT &amp; EXPORT</t>
  </si>
  <si>
    <t>80028629-4</t>
  </si>
  <si>
    <t>AMAROK HIGHLINE B/T 4X4 AUT S/CUERO</t>
  </si>
  <si>
    <t>El 18/09/18 el juzgado dio por decaído el derecho de GARCIA S.A. IMPORT &amp; EXPORT para contestar el traslado del incidente de verificación de crédito y ordenó se corra vista al síndico. El expediente fue remitido a sindicatura y luego fue devuelto al juzgado por el síndico. El expediente se encuentra en despacho para la firma de la providencia correspondiente en relación a la agregación del.En fecha 23/07/2019, nos notificaron de la providencia de fecha 25/07/2019, que señala audiencia el día 22/08/19, a las 9:00 hs. para la realización de la junta de acreedores con asistencia del convocatario, acreedor quirografario, el síndico interviniente y la representante del ministerio público. La audiencia fijada para el día 25/07/2019 fue suspendida.</t>
  </si>
  <si>
    <t>GUSTAVO ADOLFO SCHININI GOMEZ</t>
  </si>
  <si>
    <t>TUCSON AUT. 4X4 U 2012</t>
  </si>
  <si>
    <t>JUZGADO  PRIMERA INSTANCIA 6 TURNO SECRETARIA 12</t>
  </si>
  <si>
    <t>INMUEBLE DISTRITO DE LA RECOLETA- VEHICULOS</t>
  </si>
  <si>
    <t xml:space="preserve">El Juzgado dictó providencia 30/11/18 por la cual decreta embargo ejecutivo por la suma de DÓLARES AMERICANOS DIECISÉIS MIL TRESCIENTOS OCHENTA Y OCHO, (US$ 16.388.-) y más la suma de DOLARES MIL SEISCIENTOS CUARENTA (U$S. 1.640.) fijados provisoriamente para Gastos de Justicia, sobre el inmueble individualizado como Finca; con matrícula 11254 URB A05, del Distrito de La Recoleta, con cta. Cte. Ctral Nº 14-1793-3, inscripta en la dirección General de los Registros Públicos a nombre del demandado Sr GUSTAVO ADOLFO SCHININI GOMEZ con C.I. Nº 743.278. El oficio se encuentra pendiente de ser enviado por parte del Juzgado. En fecha 23/05/2019, solicitamos orden de venta, secuestro de los vehículos embargados: 1) Volkswagen Fox 1.0, color rojo, Matrícula BBB208, Chasis 9BWKA05Z164146802, Año 2.006 y, 2) Toyota Hilux 2.4 D Color bordo, Matrícula AAU090, Chasis LN85-012592, Año 1.994, sin base de venta y al contado. Además se libre oficio a mesa de garantías constitucionales para designación de martillero público. Presentamos tres urgimientos respecto a dicha presentación. Pedido que se encuentra pendiente por parte del Juzgado.  </t>
  </si>
  <si>
    <t>HECTOR ANIBAL CALONGA SANABRIA</t>
  </si>
  <si>
    <t>FRONTIER D/C 4X4 "N" 2012</t>
  </si>
  <si>
    <t>JUZGADO  PRIMERA INSTANCIA 2  TURNO SECRETARIA 3</t>
  </si>
  <si>
    <t>Inhibido en sentencia.- El Juzgado dictó AI N° 131 de fecha 20/02/19 que decreta la inhibión de bienes. El Registro Público procedió a inscribir la inhibición decretada.</t>
  </si>
  <si>
    <t>HECTOR MANUEL DOLDAN MENDEZ</t>
  </si>
  <si>
    <t>705.162-0</t>
  </si>
  <si>
    <t>AMAROK 4*4 U 2011 AMAROK 4*4 U 2011 FORD EDGE U 2007</t>
  </si>
  <si>
    <t>JUZGADO  PRIMERA INSTANCIA 19 TURNO SECRETARIA 38</t>
  </si>
  <si>
    <t>PARA INHIBICION</t>
  </si>
  <si>
    <t>Inhibido en sentencia.-</t>
  </si>
  <si>
    <t>CHEQUE</t>
  </si>
  <si>
    <t>JUZGADO DE JUSTICIA LETRADA SEGUNDO TURNO SECRETARIA 3</t>
  </si>
  <si>
    <t>Inhibido en sentencia.- En fecha 06/08/2019, se dictó A.I. N° 872 que decreta inhibición de bienes. La D.G.R.P. procedió a inscribir la inhibición decretada.</t>
  </si>
  <si>
    <t>HENRICH PETERS NEUSTAETER</t>
  </si>
  <si>
    <t>FRONTIER D/C 4X4 N 2012</t>
  </si>
  <si>
    <t>POSEE  TRACTOR AGRICOLA MODELO 1086 MARCA INTERNACIONAL (AMERICANO) AÑO 1976 COLOR ROJO CHASIS 2610183U54140 CHAPA TDH095.</t>
  </si>
  <si>
    <t>Se dictó SD N° 407 de fecha 13/08/18 que resuelve llevar adelante la ejecución. El oficio comisivo para el Juez de Paz de Río Verde, a fin de que se notifique la SD, se encuentra en poder del cliente. Se decretó el embargo de los vehículos individualizados como TDH095 y BLE435. Solicitamos venta en pública subasta y se disponga secuestro, así también el informe sobre las condiciones de dominio y gravámenes. El 02/08/2019, se libró oficio a la Dirección Constitucional de Garantías, remates y peritos judiciales. Por providencia de fecha 19/08/2019, se ordenó la venta en pública subasta de los rodados embargados en autos, e individualizado como a) INTERNACIONAL, modelo 1086, chapa TDH095, chasis 2610183U54140, color rojo y b) NISSAN , modelo Frontier, chapa BLE435, chasis JN1CNUD22Z0021523, color verde, sin base venta. Se publique los avisos en el diario “Última HORA”, de esta capital, por el término de ley. Se designé al rematador público Jessica Belen Yegros Cabañas, quien previa aceptación del cargo cumplirá su cometido. El Oficio comisivo de fecha 14/10/2019, dirigido al Juez de Paz de Río Verde (para notificar providencia  del 29/07/2019) se encuentra en poder del cliente.</t>
  </si>
  <si>
    <t>ILSON MARTINS FORTE</t>
  </si>
  <si>
    <t xml:space="preserve">GOL HATCH TREND S/LLANTA CHASIS 019044 N 2016 COLOR GRIS QUARZO </t>
  </si>
  <si>
    <t>10 TURNO SECRETARIA 20</t>
  </si>
  <si>
    <t xml:space="preserve"> PARA INHIBIR</t>
  </si>
  <si>
    <t>Se firmo primera providencia de fecha 15 de febrero de 2019, se solicitara oficio comisivo para notificar la misma.- La ujier informo que no ubico la direccionen fecha 9 de abril de 2019 se precisan mas datos, pues ya viajo al Brasil.- Nos ratificamos en el domicilio.- Solicitamos se libre nuevo oficio comisivo al Juzgado de Paz de Loma Plata</t>
  </si>
  <si>
    <t>IRIS ROSALBA GONZALEZ Y JORGE PEREIRA VELAZQUEZ</t>
  </si>
  <si>
    <t>FIAT SIENA 2005 USADO - CHASSIS 144957</t>
  </si>
  <si>
    <t>ENTREGO EL VEHICULO. SE EMBARGO UNA MOTO Y UNA TOYOTA NOHA ESTA EN PROCESO ACUERDO DE PAGO</t>
  </si>
  <si>
    <t>Se inicio accion preparatoria de juicio ejecutivo en el Juzgado de Primera Instancia de Filadelfia, EL 26 DE MARZO DE 2019.- Se notifico la citacion.-</t>
  </si>
  <si>
    <t>ISMAEL LOPEZ DUARTE</t>
  </si>
  <si>
    <t>AMAROK CONFORT 4X4</t>
  </si>
  <si>
    <t>JUZGADO DE FILADELFIA SECRETARIA UNICA</t>
  </si>
  <si>
    <t>Se inicio accion preparatoria de juicio ejecutivo en el Juzgado de Primera Instancia de Filadelfia. Se firmo la resolucion de Homologacion de Acuerdo.-</t>
  </si>
  <si>
    <t>ISABELINO RIVAS MARTINEZ Y ASUNCION MAZZACOTTE DE RIVAS</t>
  </si>
  <si>
    <t>2514889/2586104</t>
  </si>
  <si>
    <t>GOL PLATA</t>
  </si>
  <si>
    <t>Se solicito hacer  efectivo el apercibimiento.-</t>
  </si>
  <si>
    <t>ISABELINO RIVAS MARTINEZ Y LEONIDO RIVAS</t>
  </si>
  <si>
    <t>2514889/6174694</t>
  </si>
  <si>
    <t>GOL BLANCO</t>
  </si>
  <si>
    <t xml:space="preserve">ACUERDO DE PAGO. </t>
  </si>
  <si>
    <t>JAIME ANDRES JARA VERA</t>
  </si>
  <si>
    <t>SAVEIRO CAB. EXT. 1.6</t>
  </si>
  <si>
    <t>JUZGADO  PRIMERA INSTANCIA 8 TURNO SECRETARIA 15</t>
  </si>
  <si>
    <t>VOLKSWAGEN SAVEIRO, CAB/EXT 1.6 2012, CHASIS N° 9BWLBOSU2CP 090840. ADEMAS TIENE EMBARGO DE INMUEBLE.-</t>
  </si>
  <si>
    <t>En fecha 12/11/18 el juzgado mediante A.I. N° 1800 resolvió decretar la inhibición del demandado, se encuentra pendiente de que se envíe oficio electrónico a la Dirección General de los Registro Públicos. En fecha 06/02/2019, la Dirección General de los Registro Públicos  informó que procedió a inscribir la inhibición.</t>
  </si>
  <si>
    <t>JOHNNI VINICIUS SCHUSTER</t>
  </si>
  <si>
    <t xml:space="preserve">Chevrolet U 2004 S10 D/C 4X2 </t>
  </si>
  <si>
    <t>JUZGADO  PRIMERA INSTANCIA 2  TURNO SECRETARIA 4</t>
  </si>
  <si>
    <t>POSEE SEGÚN REGISTRO CAMIONETA CHEVROLET S-10 2004 DOBLE CABINA 2.9 CHASIS 9BG1388AC428513</t>
  </si>
  <si>
    <t>El 20/12/18 presentamos escrito en el cual solicitamos el cumplimiento de la sentencia, se ordene la venta, se designe martillero público y se libre oficio para tal efecto. Como así también se libre mandamiento de secuestro del vehículo individualizado como: MATRÍCULA CCT134, CHASIS NCP130056495, MARCA TOYOTA, MODELO VITZ, COLOR BLANCO. El 25/07/2019, solicitamos se haga efectivo el apercibimiento respecto a la providencia de fecha 06/02/2019, y en consecuencia, se recabe la copia del título de propiedad del vehículo individualizado como CCT134.El 10/09/2019, se libró el oficio a la D.N.R.A., se encuentra pendiente la respuesta.</t>
  </si>
  <si>
    <t>JORGE AUGUSTO HIDALGO</t>
  </si>
  <si>
    <t>Chevrolet Silverado U 1998 chasis 157810</t>
  </si>
  <si>
    <t>POSEE 4 VEHICULOS A SU NOMBRE.- SE PROCEDIO A EMBARGAR.-</t>
  </si>
  <si>
    <t>Se dictó S.D. N° 641 de fecha 12/11/18 que resuelve llevar adelante la ejecución. El 20/12/18 solicitamos oficio comisivo al juez de paz de la ciudad de Santa Rosa del Aguaray, a fin de que proceda a notificar al demandado la sentencia dictada.La D.G.R.P. informó que el demandado no posee inmuebles a su nombre. La D.N.R.A. informó que posee 4 vehículos, con numerosos embargos anteriores al nuestro, por lo que procedimos a solicitar la inhibición general de vender y gravar bienes contra el demandado. El 14/10/2019, se dictó A.I. de inhibición N° 1355. La D.G.R.P. procedió a dar cumplimiento a lo ordenado.</t>
  </si>
  <si>
    <t>JOSE AGUSTIN BARRIOS GONZALEZ</t>
  </si>
  <si>
    <t>AMAROK NEW CONFORT 2017</t>
  </si>
  <si>
    <t>Se inicio accion preparatoria de juicio ejecutivo el 28/05/19.- Para notificarse la primera providencia y firma de acuerdo judicial.-</t>
  </si>
  <si>
    <t>JOSE ARMIN CHAPARRO ARGUELLO</t>
  </si>
  <si>
    <t>Se inicio accion  preparatoria el 28/05/2019.Se solicito hacer efectivo el apercibiemiento y se libre mandamiento de intimacion de pago y embargo EL 6/11/2019.- En fecha 07/08/2019 abono la suma de Gs. 27.000.000. Se le realizara la liquidacion.-</t>
  </si>
  <si>
    <t>JOSE FERNANDO PAREDES</t>
  </si>
  <si>
    <t>NAVARA 4*4 USADO 2009</t>
  </si>
  <si>
    <t>2DO TURNO PRIMERA INSTANCIA SECRETARIA 3</t>
  </si>
  <si>
    <t>VEHICULO EN PENNER</t>
  </si>
  <si>
    <t>CON EXCEPCION</t>
  </si>
  <si>
    <t>LA PARTE DEMANDADA PLANTEO EXCEPCION DE INHABILIDAD DE TITULO PORQUE LOS PAGARES NO ESTAN INSCRITOS CON LA PRENDA. SE ENCUENTRA EN LA CAMARA DE APELACIONES.-</t>
  </si>
  <si>
    <t xml:space="preserve">JOSE ISAIAS PRADO LOPEZ </t>
  </si>
  <si>
    <t>ACCENT AUT. NAFT. 1.4 GL CHASIS 572219 N 2014 COLOR PLATA</t>
  </si>
  <si>
    <t>1ER TURNO PRIMERA INSTANCIA SECRETARIA 2</t>
  </si>
  <si>
    <t>VEHICULO SECUESTRADO EN PLAYA</t>
  </si>
  <si>
    <t>Se solicito hacer efectivo el apercibimiento.- Debemos denunciar nuevo domicilio.- Se firmo mandamiento de intimacion de pago. Se notifico el Art. 451 del CPC, se reiterara la citacion.-</t>
  </si>
  <si>
    <t>JOSE MARIA ARREGUI FLORES</t>
  </si>
  <si>
    <t>S-10 2.4 L FLEX POWER D/C</t>
  </si>
  <si>
    <t>JUZGADO  PRIMERA INSTANCIA 16 TURNO SECRETARIA 31</t>
  </si>
  <si>
    <t xml:space="preserve">POSIBLE VEHICULO CHEVROLET S10 DOBLE CABINA SIN CHAPA CHASSIS N° 9BG138GF0BC432885.-  FINCA: 2404, PADRON: 2908 y FINCA: 1786, con Cta. Cte. Ctral. 24-3-3 ambas del distrito de SANTIAGO </t>
  </si>
  <si>
    <t>El Juzgado dictó SD N° 390 de fecha 13/09/18. El ujier manifestó que ya se notificó a los dos demandados de la S.D. El informe de dicha cédula se encuentra pendiente por parte del mismo.  FINCA: 2404, PADRON: 2908 y FINCA: 1786, con Cta. Cte. Ctral. 24-3-3 ambas del distrito de SANTIAGO . Se encuentra pendiente la respuesta de la DGRP, sobre las condiciones de dominio de los dos inmuebles a nombre del demandado ROBERTO LEÓN ARREGUI FLORES.</t>
  </si>
  <si>
    <t>KATHERINE MARIEL MALDONADO</t>
  </si>
  <si>
    <t>FRONTIER C/S 4X2 DX TD 2,7 USADO 1996</t>
  </si>
  <si>
    <t>13 TURNO SEC 26</t>
  </si>
  <si>
    <t>SUELDO - ACUERDO DE PAGO A FIRMARSE</t>
  </si>
  <si>
    <t>Se inicio accion preparatoria de juicio ejecutivo. Se notifico la primera providencia via oficio y se solicito hacer efectivo.- Se solicito apertura de cuenta y oficio comisivo para notificar la citacion.-</t>
  </si>
  <si>
    <t>LAIS ELENA GARCETE MEDEIROS</t>
  </si>
  <si>
    <t>TIIDA SEDAN ENTRY MEC NUEVO 2012</t>
  </si>
  <si>
    <t>4TO TURNO SEC 7</t>
  </si>
  <si>
    <t>Se firmo oficio comisivo para notificar la primera providencia.- Se solicito el oficio comisivo a PJC para notificar el Art 451 del CPC</t>
  </si>
  <si>
    <t>LUIS FERNANDO ZAVALA VAZQUEZ</t>
  </si>
  <si>
    <t>GOL TREND SEDAN</t>
  </si>
  <si>
    <t>ACUERDO  EL CODEUDOR PADRE POSEE FINCA 1280 DE MCAL ESTIGARRIBIA CTA CTE TAL 34-177-6</t>
  </si>
  <si>
    <t>Se inicio accion preparatoria de juicio ejecutivo en el Juzgado de Primera Instancia de Filadelfia. Se notifico la citacion.-</t>
  </si>
  <si>
    <t>LUIS PETROSKI</t>
  </si>
  <si>
    <t>S10 4X4 EXECUTIVA USADO 2006</t>
  </si>
  <si>
    <t>TERCER TURNO SECRETARIA 2 SAN LORENZO</t>
  </si>
  <si>
    <t>El expediente se encuentra en poder del ujier, pendiente del informe del sobre la notificación realizada al demandado (audiencia de reconocimiento de firma). Se solicitó se haga efectivo el apercibimiento. Este pedido se encuentra para la firma del juez.</t>
  </si>
  <si>
    <t>LUCAS TALAMONNI</t>
  </si>
  <si>
    <t>CODEUDOR DE RUBEN ARTURO ARANDA</t>
  </si>
  <si>
    <t>JUZGADO DE PAZ DE LA ENCARNACION</t>
  </si>
  <si>
    <t>Se inicio accion preparatoria de juicio ejecutivo. Se notificara la primera providencia.-</t>
  </si>
  <si>
    <t>LINIQUER LOTERMANN HENTZ</t>
  </si>
  <si>
    <t>SAVEIRO CROSS 2018</t>
  </si>
  <si>
    <t xml:space="preserve">Se firmo AI de hacer efectivo, se abono la cedula de notificacion del Art 451 del CPC. </t>
  </si>
  <si>
    <t>MAQUINARIAS HARDER S.A.</t>
  </si>
  <si>
    <t>800-82221-8</t>
  </si>
  <si>
    <t>DOS NISSAN FRONTIER AÑO 2015 OKM Y EL OTRO 2015 OK</t>
  </si>
  <si>
    <t>Se embargaron varios bienes automotores. Y estamos en tratativas de un acuerdo de pago</t>
  </si>
  <si>
    <t>Se inicio accion preparatoria de juicio ejecutivo en el Juzgado de Primera Instancia de Filadelfia, EL 26 DE MARZO DE 2019.- Se fijo audiencia para el 9 de abril de 2019.- Se notifico la citacion.-</t>
  </si>
  <si>
    <t>MAQUINARIAS KL</t>
  </si>
  <si>
    <t>ACCION EJECUTIVA CON EMBARGO PREVENTIVO</t>
  </si>
  <si>
    <t>800-68271-8</t>
  </si>
  <si>
    <t>TRES VEHICULOS FRONTIER AÑO 2011 USADO, FRONTIER CAB SIMPLE 2014 OK, Y AMAROK B/TURBO AÑO 2013 OK</t>
  </si>
  <si>
    <t>Se embargaron varios bienes automotores</t>
  </si>
  <si>
    <t>Se inicio accion preparatoria de juicio ejecutivo en el Juzgado de Primera Instancia de Filadelfia, EL 26 DE MARZO DE 2019.- Se presentara caucion para retiro del mandamiento preventivo.- Se firmo el mandamiento de intimacion y embargo ejecutivo.-</t>
  </si>
  <si>
    <t>MARIA DEL CARMEN MENDOZA BRITOS</t>
  </si>
  <si>
    <t>HYUNDAI I-10 AUT. 1.1</t>
  </si>
  <si>
    <t>Finiquitado</t>
  </si>
  <si>
    <t xml:space="preserve">MARIA JULIA DOS SANTOS DE SOLIS </t>
  </si>
  <si>
    <t>TIIDA SEDAN MEC. ENTRY N 2011</t>
  </si>
  <si>
    <t>TRABAJA EN MIRAFONTE SA</t>
  </si>
  <si>
    <t>Solicitamos se comisione al juez de paz de Pedro Juan Caballero, a fin de que notifique a la demandada la providencia de fecha 27.08.2018, pendiente de que el juzgado provea dicho pedido. El Registro Automotor decretó el embargo de los vehículos individualizados como BHO013 y HDL338. En fecha 06/09/2019, se notificó a la demandada la providencia del 12/08/2019, de citación para oponer excepciones. Solicitamos se dicte Sentencia de Remate y se encuentra pendiente para proveer.</t>
  </si>
  <si>
    <t>MARIO AURELIO GAMARRA GONZALEZ</t>
  </si>
  <si>
    <t>AMAROK HILUX 4X4</t>
  </si>
  <si>
    <t>SUELDO EN LA POLICIA</t>
  </si>
  <si>
    <t>Se inicio accion preparatoria de juicio ejecutivo en el Juzgado de Primera Instancia de Filadelfia. Se notifico y se solicito hacer efectivo y se libro mandamiento de intimacion de pago y embargo. Se agregara el mandamiento diligenciado y se solicitara apertura de cuenta judicial y ofico de embargo y luego se  solicitara citacion.-</t>
  </si>
  <si>
    <t>MERCEDES CAROLINA CANDIA SANTACRUZ</t>
  </si>
  <si>
    <t>TUCSON AUT 4X4 GLS CRDI DIESEL</t>
  </si>
  <si>
    <t>Por providencia de fecha 26/11/2018, el juzgado dispuso la agregación del mandamiento de intimación de pago y embargo ejecutivo, debidamente diligenciado por el oficial de justicia.  En fecha 17/12/2018 abonamos al ujier los gastos para notificar a la ejecutada la intimación de pago y el embargo. El 17/09/2019, solicitamos se dicte sentencia de remate, atendiendo a que la parte demandada no opuso excepciones a la ejecución. Esta resolución se encuentra pendiente por parte del juzgado.</t>
  </si>
  <si>
    <t>MILCIADES GODOY CALONGA</t>
  </si>
  <si>
    <t>FRONTIER 4X4 MEC 2.5 AÑO 2014</t>
  </si>
  <si>
    <t>ACUERDO DE PAGO ABONO 45.00.000</t>
  </si>
  <si>
    <t>Se solicito hacer efectivo el apercibimiento.-</t>
  </si>
  <si>
    <t>MILCIADES SANABRIA  VERA Y OTRA</t>
  </si>
  <si>
    <t>TUCSON AUT 4X2</t>
  </si>
  <si>
    <t>ACUERDO DE  PAGO</t>
  </si>
  <si>
    <t>Se inicio accion preparatoria d juicio ejecutivo, se notifico la primera providencia, se solicito hacer efectivo.-</t>
  </si>
  <si>
    <t>MIRIAN ROSSANA ROMAN CARBALLO</t>
  </si>
  <si>
    <t>HYUNDAI MATRIX  U</t>
  </si>
  <si>
    <t>NO POSEE INMUEBLES NI VEHICULO A SU NOMBRE</t>
  </si>
  <si>
    <t>Por providencia, el juzgado señaló audiencia para reconocimiento de firma para el día 11/02/19, abonamos al ujier el viático correspondiente a fin de que proceda a notificar a la demandada. El 10/07/2019, se notificó a la demandada la providencia del 11/06/2019, (citación para oponer excepciones). En fecha 28/08/2019,  se notificó a la demandada la S.D. N° 344. Solicitamos informe de bienes. La D.N.R.A. informó que la demandada no posee vehículos a su nombre. Se encuentra pendiente la respuesta de la D.G.R.P.</t>
  </si>
  <si>
    <t xml:space="preserve">MYRIAM FATIMA CACERES DE LEBRON </t>
  </si>
  <si>
    <t>TOUAREG 3.0 TDI AÑO 2009 CHA 025313 BLANCO</t>
  </si>
  <si>
    <t>Registra embargo sobre Finca N° 28958 del Distrito de Recoleta. Vehiculo entregado y tasado.</t>
  </si>
  <si>
    <t>Se solicito hacer efectivo el apercibimiento.- Se notifico la citacion.- Opuso exceocion de pago parcial, contestamos se aguarda resolucion.-</t>
  </si>
  <si>
    <t xml:space="preserve">NADIA LORENA DAVALOS </t>
  </si>
  <si>
    <t>TIIDA SEDAN USADO 2011</t>
  </si>
  <si>
    <t>TRABAJA EN EL MINISTERIO DE AGRICULTURA Y GANADERIA - se contacto con la Dra. Laura para arribar a un acuerdo de pago.-</t>
  </si>
  <si>
    <t>El Juzgado dictó el AI N° 2363 de fecha 12/11/18 que dispone: Hacer efectivo el apercibimiento y tener por iniciado el juicio ejecutivo por el cobro de la suma de USD 1.751 más intereses y costas decretando embargo ejecutivo. El mandamiento de intimación y pago se encuentra para su diligenciamiento. En fecha 06/09/2019, se notificó a la demandada la providencia del 05/08/2019, de citación para oponer excepciones. Solicitamos se dicte Sentencia de Remate, pedido que se encuentra pendiente de proveer por parte del Juzgado.</t>
  </si>
  <si>
    <t>NELSON VERA SAUCEDO</t>
  </si>
  <si>
    <t>Chevrolet S10 U 2009</t>
  </si>
  <si>
    <t>CHEVROLET S-10 CABINA SIMPLE AÑO 1997, COLOR VERDE CHASIS N° 9BG124ATVVC942454, CHAPA AGS352.  INMUEBLE FINCA N° 1888/RUR C07, PADRON 2260 DE LA CIUDAD DE NUEVA GERMANIA.</t>
  </si>
  <si>
    <t xml:space="preserve">Solicitamos oficio comisivo para notificar el AI de inicio del juicio ejecutivo, como se libró oficio para el Juez de Paz de San Pedro y no se pudo encontrar el domicilio, procedimos a rectificar domicilio y solicitar se libre oficio para Juez de Río Verde. Se encuentra pendiente el libramiento del oficio comisivo a fin de que se notifique al demandado el AI N° 151 de fecha 29/06/17.El AI N° 151 de fecha 29/06/17, se notificó en fecha 09/04/2019. El 18/07/2019 se notificó al demandado la providencia de fecha 17/05/2019 (citación a oponer excepciones). El 23/09/2019 se dictó S.D. N° 457. Retiramos el oficio comisivo del 31/10/2019 para notificar la misma. </t>
  </si>
  <si>
    <t>NEURI MARIO KUHNKAUTZMANN</t>
  </si>
  <si>
    <t>SAVEIRO CAB EXTENDIDA COLOR ROJO 2015</t>
  </si>
  <si>
    <t>Se inicio accion preparatoria de juicio ejecutivo el 28/11/2019. Se denuncio nuevo domicilio el 18/12/2019, se notificara la primera providencia.-</t>
  </si>
  <si>
    <t>NIRMA GRISELDA VERA DE MAUGER</t>
  </si>
  <si>
    <t>Kia Cerato Sedan U Chasis 933899</t>
  </si>
  <si>
    <t>JUZGADO  PRIMERA INSTANCIA 12 TURNO SECRETARIA 24</t>
  </si>
  <si>
    <t>KIA SERATO SEDAN FULL USADO AÑO 2012 CHAPA BGV748.- SUELDO EN LA DEFENSORIA PUBLICA</t>
  </si>
  <si>
    <t>EMBARGO DE SUELDO - CITACION</t>
  </si>
  <si>
    <t>Se encuentra para proveer nuestro pedido de hacer efectivo el apercibimiento e inicio de juicio ejecutivo. Se dictó A.I. N° 78 de fecha 28/02/2019. En fecha 26/06/2019 se dictó providencia que dispone decretar embargo ejecutivo sobre la cuarta parte del sueldo que percibe la demandada (funcionaria del Ministerio de Defensa Público).Se abrió la cuenta judicial N° 785384/0 a nombre del presente juicio. El 12/11/2019, presentamos escrito agregando el oficio comisivo (mediante el cual se notificó el A.I. de inicio de juicio ejecutivo) el mandamiento debidamente diligenciados; asimismo solicitamos citación para oponer excepciones y comisión a Juez de Paz.</t>
  </si>
  <si>
    <t>NORMA BEATRIZ BAEZ DE BRITOS</t>
  </si>
  <si>
    <t xml:space="preserve">AMAROK </t>
  </si>
  <si>
    <t>Acuerdo de pago arribado con la Dra. Laura</t>
  </si>
  <si>
    <t>La codemandada María José Britos ya fue notificada de la audiencia de reconocimiento firma y no compareció, por lo que en fecha 01/10/2018 se solicitó se hiciera efectivo el apercibimiento en relación con ella. Respecto de la codemandada Norma Beatriz Báez, el ujier notificador manifestó en dos oportunidades que su domicilio no ha podido ser ubicado, motivo por el cual solicitaremos fijación de nueva audiencia. El 17/10/2019, Solicitamos se haga efectivo el apercibimiento. Esta presentación se encuentra para proveer por parte del juzgado.</t>
  </si>
  <si>
    <t>OSCAR RUBEN LEBRON PARADEDA</t>
  </si>
  <si>
    <t>19 TURNO PRIMERA INSTAN CIA SECRETARIA 37</t>
  </si>
  <si>
    <t>Registra automotores Nissan Frontier Camioneta Año 2012 - entendemos q este vehiculo esta vendido. No registra inmuebles</t>
  </si>
  <si>
    <t>RECUSACION E INCIDENTE</t>
  </si>
  <si>
    <t>Se inicio accion preparatoria de juicio ejecutivo, Se notifico el 10 de setiembre de 2018, recuso al Juzgado el 28 de febrero de 2019, paso a la Secretaria 38 en el mes de mayo, Procederemos con el juicio. Se notifico el hagase saber por recusacion.-</t>
  </si>
  <si>
    <t>OSCAR  ARNALDO TOLEDO PARRA</t>
  </si>
  <si>
    <t>CHEVROLET BLAZER USADO 2005</t>
  </si>
  <si>
    <t>JUZGADO  PRIMERA INSTANCIA 15  TURNO SECRETARIA 29</t>
  </si>
  <si>
    <t>SUELDO.</t>
  </si>
  <si>
    <t>Tramites  concluidos.-</t>
  </si>
  <si>
    <t>PABLO DAMIAN  SOSA ACOSTA</t>
  </si>
  <si>
    <t>CAMIONETA LAN MARK</t>
  </si>
  <si>
    <t>Acuerdo de Pago</t>
  </si>
  <si>
    <t>Se inicio accion preparatoria de juicio ejecutivo, se firmo la primera providencia con fijacion de audiencia de reconocimiento de firma para el 9 de abril de 2019.- Se le acredito las boletas de deposito se le paso el saldo abono 500.000 y el saldo de Gs, 23.000.000 abonara en 23 pagos.-</t>
  </si>
  <si>
    <t>PAMELA FIORELLA ROTA OCAMPO</t>
  </si>
  <si>
    <t>AMAROK 4X4 AÑO 2014</t>
  </si>
  <si>
    <t>12 TURNO SEC 23</t>
  </si>
  <si>
    <t>Se inicio accion preparatoria. Se aguarda firma de la primera providencia, luego de ubicar las documentaciones restantes fueron agregadas al expediente y denuciado el nuevo domicilio.- Se encuentra incumplido en el pago de su  acuerdo.-</t>
  </si>
  <si>
    <t>PEDRO DAMIAN  GALEANO ESCOBAR</t>
  </si>
  <si>
    <t>GOL HATCH TREND 2015</t>
  </si>
  <si>
    <t>NO REGISTRA BIENES A SU NOMBRE, PERO QUE MAS ADELANTE HARIA UNA PROPUESTA DE ACUERDO. TRABAJA HACIA CRUCE PIONEROS</t>
  </si>
  <si>
    <t>Se inicio accion preparatoria de juicio ejecutivo, se firmo la primera providencia con fijacion de audiencia de reconocimiento de firma para el 9 de abril de 2019.- Se solicito apertura de cuenta y oficio de embargo de sueldo.-</t>
  </si>
  <si>
    <t>RAMON FIDELINO GARAY</t>
  </si>
  <si>
    <t>FRONTIER AÑO2016 CHASSSI 352628</t>
  </si>
  <si>
    <t>2DO TURNO SEC 4</t>
  </si>
  <si>
    <t>VEHICULO EN PLAYA LA FRONTIER  y otros bienes A VERIFICAR</t>
  </si>
  <si>
    <t>Se inicio accion preparatoria de juicio ejecutivo en fecha 12/02/2019. Se aguarda firma de la primera providencia.- Se oficio para reconocimiento se solicitara nuevo dia y hora de audiencia que se fijo para el dia 04/02/2020, se remitio el oficio a Loma Plata.-</t>
  </si>
  <si>
    <t>RICARDO MACIEL ZILIOTTO</t>
  </si>
  <si>
    <t>Se inicio accion preparatoria de juicio ejecutivo el 28/05/19.- Se notifico la primera providencia.-Se solicito hacer efectivo el 27/11/2019 .-</t>
  </si>
  <si>
    <t>RONNY FLAMING RATZLAFF</t>
  </si>
  <si>
    <t>FRONTIER D/C 4X4</t>
  </si>
  <si>
    <t>El convocatario formuló allanamiento al incidente de verificación de crédito. En fecha 29/11/2018 solicitamos se remita el expediente a la Sindicatura General de Quiebras, pedido que se encuentra pendiente de providencia por parte del JuzgadoEl convocatario formuló allanamiento al incidente de verificación de crédito. En consecuencia, solicitamos se remita el expediente a la Sindicatura General de Quiebras, pedido que se encuentra pendiente de providencia por parte del Juzgado.</t>
  </si>
  <si>
    <t>RUBEN ANGEL GONZALEZ</t>
  </si>
  <si>
    <t>PRESTAMO</t>
  </si>
  <si>
    <t>JUZGADO DE PAZ VILLA MORRA SECRETARIA 2</t>
  </si>
  <si>
    <t>INMUEBLE N° 3326 DE LAMBARE</t>
  </si>
  <si>
    <t>Nuestro escrito agregando el mandamiento diligenciado y solicitando se cite a oponer excepciones se encuentra pendiente de proveerse por parte del Juzgado. El 21/12/18 presentamos urgimiento. El 16/05/2019, se notificó al demandado la providencia de citación a oponer excepciones. El 17/07/2019, se dictó S.D. N° 16243, la misma se notificó al demandado en fecha 06/08/2019. Por instrucción del cliente, en fecha 01/10/2019, procedimos a solicitar condiciones de dominio del inmueble individualizado como: N° 3326 del distrito de Lambaré. Actualmente no se ubica el expediente en el Juzgado, solicitaremos la búsqueda del mismo.</t>
  </si>
  <si>
    <t>RUBEN ARTURO ARANDA Y LUCAS TALAMONI</t>
  </si>
  <si>
    <t>AMAROK 2.0 4X4 BLANCO AÑO 2018</t>
  </si>
  <si>
    <t>Juzgado de PI Turno 11 Secretaria 21</t>
  </si>
  <si>
    <t>VEHICULO ENTREGADO AMAROK 2018 - APLICADO A SU DEUDA Y VENDIDO</t>
  </si>
  <si>
    <t>Se inicio accion preparatoria de juicio ejecutivo.- Se denuncio nuevo domicilio y se solicitara nueva fecha de audiencia, previa comunicación de la entrega del vehiculo a cuenta por Dolares 16.000. El saldo para proseguir la demanda es de Dolares 12.568.-</t>
  </si>
  <si>
    <t>RUFINO KLASSEN WIEBE</t>
  </si>
  <si>
    <t xml:space="preserve">AMAROK BASICO D/C 4X4 MT 2.0 CHASIS  046198 AZUL </t>
  </si>
  <si>
    <t>Se presento accion prepapratoria. Se solicito hacer efectivo el apercibiemitno, seguimos aguardando la firma del mandamiento de intimacion de pago y embargo ejecutivo. Se solicitara sentencia</t>
  </si>
  <si>
    <t>SANDRO CENTURIÓN MOREL</t>
  </si>
  <si>
    <t>FRONTIER D/C 4X4 NP300S MEC. STANDAR</t>
  </si>
  <si>
    <t xml:space="preserve"> Vehiculo en playa. Posible Acuerdo de Pago.-</t>
  </si>
  <si>
    <t>Se inicio accion preparatoria de juicio ejecutivo, se libro oficio comisivo para notificar la primera providencia, se notifico y el abogado se comunico a fin de realizar un acuerdo de pago, aguardamos la respuesta.- Se embargo el vehiculo, se notifico el Art 451 del CPC. Se solicitara citacion y se procedera a notificar con oficio comisivo.-</t>
  </si>
  <si>
    <t>SANDRO CENTURIÓN MOREL MARCIANO LOZADA BENITEZ</t>
  </si>
  <si>
    <t>3966744/4424973</t>
  </si>
  <si>
    <t>Se iniciara accion judicial.-</t>
  </si>
  <si>
    <t>STEFAN DUCK TOWS</t>
  </si>
  <si>
    <t>ACCENT GLS AUT. NAFT.</t>
  </si>
  <si>
    <t>El 16/07/18 el Juzgado dictó la providencia que tiene por iniciada la acción preparatoria de juicio ejecutivo y cita al demandado a que comparezca a reconocer las firmas que se le atribuyen. Oportunamente retiramos el oficio comisivo para notificar dicha providencia e hicimos entrega del mismo a Penner Automotores. Como el ujier notificador del Juzgado de Paz no pudo notificar al demandado, solicitamos nueva fecha de audiencia. El 14/03/2019, el juzgado dictó el A.I N° 200 mediante el cual se tiene por iniciado el juicio ejecutivo, se traba embargo ejecutivo sobre los bienes del deudor y se lo intima de pago.</t>
  </si>
  <si>
    <t>TADEO JAVIER ARCE  ACEVEDO</t>
  </si>
  <si>
    <t>GOL HATCH TREND 2010 COLOR ROJO</t>
  </si>
  <si>
    <t>Se inicio accion preparatoria de juicio ejecutivo el 29/05/19.- Se notifico la primera providencia.- Se solicito hacer efectivo el 28/11/2019.-</t>
  </si>
  <si>
    <t>VENANCIO ERICO GOMEZ</t>
  </si>
  <si>
    <t>ACCION PREPARATORIA CON EMBARGO PREVENTIVO</t>
  </si>
  <si>
    <t>DOS NISSAN FRONTIER AÑO 2016 OKM Y EL OTRO 2015 USADA</t>
  </si>
  <si>
    <t>Posee dos inmuebles Fica 1090 Tte 1a Manuel Irala Fernandez Padron 1593 y la Finca 344 Villa Hayes Cta Cte Ctal 30-771-2</t>
  </si>
  <si>
    <t>Se inicio accion preparatoria con embargo preventivo, se retiro Mandamiento el 9/05/19 pero aun no se ha podido diligenciar en Campo Aceval por la inundacion, Se fijara fecha de audiencia de reconociemitno de firma.- Se firmo el mandamiento de intimacion en poder del oficial de justicia.- Se abono la proveidencia de citacion a fin de ser notificada.-</t>
  </si>
  <si>
    <t>Se inicio accion preparatoria de juicio ejecutivo, se firmo la primera providencia y se fijo audiencia el 20/02/2020 alas 09:00hs, se abono al ujier la notificacion.-</t>
  </si>
  <si>
    <t>VIDAL ACOSTA</t>
  </si>
  <si>
    <t>KIA CARENS 2.0 STD</t>
  </si>
  <si>
    <t>JPAZ LA ENCARNACION SEC 1</t>
  </si>
  <si>
    <t>Se inicio accion preparatoria de juicio ejecutivo. Se firmo la primera providencia de fecha 1 de abril de 2019.- Se notifico y se solicito hacer efectivo.-</t>
  </si>
  <si>
    <t>VIDAL EUSEBIO ALCARAZ Y OTRA</t>
  </si>
  <si>
    <t>ACCION EJECUTIVA CON MEDIDA CAUTELAR DE SECUESTRO</t>
  </si>
  <si>
    <t>AMAROK 4X4 MEC 2013</t>
  </si>
  <si>
    <t>Se inicio accion preparatoria de juicio ejecutivo el 28/05/19.-Se firmo primera providencia y se notificara.-</t>
  </si>
  <si>
    <t>WERNER GIESBRECHT</t>
  </si>
  <si>
    <t>D/C 4X4 MEX. 2.5 U 2009</t>
  </si>
  <si>
    <t>SE EMBARGARON COSAS MUEBLES Y SE SECUESTRO Y SE TIENE EN PENNER EL VEHICULO SIN MOTOR A NOMBRE DE MAQUINARIAS JK SEGÚN INFORME DE LA ESCRIBANIA ZUBIZARRETA.</t>
  </si>
  <si>
    <t>ZUNILDA BAEZ</t>
  </si>
  <si>
    <t>CHEVROLET CAMIONETA D20 1996</t>
  </si>
  <si>
    <t>No trabaja se verificara otros bienes</t>
  </si>
  <si>
    <t>Se inicio accion preparatoria de juicio ejecutivo, se firmo la primera providencia, se solicitara oficio comisivo. Se solicitara hacer efectivo.-</t>
  </si>
  <si>
    <t>DIEGO JAVIER ALCARAZ GENEZ</t>
  </si>
  <si>
    <t>GOL SEDAN HIGHLINE USADO 2010</t>
  </si>
  <si>
    <t>Se inicio accion preparatoria de juicio ejecutivo en el Juzgado de Filadelfia.- Se solicito oficio comisivo para notificar la primera providencia en PJC.-</t>
  </si>
  <si>
    <t>ANDERSON GABRIEL ALCARAZ GENEZ</t>
  </si>
  <si>
    <t>ACTYON CAMIONETA D/C USADO 2014</t>
  </si>
  <si>
    <t>RAUL VICENTE LOPEZ FRASQUERI</t>
  </si>
  <si>
    <t>FRONTIER D/C 4X4 QD 3,2 USADO 2011</t>
  </si>
  <si>
    <t>Se iniciara accion preparatoria de juicio ejecutivo en el Juzgado de Filadelfia.- Se notificara la primera providencia.-</t>
  </si>
  <si>
    <t>RICHARD GILBERTO ARZAMENDIA SILGUERO</t>
  </si>
  <si>
    <t>FRONTIER D/C 4X4 MEC</t>
  </si>
  <si>
    <t>Se inicio accion preparatoria de juicio ejecutivo. Se denuncio nuevo domicilio en la ciudad de Montania.-</t>
  </si>
  <si>
    <t>SEBASTIAN MONTIEL CABAÑAS</t>
  </si>
  <si>
    <t>ACCENT GLS AUT. NAFT. USADO 2013</t>
  </si>
  <si>
    <t>Se iniciO accion preparatoria de juicio ejecutivo en el Juzgado de Filadelfia.- Se notifico la primera providencia y se solicitara hacer efectivo.-</t>
  </si>
  <si>
    <t>ARNALDO ANDRES CALONGA BENITEZ</t>
  </si>
  <si>
    <t>GOL HATCH TREND S/LLANTA USADO 2016</t>
  </si>
  <si>
    <t>PARA INICIAR</t>
  </si>
  <si>
    <t xml:space="preserve">Se iniciara accion preparatoria de juicio ejecutivo en el Juzgado de Filadelfia.- </t>
  </si>
  <si>
    <t xml:space="preserve">EVER REINALDO GAMARRA BARRETO </t>
  </si>
  <si>
    <t>HILUX D/C 4X4 MEC USADO 2014.- MARCH MEC USADO 2012</t>
  </si>
  <si>
    <t>LOIS FABIAN  BENITEZ BARRIENTOS</t>
  </si>
  <si>
    <t>PARATI CROSSOVER 1.6 USADO 2009</t>
  </si>
  <si>
    <t>Se iniciara accion preparatoria de juicio ejecutivo en el Juzgado de Filadelfia.-</t>
  </si>
  <si>
    <t>LIZ FABIOLA GOMEZ MALDONADO</t>
  </si>
  <si>
    <t>SAVEIRO CROSS D/CABINA NUEVO 2017</t>
  </si>
  <si>
    <t>SECUESTRO</t>
  </si>
  <si>
    <t>Se inicio accion preparatoria de juicio ejecutivo en el Juzgado de Filadelfia.- Se presento a la audiecia de reconocimiento de firma, se solicito medida cautelar de secuestro el 17/12/2019. Se solicitara hacer efectivo.-</t>
  </si>
  <si>
    <t>LIZ MARIELA FLORES ESPINOLA y MARCOS DANIEL CUEVAS</t>
  </si>
  <si>
    <t>HB20X FLEX NUEVO 2017</t>
  </si>
  <si>
    <t>Se iniciO accion preparatoria de juicio ejecutivo en el Juzgado de Filadelfia.- Se notifico la primera providencia pero no se ubico la direccion, se debe buscar nuevos datos.-</t>
  </si>
  <si>
    <t>ARNALDO DELEON ESQUIVEL</t>
  </si>
  <si>
    <t>SAVEIRO CAB. EXTEND NUEVO 2012</t>
  </si>
  <si>
    <t>Se inicio accion preparatoria de juicio ejecutivo en el Juzgado de Filadelfia el 28/11/2019. Se denuncio nuevo domicilio el 19/12/2019, se notificara la primera providencia.-</t>
  </si>
  <si>
    <t>ARIEL ALEJANDRO PEREIRA GONZALEZ  y OTRA</t>
  </si>
  <si>
    <t>AMAROK HIGHLINE B/T 4X4 MEC S/CUERO USADO 2007</t>
  </si>
  <si>
    <t>Se solicito desisitimiento de la instancia.-</t>
  </si>
  <si>
    <t xml:space="preserve">ARIEL ALEJANDRO PEREIRA GONZALEZ </t>
  </si>
  <si>
    <t>El cliente cancelo la deuda.-</t>
  </si>
  <si>
    <t>VICENTE ANDRES LESME Y OTRO - FACT 319</t>
  </si>
  <si>
    <t>AMAROK V6  COLOR BEIS</t>
  </si>
  <si>
    <t>Se inicio accion preparatoria de juicio ejecutivo y se firmara acuerdo de pago judicial.-</t>
  </si>
  <si>
    <t>VICENTE ANDRES LESME Y OTRO</t>
  </si>
  <si>
    <t xml:space="preserve">AMAROK 4X4 MEC COLOR PLATA  Y NISSAN PATROL COLOR NEGRO </t>
  </si>
  <si>
    <t>PROVISIONADO IRACIS</t>
  </si>
  <si>
    <t>PROVISIONADO RESERVA</t>
  </si>
  <si>
    <t>BALANCE O ESTADO DE SITUACION PATRIMONIAL AL 31/12/ 2019 COMPARATIVO CON EL PERIODO ANTERIOR</t>
  </si>
  <si>
    <t>Por el año finalizado el 31/12/2019 comparativo con el periodo anterior</t>
  </si>
  <si>
    <t>Por el año finalizado el 31/12/2019 comparativo con el ejercicio anterior</t>
  </si>
  <si>
    <r>
      <t>(En miles de guaraníes</t>
    </r>
    <r>
      <rPr>
        <b/>
        <sz val="10"/>
        <rFont val="Times New Roman"/>
        <family val="1"/>
      </rPr>
      <t>)</t>
    </r>
  </si>
  <si>
    <t>Por el ejercicio finalizado el 31/12/2019 comparativo con el ejerccio anterior</t>
  </si>
  <si>
    <t>31.12.19</t>
  </si>
  <si>
    <t>31.12.18</t>
  </si>
  <si>
    <t>31.12.2019</t>
  </si>
  <si>
    <t>31.12.2018</t>
  </si>
  <si>
    <t xml:space="preserve">            Banco Rio C.A U$S</t>
  </si>
  <si>
    <t>Cuadro de propiedades, planta, equipos y Depreciaciones por el año terminado el 31 de diciembre de 2019</t>
  </si>
  <si>
    <t>REVALUO DE BIENES SETIEMBRE</t>
  </si>
  <si>
    <t>DEPRESIACION DEL MES DE OCTUBR</t>
  </si>
  <si>
    <t>REVALUO DE BIENES NOVIEMBRE</t>
  </si>
  <si>
    <t>DEPRECIACION MES NOVIEMBRE</t>
  </si>
  <si>
    <t>REVERSION DE REVALUO PROVISIOR</t>
  </si>
  <si>
    <t>RECLASIFICACION B DE USO</t>
  </si>
  <si>
    <t>REVERCIO DE DEPRECIACION PROV</t>
  </si>
  <si>
    <t>REVALUO MES DE DICIEMBRE</t>
  </si>
  <si>
    <t>DEPRECIACION MES DE DICIEMBRE</t>
  </si>
  <si>
    <t>COSTO DE VTA LOTE16MZ3 COM</t>
  </si>
  <si>
    <t>COSTO DE VTA EX GIESBRECH</t>
  </si>
  <si>
    <t>AMORT INTANGIBLE</t>
  </si>
  <si>
    <t>AMORTIZACION INTANGIBLE</t>
  </si>
  <si>
    <t>AMORTIZ INTANGIBLES</t>
  </si>
  <si>
    <t>REV TRANSF LP INTERES CARTERAS</t>
  </si>
  <si>
    <t>TRANSF LP INTERES CARTERA VEND</t>
  </si>
  <si>
    <t>DEV HONPRARIOS</t>
  </si>
  <si>
    <t>DEV HONORARIOS</t>
  </si>
  <si>
    <t>DEV HONORARIO FIDEICOMISO DIC</t>
  </si>
  <si>
    <t>REVALUO FIDEICOMISO</t>
  </si>
  <si>
    <t>DEPRECIACIONJ FIDEICOMISO</t>
  </si>
  <si>
    <t>Valores netos al 31 de diciembre de 2019</t>
  </si>
  <si>
    <t>Séptimo inmueble: Finca N° 15689, Cta. Ctral. 15-1222-04.</t>
  </si>
  <si>
    <t>BALANCE GENERAL AL 31/12/2019</t>
  </si>
  <si>
    <t>diciembre diciembre</t>
  </si>
  <si>
    <t>AL 31 DE DICIEMBRE DE 2019</t>
  </si>
  <si>
    <t>BALANCE AL  31 DE DICIEMBRE DE 2019</t>
  </si>
  <si>
    <t>INMUEBLE EN COMPLEJO BOREAL mz1</t>
  </si>
  <si>
    <t>INMUEBLE EN COMPLEJO BOREAL sec B C</t>
  </si>
  <si>
    <t>Al 31 de diciembre de 2019 la entidad posee derechos de usufructos vitalicio de un inmueble</t>
  </si>
  <si>
    <t>ubicado en la Ciudad de Filadelfia y uno en la ciudad de Loma Plata, (la cual fue revaluada según</t>
  </si>
  <si>
    <t>BALANCE GENERAL AL 31/12/19</t>
  </si>
  <si>
    <t>CUENTA CONTABLE</t>
  </si>
  <si>
    <t>CONSUMICION- SR ORLANDO -REUNION -SANTIA</t>
  </si>
  <si>
    <t>CONSUMICION -SR ORLANDO</t>
  </si>
  <si>
    <t>HOSPEDAJE- SANTIAGO. ORDEN SR ORLANDO</t>
  </si>
  <si>
    <t>DIESEL EURO.-VIATICOS</t>
  </si>
  <si>
    <t>DIESEL- VIATICOS SR ALBERT LOEWEN -</t>
  </si>
  <si>
    <t>DIESEL ALBERT ADM.</t>
  </si>
  <si>
    <t>ALBERT VIATICOS</t>
  </si>
  <si>
    <t>ALBERT</t>
  </si>
  <si>
    <t>HOSPEDAJE VIAJE AL CHACO CONSANI</t>
  </si>
  <si>
    <t>DIESEL ALBERT LOEWEN</t>
  </si>
  <si>
    <t>DIESEL PLUS ALBERT LOEWEN</t>
  </si>
  <si>
    <t>CENA GIRASOL ALBERT Y ORLANDO</t>
  </si>
  <si>
    <t>EXPO RODEO TREBOL</t>
  </si>
  <si>
    <t>PRESENTACION DEL NUEVO T-CROSS</t>
  </si>
  <si>
    <t>PRESENTACION DE T-CROSS</t>
  </si>
  <si>
    <t>CENA DE FIN DE AÑO SUCURSALES CHACO</t>
  </si>
  <si>
    <t>VIATICOS- DRA LAURA Y LILU-COBRANZAS</t>
  </si>
  <si>
    <t>HOSPEDAJE LILIAN Y LORENA</t>
  </si>
  <si>
    <t>VIATICO LORENA</t>
  </si>
  <si>
    <t>ALMUERZO LORENA</t>
  </si>
  <si>
    <t>CONSUMISION LORENA Y LILIAN</t>
  </si>
  <si>
    <t>CONSUMSION LILIAN Y LORENA</t>
  </si>
  <si>
    <t>ALMUERZO LORENA ORTELLADO</t>
  </si>
  <si>
    <t>COMPRAS LORENA Y LILIAN</t>
  </si>
  <si>
    <t>COMPRAS CASA LORENA Y LILAN</t>
  </si>
  <si>
    <t>CENA ALBERT ORLANDO Y PLANAS</t>
  </si>
  <si>
    <t>HOSPEDAJE LORENA</t>
  </si>
  <si>
    <t>ESTADIA LILIAN GILL</t>
  </si>
  <si>
    <t>CONSUMISION ABOGADAS</t>
  </si>
  <si>
    <t>ALMUERZO ABOGADAS</t>
  </si>
  <si>
    <t>ESTADIA LILIAN GILL Y JOSE AYALA</t>
  </si>
  <si>
    <t>ESTADIA ABOGADA LAURA - HOTEL FLORIDA</t>
  </si>
  <si>
    <t>MERIENDA ABOGADAS</t>
  </si>
  <si>
    <t>EXPO PIONEROS ALBERT</t>
  </si>
  <si>
    <t>HOSPEDAJE - FERIA CAMPO 9 - MAGALI ALFON</t>
  </si>
  <si>
    <t>HOSPEDAJE A.LOWEN VIAJE A CAMPO 9</t>
  </si>
  <si>
    <t>CONSUMICION ENTREGA V6 NIPON EMPREND</t>
  </si>
  <si>
    <t>HOSPEDAJE RENDICION VIAJE A.LOWEN -CAMPO</t>
  </si>
  <si>
    <t>CONSUMICION RENDICION VIAJE A.LOWEN -CAM</t>
  </si>
  <si>
    <t>HOSPEDAJE VIAJE CHACO RENDIC J.ORUE</t>
  </si>
  <si>
    <t>CONSUMICION  VIAJE CHACO RENDIC J.ORUE</t>
  </si>
  <si>
    <t>CONSUMICION VIAJE CHACO RENDIC J.ORUE</t>
  </si>
  <si>
    <t>COMBUSTIBLE VIAJE A FRIESLAND A.LOWEN</t>
  </si>
  <si>
    <t>CONSUMICION VIAJE CHACO A.LOWEN</t>
  </si>
  <si>
    <t>COMBUSTIBLE VIAJE A CHACO A.LOWEN</t>
  </si>
  <si>
    <t>CONSUMICION VIAJE A.LOWEN</t>
  </si>
  <si>
    <t>CONSUMICION VIAJE LOMA PLATA A.LOWEN/L.O</t>
  </si>
  <si>
    <t>CONSUMICION VIAJE CHACO SR.ALBERT LOWEN</t>
  </si>
  <si>
    <t>CONSUMICION VIAJE AL CHACO L.GILL</t>
  </si>
  <si>
    <t>EMPANADA DE ACEITUNA VIAJE CHACO</t>
  </si>
  <si>
    <t>CONSUMICION VIAJE EXPO NEULANDD LORENA</t>
  </si>
  <si>
    <t>CONSUMICION EXPO NEULAND LORENA</t>
  </si>
  <si>
    <t>CONSUMICION VIAJE EXPO NEULAND</t>
  </si>
  <si>
    <t>ALMUERZO - RENDIC. VIAJE LORENA - CHACO.</t>
  </si>
  <si>
    <t>REND. VIAJE DEL SR. A. LOWEN AL CHACO</t>
  </si>
  <si>
    <t xml:space="preserve">ALMUERZO - RENDIC. LILIAN GILL VIÁTICOS </t>
  </si>
  <si>
    <t>MERIENDA - RENDIC. VIAJE LORENA - CHACO.</t>
  </si>
  <si>
    <t>CONSUMICIÓN - RENDIC. LILIAN GILL VIÁTIC</t>
  </si>
  <si>
    <t xml:space="preserve">ALMUERZO - REND. VIAJE DEL SR. A. LOWEN </t>
  </si>
  <si>
    <t>CONSUMICION VIAJE AL CHACO A.LOWEN</t>
  </si>
  <si>
    <t>COMBUSTIBLE A. LOWEN - VIAJE A FRIESLAND</t>
  </si>
  <si>
    <t>COMBUSTIBLE A. LOWEN - VIAJE A FIESLAND</t>
  </si>
  <si>
    <t>COMBUSTIBLE RENDIC. SR. A.LOWEN/CHACO-EX</t>
  </si>
  <si>
    <t>ALMUERZO RENDIC. SR. A.LOWEN/CHACO-EXPO-</t>
  </si>
  <si>
    <t>COMBUSTIBLE ENTREGA DE VEHICULO DIOCESIS</t>
  </si>
  <si>
    <t>COMBUSTIBLE/ RENDIC. A.LOWEN VIAJE AL CH</t>
  </si>
  <si>
    <t>HOSPEDAJE/ RENDIC. A.LOWEN VIAJE AL CHAC</t>
  </si>
  <si>
    <t>COMB./RENDIC. A.LOWEN VIAJE AL CHACO</t>
  </si>
  <si>
    <t>CONSUMICIÓN SR. A.LOWEN VIAJE A CAMPO 9</t>
  </si>
  <si>
    <t>COMBUSTIBLE/A.LOWEN VIAJE A CAMPO 9</t>
  </si>
  <si>
    <t>HOSPEDAJE VIAJE A CAMPO 9 - SR. A.LOWEN</t>
  </si>
  <si>
    <t>COMBUSTIBLE VIAJE A CAMPO 9 - SR. A.LOWE</t>
  </si>
  <si>
    <t>COMBUSTIBLE/ VIAJE A.LOWEN AL CHACO</t>
  </si>
  <si>
    <t>COMB. VEHÍCULO 0KM RETIRO DE DIESA/ VIAJ</t>
  </si>
  <si>
    <t>ALMUERZO/ VIAJE A.LOWEN AL CHACO</t>
  </si>
  <si>
    <t>HOSPEDAJE/VIAJE SR. ALBERT A COL.FRIESLA</t>
  </si>
  <si>
    <t>COMBUSTIBLE/VIAJE SR. ALBERT A COL.FRIES</t>
  </si>
  <si>
    <t>CONSUMICION VIAJE A FRIESLAND</t>
  </si>
  <si>
    <t>COMBUSTIBLE A.LOWEN - VIAJE AL CHACO</t>
  </si>
  <si>
    <t>COMBUSTIBLE A.LOWEN VIAJE AL CHACO</t>
  </si>
  <si>
    <t>COMB. VIAJE AL CHACO A.LOWEN</t>
  </si>
  <si>
    <t>Viaticos y Gtos. de Ventas Fila</t>
  </si>
  <si>
    <t>CENA - REUNION ORLANDO Y TALLERES</t>
  </si>
  <si>
    <t>FIL Viat.y Gtos Vtas</t>
  </si>
  <si>
    <t>CONSUMICIÓN / REUNIÓN</t>
  </si>
  <si>
    <t>MERCADERIAS - ORDEN SR ALBERT.- REUNION</t>
  </si>
  <si>
    <t>REUNION GRUPO COBRANZA (ASADO)</t>
  </si>
  <si>
    <t>GIRASOL DE BERTHOLD SCHMIDT KROKER</t>
  </si>
  <si>
    <t>SUPERMERCADO BOQUERON S.A.</t>
  </si>
  <si>
    <t>COOP. COLONIZADORA MULT. FERNHEIM LTDA.</t>
  </si>
  <si>
    <t>CONSUMCION RODEO NEULAND DESAYUNO ALBERT</t>
  </si>
  <si>
    <t>CENA EXPO NEULAND</t>
  </si>
  <si>
    <t>VIATICOS- EXPO NEULAND</t>
  </si>
  <si>
    <t>VIATICO ALBERT RODEO NEULAND</t>
  </si>
  <si>
    <t>HOSPEDAJE LORENA ORTELLADO</t>
  </si>
  <si>
    <t>EXPO NEULAND</t>
  </si>
  <si>
    <t>CENA 1 DE MAYO</t>
  </si>
  <si>
    <t>CENA DIA DEL TRABAJADOR</t>
  </si>
  <si>
    <t>EXPO PIONEROS</t>
  </si>
  <si>
    <t>VIATICOS- EXPO PIONEROS</t>
  </si>
  <si>
    <t>CENA ORLANDO/ALBERT/PLANAS</t>
  </si>
  <si>
    <t>CONSUMISION ALBERT RODEO</t>
  </si>
  <si>
    <t>CONSUMISION EXPO RODEO TREBOL</t>
  </si>
  <si>
    <t>EXPO TREBOL</t>
  </si>
  <si>
    <t>HIELO ALASKA</t>
  </si>
  <si>
    <t>CONSUMISION FERIA T-CROSS</t>
  </si>
  <si>
    <t>INSUMOS PLAYA FILA</t>
  </si>
  <si>
    <t>VIATICOS LORENA</t>
  </si>
  <si>
    <t>HOTEL LILAN GILL Y LORENA ORTELLADO</t>
  </si>
  <si>
    <t>SERVICIO ELECTRICO RODEO NEULAND</t>
  </si>
  <si>
    <t>ALMUERZO EXPO PIONEROS</t>
  </si>
  <si>
    <t>CONSUMISION EXPO PIONEROS</t>
  </si>
  <si>
    <t>CONSUMISION SEMANA EXPO TREBOL</t>
  </si>
  <si>
    <t>CENA ALBERT EXPO TREBOL</t>
  </si>
  <si>
    <t>HOSPEDAJE LILIAN GILL</t>
  </si>
  <si>
    <t>SOBRES, PAPEL A4, YERBA PA USO DE LA PLA</t>
  </si>
  <si>
    <t>VIATICOS- EXPO</t>
  </si>
  <si>
    <t>VIATICOS-REUNION TALLER Y PLAYA FILADELF</t>
  </si>
  <si>
    <t>CONSUMICION -ORDEN SR ALBERT- REUNION</t>
  </si>
  <si>
    <t>CONSUMISION EXPO TREBOL</t>
  </si>
  <si>
    <t>Viaticos y Gtos. de Ventas L.P.</t>
  </si>
  <si>
    <t>L.P Viat.y Gtos Vtas</t>
  </si>
  <si>
    <t>VIATICOS- ASADO- EXPO PIONEROS</t>
  </si>
  <si>
    <t>CONSUMISION FERIA PENNER AUTOMOTORES</t>
  </si>
  <si>
    <t>CARNES</t>
  </si>
  <si>
    <t>ECOPOWER DIESEL AMAROK</t>
  </si>
  <si>
    <t>CARNES/PANIFICADOS/HIELO</t>
  </si>
  <si>
    <t>CARNE/PANIFICADOS VIAJE DE AUXILIO A ALE</t>
  </si>
  <si>
    <t>CONSUMICION</t>
  </si>
  <si>
    <t>MERCADERIAS SUPERMERCADO (CARNE P/ TALLE</t>
  </si>
  <si>
    <t>CARNE VACIO CONDIM./EXPO CHORTI PARATODO</t>
  </si>
  <si>
    <t>VIATICO SANDRO EXPO CHORTI LOLITA</t>
  </si>
  <si>
    <t>VIATICOS EXPO PIONEROS</t>
  </si>
  <si>
    <t>BEBIDAS/CARBON</t>
  </si>
  <si>
    <t>COSUMICION</t>
  </si>
  <si>
    <t>CONSUMISION - BEBIDAS PARA ASADO</t>
  </si>
  <si>
    <t>CONSUMISION DE UJIER Y SANDRO/VIATICO PA</t>
  </si>
  <si>
    <t>COMSUMICION/VIATICO EXPO TREBOL</t>
  </si>
  <si>
    <t>COMSUMISION EQUIPO EXPO TREBOL</t>
  </si>
  <si>
    <t>VIATICOS/EXPO TREBOL</t>
  </si>
  <si>
    <t>CONSUMICION/ EXPO TREBOL</t>
  </si>
  <si>
    <t>CONSUMISION SANDRO/EXPO TREBOL</t>
  </si>
  <si>
    <t>CONSUMICION - REFRIGERIO LANZAMIENTO T-C</t>
  </si>
  <si>
    <t>SERVICIO DE GRUA / AMAROK PLATA USO DE S</t>
  </si>
  <si>
    <t>CONSUMICION/VIATICO COBRANZAS</t>
  </si>
  <si>
    <t>DIESEL PODIUM</t>
  </si>
  <si>
    <t>DIESEL/AGUA</t>
  </si>
  <si>
    <t xml:space="preserve">GASOIL/BEBIDAS/HIELO VIAJE DE AUXILIO A </t>
  </si>
  <si>
    <t>CONSUMICION/HIELO EXPO PIONEROS</t>
  </si>
  <si>
    <t>GASOIL, AGUA</t>
  </si>
  <si>
    <t>AGUA, GASEOSA</t>
  </si>
  <si>
    <t>VIATICO</t>
  </si>
  <si>
    <t>PEAJE PASTOREO - FERIA CAMPO 9</t>
  </si>
  <si>
    <t>PEAJE TAPE PORA  RENDIC A.LOWEN</t>
  </si>
  <si>
    <t xml:space="preserve">SERVICIO DE TRANSPORTE MUDANZA LORENA A </t>
  </si>
  <si>
    <t>PASAJE REND. J. ROLÓN VIAJE A CARMEN DEL</t>
  </si>
  <si>
    <t>ESTACIONAMIENTO CENTRO S.ROTELA</t>
  </si>
  <si>
    <t>ESTACIONAMIENTO BANCO - GESTION S.ROTELA</t>
  </si>
  <si>
    <t>PEAJE RENDICION VIAJE A.LOWEN</t>
  </si>
  <si>
    <t>PEAJE TAPE PORA RENDIC RAMON CUBILLA CAM</t>
  </si>
  <si>
    <t>ENCOMIENDA FILADELFIA - TITULOS</t>
  </si>
  <si>
    <t>PASAJE VIAJE CHACO RENDIC J.ORUE</t>
  </si>
  <si>
    <t>PEAJE RENCIC VIAJE CAMPO 8 RAMON CUBILLA</t>
  </si>
  <si>
    <t>ESTACIONAMIENTO CENTRO GESTION S.ROTELA</t>
  </si>
  <si>
    <t>PEJAE ANTONIO SANTACRUZ - EST PASTOREO</t>
  </si>
  <si>
    <t>PEAJE TAPE PORA - PASTOREO</t>
  </si>
  <si>
    <t>PASAJE CAMPO 9 ARELY</t>
  </si>
  <si>
    <t>ESTACIONAMIENTO GESTION COPACO S.A. - CO</t>
  </si>
  <si>
    <t>PASAJE RAMON CUBILLA - CAMPO 8 / ASU</t>
  </si>
  <si>
    <t>ESTACIONAMIENTO CENTRO - SILVIO ROTELA</t>
  </si>
  <si>
    <t>PEAJE VIAJE A CAMPO - RAMON CUBILLA</t>
  </si>
  <si>
    <t>ESTACIONAMIENTO CENTRO P/GESTIONES BANCA</t>
  </si>
  <si>
    <t>COMBUSTIBLE TOYOTA RAV 4</t>
  </si>
  <si>
    <t>ENCOMIENDA A PJC - DRA.LAURA BENITEZ</t>
  </si>
  <si>
    <t>ESTACIONAMIENTO GESTIONES BANCARIAS S.RO</t>
  </si>
  <si>
    <t>ENCOMIENDA CAMPO 9</t>
  </si>
  <si>
    <t>PEAJE TAPE PORA VIAJE A.SANTACRUZ</t>
  </si>
  <si>
    <t>ENCOMIENDA A FILADELFIA</t>
  </si>
  <si>
    <t>ESTACIONAMIENTO G.BANCARIA S.ROTELA</t>
  </si>
  <si>
    <t>ESTACIONAMIENTO GESTION BANCO S ROTELA</t>
  </si>
  <si>
    <t>RENDIC PEAJE CAMPO 9 R.CUBILLA</t>
  </si>
  <si>
    <t>PEAJE RENDIC R.CUBILLA VIAJE A CAMPO 9</t>
  </si>
  <si>
    <t xml:space="preserve">ESTACIONAMIENTO CENTRO GESTION BANCARIA </t>
  </si>
  <si>
    <t>PASAJE A FILADELFIA LILIAN GILL</t>
  </si>
  <si>
    <t>PASAJE LORENA VIAJE CHACO</t>
  </si>
  <si>
    <t>PEAJE PASTOREO 08/05</t>
  </si>
  <si>
    <t>PEAJE 01/05</t>
  </si>
  <si>
    <t>PEAJE PASTOREO 03/05</t>
  </si>
  <si>
    <t>PEAJE PASTOREO 08/05/2019</t>
  </si>
  <si>
    <t>PASAJE A. SANTACRUZ (VIAJE AL CHACO)</t>
  </si>
  <si>
    <t>PASAJE A FILADELFIA</t>
  </si>
  <si>
    <t>PASAJE A. SANTACRUZ (CHACO)</t>
  </si>
  <si>
    <t>ESTACIONAMIENTO GESTION BANCARIA S.ROTEL</t>
  </si>
  <si>
    <t>ESTACIONAMIENTO GESTION BANC. S. ROTELA</t>
  </si>
  <si>
    <t>PEAJE VIAJE RAMÓN A CAMPO 9</t>
  </si>
  <si>
    <t>PEAJE VIAJE RAMÓM - CAMPO 9</t>
  </si>
  <si>
    <t xml:space="preserve">PASAJE - RENDIC. LILIAN GILL VIÁTICOS - </t>
  </si>
  <si>
    <t>ENCOMIENDA A. SANTACRUZ - SOBRE ESCRITUR</t>
  </si>
  <si>
    <t>ENCOMIENDA PARA CAMPO 9</t>
  </si>
  <si>
    <t>SERVICIO DE ESTACIONAMIENTO - NISSAN LOG</t>
  </si>
  <si>
    <t>PEAJE VIAJE AL CHACO A.LOWEN</t>
  </si>
  <si>
    <t>SERV. DE ESTAC. - ADM.</t>
  </si>
  <si>
    <t>ESTACIONAMIENTO - ADM.</t>
  </si>
  <si>
    <t>COMBUSTIBLE AMAROK CH.002502-AMAROK 0029</t>
  </si>
  <si>
    <t>ESTACIONAMIENTO P/ GESTIONES BANCARIAS -</t>
  </si>
  <si>
    <t>ESTAC. G. BANCARIA - S. ROTELA</t>
  </si>
  <si>
    <t>UN PEAJE -  RENDIC. SR. A. LOWEN VIAJE A</t>
  </si>
  <si>
    <t>PEAJE -  RENDIC. SR. A. LOWEN VIAJE A CA</t>
  </si>
  <si>
    <t>ESTACIONAMIENTO GESTIONES BANCARIAS-S.RO</t>
  </si>
  <si>
    <t>ESTACIONAMIENTO GESTION BANCARIA - S.ROT</t>
  </si>
  <si>
    <t>ENCOMIENDA ENVIO ESCRITURA A ROBERTO JAV</t>
  </si>
  <si>
    <t>ENCOMIENDA A CAMPO 9 - RECIBOS Y PAGARES</t>
  </si>
  <si>
    <t>ESTACIONAMIENTO GESTIONES BANCARIAS - S.</t>
  </si>
  <si>
    <t>VIAJE A TALLER SAN JUAN P/ LLEVAR VEHÍCU</t>
  </si>
  <si>
    <t>ESTACIONAMIENTO - GESTIÓN BANCARIA</t>
  </si>
  <si>
    <t>PEAJE - RENDIC. VIAJE A CAMPO 9</t>
  </si>
  <si>
    <t>PEAJE/RENDIC. VIAJE A CAMPO 9</t>
  </si>
  <si>
    <t>ESTACIONAMIENTO GESTION BANCARIA CENTRO</t>
  </si>
  <si>
    <t>PEAJES TAPE PORA VIAJE CAMPO 9 RAMON CUB</t>
  </si>
  <si>
    <t>PASAJE/RENDIC. JOSÉ AYALA VIAJE AL CHACO</t>
  </si>
  <si>
    <t>PEAJE  ANTONIO SANTACRUZ VUELTA CAMPO 9</t>
  </si>
  <si>
    <t>PEAJE/ RENDIC. ARELY VIAJE A CAMPO 9</t>
  </si>
  <si>
    <t>RENDIC PEAJE VIAJE A CAMPO 9 - A.SANTACR</t>
  </si>
  <si>
    <t>ENCOMIENDA A PDTE.FRANCO - ESCRITURACION</t>
  </si>
  <si>
    <t>SERV. DE ESTAC. GESTIONES BANCARIAS</t>
  </si>
  <si>
    <t>TRANL. DE VEH. VW GOLF A TALLER CL.:ENRI</t>
  </si>
  <si>
    <t>SERV. DE ESTAC./ GESTIÓN BANCARIA S.ROTE</t>
  </si>
  <si>
    <t>SERV. DE ESTAC. GEST. BANCARIA - S.ROTEL</t>
  </si>
  <si>
    <t>SERV. DE ESTAC. GEST. BANCARIAS - S.ROTE</t>
  </si>
  <si>
    <t>SERV. DE ESTAC. GESTIONES BANCARIAS - S.</t>
  </si>
  <si>
    <t>ESTAC. GEST. BANCARIAS - S.ROTELA</t>
  </si>
  <si>
    <t>GESTIONES BANCARIAS - S.ROTELA</t>
  </si>
  <si>
    <t>ENCOMIENDA A LOMA PLATA</t>
  </si>
  <si>
    <t>ESTACIONAMIENTO CENTRO GESTIONES BANCARI</t>
  </si>
  <si>
    <t>UN PASAJE/RENDIC. ANTONIO SANTACRUZ VIAJ</t>
  </si>
  <si>
    <t>PEAJE/ RENDIC. A.SANTACRUZ VIAJE A CAMPO</t>
  </si>
  <si>
    <t xml:space="preserve">PEAJE/RENDIC. A.SANTACRUZ VIAJE A CAMPO </t>
  </si>
  <si>
    <t>SERVICIO DE TAXI VIAJE A FERPAR -P/VW AM</t>
  </si>
  <si>
    <t>ESTACIONAMIENTO PAGO ESSAP</t>
  </si>
  <si>
    <t>SERVICIO DE UBER VIAJE SR.PLANAS - FERPA</t>
  </si>
  <si>
    <t>ESTAC. GEST. BANCARIAS/S.ROTELA</t>
  </si>
  <si>
    <t>PEAJE/ RENDIC. VIAJE A CAMPO 9 ANTONIO S</t>
  </si>
  <si>
    <t>PEAJE/VIAJE A CAMPO 9 ANTONIO S.</t>
  </si>
  <si>
    <t>ESTAC. GEST.BANCARIAS-S.ROTELA</t>
  </si>
  <si>
    <t>PASAJE/RENDIC.A.SANTACRUZ</t>
  </si>
  <si>
    <t>DIARIOS ULTIMA HORA  TARIFA MENSUAL</t>
  </si>
  <si>
    <t>DIARIO ULTIMA HORA</t>
  </si>
  <si>
    <t>Tall Fil Pas y Peaj</t>
  </si>
  <si>
    <t>FONDO TALLER ASU</t>
  </si>
  <si>
    <t>SERVICIO DE TAXI</t>
  </si>
  <si>
    <t>SERVICIO DE TRANSPORTE AL TALLER</t>
  </si>
  <si>
    <t>Mov y Transfportes</t>
  </si>
  <si>
    <t xml:space="preserve">SERVICIO DE FLETE/ AMAROK DE PARATODO A </t>
  </si>
  <si>
    <t>SERVICIO DE GRUA</t>
  </si>
  <si>
    <t>FLETE DE ASUNCION A FILADELFIA</t>
  </si>
  <si>
    <t>SERVICIOS DE GRUA</t>
  </si>
  <si>
    <t>VALES A RENDIR</t>
  </si>
  <si>
    <t>SERVICIO DE GRUA.</t>
  </si>
  <si>
    <t>FLETE C/ GRUA</t>
  </si>
  <si>
    <t>PAGO POR FLETE DE REPUESTO.</t>
  </si>
  <si>
    <t>SERVICIO DE GRUA KIA CERATO NEGRO</t>
  </si>
  <si>
    <t>TRASLADO DE AUTO DE TALLER A TALLER</t>
  </si>
  <si>
    <t>ENCOMIENDA</t>
  </si>
  <si>
    <t>FLETE</t>
  </si>
  <si>
    <t>TRASLADO DE VEHICULO MARCA KIA A GARDEN</t>
  </si>
  <si>
    <t>SERVICIOS DE GRUA AUDI Q7 Y NISSAN FRONT</t>
  </si>
  <si>
    <t>TRASLADO DE CAMIONETA A DIESA</t>
  </si>
  <si>
    <t>ENVIO DE REPUESTO A LOMA PLATA</t>
  </si>
  <si>
    <t>FLETE REPUESTO</t>
  </si>
  <si>
    <t>TRASLADO DE AMAROK DE CUEVAS EXPRESS A T</t>
  </si>
  <si>
    <t>TRASLADO DE VEHICULO DESDE ALTOS HASTA A</t>
  </si>
  <si>
    <t>RETIRO DE ENCOMIENDA</t>
  </si>
  <si>
    <t>TRASLADO DE VEHICULO AL TALLER</t>
  </si>
  <si>
    <t>TRASLADO DE AMAROK A DIESA</t>
  </si>
  <si>
    <t>ENVIO DE REPUESTO</t>
  </si>
  <si>
    <t>ENVIO DE REPUESTO A FILADELFIA</t>
  </si>
  <si>
    <t>TRASLADO DE SAVEIRO A TALLER</t>
  </si>
  <si>
    <t>TRASLADO DE HB20X A AUTOMOTOR</t>
  </si>
  <si>
    <t>TRASLADO DE VEHICULO A TALLER</t>
  </si>
  <si>
    <t>TRASLADO DE CAMIONETA A TALLER</t>
  </si>
  <si>
    <t>TRASLADO DE CAMIONETA AL TALLER</t>
  </si>
  <si>
    <t>GASTOS FLETE VW POLO</t>
  </si>
  <si>
    <t>TRASLADO DE VW SAVEIRO CHOCADA AL TALLER</t>
  </si>
  <si>
    <t>TRASLADO AMAROK EX GUILLERMO LARATRO A T</t>
  </si>
  <si>
    <t>SERVICIO DE FLETE REPUESTOS</t>
  </si>
  <si>
    <t>PUESTO PEAJE EMBOSCADA</t>
  </si>
  <si>
    <t>ESTACIONAMIENTO EN W.T.C. POR COBRANZA</t>
  </si>
  <si>
    <t>Donaciones y Contribuciones</t>
  </si>
  <si>
    <t>AS Donac.y Contrib.</t>
  </si>
  <si>
    <t>APOYO VOLUNTARIO - 100 REMERAS LOGO PENN</t>
  </si>
  <si>
    <t xml:space="preserve">APOYO REC. P/ CAMPAÑA APORTE VOLUNTARIO </t>
  </si>
  <si>
    <t>L.P Donac.y Contrib</t>
  </si>
  <si>
    <t>CONTRIBUCION EXTRA A CHORTITZER</t>
  </si>
  <si>
    <t>CONTR. POR CASILLA DE CORREO</t>
  </si>
  <si>
    <t>CONTRIBUCIONES POR COMERCIO/CHORTI - LP</t>
  </si>
  <si>
    <t>CONTRIBUCION OBLIGATORIA TRIMESTRAL A CH</t>
  </si>
  <si>
    <t>CONTRIBUCION EXTRA - COOP. CHORTI</t>
  </si>
  <si>
    <t>SEGUROS PAGADOS.- CATASTROFES NATURALES</t>
  </si>
  <si>
    <t>LIJA AL AGUA NORTON N° 150/ N°220 - CENA</t>
  </si>
  <si>
    <t>ANTIPARASITARIO PERROS</t>
  </si>
  <si>
    <t>COMIDA PARA PERRO</t>
  </si>
  <si>
    <t>COMPRA DE BALANCEADO PERROS PLAYA</t>
  </si>
  <si>
    <t>COMPRA DE BIDONES PARA COMBUSTIBLE GENER</t>
  </si>
  <si>
    <t>TARUGOS/MECHA PAR INSTALACION DE PIZARRA</t>
  </si>
  <si>
    <t>COMPRA DE GAS P/GAS DEL FONDO</t>
  </si>
  <si>
    <t xml:space="preserve">ATENCION VETERINARIA PERROS DE CASA DEL </t>
  </si>
  <si>
    <t>MEDICAMENTOS PARA ANIMALES</t>
  </si>
  <si>
    <t>ALIMENTO PARA PERRO</t>
  </si>
  <si>
    <t>COMPRA DE 4 TAPAS P/ INHODORO</t>
  </si>
  <si>
    <t>2 COPIAS DE LLAVES SALA DE SERVIDORES</t>
  </si>
  <si>
    <t>SERVICIO DE FOTOCOPIA</t>
  </si>
  <si>
    <t>COMPRA DE REJILLA INOX. CUADRADA</t>
  </si>
  <si>
    <t>ALIMENTO P/PERRO</t>
  </si>
  <si>
    <t>CASTRACIÓN</t>
  </si>
  <si>
    <t>BATERIA P/ TESTER JOSÉ AYALA</t>
  </si>
  <si>
    <t xml:space="preserve">CONFECCION DE LLAVE VW PARATI 2012 CH.: </t>
  </si>
  <si>
    <t>CASTRACIÓN - REND. VIAJE DEL SR. A. LOWE</t>
  </si>
  <si>
    <t>COMIDA P/ PERRO - REND. VIAJE DEL SR. A.</t>
  </si>
  <si>
    <t>PIOLA MULTICOLOR 5X250 MTS./CLAVO C/ CAB</t>
  </si>
  <si>
    <t>TORNILLOS - TIRAFONDO P/COLOC.ESTANTES A</t>
  </si>
  <si>
    <t>2 ARTÍCULOS ANTIRRABICOS Y 3 ANTIPARASIT</t>
  </si>
  <si>
    <t>40 LLAVERITOS P/ IDENTIFICAR VEHÍCULOS</t>
  </si>
  <si>
    <t>FLOTADOR P/TANQUE Y CINTA TEFLON</t>
  </si>
  <si>
    <t>ALIMENTO PARA PERROS</t>
  </si>
  <si>
    <t>COMPRA DE ALFOMBRA P/ ENTRADA</t>
  </si>
  <si>
    <t>COMPRA DE CHIPAS P/EMPLEADOS DE DIESA-A.</t>
  </si>
  <si>
    <t>SERV.APERTURA Y CONFECC LLAVES P/GENERAD</t>
  </si>
  <si>
    <t>UNION MANGUERA P/USO PLAYA</t>
  </si>
  <si>
    <t xml:space="preserve">ALIMENTO P/ PERRO/RENDIC. A.LOWEN VIAJE </t>
  </si>
  <si>
    <t>1 MECHA CONC. MOTA 10 X 400 MM</t>
  </si>
  <si>
    <t>COMPRA DE 1 TACHO P/ FESTEJO N.I.</t>
  </si>
  <si>
    <t>CAÑO P/ POZO ARTESIANO</t>
  </si>
  <si>
    <t>ALIMENTO P/ PERRO Y BOLSAS</t>
  </si>
  <si>
    <t>SERVICIO DE CERRAJERIA DEPOSITO DEL FOND</t>
  </si>
  <si>
    <t>MAT. P/ INST. DEL RACK OFI KAREN</t>
  </si>
  <si>
    <t>PINZA P/ USO PLAYA</t>
  </si>
  <si>
    <t>PILA CONTROL P/ USADOS</t>
  </si>
  <si>
    <t>ALIMENTO P/ PERRO</t>
  </si>
  <si>
    <t>CARGADOR/ USO FERIA NOV.19</t>
  </si>
  <si>
    <t>REINST. DE CÁM. DE SEG. EN ESQ. DE TALLE</t>
  </si>
  <si>
    <t>40 MTS. DE PIOLA MULTICOLOR P/ PASACALLE</t>
  </si>
  <si>
    <t xml:space="preserve">VASELINA LÍQ. P/ COLOCACIÓN DE CABLES - </t>
  </si>
  <si>
    <t>29 ROTULOS P/ TERMOS</t>
  </si>
  <si>
    <t>INSUMOS P/ USO LAVADERO</t>
  </si>
  <si>
    <t>CARGA DE EXTINTOR</t>
  </si>
  <si>
    <t>MANGUERA ALTA PRESION/ MANGUERA ESPIRALA</t>
  </si>
  <si>
    <t>ALFOMBRAS ENTRADA PRINC./SALIDA DEP./SAL</t>
  </si>
  <si>
    <t>Otros Insumos Varios Filadelfia</t>
  </si>
  <si>
    <t>Fila Otros Insumos</t>
  </si>
  <si>
    <t>GLIFOSATO - HERBICIDA</t>
  </si>
  <si>
    <t>CAMPRAS VARIAS</t>
  </si>
  <si>
    <t>GASTOS POSTALES</t>
  </si>
  <si>
    <t>INVERSOR 220-110</t>
  </si>
  <si>
    <t>PLAYA</t>
  </si>
  <si>
    <t>ARBOLITO NAVIDEÑO Y LUCES DE ARROZ</t>
  </si>
  <si>
    <t>LUCES NAVIDEÑAS</t>
  </si>
  <si>
    <t>5 BANDERAS PUBLICIDAD - FILA</t>
  </si>
  <si>
    <t>Otros Insumos Varios Loma Plata</t>
  </si>
  <si>
    <t>L.P. Otros Insumos</t>
  </si>
  <si>
    <t>ARTICULOS DE LIMPIEZA/YERBA</t>
  </si>
  <si>
    <t>YERBA/ARTICULOS DE LIMPIEZA</t>
  </si>
  <si>
    <t>REPELENTE/PAN DE AJO</t>
  </si>
  <si>
    <t>PLATOS/CUCHILLOS/TENEDORES</t>
  </si>
  <si>
    <t>ADORNOS NAVIDEÑOS PARA LA PUERTA DEL SHO</t>
  </si>
  <si>
    <t>CINTAS NAVIDEÑAS - LP</t>
  </si>
  <si>
    <t>CAMBIAR MOTOR PARILLA</t>
  </si>
  <si>
    <t>PAPEL/YERBA/ARTICULOS DE LIMPIEZA</t>
  </si>
  <si>
    <t>YERBA Y LECHE PARA USO DE CLIENTE Y PERS</t>
  </si>
  <si>
    <t>ARTICULOS DE LIMPIEZA Y YERBA</t>
  </si>
  <si>
    <t>MATAFUEGO DE 1KG.</t>
  </si>
  <si>
    <t>LUCES DE NAVIDAD / 6 UNID. DE 22 MTS C/U</t>
  </si>
  <si>
    <t>ARBOL NAVIDEÑO CON LUCES INCL. Y ADORNOS</t>
  </si>
  <si>
    <t>ADORNOS NAVIDEÑOS PARA EL ÁRBOL - LP</t>
  </si>
  <si>
    <t>CANASTA NAVIDEÑA CON PRODUCTOS VARIOS PA</t>
  </si>
  <si>
    <t>FONDO FIJO L.P</t>
  </si>
  <si>
    <t>AGUA/COMBUSTIBLE</t>
  </si>
  <si>
    <t>PILAS</t>
  </si>
  <si>
    <t>TOMA, ENCHUFE, TRIPLE, PORTALAMPARA, CEP</t>
  </si>
  <si>
    <t>HIERRO, PLANCHUELA</t>
  </si>
  <si>
    <t>CINTA TEFLON, CANILLA P/ LAVADERO</t>
  </si>
  <si>
    <t>CASCOS PARA LAVADERO</t>
  </si>
  <si>
    <t>CAÑO, UNION CENCILLA</t>
  </si>
  <si>
    <t>TARUGOS, TORNILLOS, GRAMPAS</t>
  </si>
  <si>
    <t>SOPORTE ESCAPE P/ LAVADERO</t>
  </si>
  <si>
    <t>ELECTRODO</t>
  </si>
  <si>
    <t>ADHESIVO LIQUIDO</t>
  </si>
  <si>
    <t>COPIA DE LLAVE</t>
  </si>
  <si>
    <t>UNION P/ MANGUERA</t>
  </si>
  <si>
    <t>CILINDRO SOPRANO</t>
  </si>
  <si>
    <t>LIJAS/ HOJA SIERRA</t>
  </si>
  <si>
    <t>CINTA AISLADORA</t>
  </si>
  <si>
    <t>ANILLO DE GOMA/ HOJALES</t>
  </si>
  <si>
    <t>CONECTORES</t>
  </si>
  <si>
    <t>MANGUERA</t>
  </si>
  <si>
    <t>BULONES Y TUERCAS VARIAS</t>
  </si>
  <si>
    <t>BURLETTES</t>
  </si>
  <si>
    <t>LIENZO</t>
  </si>
  <si>
    <t>GUANTES P/ MECANICO GRIS</t>
  </si>
  <si>
    <t>ADITIVO LIMPIARADIADOR</t>
  </si>
  <si>
    <t>UNIFLEX CEMENTO</t>
  </si>
  <si>
    <t>VASELINA SOLIDA 500 GR</t>
  </si>
  <si>
    <t>CABLE/ FICHAS</t>
  </si>
  <si>
    <t>BULONES DE ACERO</t>
  </si>
  <si>
    <t>GUANTE DE LATEX / FICHA TRIPLE</t>
  </si>
  <si>
    <t>BULON DE ACERO</t>
  </si>
  <si>
    <t>CINTAS AISLADORAS / LLAVE</t>
  </si>
  <si>
    <t>REMACHES/ARANDELAS/SOLDADOR</t>
  </si>
  <si>
    <t>POXILINA 70GRS</t>
  </si>
  <si>
    <t>MECHAS VARIAS</t>
  </si>
  <si>
    <t>PIOLA</t>
  </si>
  <si>
    <t>ARANDELAS/ TORNILLOS/ CINTA AISLADORA/ T</t>
  </si>
  <si>
    <t>ADITIVO LIMPIA-MOTOR</t>
  </si>
  <si>
    <t>FICHAS DE CONEXION</t>
  </si>
  <si>
    <t>CARPA</t>
  </si>
  <si>
    <t>FOCO/ DISCO DE CORTE</t>
  </si>
  <si>
    <t>TELA ESMERIL N° 50</t>
  </si>
  <si>
    <t>CANDADOS</t>
  </si>
  <si>
    <t>ARANDELAS/ REMACHES</t>
  </si>
  <si>
    <t>CABLE 5X1 MM</t>
  </si>
  <si>
    <t>CAÑO FLEX</t>
  </si>
  <si>
    <t>PAPEL HIGIENICO</t>
  </si>
  <si>
    <t>ESPATULA CHINA 1"</t>
  </si>
  <si>
    <t>CABLES</t>
  </si>
  <si>
    <t>BULONES Y ARANDELAS</t>
  </si>
  <si>
    <t>PINCEL 1/2 "</t>
  </si>
  <si>
    <t>ESCOFINA P/ MAD</t>
  </si>
  <si>
    <t>PIOLA 5MM X 20 MTS</t>
  </si>
  <si>
    <t>TRAPOS P/ USO DE TALLER</t>
  </si>
  <si>
    <t>CARCAZA P/ CORPORATIVO DE TALLER</t>
  </si>
  <si>
    <t>CINTA DOBLE</t>
  </si>
  <si>
    <t>TENSOR DE CINTILLOS / SELLADOR</t>
  </si>
  <si>
    <t>ABRAZADERAS</t>
  </si>
  <si>
    <t>LLAVE TUBO, CABLES, TERMINALES</t>
  </si>
  <si>
    <t>CHALECOS REFLECTIVOS P/ SR. ORLANDO</t>
  </si>
  <si>
    <t>ARTICULOS P/ COMEDOR DEL TALLER</t>
  </si>
  <si>
    <t>FOCO LED</t>
  </si>
  <si>
    <t>SILICONA P/ PARABRISAS</t>
  </si>
  <si>
    <t>TAPON/ CODO REDONDO/ CINTA TEFLON</t>
  </si>
  <si>
    <t>ARANDELAS</t>
  </si>
  <si>
    <t>ADHESIVO FASTIX</t>
  </si>
  <si>
    <t>LLAVE TUBO/ ADHESIVO INSTANTANEO</t>
  </si>
  <si>
    <t>TERMINALES/ FOCOS</t>
  </si>
  <si>
    <t>CABLES/ FICHAS</t>
  </si>
  <si>
    <t>CINTAS ALUMINIO</t>
  </si>
  <si>
    <t>PILA P/ CONTROL AUTORADIO</t>
  </si>
  <si>
    <t>ACEITE SINGER</t>
  </si>
  <si>
    <t>FICHAS/ PICO</t>
  </si>
  <si>
    <t>TUERCAS / LLAVE ALLEN</t>
  </si>
  <si>
    <t>GUANTES P/ MECANICO</t>
  </si>
  <si>
    <t>ALAMBRE DE MURALLA</t>
  </si>
  <si>
    <t>CARGADOR Y CABLE PARA CELULAR TALLER</t>
  </si>
  <si>
    <t>ADITIVO LIMPIA RADIADOR/ GRASA</t>
  </si>
  <si>
    <t>ALAMBRE WALL SPIKE</t>
  </si>
  <si>
    <t>ARANDELAS/ TUERCAS/ TORNILLOS/ REMACHES</t>
  </si>
  <si>
    <t xml:space="preserve">ESPIGA P/ ACOPLE RAPIDO - ACOPLE RAPIDO </t>
  </si>
  <si>
    <t>PULVERIZADOR DE PLASTICO</t>
  </si>
  <si>
    <t>JGO, POLYWOOD TRAMONTINA</t>
  </si>
  <si>
    <t>MANGUERA 1/2 PG</t>
  </si>
  <si>
    <t>FILM STRETCH 3.5 KG</t>
  </si>
  <si>
    <t>CINTA PARPACK 48 MM X 100 MTS</t>
  </si>
  <si>
    <t>CAJAS 12X1 LT/ TIPO AGROTROPICAL</t>
  </si>
  <si>
    <t>CABLE MULTIFILAR 25MM</t>
  </si>
  <si>
    <t>LAMPARA PORTATIL</t>
  </si>
  <si>
    <t>FICHAS Y TERMINALES</t>
  </si>
  <si>
    <t>PRECINTO/ CINTA AISLADORA/ SOLDADOR</t>
  </si>
  <si>
    <t>CABLES Y TERMINALES</t>
  </si>
  <si>
    <t>DETERGENTE</t>
  </si>
  <si>
    <t>RETENES</t>
  </si>
  <si>
    <t>CABLES/ PINZAS PARA ACOPLE/ TERMINALES</t>
  </si>
  <si>
    <t>MANGUERA PARA GAS</t>
  </si>
  <si>
    <t>FOCOS LED 15W</t>
  </si>
  <si>
    <t>UNION ROSCA ESTRIA 3/4</t>
  </si>
  <si>
    <t>TRAPOS P/ USO TALLER</t>
  </si>
  <si>
    <t>DETERGENTE P/ LIMPIEZA TALLER</t>
  </si>
  <si>
    <t>LIJAS/ BULONES / ABRAZADERAS</t>
  </si>
  <si>
    <t>ELECTRODO 13A</t>
  </si>
  <si>
    <t>FICHAS</t>
  </si>
  <si>
    <t>PEINE DE ROSCA</t>
  </si>
  <si>
    <t>BOTA PANTANERA</t>
  </si>
  <si>
    <t>RESORTES</t>
  </si>
  <si>
    <t>REPARACION CUBIERTAS</t>
  </si>
  <si>
    <t>TEJIDO LIENZO</t>
  </si>
  <si>
    <t>UNION P/ MANGUERA 5/8"</t>
  </si>
  <si>
    <t>ALMUERZO JUAN PEREIRA/ GIULIANO PEZINO</t>
  </si>
  <si>
    <t>TUERCAS</t>
  </si>
  <si>
    <t>LLAVE ALLEN/ PERNO</t>
  </si>
  <si>
    <t>GRASA EN AEROSOL</t>
  </si>
  <si>
    <t>PEGAMENTO LIQUIDO / DESENGRIPANTE</t>
  </si>
  <si>
    <t>PILAS/ FOCOS</t>
  </si>
  <si>
    <t>BULONES</t>
  </si>
  <si>
    <t>KEROSEN/ LINTERNA</t>
  </si>
  <si>
    <t>ARANDELA 1/2"</t>
  </si>
  <si>
    <t>ANTIDESLIZANTE/LINTERNA</t>
  </si>
  <si>
    <t>CINTA ANTIDESLIZANTE</t>
  </si>
  <si>
    <t>MARCADOR CORRECTOR</t>
  </si>
  <si>
    <t>ACCESORIOS P/ LEVANTA AUXILIO</t>
  </si>
  <si>
    <t>AGUA DESTILADA</t>
  </si>
  <si>
    <t>REMACHES/ ARANDELAS/ LINTERNA RECARG.</t>
  </si>
  <si>
    <t>ANILLO RETEN</t>
  </si>
  <si>
    <t>MECHAS/ SIERRA/</t>
  </si>
  <si>
    <t>RECTFICACION DE TAMBORES DE FRENO</t>
  </si>
  <si>
    <t>PULISCAY 1LT (CERA)</t>
  </si>
  <si>
    <t>CABLES-TERMINALES-ARANDELAS-BULONES</t>
  </si>
  <si>
    <t>FOCOS 12V</t>
  </si>
  <si>
    <t>PILAS P/ AUTORADIO</t>
  </si>
  <si>
    <t>ARANDELA/ FAJAS LUMBARES</t>
  </si>
  <si>
    <t>CABLES, TERMINALES, CINTA AISLADORA</t>
  </si>
  <si>
    <t>CINTILLOS MEDIDAS VARIAS</t>
  </si>
  <si>
    <t>SILICONA</t>
  </si>
  <si>
    <t>BURLETTE DE GOMA</t>
  </si>
  <si>
    <t>PINCEL 3"</t>
  </si>
  <si>
    <t>FIELTRO</t>
  </si>
  <si>
    <t>MACHO DE ROSCAR</t>
  </si>
  <si>
    <t>BOLSAS DE BASURA P/ LIMPIEZA DE TALLER</t>
  </si>
  <si>
    <t>KIT DE ANILLOS MILIMETRICOS</t>
  </si>
  <si>
    <t>GRASA</t>
  </si>
  <si>
    <t>BORNES</t>
  </si>
  <si>
    <t>CABLE 4 MM</t>
  </si>
  <si>
    <t>TARUGO / MECHA</t>
  </si>
  <si>
    <t>TRAPOS P/ TALLER</t>
  </si>
  <si>
    <t>TORNILLOS/BULONES/ TUERCAS</t>
  </si>
  <si>
    <t>LIMPIA CONTACTOS/ CARAMBA</t>
  </si>
  <si>
    <t>PEGAMENTO</t>
  </si>
  <si>
    <t>BULONES/ARANDELAS/TUERCAS</t>
  </si>
  <si>
    <t>CABLES/ TERMINALES</t>
  </si>
  <si>
    <t>CEPILLO DE ACERO</t>
  </si>
  <si>
    <t>TARRAJA</t>
  </si>
  <si>
    <t>ADITIVO LIMPIADOR DE RADIADOR</t>
  </si>
  <si>
    <t>EXTINTOR/ BALIZAS</t>
  </si>
  <si>
    <t>CALCES</t>
  </si>
  <si>
    <t>BUJES DE PARRILLA</t>
  </si>
  <si>
    <t>SODA CAUSTICA</t>
  </si>
  <si>
    <t>ALMUERZO GIULIANO PEZZINO</t>
  </si>
  <si>
    <t>ALMUERZO GIULIANO</t>
  </si>
  <si>
    <t>MANGUERA/ PICO/ ACOPLE</t>
  </si>
  <si>
    <t>DISCO DE CORTE</t>
  </si>
  <si>
    <t>DETERGENTE P/ TALLER</t>
  </si>
  <si>
    <t>LLANTAS P/ AUXILIO</t>
  </si>
  <si>
    <t>ADITIVO LIMPIADOR DE TANQUE</t>
  </si>
  <si>
    <t>FOCOS LED</t>
  </si>
  <si>
    <t>JABON SUPRO MAX</t>
  </si>
  <si>
    <t>CISTERNA CIPLA</t>
  </si>
  <si>
    <t>TRAPO INDUSTRIAL</t>
  </si>
  <si>
    <t>TAMBOR 30 LTS</t>
  </si>
  <si>
    <t>GATO TIJERA/ LLAVE</t>
  </si>
  <si>
    <t>CARGADOR P/ CELULAR DEL TALLER</t>
  </si>
  <si>
    <t>GARRAFA DE GAS PARA A/C</t>
  </si>
  <si>
    <t>PILA P/ CONTROL DE AUTO RADIO</t>
  </si>
  <si>
    <t>SILICONA TUBO</t>
  </si>
  <si>
    <t>DRIVER LED</t>
  </si>
  <si>
    <t>ECCOLE 9GR  PEGAMENTO</t>
  </si>
  <si>
    <t>MANGUERA DE COMBUSTIBLE</t>
  </si>
  <si>
    <t xml:space="preserve">ALMUERZO PARA PERSONAL DE TALLER SABADO </t>
  </si>
  <si>
    <t>ALMUERZO PERSONAL DE TALLER 26/10/2019</t>
  </si>
  <si>
    <t>MANGUERA/ ACOPLES/ PICOS</t>
  </si>
  <si>
    <t>PAPEL HIGIENICO P/ BAÑOS TALLER</t>
  </si>
  <si>
    <t>VASELINA SOLIDA</t>
  </si>
  <si>
    <t>PEGAMENTO FASTIX</t>
  </si>
  <si>
    <t>SALDO GIULIANO</t>
  </si>
  <si>
    <t>FOCOS P/ PORTATIL - FICHAS</t>
  </si>
  <si>
    <t>CEMENTO UNIFLEX</t>
  </si>
  <si>
    <t xml:space="preserve">ESPIGA P/ ACOPLE - ESPIGA P/ MANGUERA - </t>
  </si>
  <si>
    <t>APERTURA DE PUERTA</t>
  </si>
  <si>
    <t>JABON DESENGRASANTE</t>
  </si>
  <si>
    <t>BULON/ ACOPLE PARA MANGUERA/ PICO PARA C</t>
  </si>
  <si>
    <t>BUJE DE MORDAZA</t>
  </si>
  <si>
    <t>CABLE 2 X 0.5</t>
  </si>
  <si>
    <t>BULONES/ ARANDELAS/ TUERCA</t>
  </si>
  <si>
    <t>ASIENTO SANITARIO P/ BAÑO TALLER</t>
  </si>
  <si>
    <t>DETERGENTE P/ LAVADO VEHICULO</t>
  </si>
  <si>
    <t>CABO P/ VEHICULO</t>
  </si>
  <si>
    <t>ALMUERZO FABIO</t>
  </si>
  <si>
    <t>TERMINAL 12V</t>
  </si>
  <si>
    <t>ALAMBRE</t>
  </si>
  <si>
    <t>DETERGENTE P/ VEHICULOS</t>
  </si>
  <si>
    <t>MANGUERA PVC</t>
  </si>
  <si>
    <t>CINTILLO-CABLE-ENCHUFE-FARO</t>
  </si>
  <si>
    <t>PASTILLA P/ BAÑO-DETERGENTE-</t>
  </si>
  <si>
    <t>BOLSAS DE BASURA</t>
  </si>
  <si>
    <t>TELA ESMERIL</t>
  </si>
  <si>
    <t>BULONES 12 PG</t>
  </si>
  <si>
    <t>UNION ROSCA/ ALMA DOBLE/BUJE/CINTA TEFLO</t>
  </si>
  <si>
    <t>AEROSOL - CABLE MULTIFILAR</t>
  </si>
  <si>
    <t>PAPEL ESPAÑA</t>
  </si>
  <si>
    <t>TRAPOS INDUSTRIALES</t>
  </si>
  <si>
    <t>CENA TALLER</t>
  </si>
  <si>
    <t>EXTINTOR</t>
  </si>
  <si>
    <t>SELLADOR DE JUNTA</t>
  </si>
  <si>
    <t>FOCO ZENON</t>
  </si>
  <si>
    <t>CARPA/ PIOLA/ GOMA /CATRACA</t>
  </si>
  <si>
    <t>CABLE BICOLOR</t>
  </si>
  <si>
    <t>ABRAZADERA</t>
  </si>
  <si>
    <t>ALMUERZO P. CONSANI VIAJE AL CHACO</t>
  </si>
  <si>
    <t>ALMUERZO P. CONSANI P/ VIAJE AL CHACO</t>
  </si>
  <si>
    <t>DETERGENTES P/ LAVADERO TALLER</t>
  </si>
  <si>
    <t>PICO P/ HIDROLAVADORA</t>
  </si>
  <si>
    <t>SELLADOR DE PARABRISAS</t>
  </si>
  <si>
    <t>GUANTES/ LLAVE/ ELECTRODOS</t>
  </si>
  <si>
    <t>COLECTOR DE ACEITE/MECHAS DE ACERO/ CINT</t>
  </si>
  <si>
    <t>DESENGRIPANTE EN SPRAY/ ESPIGA PARA ACOP</t>
  </si>
  <si>
    <t>CINTILLOS 15CM- 20CM- 30CM- 40CM</t>
  </si>
  <si>
    <t>PIEDRA ESMERIL/DISCO DE CORTE/MECHAS/EMB</t>
  </si>
  <si>
    <t>CARAMBA EN SPRAY 300ML</t>
  </si>
  <si>
    <t>ACOPLE RAPIDO/ ESPIGA P/ ACOPLE/ PULVERI</t>
  </si>
  <si>
    <t>GUANTE P/ MECANICO</t>
  </si>
  <si>
    <t>AROMATIZANTES P/ AUTO</t>
  </si>
  <si>
    <t>BURLETES DE GOMA/ CINTILLOS</t>
  </si>
  <si>
    <t>CINTA CAMPAÑA</t>
  </si>
  <si>
    <t>RETEN</t>
  </si>
  <si>
    <t>LIJAS</t>
  </si>
  <si>
    <t>REMACHES/ ARANDELAS/ TUERCAS</t>
  </si>
  <si>
    <t>SILICONA EN AEROSOL</t>
  </si>
  <si>
    <t>FOCO/FICHA/MAGIC LEAF</t>
  </si>
  <si>
    <t>ATOMIZADOR DE SILICONA</t>
  </si>
  <si>
    <t>TRAPO PISO/ TIJERA/ GUANTES/</t>
  </si>
  <si>
    <t>ADHESIVO PERMATEX</t>
  </si>
  <si>
    <t>LLAVE ALLEN/ CABLES/ REMACHES/ LLAVE TUB</t>
  </si>
  <si>
    <t>GRASA HIGH TEMP</t>
  </si>
  <si>
    <t>LIMPIADOR P/ TERMINAL DE BATERIA</t>
  </si>
  <si>
    <t>SELLOS P/ USO TALLER</t>
  </si>
  <si>
    <t>LIMPIADOR DE PARTES ELECTRONICAS</t>
  </si>
  <si>
    <t>LIQUIDO P/ LIMPIEZA DE CAÑERIAS</t>
  </si>
  <si>
    <t>REP. LEVANTA AUXILIOS</t>
  </si>
  <si>
    <t>PILAS/ MECHA/ BULONES</t>
  </si>
  <si>
    <t>LENTE SEGURIDAD/ MANGUERA/ TARRAJA/ TORN</t>
  </si>
  <si>
    <t>LINTERNA/ PILAS DURACEL</t>
  </si>
  <si>
    <t>AERON PERFUME 50 ML</t>
  </si>
  <si>
    <t>CAÑO</t>
  </si>
  <si>
    <t>CINTA 3M-PISTOLA P/ SILICONA-</t>
  </si>
  <si>
    <t>BATERIA-TERMINAL-ADHESIVO-PILAS</t>
  </si>
  <si>
    <t>ABRAZADERA/ CINTILLOS/ LLAVE TUBO</t>
  </si>
  <si>
    <t>AERON PERFUME</t>
  </si>
  <si>
    <t>LIMPIA TAPIZADO LIQUIDO- LIMPIA CUERO LI</t>
  </si>
  <si>
    <t>LINTERNA/ CABLE/ PILAS/ GUANTES PARA CAL</t>
  </si>
  <si>
    <t>ACOPLE MACHO</t>
  </si>
  <si>
    <t>Creditos Incobrables</t>
  </si>
  <si>
    <t>AS Créditos Incobrab</t>
  </si>
  <si>
    <t>CUOTA INCOBRABLE MARCELINO CABAÑAS</t>
  </si>
  <si>
    <t>CUOTA INCOBRABLE DE CARLITO ENNS WALL</t>
  </si>
  <si>
    <t>Saldo a Diciembre-2019</t>
  </si>
  <si>
    <t>Diciembre</t>
  </si>
  <si>
    <t>BALANCE GENERAL AL 31/12/2018</t>
  </si>
  <si>
    <t xml:space="preserve">                             BALANCE GENERAL  AL 31 DE DICIEMBRE 2019             </t>
  </si>
  <si>
    <t>Diciembre de 2019</t>
  </si>
  <si>
    <t>Prestamos de terceros</t>
  </si>
  <si>
    <t>1.</t>
  </si>
  <si>
    <t>ACTIVIDADES DE OPERACIÓN</t>
  </si>
  <si>
    <t>Cobranzas efectuadas a clientes</t>
  </si>
  <si>
    <t>Pagos efectuados a proveedores y empleados</t>
  </si>
  <si>
    <t>Caja generada por las operaciones</t>
  </si>
  <si>
    <t>Intereses ganados</t>
  </si>
  <si>
    <t>Flujos netos de efectivo por actividades de operación</t>
  </si>
  <si>
    <t>2.</t>
  </si>
  <si>
    <t>ACTIVIDADES DE INVERSIÓN</t>
  </si>
  <si>
    <t xml:space="preserve">Cobro por venta de propiedades, planta y equipo </t>
  </si>
  <si>
    <t>Adquisiciones de propiedades, planta y equipos</t>
  </si>
  <si>
    <t>Cobros/adquisiciones de inversiones inmuebles</t>
  </si>
  <si>
    <t>Flujos netos de efectivo por actividades de inversión</t>
  </si>
  <si>
    <t>3.</t>
  </si>
  <si>
    <t>ACTIVIDADES DE FINANCIACIÓN</t>
  </si>
  <si>
    <t>Efectivo proveniente de préstamos financieros</t>
  </si>
  <si>
    <t>Intereses Pagados</t>
  </si>
  <si>
    <t>Flujos netos de efectivo por actividades de financiación</t>
  </si>
  <si>
    <t>Efecto de las variaciones en tipo de cambio sobre Caja</t>
  </si>
  <si>
    <t>4.</t>
  </si>
  <si>
    <t>Disminución neta de efectivo y equivalentes de efectivo</t>
  </si>
  <si>
    <t>5.</t>
  </si>
  <si>
    <t>Efectivo y equivalentes de efectivo al inicio del año</t>
  </si>
  <si>
    <t>6.</t>
  </si>
  <si>
    <t>Efectivo y equivalentes de efectivo al final del año</t>
  </si>
  <si>
    <t>El Anexo y las Notas 1 a 13 que se adjuntan forman parte integral de los estados contables.</t>
  </si>
  <si>
    <t>Por el año finalizado el 31/12/2019 comparativo con el ejerccio anterior</t>
  </si>
  <si>
    <t>Dic-19</t>
  </si>
  <si>
    <t>Cobro por venta de Inversiones inmuebles</t>
  </si>
  <si>
    <t>mas de 30 dias</t>
  </si>
  <si>
    <t>mas de 60 dias</t>
  </si>
  <si>
    <t>Documentos a cobrar</t>
  </si>
  <si>
    <t>Documentos a cobrar.</t>
  </si>
  <si>
    <t>Ganancia contable antes de impuestos</t>
  </si>
  <si>
    <t>Gastos que no son fiscalmente deducibles</t>
  </si>
  <si>
    <t>Penner Automotores S.R.L.</t>
  </si>
  <si>
    <t>INGRESOS</t>
  </si>
  <si>
    <t>CAMPO</t>
  </si>
  <si>
    <t xml:space="preserve">IMPORTE </t>
  </si>
  <si>
    <t>Ingresos Gravados por IRAGRO</t>
  </si>
  <si>
    <t>Ingresos no gravados por ninguno de los Impuestos a la Renta exentos y exonerados</t>
  </si>
  <si>
    <t>TOTAL INGRESOS BRUTOS</t>
  </si>
  <si>
    <t>A- TOTAL INGRESOS NETOS</t>
  </si>
  <si>
    <t>Menos: Ingresos por operaciones de exportación a terceros paises realizados por usuarios de Zonas Francas</t>
  </si>
  <si>
    <t>Menos: Ingresos de Fuente Extranjera no gravadas</t>
  </si>
  <si>
    <t>Menos: Ingresos alcanzados por Régimen Presunto o Especial</t>
  </si>
  <si>
    <t>Menos: Ingresos gravados por el IRAGRO</t>
  </si>
  <si>
    <t>Menos: Ingresos no gravados por ninguno de los Impuestos a la Renta, exentos y exonerados</t>
  </si>
  <si>
    <t>B- TOTAL INGRESOS NETOS GRAVADOS</t>
  </si>
  <si>
    <t>COSTOS</t>
  </si>
  <si>
    <t>Menos: Costos relacionados a los ingresos por operaciones de exportación a terceros paises realizados por usuarios de Zonas Francas y los de Regimen Maquila</t>
  </si>
  <si>
    <t>Menos: Costo relacionado a la obtencion de Renta de Fuente Extranjera no Gravada</t>
  </si>
  <si>
    <t>Menos: Costo relacionado a la obtencion de Rentas Gravadas por Regimen Presunto o Especial</t>
  </si>
  <si>
    <t>Menos: Costos relacionados a ingresos gravados por el IRAGRO</t>
  </si>
  <si>
    <t>Menos: Costos relacionados a ingresos no gravados por ninguno de los impuestos a la Renta, exentos y exonerados</t>
  </si>
  <si>
    <t>Menos: Otros costos no deducible del IRACIS</t>
  </si>
  <si>
    <t>D- TOTAL DE COSTOS DEDUCIBLES</t>
  </si>
  <si>
    <t>GASTOS</t>
  </si>
  <si>
    <t>Remuneraciones PorcentualesPagadas</t>
  </si>
  <si>
    <t>Perdidas extraordinarias y hechos punibles cometidos por terceros</t>
  </si>
  <si>
    <t>Gastos y erogaciones en el exterior</t>
  </si>
  <si>
    <t>Gastos de Organización y constitucion, incluidos los preoperativos y de reorganizacion</t>
  </si>
  <si>
    <t>Perdidas por diferencia de cambio</t>
  </si>
  <si>
    <t>IVA Gasto</t>
  </si>
  <si>
    <t>Gastos relacionados a ingresos gravados por el IRAGRO</t>
  </si>
  <si>
    <t>Gastos relacionados a ingresos no gravados por ninguno de los impuestos a la Renta exentos y exonerados</t>
  </si>
  <si>
    <t>E- TOTAL DE GASTOS DEDUCIBLES</t>
  </si>
  <si>
    <t>Menos: Gastos relacionados a las operaciones de exportación a terceros paises realizados por usuarios de Zonas Francas y los de Regimen de Maquila</t>
  </si>
  <si>
    <t>Menos: Gastos relacionados a la obtencion de Rentas de Fuente Extranjera no Gravadas</t>
  </si>
  <si>
    <t>Menos: Gastos relacionados a la obtencion de Renta Gravada por Regimen Presunto o Especial</t>
  </si>
  <si>
    <t>Menos: Impuesto a la Renta</t>
  </si>
  <si>
    <t>Menos:Gastos relacionados a ingresos gravados por el IRAGRO</t>
  </si>
  <si>
    <t>Menos: Gastos relacionados a ingresos no gravados por ninguno de los Impuestos a la Renta</t>
  </si>
  <si>
    <t>Menos: Otros Gastos no Deducibles</t>
  </si>
  <si>
    <t>F- TOTAL DE GASTOS DEDUCIBLES</t>
  </si>
  <si>
    <t>Resultado del Ejercicio</t>
  </si>
  <si>
    <t>Perdida</t>
  </si>
  <si>
    <t>Utilidad</t>
  </si>
  <si>
    <t>Resultado Contable del Ejercicio (A-C-E)</t>
  </si>
  <si>
    <t>Resultado Fiscal del Ejercicio (B-D-F)</t>
  </si>
  <si>
    <t>Retenciones Computables</t>
  </si>
  <si>
    <t>Anticipos Ingresados</t>
  </si>
  <si>
    <t>Pago Previo</t>
  </si>
  <si>
    <t>Saldo anterior</t>
  </si>
  <si>
    <t xml:space="preserve">Saldo a Favor </t>
  </si>
  <si>
    <t>Ejercicio Fiscal 2019 - Planilla de Composición del Formulario 101</t>
  </si>
  <si>
    <t xml:space="preserve">                             BALANCE GENERAL  AL 31 DE DICIEMBRE 2019                                                ANEXO K</t>
  </si>
  <si>
    <r>
      <t xml:space="preserve">       Créditos por ventas</t>
    </r>
    <r>
      <rPr>
        <sz val="12"/>
        <color indexed="9"/>
        <rFont val="Times New Roman"/>
        <family val="1"/>
      </rPr>
      <t>.</t>
    </r>
  </si>
  <si>
    <r>
      <t xml:space="preserve">    Deudas comerciales</t>
    </r>
    <r>
      <rPr>
        <sz val="12"/>
        <color indexed="9"/>
        <rFont val="Times New Roman"/>
        <family val="1"/>
      </rPr>
      <t>.</t>
    </r>
  </si>
  <si>
    <r>
      <t xml:space="preserve">       Otros créditos</t>
    </r>
    <r>
      <rPr>
        <sz val="12"/>
        <color indexed="9"/>
        <rFont val="Times New Roman"/>
        <family val="1"/>
      </rPr>
      <t>.</t>
    </r>
  </si>
  <si>
    <r>
      <t xml:space="preserve">    Deudas financieras</t>
    </r>
    <r>
      <rPr>
        <sz val="12"/>
        <color indexed="9"/>
        <rFont val="Times New Roman"/>
        <family val="1"/>
      </rPr>
      <t>.</t>
    </r>
  </si>
  <si>
    <r>
      <t xml:space="preserve">    Deudas financieras por fideicomiso</t>
    </r>
    <r>
      <rPr>
        <sz val="12"/>
        <color indexed="9"/>
        <rFont val="Times New Roman"/>
        <family val="1"/>
      </rPr>
      <t>.</t>
    </r>
  </si>
  <si>
    <r>
      <t xml:space="preserve">    Deudas financieras por bonos</t>
    </r>
    <r>
      <rPr>
        <sz val="12"/>
        <color indexed="9"/>
        <rFont val="Times New Roman"/>
        <family val="1"/>
      </rPr>
      <t>.</t>
    </r>
  </si>
  <si>
    <r>
      <t>(</t>
    </r>
    <r>
      <rPr>
        <sz val="12"/>
        <rFont val="Times New Roman"/>
        <family val="1"/>
      </rPr>
      <t>En miles de guaraníes</t>
    </r>
    <r>
      <rPr>
        <b/>
        <sz val="12"/>
        <rFont val="Times New Roman"/>
        <family val="1"/>
      </rPr>
      <t>)</t>
    </r>
  </si>
  <si>
    <t>Software Informático</t>
  </si>
  <si>
    <t xml:space="preserve">tasación y en la cual se encuentra el showroom). Tambien posee derechos sobre dos grupos de lotes en el Complejo Boreal, </t>
  </si>
  <si>
    <t>de la empresa  vinculada Nordland S.A.</t>
  </si>
  <si>
    <r>
      <t>A)</t>
    </r>
    <r>
      <rPr>
        <b/>
        <sz val="12"/>
        <rFont val="Times New Roman"/>
        <family val="1"/>
      </rPr>
      <t>      PARTES VINCULADAS O RELACIONADAS</t>
    </r>
  </si>
  <si>
    <r>
      <t>I.</t>
    </r>
    <r>
      <rPr>
        <b/>
        <sz val="12"/>
        <rFont val="Times New Roman"/>
        <family val="1"/>
      </rPr>
      <t>                    Principales Accionistas.</t>
    </r>
  </si>
  <si>
    <r>
      <t>II.</t>
    </r>
    <r>
      <rPr>
        <b/>
        <sz val="12"/>
        <rFont val="Times New Roman"/>
        <family val="1"/>
      </rPr>
      <t>                  Otras partes vinculadas.</t>
    </r>
  </si>
  <si>
    <r>
      <t xml:space="preserve">B) </t>
    </r>
    <r>
      <rPr>
        <b/>
        <sz val="12"/>
        <color indexed="8"/>
        <rFont val="Times New Roman"/>
        <family val="1"/>
      </rPr>
      <t xml:space="preserve">SALDOS CON PARTES RELACIONADAS </t>
    </r>
  </si>
  <si>
    <t>Nota 1- Información básica sobre la Sociedad</t>
  </si>
  <si>
    <t>La Sociedad fue constituida originalmente bajo la denominación de Pro – Chaco S.R.L., según consta en la Escritura Pública número 32, de Fecha 7 de agosto de 2001, de cuyo testimonio se tomó razón en la Dirección General de los Registros Públicos. Registro de Personas Jurídicas y Asociaciones, el 30 de agosto de 2001 y en el Registro Público de Comercio, también el 30 de agosto de 2001.</t>
  </si>
  <si>
    <t xml:space="preserve">Por Escritura Pública número 81, del 18 de setiembre de 2006, fue modificada la primera cláusula del contrato constitutivo, cambiándose la denominación de la firma a la de Penner Automotores Sociedad de Responsabilidad Limitada, de todo lo cual se tomó razón en la Dirección General de los Registros Públicos, en el Registro de Personas Jurídicas y Asociaciones, el 13 de noviembre de 2006. </t>
  </si>
  <si>
    <t>La sociedad pertenece a un grupo de empresas vinculadas que si bien no poseen acciones se relacionan por medio de un accionista común, el Señor Orlando Penner.</t>
  </si>
  <si>
    <t>Según escritura 293 de fecha 18/5/2018 se realiza un aumento de capital en Gs. 15.310.000.000.- correspondiente al revalúo técnico realizado a ciertos activos de la empresa. La disminución de los saldos se realizó por medio de la escritura N° 340 de fecha 6/6/2018 referente al “rescate de capital” que menciona lo siguiente: realizar en parte proporcional a sus respectivas participaciones, un rescate de cuotas equivalentes a 15.310 cuotas sociales, cuyo valor nominal es de Gs. 15.310.000.000. Dicho monto será pagado íntegramente a los socios mediante la cesión parcial del crédito de la deuda que la empresa Nordland S.A. y Orlando Penner tienen a la fecha con la empresa.</t>
  </si>
  <si>
    <t>Según escritura 464 de fecha 20/11/2018 se realiza la cesión de cuotas por parte del señor Orlando Penner a favor de MF Inversiones S.A. de 5.775 a valor de Gs. 1.000.000.- cada una quedando la misma de la siguiente manera distribuida; Orlando Penner suscribe un total de Gs. 32.340.000.000.- M.F. Inversiones S.A. suscribe un total de Gs. 5.775.000.000.- y Ronald Dürksen suscribe un total de Gs. 385.000.000.-</t>
  </si>
  <si>
    <t>NOTAS A LOS ESTADOS FINANCIEROS POR EL EJERCICIO FINALIZADO EL 31 DE DICIEMBRE DE 2019</t>
  </si>
  <si>
    <t>Nota 2- Principales políticas y prácticas contables aplicadas</t>
  </si>
  <si>
    <t xml:space="preserve">2.1 Bases de preparación </t>
  </si>
  <si>
    <t>Normas contables</t>
  </si>
  <si>
    <t xml:space="preserve">Los presentes estados financieros han sido formulados de acuerdo con los lineamientos generales de las normas contables emitidas por la Comisión Nacional de Valores y Normas de Información Financiera emitidas por el Consejo de Contadores Públicos del Paraguay, en cuanto a las prácticas contables usuales y el plan de cuentas establecido acorde con el funcionamiento de la Entidad. </t>
  </si>
  <si>
    <t>Algunas cifras correspondientes a los periodos comparados fueron reclasificadas en los presentes estados financieros con el fin de hacerlas comparables con las del periodo actual y facilitar su comparación.</t>
  </si>
  <si>
    <t>Moneda funcional y de presentación</t>
  </si>
  <si>
    <t>La moneda funcional y de presentación de los estados financieros de la Sociedad es el Guaraní, la moneda local de Paraguay.</t>
  </si>
  <si>
    <t>Bases de valuación y efectos de la inflación</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</si>
  <si>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 expresados en moneda homogénea de poder adquisitivo constante.</t>
  </si>
  <si>
    <t>Los estados financieros fueron preparados utilizando como principal criterio de valuación el costo histórico, con las excepciones que se mencionan en los siguientes numerales de esta nota.</t>
  </si>
  <si>
    <t>2.2 Moneda extranjera</t>
  </si>
  <si>
    <t>Las transacciones en moneda extranjera son convertidas al Guaraní a la cotización vigente 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</si>
  <si>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El siguiente es el detalle de las cotizaciones de la moneda extranjera operada por la Sociedad respecto al Guaraní, al cierre de los estados financieros:</t>
  </si>
  <si>
    <t>Promedio</t>
  </si>
  <si>
    <t>Cierre</t>
  </si>
  <si>
    <t>Dólar estadounidense</t>
  </si>
  <si>
    <t>2.3 Deterioro</t>
  </si>
  <si>
    <t>Activos financieros</t>
  </si>
  <si>
    <t>Un activo financiero es revisado a la fecha de cada estado financiero para determinar si existe evidencia objetiva de deterioro de valor. Un activo financiero se considera deteriorado si existe evidencia objetiva indicativa de que uno o más eventos han tenido un efecto negativo en los flujos de efectivo futuros del activo.</t>
  </si>
  <si>
    <t>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t>
  </si>
  <si>
    <t>Los activos financieros individualmente significativos se evalúan de forma individual para analizar su deterioro. El resto de los activos financieros se evalúan en grupos que comparten características de riesgo crediticio similares.</t>
  </si>
  <si>
    <t>Todas las pérdidas por deterioro de valor se reconocen en resultados.</t>
  </si>
  <si>
    <t>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t>
  </si>
  <si>
    <t xml:space="preserve">Las pérdidas por deterioro de valor reconocidas en períodos anteriores se analizan en cada fecha de cierre de año en busca de indicios de que la pérdida sea menor o haya desaparecido. </t>
  </si>
  <si>
    <t>En el caso de activos diferentes de propiedades, planta, equipo e intangibles, una pérdida por deterioro es revertida hasta el monto que no exceda el valor contable que hubiera correspondido si no se hubiera reconocido el deterioro, cuando posteriormente se produce un aumento en la estimación del monto recuperable. En el caso de las propiedades, planta y equipo, revaluados según se indica en la Nota 2.8, una pérdida por deterioro es revertida hasta el monto que no exceda el valor contable revaluado que hubiera correspondido si no se hubiera reconocido el deterioro cuando posteriormente se produce un aumento en la estimación del monto recuperable.</t>
  </si>
  <si>
    <t>2.4 Disponibilidades</t>
  </si>
  <si>
    <t>Caja y bancos se presentan por su valor nominal.</t>
  </si>
  <si>
    <t>2.5 Créditos por ventas y otros créditos</t>
  </si>
  <si>
    <t>Los créditos por ventas y otros créditos se presentan por su costo menos cualquier pérdida por deterioro (Nota 2.3). La previsión para deudores incobrables se constituye en función de los análisis de riesgo individualizado de los deudores.</t>
  </si>
  <si>
    <t>2.6 Bienes de cambio</t>
  </si>
  <si>
    <t>Los bienes de cambio se valúan a su costo de adquisición más otros gastos aplicables, o al valor neto de realización el que fuera menor. Los ajustes a valores netos de realización se incluyen en el costo de los bienes vendidos.</t>
  </si>
  <si>
    <t>2.7 Inversiones</t>
  </si>
  <si>
    <t>Las inversiones están valuadas a su costo menos cualquier pérdida por deterioro (Nota 2.3), y a valor tasación según informe realizado en noviembre de 2017 por el Ing. Rafael Zapienza.</t>
  </si>
  <si>
    <t>2.8 Propiedades, planta y equipo</t>
  </si>
  <si>
    <t>Valor Bruto</t>
  </si>
  <si>
    <t>Las propiedades, planta y equipo figuran presentados a sus valores de adquisición, netos de depreciaciones y pérdidas por deterioro cuando corresponde (Nota 2.3), reexpresados en moneda de cierre de acuerdo a la variación en el índice general de precios al consumo publicado por Banco Central del Paraguay.</t>
  </si>
  <si>
    <t>Gastos Posteriores</t>
  </si>
  <si>
    <t>Los gastos posteriores incurridos para reemplazar un componente de una propiedad, planta y equipo únicamente activados cuando estos incrementan los beneficios futuros del mismo. Los demás gastos son reconocidos en el Estado de Resultados en el momento en que se incurren.</t>
  </si>
  <si>
    <t>Depreciaciones</t>
  </si>
  <si>
    <t>2.9 Deudas comerciales y deudas diversas</t>
  </si>
  <si>
    <t>Las deudas comerciales y diversas están presentadas a su costo amortizado.</t>
  </si>
  <si>
    <t>2.10 Deudas Financieras</t>
  </si>
  <si>
    <t>Las deudas financieras están presentadas a su costo amortizado, con cualquier diferencia entre el costo y su valor de cancelación, reconocida en el Estado de Resultados durante el periodo de financiamiento, utilizando tasas de interés efectivas.</t>
  </si>
  <si>
    <t>2.11 Patrimonio</t>
  </si>
  <si>
    <t>Los dividendos son reconocidos como pasivo en la fecha que son aprobados.</t>
  </si>
  <si>
    <t>2.12 Impuesto a la Renta</t>
  </si>
  <si>
    <t xml:space="preserve">El impuesto a la renta sobre el resultado del año comprende el impuesto corriente y el impuesto diferido. El impuesto a la renta es reconocido en el Estado de Resultados, excepto que esté relacionado con partidas reconocidas en el patrimonio en cuyo caso se reconoce dentro del patrimonio. </t>
  </si>
  <si>
    <t xml:space="preserve">El impuesto corriente es el impuesto a pagar calculado sobre el monto imponible de ganancia del año, utilizando la tasa del impuesto a la renta vigente a la fecha de los estados financieros del 10%. </t>
  </si>
  <si>
    <t xml:space="preserve">El impuesto diferido es calculado utilizando el método del estado de situación basado en el balance general, determinado a partir de las diferencias temporarias entre los importes contables de activos y pasivos y los importes utilizados para fines fiscales. El importe de impuesto diferido calculado está basado en la forma esperada de realización o liquidación de los importes contables de activos y pasivos, utilizando la tasa de impuesto aprobada a la fecha de los estados financieros. </t>
  </si>
  <si>
    <t>Un activo por impuesto diferido es reconocido solamente hasta el importe que es probable que futuras ganancias imponibles estarán disponibles, contra las cuales el activo pueda ser utilizado.</t>
  </si>
  <si>
    <t>2.13 Determinación del Resultado</t>
  </si>
  <si>
    <t>La Sociedad aplicó el principio de lo devengado para el reconocimiento de los ingresos y la imputación de costos y gastos.</t>
  </si>
  <si>
    <t>Los ingresos operativos representan el importe de los bienes y servicios vendidos a terceros y son reconocidos en el Estado de Resultados cuando los riesgos y beneficios significativos asociados a la propiedad de los mismos han sido transferidos al comprador.</t>
  </si>
  <si>
    <t>La depreciación de las propiedades, planta y equipo es calculada según los criterios indicados en la Nota 2.8.</t>
  </si>
  <si>
    <t>Los resultados financieros incluyen y perdidos, y gastos bancarios, según se indica en la Nota 2.10.</t>
  </si>
  <si>
    <t>Los ingresos extraordinarios e intereses corresponden a intereses cobrados o clientes moratorios y diferencia de cambio positivos.</t>
  </si>
  <si>
    <t>El resultado por impuesto a la renta es calculado, según se indica en la Nota 2.12.</t>
  </si>
  <si>
    <t>2.14 Uso de estimaciones contables</t>
  </si>
  <si>
    <t>A pesar de que las estimaciones realizadas por la Dirección de la Sociedad se han calculado en función de la mejor información disponible al 31 de diciembre de 2019, es posible que acontecimientos que puedan tener lugar en el futuro obliguen a su modificación en los próximos periodos.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t>
  </si>
  <si>
    <t xml:space="preserve">Las áreas más significativas en las que la Dirección de la Sociedad ha realizado estimaciones de incertidumbre y juicios críticos en la aplicación de políticas contables y que tienen un mayor efecto sobre el importe reconocido en los estados financieros conciernen las previsiones para deudores incobrables, las amortizaciones y el cargo por impuesto a la renta. </t>
  </si>
  <si>
    <t>Los resultados reales futuros pueden diferir de las estimaciones y evaluaciones realizadas a la fecha de preparación de los presentes estados financieros.</t>
  </si>
  <si>
    <t>2.15 Definición de Fondos</t>
  </si>
  <si>
    <t>Para la preparación del Estado de Flujo de Efectivo se definió como fondos a las disponibilidades.</t>
  </si>
  <si>
    <t>Los valores contables de los activos de la Sociedad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t>
  </si>
  <si>
    <t xml:space="preserve">Las depreciaciones son cargadas al Estado de Resultado utilizando porcentajes fijos sobre los valores antes referidos, estimado según la vida útil estimada para cada categoría, a partir del año siguiente al de su incorporación. Los porcentajes de depreciación utilizados para cada categoría se exponen en el Anexo A. </t>
  </si>
  <si>
    <t>La preparación de los estados financieros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</si>
  <si>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Bonos a pagar</t>
  </si>
  <si>
    <t>(-) Intereses por bonos no devengados</t>
  </si>
  <si>
    <t>-</t>
  </si>
  <si>
    <t>Nota 12 – Administración de riesgos financieros</t>
  </si>
  <si>
    <t>Las empresas están expuestas a los siguientes riesgos relacionados con el uso de instrumentos financieros:</t>
  </si>
  <si>
    <t>En esta nota se presenta información respecto de la exposición de las empresas a cada uno de los riesgos mencionados, los objetivos, las políticas y los procedimientos de las empresas para medir y administrar el riesgo.</t>
  </si>
  <si>
    <t>La Dirección es responsable por establecer y supervisar la estructura de administración de riesgo de las empresas. La Gerencia es responsable por el desarrollo y el monitoreo de la administración del riesgo de las empresas, e informa regularmente a la Dirección acerca de sus actividades.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</si>
  <si>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 Las empresas, a través de sus normas y procedimientos de administración, pretenden desarrollar un ambiente de control disciplinado y constructivo en lo que todos los empleados entiendan sus roles y obligaciones.</t>
  </si>
  <si>
    <t>12.1</t>
  </si>
  <si>
    <t xml:space="preserve">Riesgo de crédito </t>
  </si>
  <si>
    <t>El riesgo de crédito es el riesgo de pérdida financiera que enfrentan las empresas si un cliente o contraparte en un instrumento financiero no cumple con sus obligaciones contractuales, y se origina principalmente de las cuentas por cobrar a clientes.</t>
  </si>
  <si>
    <t>La Dirección tiene políticas de crédito que permiten monitorear este riesgo de forma continua, y espera un correcto comportamiento crediticio y los eventuales incumplimientos están cubiertos razonablemente por las previsiones existentes.</t>
  </si>
  <si>
    <t>12.2</t>
  </si>
  <si>
    <t>Riesgo de liquidez</t>
  </si>
  <si>
    <t>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empresas.</t>
  </si>
  <si>
    <t>12.3</t>
  </si>
  <si>
    <t>Riesgo de mercado</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</si>
  <si>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</si>
  <si>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 xml:space="preserve">Riesgo de moneda </t>
  </si>
  <si>
    <t>La sociedad incurre en riesgos de moneda extranjera en ventas y compras denominadas en monedas diferentes al Dólar Estadounidense. La moneda que origina principalmente este riesgo es el Guaraní. Este riesgo es monitoreado de forma de mantener la exposición al mismo en niveles aceptables. El detalle de la exposición al riesgo de moneda se visualiza en el Anexo G.</t>
  </si>
  <si>
    <t>Riesgo de crédito</t>
  </si>
  <si>
    <t>Nota 13 – Patrimonio</t>
  </si>
  <si>
    <t>13.1 Capital</t>
  </si>
  <si>
    <t>El capital social de la Sociedad al 31 de diciembre de 2019 es de Gs. 38.500.000.000 representado por 38.500 acciones nominativas, con un valor nominal de Gs. 1.000.000 cada una, el cual se halla totalmente integrado a dichas fechas.</t>
  </si>
  <si>
    <t>Socios</t>
  </si>
  <si>
    <t>Aporte</t>
  </si>
  <si>
    <t>Gs.</t>
  </si>
  <si>
    <t>Orlando Penner Durksen</t>
  </si>
  <si>
    <t>MF Inversiones S.A.</t>
  </si>
  <si>
    <t>Ronald Durksen Federau</t>
  </si>
  <si>
    <t xml:space="preserve"> 13.2 Reserva legal</t>
  </si>
  <si>
    <t>De acuerdo con lo establecido en el artículo 91 de la Ley Nº 1034/1.983 del Comerciante, la sociedad debe afectar el 5% de la utilidad del año como reserva legal hasta que el saldo de dicha reserva represente el 20% del capital integrado.</t>
  </si>
  <si>
    <t>13.3 Reserva de revalúo</t>
  </si>
  <si>
    <t>El saldo de este rubro corresponde a la revaluación de las propiedades, planta y equipo. La reexpresión de las propiedades, planta y equipo durante el año 2019 ascendió a 479.439.104 y al 2018 a Gs. 543.077.486. El incremento patrimonial producido por el revalúo de las propiedades, planta y equipo podrá ser capitalizado no pudiendo ser distribuido como dividendo, utilidad o beneficio.</t>
  </si>
  <si>
    <t>13.4 Revalúo Técnico</t>
  </si>
  <si>
    <t>El saldo de este rubro corresponde a la revaluación de las propiedades, planta y equipo según tasaciones realizadas en abril y noviembre 2017 por los Ing. Rafael Sapienza Ávila y Eduardo Francisco Pangrazio que ascendía a Gs. 15.311.014 al cierre de diciembre 2017, del cual fuera capitalizado y rescatado durante el 2018 en Gs. 15.310.000.- quedando el saldo actual de Gs.1.015.</t>
  </si>
  <si>
    <t>Estados Financieros correspondientes al 31 de Diciembre de 2019</t>
  </si>
  <si>
    <t>Junio 2020</t>
  </si>
  <si>
    <t>Contenido</t>
  </si>
  <si>
    <r>
      <t xml:space="preserve">Portada     </t>
    </r>
    <r>
      <rPr>
        <sz val="10"/>
        <color theme="1"/>
        <rFont val="Times New Roman"/>
        <family val="1"/>
      </rPr>
      <t xml:space="preserve">         </t>
    </r>
  </si>
  <si>
    <t>Estados Financieros</t>
  </si>
  <si>
    <r>
      <t>§</t>
    </r>
    <r>
      <rPr>
        <sz val="7"/>
        <color theme="1"/>
        <rFont val="Times New Roman"/>
        <family val="1"/>
      </rPr>
      <t xml:space="preserve">  </t>
    </r>
    <r>
      <rPr>
        <sz val="12"/>
        <color theme="1"/>
        <rFont val="Times New Roman"/>
        <family val="1"/>
      </rPr>
      <t>Balance General</t>
    </r>
  </si>
  <si>
    <r>
      <t>§</t>
    </r>
    <r>
      <rPr>
        <sz val="7"/>
        <color theme="1"/>
        <rFont val="Times New Roman"/>
        <family val="1"/>
      </rPr>
      <t xml:space="preserve">  </t>
    </r>
    <r>
      <rPr>
        <sz val="12"/>
        <color theme="1"/>
        <rFont val="Times New Roman"/>
        <family val="1"/>
      </rPr>
      <t xml:space="preserve">Estado de Resultados </t>
    </r>
  </si>
  <si>
    <r>
      <t>§</t>
    </r>
    <r>
      <rPr>
        <sz val="7"/>
        <color theme="1"/>
        <rFont val="Times New Roman"/>
        <family val="1"/>
      </rPr>
      <t xml:space="preserve">  </t>
    </r>
    <r>
      <rPr>
        <sz val="12"/>
        <color theme="1"/>
        <rFont val="Times New Roman"/>
        <family val="1"/>
      </rPr>
      <t xml:space="preserve">Estado de Evolución del Patrimonio Neto </t>
    </r>
  </si>
  <si>
    <r>
      <t>§</t>
    </r>
    <r>
      <rPr>
        <sz val="7"/>
        <color theme="1"/>
        <rFont val="Times New Roman"/>
        <family val="1"/>
      </rPr>
      <t xml:space="preserve">  </t>
    </r>
    <r>
      <rPr>
        <sz val="12"/>
        <color theme="1"/>
        <rFont val="Times New Roman"/>
        <family val="1"/>
      </rPr>
      <t>Estado de Flujos de Efectivo</t>
    </r>
  </si>
  <si>
    <r>
      <t>§</t>
    </r>
    <r>
      <rPr>
        <sz val="7"/>
        <color theme="1"/>
        <rFont val="Times New Roman"/>
        <family val="1"/>
      </rPr>
      <t xml:space="preserve">  </t>
    </r>
    <r>
      <rPr>
        <sz val="12"/>
        <color theme="1"/>
        <rFont val="Times New Roman"/>
        <family val="1"/>
      </rPr>
      <t>Notas a los Estados Financieros</t>
    </r>
  </si>
  <si>
    <t xml:space="preserve">Anexos exigidos por la Comisión Nacional de Valores </t>
  </si>
  <si>
    <r>
      <t>§</t>
    </r>
    <r>
      <rPr>
        <sz val="7"/>
        <color theme="1"/>
        <rFont val="Times New Roman"/>
        <family val="1"/>
      </rPr>
      <t xml:space="preserve">  </t>
    </r>
    <r>
      <rPr>
        <sz val="12"/>
        <color theme="1"/>
        <rFont val="Times New Roman"/>
        <family val="1"/>
      </rPr>
      <t>Anexo A – Bienes de Uso</t>
    </r>
  </si>
  <si>
    <r>
      <t>§</t>
    </r>
    <r>
      <rPr>
        <sz val="7"/>
        <color theme="1"/>
        <rFont val="Times New Roman"/>
        <family val="1"/>
      </rPr>
      <t xml:space="preserve">  </t>
    </r>
    <r>
      <rPr>
        <sz val="12"/>
        <color theme="1"/>
        <rFont val="Times New Roman"/>
        <family val="1"/>
      </rPr>
      <t>Anexo B – Activos Intangibles</t>
    </r>
  </si>
  <si>
    <r>
      <t>§</t>
    </r>
    <r>
      <rPr>
        <sz val="7"/>
        <color theme="1"/>
        <rFont val="Times New Roman"/>
        <family val="1"/>
      </rPr>
      <t xml:space="preserve">  </t>
    </r>
    <r>
      <rPr>
        <sz val="12"/>
        <color theme="1"/>
        <rFont val="Times New Roman"/>
        <family val="1"/>
      </rPr>
      <t>Anexo C – Inversiones, Acciones y Otros Títulos Emitidos en Series.</t>
    </r>
  </si>
  <si>
    <r>
      <t>§</t>
    </r>
    <r>
      <rPr>
        <sz val="7"/>
        <color theme="1"/>
        <rFont val="Times New Roman"/>
        <family val="1"/>
      </rPr>
      <t xml:space="preserve">  </t>
    </r>
    <r>
      <rPr>
        <sz val="12"/>
        <color theme="1"/>
        <rFont val="Times New Roman"/>
        <family val="1"/>
      </rPr>
      <t>Anexo D – Otras Inversiones</t>
    </r>
  </si>
  <si>
    <r>
      <t>§</t>
    </r>
    <r>
      <rPr>
        <sz val="7"/>
        <color theme="1"/>
        <rFont val="Times New Roman"/>
        <family val="1"/>
      </rPr>
      <t xml:space="preserve">  </t>
    </r>
    <r>
      <rPr>
        <sz val="12"/>
        <color theme="1"/>
        <rFont val="Times New Roman"/>
        <family val="1"/>
      </rPr>
      <t>Anexo E – Previsiones</t>
    </r>
  </si>
  <si>
    <r>
      <t>§</t>
    </r>
    <r>
      <rPr>
        <sz val="7"/>
        <color theme="1"/>
        <rFont val="Times New Roman"/>
        <family val="1"/>
      </rPr>
      <t xml:space="preserve">  </t>
    </r>
    <r>
      <rPr>
        <sz val="12"/>
        <color theme="1"/>
        <rFont val="Times New Roman"/>
        <family val="1"/>
      </rPr>
      <t>Anexo F – Costo de Mercaderías, Productos vendidos o Servicios Prestados</t>
    </r>
  </si>
  <si>
    <r>
      <t>§</t>
    </r>
    <r>
      <rPr>
        <sz val="7"/>
        <color theme="1"/>
        <rFont val="Times New Roman"/>
        <family val="1"/>
      </rPr>
      <t xml:space="preserve">  </t>
    </r>
    <r>
      <rPr>
        <sz val="12"/>
        <color theme="1"/>
        <rFont val="Times New Roman"/>
        <family val="1"/>
      </rPr>
      <t>Anexo G – Activos y Pasivos en Moneda Extranjera</t>
    </r>
  </si>
  <si>
    <r>
      <t>§</t>
    </r>
    <r>
      <rPr>
        <sz val="7"/>
        <color theme="1"/>
        <rFont val="Times New Roman"/>
        <family val="1"/>
      </rPr>
      <t xml:space="preserve">  </t>
    </r>
    <r>
      <rPr>
        <sz val="12"/>
        <color theme="1"/>
        <rFont val="Times New Roman"/>
        <family val="1"/>
      </rPr>
      <t>Anexo H – Información requerida sobre Costos y Gastos</t>
    </r>
  </si>
  <si>
    <r>
      <t>§</t>
    </r>
    <r>
      <rPr>
        <sz val="7"/>
        <color theme="1"/>
        <rFont val="Times New Roman"/>
        <family val="1"/>
      </rPr>
      <t xml:space="preserve">  </t>
    </r>
    <r>
      <rPr>
        <sz val="12"/>
        <color theme="1"/>
        <rFont val="Times New Roman"/>
        <family val="1"/>
      </rPr>
      <t>Anexo I  – Datos Estadísticos</t>
    </r>
  </si>
  <si>
    <r>
      <t>§</t>
    </r>
    <r>
      <rPr>
        <sz val="7"/>
        <color theme="1"/>
        <rFont val="Times New Roman"/>
        <family val="1"/>
      </rPr>
      <t xml:space="preserve">  </t>
    </r>
    <r>
      <rPr>
        <sz val="12"/>
        <color theme="1"/>
        <rFont val="Times New Roman"/>
        <family val="1"/>
      </rPr>
      <t>Anexo J  – Índices Económico - Financieros</t>
    </r>
  </si>
  <si>
    <t>Abreviaturas:</t>
  </si>
  <si>
    <t>US$ - Dólares Estadounidenses</t>
  </si>
  <si>
    <t>Gs. – Guaraníes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</si>
</sst>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00\ &quot;€&quot;_-;\-* #,##0.00\ &quot;€&quot;_-;_-* &quot;-&quot;??\ &quot;€&quot;_-;_-@_-"/>
    <numFmt numFmtId="165" formatCode="_-* #,##0.00\ _€_-;\-* #,##0.00\ _€_-;_-* &quot;-&quot;??\ _€_-;_-@_-"/>
    <numFmt numFmtId="166" formatCode="_-* #,##0\ _B_F_-;\-* #,##0\ _B_F_-;_-* &quot;-&quot;\ _B_F_-;_-@_-"/>
    <numFmt numFmtId="167" formatCode="_(* #,##0_);_(* \(#,##0\);_(* &quot;-&quot;_);_(@_)"/>
    <numFmt numFmtId="168" formatCode="_-* #,##0\ _€_-;\-* #,##0\ _€_-;_-* &quot;-&quot;??\ _€_-;_-@_-"/>
    <numFmt numFmtId="169" formatCode="#,##0_);\(#,##0\);\ &quot;-&quot;_)"/>
  </numFmts>
  <fonts count="79">
    <font>
      <sz val="10"/>
      <name val="Arial"/>
    </font>
    <font>
      <sz val="11"/>
      <color theme="1"/>
      <name val="Calibri"/>
      <family val="2"/>
      <scheme val="minor"/>
    </font>
    <font>
      <sz val="10"/>
      <name val="Arial"/>
      <family val="2"/>
    </font>
    <font>
      <b/>
      <sz val="10"/>
      <name val="Times New Roman"/>
      <family val="1"/>
    </font>
    <font>
      <sz val="8"/>
      <name val="Arial"/>
      <family val="2"/>
    </font>
    <font>
      <sz val="11"/>
      <name val="Cambria"/>
      <family val="1"/>
    </font>
    <font>
      <sz val="10"/>
      <name val="Times New Roman"/>
      <family val="1"/>
    </font>
    <font>
      <sz val="11"/>
      <color indexed="8"/>
      <name val="Calibri"/>
      <family val="2"/>
    </font>
    <font>
      <sz val="10"/>
      <color indexed="9"/>
      <name val="Times New Roman"/>
      <family val="1"/>
    </font>
    <font>
      <b/>
      <sz val="9"/>
      <color indexed="81"/>
      <name val="Tahoma"/>
      <family val="2"/>
    </font>
    <font>
      <sz val="12"/>
      <name val="Times New Roman"/>
      <family val="1"/>
    </font>
    <font>
      <sz val="11"/>
      <color indexed="9"/>
      <name val="Times New Roman"/>
      <family val="1"/>
    </font>
    <font>
      <u/>
      <sz val="9"/>
      <color indexed="8"/>
      <name val="Times New Roman"/>
      <family val="1"/>
    </font>
    <font>
      <u/>
      <sz val="11"/>
      <name val="Times New Roman"/>
      <family val="1"/>
    </font>
    <font>
      <sz val="9"/>
      <color indexed="81"/>
      <name val="Tahoma"/>
      <family val="2"/>
    </font>
    <font>
      <sz val="10"/>
      <name val="Arial"/>
      <family val="2"/>
    </font>
    <font>
      <sz val="11"/>
      <color theme="1"/>
      <name val="Calibri"/>
      <family val="2"/>
      <scheme val="minor"/>
    </font>
    <font>
      <b/>
      <sz val="12"/>
      <name val="Times New Roman"/>
      <family val="1"/>
    </font>
    <font>
      <b/>
      <sz val="14"/>
      <name val="Times New Roman"/>
      <family val="1"/>
    </font>
    <font>
      <b/>
      <sz val="10"/>
      <color theme="0"/>
      <name val="Times New Roman"/>
      <family val="1"/>
    </font>
    <font>
      <sz val="10"/>
      <name val="Arial"/>
      <family val="2"/>
    </font>
    <font>
      <b/>
      <sz val="11"/>
      <name val="Times New Roman"/>
      <family val="1"/>
    </font>
    <font>
      <sz val="10"/>
      <color theme="0"/>
      <name val="Times New Roman"/>
      <family val="1"/>
    </font>
    <font>
      <sz val="10"/>
      <name val="Arial"/>
      <family val="2"/>
    </font>
    <font>
      <b/>
      <sz val="10"/>
      <name val="Arial"/>
      <family val="2"/>
    </font>
    <font>
      <b/>
      <sz val="10"/>
      <color theme="5" tint="-0.24997711111789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1"/>
    </font>
    <font>
      <b/>
      <i/>
      <u/>
      <sz val="10"/>
      <name val="Arial"/>
      <family val="2"/>
    </font>
    <font>
      <sz val="11"/>
      <color theme="0"/>
      <name val="Times New Roman"/>
      <family val="1"/>
    </font>
    <font>
      <sz val="10"/>
      <name val="Arial"/>
      <family val="2"/>
    </font>
    <font>
      <b/>
      <sz val="11"/>
      <color theme="0"/>
      <name val="Times New Roman"/>
      <family val="1"/>
    </font>
    <font>
      <b/>
      <sz val="12"/>
      <color theme="0"/>
      <name val="Times New Roman"/>
      <family val="1"/>
    </font>
    <font>
      <sz val="10"/>
      <color theme="0"/>
      <name val="Arial"/>
      <family val="2"/>
    </font>
    <font>
      <b/>
      <sz val="10"/>
      <color theme="0"/>
      <name val="Arial"/>
      <family val="2"/>
    </font>
    <font>
      <sz val="11"/>
      <color theme="1"/>
      <name val="Times New Roman"/>
      <family val="1"/>
    </font>
    <font>
      <b/>
      <u/>
      <sz val="28"/>
      <name val="FangSong"/>
      <family val="3"/>
    </font>
    <font>
      <b/>
      <u/>
      <sz val="28"/>
      <name val="French Script MT"/>
      <family val="4"/>
    </font>
    <font>
      <b/>
      <i/>
      <u/>
      <sz val="11"/>
      <color indexed="8"/>
      <name val="Arial"/>
      <family val="2"/>
    </font>
    <font>
      <sz val="11"/>
      <color theme="1"/>
      <name val="Arial"/>
      <family val="2"/>
    </font>
    <font>
      <b/>
      <i/>
      <sz val="11"/>
      <color indexed="8"/>
      <name val="Arial"/>
      <family val="2"/>
    </font>
    <font>
      <sz val="11"/>
      <color indexed="8"/>
      <name val="Arial"/>
      <family val="2"/>
    </font>
    <font>
      <b/>
      <sz val="11"/>
      <color indexed="8"/>
      <name val="Arial"/>
      <family val="2"/>
    </font>
    <font>
      <b/>
      <sz val="11"/>
      <color theme="1"/>
      <name val="Arial"/>
      <family val="2"/>
    </font>
    <font>
      <sz val="10"/>
      <name val="Arial"/>
      <family val="2"/>
    </font>
    <font>
      <sz val="12"/>
      <color indexed="9"/>
      <name val="Times New Roman"/>
      <family val="1"/>
    </font>
    <font>
      <sz val="14"/>
      <name val="Times New Roman"/>
      <family val="1"/>
    </font>
    <font>
      <b/>
      <sz val="12"/>
      <color indexed="8"/>
      <name val="Times New Roman"/>
      <family val="1"/>
    </font>
    <font>
      <sz val="12"/>
      <color theme="0"/>
      <name val="Times New Roman"/>
      <family val="1"/>
    </font>
    <font>
      <b/>
      <i/>
      <sz val="12"/>
      <name val="Times New Roman"/>
      <family val="1"/>
    </font>
    <font>
      <b/>
      <u/>
      <sz val="12"/>
      <name val="Times New Roman"/>
      <family val="1"/>
    </font>
    <font>
      <b/>
      <sz val="14"/>
      <color theme="0"/>
      <name val="Times New Roman"/>
      <family val="1"/>
    </font>
    <font>
      <b/>
      <sz val="16"/>
      <name val="Times New Roman"/>
      <family val="1"/>
    </font>
    <font>
      <sz val="12"/>
      <name val="Calibri"/>
      <family val="2"/>
    </font>
    <font>
      <sz val="11"/>
      <name val="Calibri"/>
      <family val="2"/>
    </font>
    <font>
      <sz val="16"/>
      <name val="Times New Roman Negrita"/>
    </font>
    <font>
      <b/>
      <sz val="14"/>
      <color theme="1"/>
      <name val="Times New Roman"/>
      <family val="1"/>
    </font>
    <font>
      <b/>
      <sz val="10"/>
      <color theme="1"/>
      <name val="Times New Roman"/>
      <family val="1"/>
    </font>
    <font>
      <sz val="12"/>
      <color theme="1"/>
      <name val="Times New Roman"/>
      <family val="1"/>
    </font>
    <font>
      <sz val="10"/>
      <color theme="1"/>
      <name val="Times New Roman"/>
      <family val="1"/>
    </font>
    <font>
      <b/>
      <sz val="12"/>
      <color theme="1"/>
      <name val="Times New Roman"/>
      <family val="1"/>
    </font>
    <font>
      <sz val="12"/>
      <color theme="1"/>
      <name val="Wingdings"/>
      <charset val="2"/>
    </font>
    <font>
      <sz val="7"/>
      <color theme="1"/>
      <name val="Times New Roman"/>
      <family val="1"/>
    </font>
    <font>
      <b/>
      <sz val="11"/>
      <color theme="1"/>
      <name val="Times New Roman"/>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rgb="FFFFFF00"/>
        <bgColor indexed="64"/>
      </patternFill>
    </fill>
    <fill>
      <patternFill patternType="solid">
        <fgColor rgb="FFFFFFCC"/>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56">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bottom/>
      <diagonal/>
    </border>
    <border>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15649">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20" fillId="0" borderId="0" applyFont="0" applyFill="0" applyBorder="0" applyAlignment="0" applyProtection="0"/>
    <xf numFmtId="165" fontId="23" fillId="0" borderId="0" applyFont="0" applyFill="0" applyBorder="0" applyAlignment="0" applyProtection="0"/>
    <xf numFmtId="0" fontId="1" fillId="0" borderId="0"/>
    <xf numFmtId="0" fontId="26" fillId="0" borderId="0" applyNumberFormat="0" applyFill="0" applyBorder="0" applyAlignment="0" applyProtection="0"/>
    <xf numFmtId="0" fontId="27" fillId="0" borderId="26" applyNumberFormat="0" applyFill="0" applyAlignment="0" applyProtection="0"/>
    <xf numFmtId="0" fontId="28" fillId="0" borderId="27" applyNumberFormat="0" applyFill="0" applyAlignment="0" applyProtection="0"/>
    <xf numFmtId="0" fontId="29" fillId="0" borderId="28" applyNumberFormat="0" applyFill="0" applyAlignment="0" applyProtection="0"/>
    <xf numFmtId="0" fontId="29" fillId="0" borderId="0" applyNumberFormat="0" applyFill="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3" fillId="17" borderId="29" applyNumberFormat="0" applyAlignment="0" applyProtection="0"/>
    <xf numFmtId="0" fontId="34" fillId="18" borderId="30" applyNumberFormat="0" applyAlignment="0" applyProtection="0"/>
    <xf numFmtId="0" fontId="35" fillId="18" borderId="29" applyNumberFormat="0" applyAlignment="0" applyProtection="0"/>
    <xf numFmtId="0" fontId="36" fillId="0" borderId="31" applyNumberFormat="0" applyFill="0" applyAlignment="0" applyProtection="0"/>
    <xf numFmtId="0" fontId="37" fillId="19" borderId="32" applyNumberFormat="0" applyAlignment="0" applyProtection="0"/>
    <xf numFmtId="0" fontId="38" fillId="0" borderId="0" applyNumberFormat="0" applyFill="0" applyBorder="0" applyAlignment="0" applyProtection="0"/>
    <xf numFmtId="0" fontId="1" fillId="12" borderId="24" applyNumberFormat="0" applyFont="0" applyAlignment="0" applyProtection="0"/>
    <xf numFmtId="0" fontId="39" fillId="0" borderId="0" applyNumberFormat="0" applyFill="0" applyBorder="0" applyAlignment="0" applyProtection="0"/>
    <xf numFmtId="0" fontId="40" fillId="0" borderId="33" applyNumberFormat="0" applyFill="0" applyAlignment="0" applyProtection="0"/>
    <xf numFmtId="0" fontId="41" fillId="20" borderId="0" applyNumberFormat="0" applyBorder="0" applyAlignment="0" applyProtection="0"/>
    <xf numFmtId="0" fontId="1" fillId="8" borderId="0" applyNumberFormat="0" applyBorder="0" applyAlignment="0" applyProtection="0"/>
    <xf numFmtId="0" fontId="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 fillId="9" borderId="0" applyNumberFormat="0" applyBorder="0" applyAlignment="0" applyProtection="0"/>
    <xf numFmtId="0" fontId="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1" fillId="40" borderId="0" applyNumberFormat="0" applyBorder="0" applyAlignment="0" applyProtection="0"/>
    <xf numFmtId="9" fontId="45" fillId="0" borderId="0" applyFont="0" applyFill="0" applyBorder="0" applyAlignment="0" applyProtection="0"/>
    <xf numFmtId="0" fontId="2" fillId="0" borderId="0"/>
    <xf numFmtId="41" fontId="59" fillId="0" borderId="0" applyFont="0" applyFill="0" applyBorder="0" applyAlignment="0" applyProtection="0"/>
  </cellStyleXfs>
  <cellXfs count="572">
    <xf numFmtId="0" fontId="0" fillId="0" borderId="0" xfId="0"/>
    <xf numFmtId="0" fontId="6" fillId="0" borderId="0" xfId="0" applyFont="1"/>
    <xf numFmtId="0" fontId="6" fillId="0" borderId="0" xfId="0" applyFont="1" applyAlignment="1">
      <alignment horizontal="center"/>
    </xf>
    <xf numFmtId="0" fontId="3" fillId="0" borderId="0" xfId="0" applyFont="1"/>
    <xf numFmtId="0" fontId="3" fillId="0" borderId="2" xfId="0" applyFont="1" applyBorder="1"/>
    <xf numFmtId="0" fontId="3" fillId="0" borderId="4" xfId="0" applyFont="1" applyBorder="1"/>
    <xf numFmtId="0" fontId="3" fillId="0" borderId="5" xfId="0" applyFont="1" applyBorder="1"/>
    <xf numFmtId="0" fontId="3" fillId="0" borderId="0"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19" fillId="0" borderId="0" xfId="0" applyFont="1"/>
    <xf numFmtId="0" fontId="6" fillId="0" borderId="0" xfId="0" applyFont="1"/>
    <xf numFmtId="3" fontId="22" fillId="0" borderId="0" xfId="0" applyNumberFormat="1" applyFont="1"/>
    <xf numFmtId="0" fontId="6" fillId="0" borderId="2" xfId="0" applyFont="1" applyBorder="1"/>
    <xf numFmtId="0" fontId="6" fillId="0" borderId="3" xfId="0" applyFont="1" applyBorder="1"/>
    <xf numFmtId="0" fontId="6" fillId="0" borderId="0" xfId="0" applyFont="1"/>
    <xf numFmtId="168" fontId="6" fillId="0" borderId="15" xfId="15603" applyNumberFormat="1" applyFont="1" applyBorder="1"/>
    <xf numFmtId="0" fontId="3" fillId="0" borderId="3" xfId="0" applyFont="1" applyBorder="1"/>
    <xf numFmtId="0" fontId="22" fillId="0" borderId="0" xfId="0" applyFont="1"/>
    <xf numFmtId="168" fontId="0" fillId="0" borderId="0" xfId="15603" applyNumberFormat="1" applyFont="1"/>
    <xf numFmtId="0" fontId="0" fillId="0" borderId="0" xfId="0" applyFill="1"/>
    <xf numFmtId="168" fontId="0" fillId="0" borderId="0" xfId="15603" applyNumberFormat="1" applyFont="1" applyFill="1"/>
    <xf numFmtId="168" fontId="24" fillId="0" borderId="1" xfId="15603" applyNumberFormat="1" applyFont="1" applyFill="1" applyBorder="1"/>
    <xf numFmtId="0" fontId="24" fillId="0" borderId="0" xfId="0" applyFont="1" applyFill="1"/>
    <xf numFmtId="0" fontId="24" fillId="0" borderId="0" xfId="0" applyFont="1" applyFill="1" applyAlignment="1"/>
    <xf numFmtId="0" fontId="21" fillId="0" borderId="0" xfId="0" applyFont="1"/>
    <xf numFmtId="167" fontId="6" fillId="0" borderId="6" xfId="15602" applyNumberFormat="1" applyFont="1" applyFill="1" applyBorder="1" applyAlignment="1" applyProtection="1">
      <alignment horizontal="right" vertical="center"/>
    </xf>
    <xf numFmtId="167" fontId="6" fillId="0" borderId="5" xfId="15602" applyNumberFormat="1" applyFont="1" applyFill="1" applyBorder="1" applyAlignment="1" applyProtection="1">
      <alignment horizontal="right" vertical="center"/>
    </xf>
    <xf numFmtId="167" fontId="3" fillId="0" borderId="5" xfId="15602" applyNumberFormat="1" applyFont="1" applyFill="1" applyBorder="1" applyAlignment="1" applyProtection="1">
      <alignment horizontal="right" vertical="center"/>
    </xf>
    <xf numFmtId="167" fontId="3" fillId="0" borderId="6" xfId="15602" applyNumberFormat="1" applyFont="1" applyFill="1" applyBorder="1" applyAlignment="1" applyProtection="1">
      <alignment horizontal="right" vertical="center"/>
    </xf>
    <xf numFmtId="168" fontId="2" fillId="0" borderId="0" xfId="15603" applyNumberFormat="1" applyFont="1"/>
    <xf numFmtId="0" fontId="25" fillId="11" borderId="0" xfId="0" applyFont="1" applyFill="1"/>
    <xf numFmtId="14" fontId="25" fillId="11" borderId="0" xfId="15603" applyNumberFormat="1" applyFont="1" applyFill="1"/>
    <xf numFmtId="0" fontId="24" fillId="0" borderId="0" xfId="0" applyFont="1"/>
    <xf numFmtId="168" fontId="24" fillId="0" borderId="0" xfId="15603" applyNumberFormat="1" applyFont="1"/>
    <xf numFmtId="0" fontId="6" fillId="0" borderId="0" xfId="0" applyFont="1"/>
    <xf numFmtId="0" fontId="2" fillId="0" borderId="0" xfId="0" applyFont="1"/>
    <xf numFmtId="168" fontId="0" fillId="13" borderId="0" xfId="15603" applyNumberFormat="1" applyFont="1" applyFill="1"/>
    <xf numFmtId="168" fontId="0" fillId="0" borderId="0" xfId="0" applyNumberFormat="1"/>
    <xf numFmtId="168" fontId="22" fillId="0" borderId="0" xfId="15603" applyNumberFormat="1" applyFont="1"/>
    <xf numFmtId="168" fontId="6" fillId="0" borderId="0" xfId="15603" applyNumberFormat="1" applyFont="1" applyBorder="1"/>
    <xf numFmtId="168" fontId="6" fillId="0" borderId="6" xfId="15603" applyNumberFormat="1" applyFont="1" applyBorder="1"/>
    <xf numFmtId="168" fontId="6" fillId="0" borderId="8" xfId="15603" applyNumberFormat="1" applyFont="1" applyBorder="1"/>
    <xf numFmtId="0" fontId="3" fillId="0" borderId="7" xfId="0" applyFont="1" applyBorder="1"/>
    <xf numFmtId="168" fontId="3" fillId="0" borderId="8" xfId="15603" applyNumberFormat="1" applyFont="1" applyBorder="1"/>
    <xf numFmtId="168" fontId="3" fillId="0" borderId="9" xfId="15603" applyNumberFormat="1" applyFont="1" applyBorder="1"/>
    <xf numFmtId="168" fontId="6" fillId="0" borderId="0" xfId="15603" applyNumberFormat="1" applyFont="1"/>
    <xf numFmtId="168" fontId="6" fillId="0" borderId="7" xfId="15603" applyNumberFormat="1" applyFont="1" applyBorder="1"/>
    <xf numFmtId="168" fontId="3" fillId="0" borderId="0" xfId="15603" applyNumberFormat="1" applyFont="1" applyBorder="1"/>
    <xf numFmtId="168" fontId="3" fillId="0" borderId="6" xfId="15603" applyNumberFormat="1" applyFont="1" applyBorder="1"/>
    <xf numFmtId="14" fontId="0" fillId="0" borderId="0" xfId="0" applyNumberFormat="1"/>
    <xf numFmtId="0" fontId="1" fillId="0" borderId="0" xfId="15604"/>
    <xf numFmtId="14" fontId="1" fillId="0" borderId="0" xfId="15604" applyNumberFormat="1"/>
    <xf numFmtId="3" fontId="1" fillId="0" borderId="0" xfId="15604" applyNumberFormat="1"/>
    <xf numFmtId="0" fontId="6" fillId="13" borderId="5" xfId="0" applyFont="1" applyFill="1" applyBorder="1"/>
    <xf numFmtId="168" fontId="6" fillId="13" borderId="0" xfId="15603" applyNumberFormat="1" applyFont="1" applyFill="1" applyBorder="1"/>
    <xf numFmtId="168" fontId="6" fillId="13" borderId="6" xfId="15603" applyNumberFormat="1" applyFont="1" applyFill="1" applyBorder="1"/>
    <xf numFmtId="168" fontId="22" fillId="13" borderId="0" xfId="0" applyNumberFormat="1" applyFont="1" applyFill="1"/>
    <xf numFmtId="0" fontId="6" fillId="13" borderId="0" xfId="0" applyFont="1" applyFill="1"/>
    <xf numFmtId="168" fontId="6" fillId="0" borderId="0" xfId="0" applyNumberFormat="1" applyFont="1"/>
    <xf numFmtId="0" fontId="0" fillId="0" borderId="0" xfId="0"/>
    <xf numFmtId="168" fontId="6" fillId="13" borderId="5" xfId="15603" applyNumberFormat="1" applyFont="1" applyFill="1" applyBorder="1"/>
    <xf numFmtId="168" fontId="6" fillId="13" borderId="0" xfId="15603" applyNumberFormat="1" applyFont="1" applyFill="1"/>
    <xf numFmtId="168" fontId="22" fillId="13" borderId="0" xfId="15603" applyNumberFormat="1" applyFont="1" applyFill="1"/>
    <xf numFmtId="0" fontId="0" fillId="0" borderId="0" xfId="0"/>
    <xf numFmtId="0" fontId="42" fillId="0" borderId="0" xfId="0" applyFont="1"/>
    <xf numFmtId="168" fontId="42" fillId="0" borderId="0" xfId="15603" applyNumberFormat="1" applyFont="1"/>
    <xf numFmtId="0" fontId="0" fillId="41" borderId="0" xfId="0" applyFill="1"/>
    <xf numFmtId="0" fontId="43" fillId="41" borderId="0" xfId="0" applyFont="1" applyFill="1"/>
    <xf numFmtId="168" fontId="21" fillId="0" borderId="0" xfId="15603" applyNumberFormat="1" applyFont="1"/>
    <xf numFmtId="168" fontId="0" fillId="0" borderId="0" xfId="15603" applyNumberFormat="1" applyFont="1"/>
    <xf numFmtId="168" fontId="24" fillId="41" borderId="0" xfId="15603" applyNumberFormat="1" applyFont="1" applyFill="1"/>
    <xf numFmtId="0" fontId="6" fillId="0" borderId="0" xfId="0" applyFont="1"/>
    <xf numFmtId="49" fontId="0" fillId="0" borderId="0" xfId="0" applyNumberFormat="1"/>
    <xf numFmtId="3" fontId="0" fillId="0" borderId="0" xfId="0" applyNumberFormat="1"/>
    <xf numFmtId="3" fontId="24" fillId="0" borderId="40" xfId="0" applyNumberFormat="1" applyFont="1" applyBorder="1"/>
    <xf numFmtId="168" fontId="24" fillId="0" borderId="40" xfId="15603" applyNumberFormat="1" applyFont="1" applyBorder="1"/>
    <xf numFmtId="0" fontId="24" fillId="0" borderId="0" xfId="0" applyFont="1" applyAlignment="1">
      <alignment horizontal="center"/>
    </xf>
    <xf numFmtId="168" fontId="44" fillId="0" borderId="0" xfId="15603" applyNumberFormat="1" applyFont="1"/>
    <xf numFmtId="0" fontId="44" fillId="0" borderId="0" xfId="0" applyFont="1"/>
    <xf numFmtId="0" fontId="6" fillId="0" borderId="0" xfId="0" applyFont="1"/>
    <xf numFmtId="0" fontId="3" fillId="0" borderId="0" xfId="0" applyFont="1"/>
    <xf numFmtId="0" fontId="6" fillId="0" borderId="15" xfId="0" applyFont="1" applyBorder="1"/>
    <xf numFmtId="0" fontId="6" fillId="0" borderId="15" xfId="0" applyFont="1" applyBorder="1" applyAlignment="1">
      <alignment wrapText="1"/>
    </xf>
    <xf numFmtId="0" fontId="6" fillId="0" borderId="0" xfId="0" applyFont="1"/>
    <xf numFmtId="0" fontId="6" fillId="0" borderId="0" xfId="0" applyFont="1" applyAlignment="1">
      <alignment horizontal="center"/>
    </xf>
    <xf numFmtId="0" fontId="3" fillId="0" borderId="0" xfId="0" applyFont="1"/>
    <xf numFmtId="168" fontId="19" fillId="0" borderId="0" xfId="0" applyNumberFormat="1" applyFont="1"/>
    <xf numFmtId="168" fontId="0" fillId="41" borderId="0" xfId="15603" applyNumberFormat="1" applyFont="1" applyFill="1"/>
    <xf numFmtId="4" fontId="6" fillId="0" borderId="0" xfId="0" applyNumberFormat="1" applyFont="1"/>
    <xf numFmtId="165" fontId="22" fillId="0" borderId="0" xfId="15603" applyFont="1"/>
    <xf numFmtId="165" fontId="22" fillId="0" borderId="0" xfId="0" applyNumberFormat="1" applyFont="1"/>
    <xf numFmtId="0" fontId="6" fillId="0" borderId="0" xfId="0" applyFont="1"/>
    <xf numFmtId="0" fontId="0" fillId="0" borderId="0" xfId="0"/>
    <xf numFmtId="0" fontId="42" fillId="0" borderId="0" xfId="0" applyFont="1"/>
    <xf numFmtId="0" fontId="0" fillId="0" borderId="0" xfId="0"/>
    <xf numFmtId="0" fontId="24" fillId="0" borderId="0" xfId="0" applyFont="1"/>
    <xf numFmtId="0" fontId="42" fillId="0" borderId="0" xfId="0" applyFont="1"/>
    <xf numFmtId="167" fontId="6" fillId="0" borderId="0" xfId="0" applyNumberFormat="1" applyFont="1"/>
    <xf numFmtId="167" fontId="3" fillId="0" borderId="0" xfId="0" applyNumberFormat="1" applyFont="1"/>
    <xf numFmtId="49" fontId="21" fillId="0" borderId="35" xfId="15603" applyNumberFormat="1" applyFont="1" applyBorder="1"/>
    <xf numFmtId="168" fontId="21" fillId="0" borderId="35" xfId="15603" applyNumberFormat="1" applyFont="1" applyBorder="1"/>
    <xf numFmtId="168" fontId="21" fillId="0" borderId="1" xfId="15603" applyNumberFormat="1" applyFont="1" applyBorder="1"/>
    <xf numFmtId="0" fontId="46" fillId="0" borderId="0" xfId="0" applyFont="1"/>
    <xf numFmtId="49" fontId="21" fillId="0" borderId="35" xfId="0" applyNumberFormat="1" applyFont="1" applyBorder="1"/>
    <xf numFmtId="167" fontId="21" fillId="0" borderId="1" xfId="0" applyNumberFormat="1" applyFont="1" applyBorder="1" applyAlignment="1" applyProtection="1">
      <alignment horizontal="right" vertical="center"/>
      <protection locked="0"/>
    </xf>
    <xf numFmtId="0" fontId="17" fillId="0" borderId="0" xfId="0" applyFont="1"/>
    <xf numFmtId="168" fontId="42" fillId="0" borderId="15" xfId="15603" applyNumberFormat="1" applyFont="1" applyBorder="1"/>
    <xf numFmtId="9" fontId="42" fillId="0" borderId="15" xfId="15646" applyFont="1" applyBorder="1"/>
    <xf numFmtId="168" fontId="21" fillId="0" borderId="15" xfId="15603" applyNumberFormat="1" applyFont="1" applyBorder="1"/>
    <xf numFmtId="0" fontId="47" fillId="0" borderId="0" xfId="0" applyFont="1"/>
    <xf numFmtId="0" fontId="42" fillId="0" borderId="0" xfId="0" applyFont="1"/>
    <xf numFmtId="0" fontId="0" fillId="0" borderId="0" xfId="0"/>
    <xf numFmtId="0" fontId="24" fillId="0" borderId="0" xfId="0" applyFont="1"/>
    <xf numFmtId="168" fontId="44" fillId="0" borderId="0" xfId="0" applyNumberFormat="1" applyFont="1"/>
    <xf numFmtId="0" fontId="48" fillId="0" borderId="0" xfId="0" applyFont="1"/>
    <xf numFmtId="0" fontId="49" fillId="0" borderId="0" xfId="0" applyFont="1"/>
    <xf numFmtId="1" fontId="49" fillId="0" borderId="0" xfId="0" applyNumberFormat="1" applyFont="1"/>
    <xf numFmtId="1" fontId="48" fillId="0" borderId="0" xfId="0" applyNumberFormat="1" applyFont="1"/>
    <xf numFmtId="0" fontId="6" fillId="0" borderId="0" xfId="0" applyFont="1"/>
    <xf numFmtId="49" fontId="21" fillId="0" borderId="0" xfId="0" applyNumberFormat="1" applyFont="1" applyBorder="1"/>
    <xf numFmtId="167" fontId="49" fillId="0" borderId="0" xfId="0" applyNumberFormat="1" applyFont="1"/>
    <xf numFmtId="0" fontId="6" fillId="0" borderId="0" xfId="0" applyFont="1" applyFill="1"/>
    <xf numFmtId="0" fontId="51" fillId="0" borderId="0" xfId="13857" applyFont="1"/>
    <xf numFmtId="0" fontId="52" fillId="0" borderId="0" xfId="13857" applyFont="1"/>
    <xf numFmtId="0" fontId="54" fillId="0" borderId="0" xfId="0" applyFont="1"/>
    <xf numFmtId="0" fontId="55" fillId="0" borderId="0" xfId="0" applyFont="1" applyAlignment="1">
      <alignment horizontal="center" vertical="center" wrapText="1"/>
    </xf>
    <xf numFmtId="167" fontId="55" fillId="0" borderId="0" xfId="0" applyNumberFormat="1" applyFont="1" applyAlignment="1">
      <alignment horizontal="center" vertical="center" wrapText="1"/>
    </xf>
    <xf numFmtId="0" fontId="56" fillId="0" borderId="0" xfId="0" applyFont="1" applyAlignment="1">
      <alignment wrapText="1"/>
    </xf>
    <xf numFmtId="0" fontId="56" fillId="0" borderId="0" xfId="0" applyFont="1" applyAlignment="1">
      <alignment horizontal="center" vertical="center"/>
    </xf>
    <xf numFmtId="167" fontId="56" fillId="0" borderId="0" xfId="0" applyNumberFormat="1" applyFont="1"/>
    <xf numFmtId="0" fontId="54" fillId="42" borderId="0" xfId="0" applyFont="1" applyFill="1"/>
    <xf numFmtId="0" fontId="0" fillId="42" borderId="0" xfId="0" applyFill="1"/>
    <xf numFmtId="0" fontId="57" fillId="0" borderId="0" xfId="0" applyFont="1" applyAlignment="1">
      <alignment wrapText="1"/>
    </xf>
    <xf numFmtId="0" fontId="57" fillId="42" borderId="0" xfId="0" applyFont="1" applyFill="1" applyAlignment="1">
      <alignment horizontal="center" vertical="center"/>
    </xf>
    <xf numFmtId="167" fontId="57" fillId="42" borderId="0" xfId="0" applyNumberFormat="1" applyFont="1" applyFill="1"/>
    <xf numFmtId="0" fontId="58" fillId="0" borderId="0" xfId="0" applyFont="1"/>
    <xf numFmtId="167" fontId="40" fillId="0" borderId="0" xfId="0" applyNumberFormat="1" applyFont="1"/>
    <xf numFmtId="0" fontId="55" fillId="42" borderId="0" xfId="0" applyFont="1" applyFill="1" applyAlignment="1">
      <alignment horizontal="center" vertical="center" wrapText="1"/>
    </xf>
    <xf numFmtId="0" fontId="57" fillId="0" borderId="0" xfId="0" applyFont="1" applyAlignment="1">
      <alignment horizontal="center" vertical="center"/>
    </xf>
    <xf numFmtId="0" fontId="58" fillId="42" borderId="0" xfId="0" applyFont="1" applyFill="1"/>
    <xf numFmtId="0" fontId="40" fillId="42" borderId="0" xfId="0" applyFont="1" applyFill="1"/>
    <xf numFmtId="167" fontId="54" fillId="0" borderId="0" xfId="0" applyNumberFormat="1" applyFont="1"/>
    <xf numFmtId="167" fontId="58" fillId="0" borderId="0" xfId="0" applyNumberFormat="1" applyFont="1"/>
    <xf numFmtId="0" fontId="56" fillId="0" borderId="0" xfId="0" applyFont="1" applyAlignment="1">
      <alignment vertical="top" wrapText="1"/>
    </xf>
    <xf numFmtId="168" fontId="54" fillId="0" borderId="0" xfId="13325" applyNumberFormat="1" applyFont="1"/>
    <xf numFmtId="0" fontId="57" fillId="0" borderId="1" xfId="0" applyFont="1" applyBorder="1" applyAlignment="1">
      <alignment wrapText="1"/>
    </xf>
    <xf numFmtId="0" fontId="57" fillId="0" borderId="1" xfId="0" applyFont="1" applyBorder="1" applyAlignment="1">
      <alignment horizontal="center" vertical="center"/>
    </xf>
    <xf numFmtId="167" fontId="57" fillId="0" borderId="1" xfId="0" applyNumberFormat="1" applyFont="1" applyBorder="1"/>
    <xf numFmtId="167" fontId="54" fillId="0" borderId="1" xfId="0" applyNumberFormat="1" applyFont="1" applyBorder="1"/>
    <xf numFmtId="0" fontId="17" fillId="0" borderId="0" xfId="0" applyFont="1" applyAlignment="1"/>
    <xf numFmtId="0" fontId="21" fillId="0" borderId="0" xfId="0" applyFont="1" applyAlignment="1"/>
    <xf numFmtId="0" fontId="6" fillId="0" borderId="0" xfId="0" applyFont="1" applyAlignment="1"/>
    <xf numFmtId="0" fontId="3" fillId="0" borderId="0" xfId="0" applyFont="1" applyAlignment="1"/>
    <xf numFmtId="0" fontId="22" fillId="0" borderId="0" xfId="0" applyFont="1" applyBorder="1"/>
    <xf numFmtId="0" fontId="17" fillId="0" borderId="2" xfId="0" applyFont="1" applyBorder="1"/>
    <xf numFmtId="0" fontId="17" fillId="0" borderId="3" xfId="0" applyFont="1" applyBorder="1"/>
    <xf numFmtId="0" fontId="17" fillId="0" borderId="4" xfId="0" applyFont="1" applyBorder="1"/>
    <xf numFmtId="0" fontId="17" fillId="0" borderId="5" xfId="0" applyFont="1" applyBorder="1"/>
    <xf numFmtId="0" fontId="17" fillId="0" borderId="0" xfId="0" applyFont="1" applyBorder="1"/>
    <xf numFmtId="0" fontId="17" fillId="0" borderId="6" xfId="0" applyFont="1" applyBorder="1"/>
    <xf numFmtId="0" fontId="10" fillId="0" borderId="0" xfId="0" applyFont="1"/>
    <xf numFmtId="0" fontId="10" fillId="0" borderId="5" xfId="0" applyFont="1" applyBorder="1"/>
    <xf numFmtId="0" fontId="10" fillId="0" borderId="0" xfId="0" applyFont="1" applyBorder="1"/>
    <xf numFmtId="0" fontId="10" fillId="0" borderId="6" xfId="0" applyFont="1" applyBorder="1"/>
    <xf numFmtId="3" fontId="10" fillId="0" borderId="0" xfId="0" applyNumberFormat="1" applyFont="1" applyBorder="1"/>
    <xf numFmtId="3" fontId="17" fillId="0" borderId="1" xfId="0" applyNumberFormat="1" applyFont="1" applyBorder="1"/>
    <xf numFmtId="3" fontId="17" fillId="0" borderId="0" xfId="0" applyNumberFormat="1" applyFont="1" applyBorder="1"/>
    <xf numFmtId="0" fontId="10" fillId="0" borderId="7" xfId="0" applyFont="1" applyBorder="1"/>
    <xf numFmtId="0" fontId="10" fillId="0" borderId="8" xfId="0" applyFont="1" applyBorder="1"/>
    <xf numFmtId="3" fontId="10" fillId="0" borderId="8" xfId="0" applyNumberFormat="1" applyFont="1" applyBorder="1"/>
    <xf numFmtId="0" fontId="10" fillId="0" borderId="9" xfId="0" applyFont="1" applyBorder="1"/>
    <xf numFmtId="0" fontId="17" fillId="0" borderId="0" xfId="0" applyFont="1" applyBorder="1" applyAlignment="1">
      <alignment horizontal="center"/>
    </xf>
    <xf numFmtId="0" fontId="10" fillId="0" borderId="0" xfId="0" applyFont="1" applyBorder="1" applyAlignment="1">
      <alignment horizontal="center"/>
    </xf>
    <xf numFmtId="41" fontId="10" fillId="0" borderId="0" xfId="15648" applyFont="1" applyBorder="1"/>
    <xf numFmtId="0" fontId="10" fillId="0" borderId="2" xfId="0" applyFont="1" applyBorder="1"/>
    <xf numFmtId="0" fontId="10" fillId="0" borderId="3" xfId="0" applyFont="1" applyBorder="1"/>
    <xf numFmtId="0" fontId="10" fillId="0" borderId="12" xfId="0" applyFont="1" applyBorder="1"/>
    <xf numFmtId="0" fontId="10" fillId="0" borderId="4" xfId="0" applyFont="1" applyBorder="1"/>
    <xf numFmtId="167" fontId="10" fillId="0" borderId="13" xfId="15602" applyNumberFormat="1" applyFont="1" applyFill="1" applyBorder="1" applyAlignment="1" applyProtection="1">
      <alignment horizontal="right" vertical="center"/>
    </xf>
    <xf numFmtId="167" fontId="10" fillId="0" borderId="11" xfId="15602" applyNumberFormat="1" applyFont="1" applyFill="1" applyBorder="1" applyAlignment="1" applyProtection="1">
      <alignment horizontal="right" vertical="center"/>
    </xf>
    <xf numFmtId="167" fontId="10" fillId="0" borderId="10" xfId="15602" applyNumberFormat="1" applyFont="1" applyFill="1" applyBorder="1" applyAlignment="1" applyProtection="1">
      <alignment horizontal="right" vertical="center"/>
    </xf>
    <xf numFmtId="167" fontId="17" fillId="0" borderId="16" xfId="15602" applyNumberFormat="1" applyFont="1" applyFill="1" applyBorder="1" applyAlignment="1" applyProtection="1">
      <alignment horizontal="right" vertical="center"/>
    </xf>
    <xf numFmtId="167" fontId="17" fillId="0" borderId="15" xfId="15602" applyNumberFormat="1" applyFont="1" applyFill="1" applyBorder="1" applyAlignment="1" applyProtection="1">
      <alignment horizontal="right" vertical="center"/>
    </xf>
    <xf numFmtId="167" fontId="17" fillId="0" borderId="17" xfId="15602" applyNumberFormat="1" applyFont="1" applyFill="1" applyBorder="1" applyAlignment="1" applyProtection="1">
      <alignment horizontal="right" vertical="center"/>
    </xf>
    <xf numFmtId="0" fontId="10" fillId="0" borderId="13" xfId="0" applyFont="1" applyBorder="1"/>
    <xf numFmtId="0" fontId="10" fillId="0" borderId="14" xfId="0" applyFont="1" applyBorder="1"/>
    <xf numFmtId="14" fontId="17" fillId="0" borderId="3" xfId="0" applyNumberFormat="1" applyFont="1" applyBorder="1" applyAlignment="1">
      <alignment horizontal="center" vertical="center"/>
    </xf>
    <xf numFmtId="14" fontId="17" fillId="0" borderId="8" xfId="0" applyNumberFormat="1" applyFont="1" applyBorder="1" applyAlignment="1">
      <alignment horizontal="center" vertical="center"/>
    </xf>
    <xf numFmtId="14" fontId="17" fillId="0" borderId="3" xfId="0" applyNumberFormat="1" applyFont="1" applyBorder="1" applyAlignment="1">
      <alignment horizontal="center"/>
    </xf>
    <xf numFmtId="14" fontId="17" fillId="0" borderId="4" xfId="0" applyNumberFormat="1" applyFont="1" applyBorder="1" applyAlignment="1">
      <alignment horizontal="center"/>
    </xf>
    <xf numFmtId="0" fontId="10" fillId="0" borderId="20" xfId="0" applyFont="1" applyBorder="1"/>
    <xf numFmtId="0" fontId="10" fillId="0" borderId="16" xfId="0" applyFont="1" applyBorder="1"/>
    <xf numFmtId="41" fontId="10" fillId="0" borderId="15" xfId="15648" applyFont="1" applyBorder="1"/>
    <xf numFmtId="167" fontId="10" fillId="0" borderId="0" xfId="0" applyNumberFormat="1" applyFont="1"/>
    <xf numFmtId="0" fontId="17" fillId="0" borderId="21" xfId="0" applyFont="1" applyBorder="1"/>
    <xf numFmtId="41" fontId="17" fillId="0" borderId="22" xfId="15648" applyFont="1" applyBorder="1"/>
    <xf numFmtId="41" fontId="17" fillId="0" borderId="23" xfId="15648" applyFont="1" applyBorder="1"/>
    <xf numFmtId="0" fontId="63" fillId="0" borderId="0" xfId="0" applyFont="1"/>
    <xf numFmtId="167" fontId="17" fillId="0" borderId="0" xfId="0" applyNumberFormat="1" applyFont="1"/>
    <xf numFmtId="0" fontId="17" fillId="0" borderId="47" xfId="0" applyFont="1" applyBorder="1" applyAlignment="1">
      <alignment horizontal="center" vertical="center"/>
    </xf>
    <xf numFmtId="167" fontId="10" fillId="0" borderId="15" xfId="0" applyNumberFormat="1" applyFont="1" applyBorder="1"/>
    <xf numFmtId="167" fontId="10" fillId="0" borderId="17" xfId="0" applyNumberFormat="1" applyFont="1" applyBorder="1"/>
    <xf numFmtId="167" fontId="10" fillId="0" borderId="38" xfId="0" applyNumberFormat="1" applyFont="1" applyBorder="1"/>
    <xf numFmtId="167" fontId="10" fillId="0" borderId="48" xfId="0" applyNumberFormat="1" applyFont="1" applyBorder="1"/>
    <xf numFmtId="49" fontId="62" fillId="0" borderId="35" xfId="15647" applyNumberFormat="1" applyFont="1" applyBorder="1" applyAlignment="1">
      <alignment horizontal="center" vertical="center" wrapText="1"/>
    </xf>
    <xf numFmtId="167" fontId="17" fillId="0" borderId="35" xfId="0" applyNumberFormat="1" applyFont="1" applyBorder="1"/>
    <xf numFmtId="167" fontId="17" fillId="0" borderId="35" xfId="0" applyNumberFormat="1" applyFont="1" applyBorder="1" applyAlignment="1">
      <alignment horizontal="right"/>
    </xf>
    <xf numFmtId="167" fontId="10" fillId="0" borderId="45" xfId="0" applyNumberFormat="1" applyFont="1" applyBorder="1"/>
    <xf numFmtId="167" fontId="17" fillId="0" borderId="45" xfId="0" applyNumberFormat="1" applyFont="1" applyBorder="1"/>
    <xf numFmtId="167" fontId="17" fillId="0" borderId="46" xfId="0" applyNumberFormat="1" applyFont="1" applyBorder="1"/>
    <xf numFmtId="167" fontId="50" fillId="0" borderId="0" xfId="0" applyNumberFormat="1" applyFont="1"/>
    <xf numFmtId="0" fontId="17" fillId="0" borderId="15" xfId="0" applyFont="1" applyBorder="1" applyAlignment="1">
      <alignment horizontal="center" wrapText="1"/>
    </xf>
    <xf numFmtId="0" fontId="17" fillId="0" borderId="15" xfId="0" applyFont="1" applyBorder="1"/>
    <xf numFmtId="168" fontId="10" fillId="0" borderId="15" xfId="15603" applyNumberFormat="1" applyFont="1" applyBorder="1"/>
    <xf numFmtId="168" fontId="17" fillId="0" borderId="15" xfId="15603" applyNumberFormat="1" applyFont="1" applyBorder="1"/>
    <xf numFmtId="167" fontId="10" fillId="0" borderId="15" xfId="0" applyNumberFormat="1" applyFont="1" applyBorder="1" applyAlignment="1">
      <alignment horizontal="right"/>
    </xf>
    <xf numFmtId="167" fontId="17" fillId="0" borderId="15" xfId="0" applyNumberFormat="1" applyFont="1" applyBorder="1" applyAlignment="1">
      <alignment horizontal="right"/>
    </xf>
    <xf numFmtId="9" fontId="10" fillId="0" borderId="36" xfId="15646" applyFont="1" applyBorder="1" applyAlignment="1">
      <alignment horizontal="center"/>
    </xf>
    <xf numFmtId="0" fontId="10" fillId="0" borderId="15" xfId="0" applyFont="1" applyBorder="1" applyAlignment="1">
      <alignment horizontal="left" vertical="center" wrapText="1"/>
    </xf>
    <xf numFmtId="168" fontId="10" fillId="0" borderId="0" xfId="15603" applyNumberFormat="1" applyFont="1"/>
    <xf numFmtId="168" fontId="17" fillId="0" borderId="1" xfId="15603" applyNumberFormat="1" applyFont="1" applyBorder="1"/>
    <xf numFmtId="168" fontId="10" fillId="0" borderId="0" xfId="15603" applyNumberFormat="1" applyFont="1" applyBorder="1"/>
    <xf numFmtId="0" fontId="17" fillId="0" borderId="15" xfId="0" applyFont="1" applyBorder="1" applyAlignment="1">
      <alignment wrapText="1"/>
    </xf>
    <xf numFmtId="168" fontId="17" fillId="0" borderId="37" xfId="15603" applyNumberFormat="1" applyFont="1" applyBorder="1" applyAlignment="1">
      <alignment horizontal="center" vertical="center"/>
    </xf>
    <xf numFmtId="0" fontId="10" fillId="0" borderId="15" xfId="0" applyFont="1" applyBorder="1" applyAlignment="1">
      <alignment wrapText="1"/>
    </xf>
    <xf numFmtId="0" fontId="10" fillId="0" borderId="15" xfId="0" applyFont="1" applyBorder="1" applyAlignment="1">
      <alignment vertical="center" wrapText="1"/>
    </xf>
    <xf numFmtId="0" fontId="10" fillId="0" borderId="15" xfId="0" applyFont="1" applyBorder="1" applyAlignment="1">
      <alignment vertical="center"/>
    </xf>
    <xf numFmtId="0" fontId="17" fillId="0" borderId="15" xfId="0" applyFont="1" applyBorder="1" applyAlignment="1">
      <alignment vertical="center" wrapText="1"/>
    </xf>
    <xf numFmtId="165" fontId="17" fillId="0" borderId="15" xfId="15603" applyNumberFormat="1" applyFont="1" applyBorder="1"/>
    <xf numFmtId="41" fontId="17" fillId="0" borderId="15" xfId="15648" applyFont="1" applyBorder="1"/>
    <xf numFmtId="0" fontId="17" fillId="0" borderId="34" xfId="0" applyFont="1" applyBorder="1" applyAlignment="1">
      <alignment horizontal="center" vertical="center"/>
    </xf>
    <xf numFmtId="168" fontId="10" fillId="0" borderId="34" xfId="15603" applyNumberFormat="1" applyFont="1" applyBorder="1"/>
    <xf numFmtId="168" fontId="17" fillId="0" borderId="40" xfId="15603" applyNumberFormat="1" applyFont="1" applyBorder="1"/>
    <xf numFmtId="0" fontId="6" fillId="0" borderId="0" xfId="0" applyFont="1" applyAlignment="1">
      <alignment horizontal="center" vertical="center" wrapText="1"/>
    </xf>
    <xf numFmtId="0" fontId="22" fillId="0" borderId="0" xfId="0" applyFont="1" applyAlignment="1">
      <alignment horizontal="center" vertical="center" wrapText="1"/>
    </xf>
    <xf numFmtId="14" fontId="17" fillId="0" borderId="0" xfId="0" applyNumberFormat="1" applyFont="1" applyBorder="1" applyAlignment="1">
      <alignment horizontal="center"/>
    </xf>
    <xf numFmtId="0" fontId="6" fillId="0" borderId="0" xfId="0" applyFont="1"/>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42" fillId="0" borderId="0" xfId="0" applyFont="1"/>
    <xf numFmtId="0" fontId="21" fillId="0" borderId="15" xfId="0" applyFont="1" applyBorder="1"/>
    <xf numFmtId="0" fontId="42" fillId="0" borderId="15" xfId="0" applyFont="1" applyBorder="1"/>
    <xf numFmtId="0" fontId="21" fillId="0" borderId="0" xfId="0" applyFont="1"/>
    <xf numFmtId="0" fontId="0" fillId="0" borderId="0" xfId="0"/>
    <xf numFmtId="0" fontId="6" fillId="0" borderId="0" xfId="0" applyFont="1" applyBorder="1"/>
    <xf numFmtId="0" fontId="17" fillId="0" borderId="35" xfId="0" applyFont="1" applyBorder="1" applyAlignment="1">
      <alignment horizontal="center"/>
    </xf>
    <xf numFmtId="0" fontId="10" fillId="0" borderId="0" xfId="0" applyFont="1"/>
    <xf numFmtId="0" fontId="24" fillId="0" borderId="0" xfId="0" applyFont="1"/>
    <xf numFmtId="0" fontId="6" fillId="0" borderId="0" xfId="0" applyFont="1"/>
    <xf numFmtId="0" fontId="42" fillId="0" borderId="0" xfId="0" applyFont="1"/>
    <xf numFmtId="0" fontId="21" fillId="0" borderId="0" xfId="0" applyFont="1"/>
    <xf numFmtId="0" fontId="0" fillId="0" borderId="0" xfId="0"/>
    <xf numFmtId="0" fontId="6" fillId="0" borderId="0" xfId="0" applyFont="1" applyBorder="1"/>
    <xf numFmtId="0" fontId="17" fillId="0" borderId="15" xfId="0" applyFont="1" applyBorder="1" applyAlignment="1">
      <alignment horizontal="center" vertical="center"/>
    </xf>
    <xf numFmtId="0" fontId="17" fillId="0" borderId="15" xfId="0" applyFont="1" applyBorder="1" applyAlignment="1">
      <alignment horizontal="center" vertical="center" wrapText="1"/>
    </xf>
    <xf numFmtId="0" fontId="3" fillId="0" borderId="0" xfId="0" applyFont="1" applyBorder="1"/>
    <xf numFmtId="0" fontId="3" fillId="0" borderId="15" xfId="0" applyFont="1" applyBorder="1" applyAlignment="1">
      <alignment horizontal="center" vertical="center"/>
    </xf>
    <xf numFmtId="0" fontId="10" fillId="0" borderId="0" xfId="0" applyFont="1"/>
    <xf numFmtId="0" fontId="22" fillId="0" borderId="0" xfId="0" applyFont="1"/>
    <xf numFmtId="165" fontId="10" fillId="0" borderId="15" xfId="15603" applyFont="1" applyBorder="1" applyAlignment="1">
      <alignment horizontal="right"/>
    </xf>
    <xf numFmtId="0" fontId="10" fillId="0" borderId="15" xfId="0" applyFont="1" applyBorder="1"/>
    <xf numFmtId="0" fontId="24" fillId="0" borderId="0" xfId="0" applyFont="1"/>
    <xf numFmtId="0" fontId="6" fillId="0" borderId="49" xfId="0" applyFont="1" applyBorder="1"/>
    <xf numFmtId="0" fontId="6" fillId="0" borderId="50" xfId="0" applyFont="1" applyBorder="1"/>
    <xf numFmtId="0" fontId="6" fillId="0" borderId="51" xfId="0" applyFont="1" applyBorder="1"/>
    <xf numFmtId="0" fontId="6" fillId="0" borderId="52" xfId="0" applyFont="1" applyBorder="1"/>
    <xf numFmtId="0" fontId="6" fillId="0" borderId="53" xfId="0" applyFont="1" applyBorder="1"/>
    <xf numFmtId="0" fontId="17" fillId="0" borderId="52" xfId="0" applyFont="1" applyBorder="1"/>
    <xf numFmtId="0" fontId="17" fillId="0" borderId="53" xfId="0" applyFont="1" applyBorder="1"/>
    <xf numFmtId="0" fontId="10" fillId="0" borderId="52" xfId="0" applyFont="1" applyBorder="1"/>
    <xf numFmtId="0" fontId="10" fillId="0" borderId="53" xfId="0" applyFont="1" applyBorder="1"/>
    <xf numFmtId="0" fontId="61" fillId="0" borderId="0" xfId="0" applyFont="1" applyFill="1" applyBorder="1"/>
    <xf numFmtId="0" fontId="10" fillId="0" borderId="0" xfId="0" applyFont="1" applyFill="1" applyBorder="1"/>
    <xf numFmtId="0" fontId="10" fillId="0" borderId="54" xfId="0" applyFont="1" applyBorder="1"/>
    <xf numFmtId="0" fontId="10" fillId="0" borderId="46" xfId="0" applyFont="1" applyBorder="1"/>
    <xf numFmtId="0" fontId="10" fillId="0" borderId="55" xfId="0" applyFont="1" applyBorder="1"/>
    <xf numFmtId="0" fontId="10" fillId="0" borderId="50" xfId="0" applyFont="1" applyBorder="1"/>
    <xf numFmtId="0" fontId="17" fillId="0" borderId="52" xfId="0" applyFont="1" applyBorder="1" applyAlignment="1"/>
    <xf numFmtId="0" fontId="17" fillId="0" borderId="0" xfId="0" applyFont="1" applyBorder="1" applyAlignment="1">
      <alignment horizontal="center"/>
    </xf>
    <xf numFmtId="0" fontId="17" fillId="0" borderId="53" xfId="0" applyFont="1" applyBorder="1" applyAlignment="1"/>
    <xf numFmtId="0" fontId="21" fillId="0" borderId="52" xfId="0" applyFont="1" applyBorder="1" applyAlignment="1"/>
    <xf numFmtId="0" fontId="21" fillId="0" borderId="53" xfId="0" applyFont="1" applyBorder="1" applyAlignment="1"/>
    <xf numFmtId="0" fontId="6" fillId="0" borderId="52" xfId="0" applyFont="1" applyBorder="1" applyAlignment="1"/>
    <xf numFmtId="0" fontId="6" fillId="0" borderId="53" xfId="0" applyFont="1" applyBorder="1" applyAlignment="1"/>
    <xf numFmtId="0" fontId="3" fillId="0" borderId="52" xfId="0" applyFont="1" applyBorder="1" applyAlignment="1"/>
    <xf numFmtId="0" fontId="3" fillId="0" borderId="53" xfId="0" applyFont="1" applyBorder="1" applyAlignment="1"/>
    <xf numFmtId="0" fontId="6" fillId="0" borderId="54" xfId="0" applyFont="1" applyBorder="1"/>
    <xf numFmtId="0" fontId="6" fillId="0" borderId="55" xfId="0" applyFont="1" applyBorder="1"/>
    <xf numFmtId="0" fontId="21" fillId="0" borderId="0" xfId="0" applyFont="1" applyBorder="1" applyAlignment="1">
      <alignment horizontal="center"/>
    </xf>
    <xf numFmtId="0" fontId="3" fillId="0" borderId="52" xfId="0" applyFont="1" applyBorder="1"/>
    <xf numFmtId="0" fontId="3" fillId="0" borderId="53" xfId="0" applyFont="1" applyBorder="1"/>
    <xf numFmtId="167" fontId="3" fillId="0" borderId="50" xfId="0" applyNumberFormat="1" applyFont="1" applyBorder="1"/>
    <xf numFmtId="167" fontId="6" fillId="0" borderId="50" xfId="0" applyNumberFormat="1" applyFont="1" applyBorder="1"/>
    <xf numFmtId="167" fontId="6" fillId="0" borderId="51" xfId="0" applyNumberFormat="1" applyFont="1" applyBorder="1"/>
    <xf numFmtId="167" fontId="64" fillId="0" borderId="0" xfId="15647" applyNumberFormat="1" applyFont="1" applyBorder="1" applyAlignment="1">
      <alignment horizontal="right" vertical="center"/>
    </xf>
    <xf numFmtId="167" fontId="10" fillId="0" borderId="0" xfId="0" applyNumberFormat="1" applyFont="1" applyBorder="1" applyAlignment="1">
      <alignment vertical="top"/>
    </xf>
    <xf numFmtId="167" fontId="10" fillId="0" borderId="53" xfId="0" applyNumberFormat="1" applyFont="1" applyBorder="1" applyAlignment="1">
      <alignment vertical="top"/>
    </xf>
    <xf numFmtId="167" fontId="17" fillId="0" borderId="0" xfId="15647" applyNumberFormat="1" applyFont="1" applyBorder="1" applyAlignment="1">
      <alignment vertical="center"/>
    </xf>
    <xf numFmtId="167" fontId="17" fillId="0" borderId="0" xfId="0" applyNumberFormat="1" applyFont="1" applyBorder="1"/>
    <xf numFmtId="167" fontId="10" fillId="0" borderId="0" xfId="0" applyNumberFormat="1" applyFont="1" applyBorder="1"/>
    <xf numFmtId="167" fontId="10" fillId="0" borderId="53" xfId="0" applyNumberFormat="1" applyFont="1" applyBorder="1"/>
    <xf numFmtId="49" fontId="10" fillId="0" borderId="0" xfId="15647" applyNumberFormat="1" applyFont="1" applyBorder="1" applyAlignment="1">
      <alignment vertical="center" wrapText="1"/>
    </xf>
    <xf numFmtId="167" fontId="62" fillId="0" borderId="0" xfId="15647" applyNumberFormat="1" applyFont="1" applyBorder="1" applyAlignment="1">
      <alignment horizontal="center" vertical="center" wrapText="1"/>
    </xf>
    <xf numFmtId="167" fontId="10" fillId="0" borderId="0" xfId="15647" applyNumberFormat="1" applyFont="1" applyBorder="1" applyAlignment="1">
      <alignment vertical="center" wrapText="1"/>
    </xf>
    <xf numFmtId="167" fontId="17" fillId="0" borderId="0" xfId="15647" applyNumberFormat="1" applyFont="1" applyBorder="1" applyAlignment="1">
      <alignment horizontal="right" vertical="center"/>
    </xf>
    <xf numFmtId="167" fontId="10" fillId="0" borderId="0" xfId="15603" applyNumberFormat="1" applyFont="1" applyBorder="1"/>
    <xf numFmtId="167" fontId="17" fillId="0" borderId="0" xfId="0" applyNumberFormat="1" applyFont="1" applyBorder="1" applyAlignment="1">
      <alignment horizontal="right"/>
    </xf>
    <xf numFmtId="167" fontId="10" fillId="0" borderId="46" xfId="0" applyNumberFormat="1" applyFont="1" applyBorder="1"/>
    <xf numFmtId="167" fontId="10" fillId="0" borderId="55" xfId="0" applyNumberFormat="1" applyFont="1" applyBorder="1"/>
    <xf numFmtId="168" fontId="6" fillId="0" borderId="50" xfId="15603" applyNumberFormat="1" applyFont="1" applyBorder="1"/>
    <xf numFmtId="0" fontId="18" fillId="0" borderId="0" xfId="0" applyFont="1" applyBorder="1"/>
    <xf numFmtId="0" fontId="42" fillId="0" borderId="52" xfId="0" applyFont="1" applyBorder="1"/>
    <xf numFmtId="0" fontId="42" fillId="0" borderId="0" xfId="0" applyFont="1" applyBorder="1"/>
    <xf numFmtId="168" fontId="42" fillId="0" borderId="0" xfId="15603" applyNumberFormat="1" applyFont="1" applyBorder="1"/>
    <xf numFmtId="0" fontId="42" fillId="0" borderId="53" xfId="0" applyFont="1" applyBorder="1"/>
    <xf numFmtId="0" fontId="42" fillId="0" borderId="0" xfId="0" applyFont="1" applyBorder="1"/>
    <xf numFmtId="0" fontId="21" fillId="0" borderId="0" xfId="0" applyFont="1" applyBorder="1"/>
    <xf numFmtId="168" fontId="21" fillId="0" borderId="0" xfId="15603" applyNumberFormat="1" applyFont="1" applyBorder="1"/>
    <xf numFmtId="0" fontId="44" fillId="0" borderId="0" xfId="0" applyFont="1" applyBorder="1"/>
    <xf numFmtId="0" fontId="6" fillId="0" borderId="46" xfId="0" applyFont="1" applyBorder="1"/>
    <xf numFmtId="168" fontId="6" fillId="0" borderId="46" xfId="15603" applyNumberFormat="1" applyFont="1" applyBorder="1"/>
    <xf numFmtId="0" fontId="0" fillId="0" borderId="0" xfId="0" applyAlignment="1"/>
    <xf numFmtId="0" fontId="0" fillId="0" borderId="49" xfId="0" applyBorder="1"/>
    <xf numFmtId="0" fontId="0" fillId="0" borderId="50" xfId="0" applyBorder="1" applyAlignment="1"/>
    <xf numFmtId="0" fontId="0" fillId="0" borderId="50" xfId="0" applyBorder="1"/>
    <xf numFmtId="0" fontId="0" fillId="0" borderId="51" xfId="0" applyBorder="1"/>
    <xf numFmtId="0" fontId="0" fillId="0" borderId="52" xfId="0" applyBorder="1"/>
    <xf numFmtId="0" fontId="0" fillId="0" borderId="0" xfId="0" applyBorder="1"/>
    <xf numFmtId="0" fontId="0" fillId="0" borderId="53" xfId="0" applyBorder="1"/>
    <xf numFmtId="0" fontId="0" fillId="0" borderId="0" xfId="0" applyBorder="1" applyAlignment="1"/>
    <xf numFmtId="0" fontId="67" fillId="0" borderId="0" xfId="0" applyFont="1" applyBorder="1"/>
    <xf numFmtId="0" fontId="6" fillId="0" borderId="0" xfId="0" applyFont="1" applyBorder="1" applyAlignment="1"/>
    <xf numFmtId="0" fontId="10" fillId="0" borderId="0" xfId="0" applyFont="1" applyBorder="1" applyAlignment="1">
      <alignment horizontal="justify" vertical="center"/>
    </xf>
    <xf numFmtId="0" fontId="0" fillId="0" borderId="54" xfId="0" applyBorder="1"/>
    <xf numFmtId="0" fontId="0" fillId="0" borderId="46" xfId="0" applyBorder="1" applyAlignment="1"/>
    <xf numFmtId="0" fontId="0" fillId="0" borderId="46" xfId="0" applyBorder="1"/>
    <xf numFmtId="0" fontId="0" fillId="0" borderId="55" xfId="0" applyBorder="1"/>
    <xf numFmtId="0" fontId="10" fillId="0" borderId="0" xfId="0" applyFont="1" applyBorder="1" applyAlignment="1">
      <alignment vertical="top" wrapText="1"/>
    </xf>
    <xf numFmtId="0" fontId="64" fillId="0" borderId="0" xfId="0" applyFont="1" applyBorder="1"/>
    <xf numFmtId="0" fontId="10" fillId="0" borderId="0" xfId="0" applyFont="1" applyBorder="1" applyAlignment="1">
      <alignment horizontal="left" wrapText="1"/>
    </xf>
    <xf numFmtId="0" fontId="42" fillId="0" borderId="49" xfId="0" applyFont="1" applyBorder="1"/>
    <xf numFmtId="0" fontId="42" fillId="0" borderId="50" xfId="0" applyFont="1" applyBorder="1"/>
    <xf numFmtId="0" fontId="44" fillId="0" borderId="51" xfId="0" applyFont="1" applyBorder="1"/>
    <xf numFmtId="0" fontId="18" fillId="0" borderId="0" xfId="0" applyFont="1" applyBorder="1"/>
    <xf numFmtId="0" fontId="44" fillId="0" borderId="53" xfId="0" applyFont="1" applyBorder="1"/>
    <xf numFmtId="0" fontId="21" fillId="0" borderId="52" xfId="0" applyFont="1" applyBorder="1"/>
    <xf numFmtId="0" fontId="46" fillId="0" borderId="53" xfId="0" applyFont="1" applyBorder="1"/>
    <xf numFmtId="167" fontId="42" fillId="0" borderId="0" xfId="0" applyNumberFormat="1" applyFont="1" applyBorder="1" applyAlignment="1" applyProtection="1">
      <alignment horizontal="right" vertical="center"/>
      <protection locked="0"/>
    </xf>
    <xf numFmtId="0" fontId="42" fillId="0" borderId="54" xfId="0" applyFont="1" applyBorder="1"/>
    <xf numFmtId="0" fontId="42" fillId="0" borderId="46" xfId="0" applyFont="1" applyBorder="1"/>
    <xf numFmtId="0" fontId="44" fillId="0" borderId="55" xfId="0" applyFont="1" applyBorder="1"/>
    <xf numFmtId="0" fontId="21" fillId="0" borderId="0" xfId="0" applyFont="1" applyFill="1"/>
    <xf numFmtId="49" fontId="21" fillId="0" borderId="35" xfId="0" applyNumberFormat="1" applyFont="1" applyFill="1" applyBorder="1" applyAlignment="1">
      <alignment horizontal="center"/>
    </xf>
    <xf numFmtId="0" fontId="21" fillId="0" borderId="0" xfId="0" applyFont="1" applyFill="1" applyBorder="1" applyAlignment="1">
      <alignment horizontal="center"/>
    </xf>
    <xf numFmtId="0" fontId="46" fillId="0" borderId="0" xfId="0" applyFont="1" applyFill="1"/>
    <xf numFmtId="0" fontId="46" fillId="0" borderId="0" xfId="0" applyFont="1" applyBorder="1"/>
    <xf numFmtId="0" fontId="42" fillId="0" borderId="51" xfId="0" applyFont="1" applyBorder="1"/>
    <xf numFmtId="0" fontId="42" fillId="0" borderId="55" xfId="0" applyFont="1" applyBorder="1"/>
    <xf numFmtId="0" fontId="48" fillId="0" borderId="50" xfId="0" applyFont="1" applyBorder="1"/>
    <xf numFmtId="0" fontId="48" fillId="0" borderId="0" xfId="0" applyFont="1" applyBorder="1"/>
    <xf numFmtId="0" fontId="24" fillId="0" borderId="52" xfId="0" applyFont="1" applyBorder="1"/>
    <xf numFmtId="0" fontId="24" fillId="0" borderId="0" xfId="0" applyFont="1" applyBorder="1"/>
    <xf numFmtId="0" fontId="49" fillId="0" borderId="0" xfId="0" applyFont="1" applyBorder="1"/>
    <xf numFmtId="0" fontId="24" fillId="0" borderId="53" xfId="0" applyFont="1" applyBorder="1"/>
    <xf numFmtId="168" fontId="49" fillId="0" borderId="0" xfId="15603" applyNumberFormat="1" applyFont="1" applyBorder="1"/>
    <xf numFmtId="0" fontId="48" fillId="0" borderId="46" xfId="0" applyFont="1" applyBorder="1"/>
    <xf numFmtId="0" fontId="6" fillId="0" borderId="0" xfId="0" applyFont="1"/>
    <xf numFmtId="0" fontId="18" fillId="0" borderId="52" xfId="0" applyFont="1" applyBorder="1" applyAlignment="1">
      <alignment horizontal="center"/>
    </xf>
    <xf numFmtId="0" fontId="18" fillId="0" borderId="0" xfId="0" applyFont="1" applyBorder="1" applyAlignment="1">
      <alignment horizontal="center"/>
    </xf>
    <xf numFmtId="0" fontId="18" fillId="0" borderId="53" xfId="0" applyFont="1" applyBorder="1" applyAlignment="1">
      <alignment horizontal="center"/>
    </xf>
    <xf numFmtId="0" fontId="6" fillId="0" borderId="52"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14" fontId="17" fillId="0" borderId="4" xfId="0" applyNumberFormat="1" applyFont="1" applyBorder="1" applyAlignment="1">
      <alignment horizontal="center" vertical="center"/>
    </xf>
    <xf numFmtId="14" fontId="17" fillId="0" borderId="9" xfId="0" applyNumberFormat="1" applyFont="1" applyBorder="1" applyAlignment="1">
      <alignment horizontal="center" vertical="center"/>
    </xf>
    <xf numFmtId="14" fontId="17" fillId="0" borderId="12" xfId="0" applyNumberFormat="1" applyFont="1" applyBorder="1" applyAlignment="1">
      <alignment horizontal="center" vertical="center"/>
    </xf>
    <xf numFmtId="14" fontId="17" fillId="0" borderId="14" xfId="0" applyNumberFormat="1" applyFont="1" applyBorder="1" applyAlignment="1">
      <alignment horizontal="center" vertical="center"/>
    </xf>
    <xf numFmtId="0" fontId="17" fillId="0" borderId="0" xfId="0" applyFont="1" applyBorder="1" applyAlignment="1">
      <alignment horizontal="center"/>
    </xf>
    <xf numFmtId="0" fontId="10" fillId="0" borderId="0" xfId="0" applyFont="1" applyBorder="1" applyAlignment="1">
      <alignment horizontal="center"/>
    </xf>
    <xf numFmtId="3" fontId="62" fillId="0" borderId="12" xfId="0" applyNumberFormat="1" applyFont="1" applyFill="1" applyBorder="1" applyAlignment="1">
      <alignment horizontal="center" vertical="center" wrapText="1"/>
    </xf>
    <xf numFmtId="3" fontId="62" fillId="0" borderId="14" xfId="0" applyNumberFormat="1" applyFont="1" applyFill="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21" fillId="0" borderId="0" xfId="0" applyFont="1" applyBorder="1" applyAlignment="1">
      <alignment horizontal="center"/>
    </xf>
    <xf numFmtId="0" fontId="42" fillId="0" borderId="0" xfId="0" applyFont="1" applyBorder="1" applyAlignment="1">
      <alignment horizontal="center"/>
    </xf>
    <xf numFmtId="167" fontId="17" fillId="0" borderId="0" xfId="0" applyNumberFormat="1" applyFont="1" applyBorder="1" applyAlignment="1">
      <alignment horizontal="center" vertical="top"/>
    </xf>
    <xf numFmtId="167" fontId="17" fillId="0" borderId="53" xfId="0" applyNumberFormat="1" applyFont="1" applyBorder="1" applyAlignment="1">
      <alignment horizontal="center" vertical="top"/>
    </xf>
    <xf numFmtId="167" fontId="10" fillId="0" borderId="0" xfId="0" applyNumberFormat="1" applyFont="1" applyBorder="1" applyAlignment="1">
      <alignment horizontal="center" vertical="top"/>
    </xf>
    <xf numFmtId="167" fontId="10" fillId="0" borderId="53" xfId="0" applyNumberFormat="1" applyFont="1" applyBorder="1" applyAlignment="1">
      <alignment horizontal="center" vertical="top"/>
    </xf>
    <xf numFmtId="0" fontId="24" fillId="0" borderId="0" xfId="0" applyFont="1" applyFill="1" applyAlignment="1">
      <alignment horizontal="center"/>
    </xf>
    <xf numFmtId="0" fontId="0" fillId="0" borderId="0" xfId="0" applyFill="1"/>
    <xf numFmtId="0" fontId="6" fillId="0" borderId="0" xfId="0" applyFont="1" applyAlignment="1">
      <alignment horizontal="center"/>
    </xf>
    <xf numFmtId="0" fontId="21" fillId="0" borderId="0" xfId="0" applyFont="1" applyAlignment="1">
      <alignment horizontal="center"/>
    </xf>
    <xf numFmtId="0" fontId="3" fillId="0" borderId="0" xfId="0" applyFont="1" applyAlignment="1">
      <alignment horizontal="center"/>
    </xf>
    <xf numFmtId="0" fontId="6" fillId="0" borderId="18" xfId="0" applyFont="1" applyBorder="1" applyAlignment="1">
      <alignment horizontal="center"/>
    </xf>
    <xf numFmtId="0" fontId="6" fillId="0" borderId="25" xfId="0" applyFont="1" applyBorder="1" applyAlignment="1">
      <alignment horizontal="center"/>
    </xf>
    <xf numFmtId="0" fontId="6" fillId="0" borderId="19"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10" fillId="0" borderId="0" xfId="0" applyFont="1" applyBorder="1" applyAlignment="1">
      <alignment horizontal="left" wrapText="1"/>
    </xf>
    <xf numFmtId="0" fontId="66" fillId="44" borderId="52" xfId="0" applyFont="1" applyFill="1" applyBorder="1" applyAlignment="1">
      <alignment horizontal="center"/>
    </xf>
    <xf numFmtId="0" fontId="66" fillId="44" borderId="0" xfId="0" applyFont="1" applyFill="1" applyBorder="1" applyAlignment="1">
      <alignment horizontal="center"/>
    </xf>
    <xf numFmtId="0" fontId="10" fillId="0" borderId="0" xfId="0" applyFont="1" applyBorder="1" applyAlignment="1">
      <alignment horizontal="left" vertical="top" wrapText="1"/>
    </xf>
    <xf numFmtId="0" fontId="17" fillId="0" borderId="35" xfId="0" applyFont="1" applyBorder="1" applyAlignment="1">
      <alignment horizontal="center"/>
    </xf>
    <xf numFmtId="0" fontId="42" fillId="0" borderId="0" xfId="0" applyFont="1" applyBorder="1"/>
    <xf numFmtId="0" fontId="18" fillId="0" borderId="0" xfId="0" applyFont="1" applyBorder="1"/>
    <xf numFmtId="0" fontId="42" fillId="0" borderId="0" xfId="0" applyFont="1"/>
    <xf numFmtId="0" fontId="21" fillId="0" borderId="15" xfId="0" applyFont="1" applyBorder="1"/>
    <xf numFmtId="0" fontId="42" fillId="0" borderId="15" xfId="0" applyFont="1" applyBorder="1"/>
    <xf numFmtId="0" fontId="21" fillId="0" borderId="15" xfId="0" applyFont="1" applyBorder="1" applyAlignment="1">
      <alignment horizontal="center"/>
    </xf>
    <xf numFmtId="0" fontId="42" fillId="0" borderId="15" xfId="0" applyFont="1" applyBorder="1" applyAlignment="1">
      <alignment horizontal="left"/>
    </xf>
    <xf numFmtId="0" fontId="0" fillId="0" borderId="0" xfId="0"/>
    <xf numFmtId="0" fontId="17" fillId="0" borderId="0" xfId="0" applyFont="1" applyAlignment="1">
      <alignment horizontal="center"/>
    </xf>
    <xf numFmtId="0" fontId="17" fillId="0" borderId="34" xfId="0" applyFont="1" applyBorder="1" applyAlignment="1">
      <alignment horizontal="center"/>
    </xf>
    <xf numFmtId="0" fontId="17" fillId="0" borderId="36" xfId="0" applyFont="1" applyBorder="1" applyAlignment="1">
      <alignment horizontal="center"/>
    </xf>
    <xf numFmtId="0" fontId="17" fillId="0" borderId="15" xfId="0" applyFont="1" applyBorder="1" applyAlignment="1">
      <alignment horizont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lignment horizontal="center" vertical="center" wrapText="1"/>
    </xf>
    <xf numFmtId="0" fontId="3" fillId="0" borderId="4" xfId="0" applyFont="1" applyBorder="1" applyAlignment="1">
      <alignment horizontal="center"/>
    </xf>
    <xf numFmtId="0" fontId="3" fillId="0" borderId="9" xfId="0" applyFont="1" applyBorder="1" applyAlignment="1">
      <alignment horizontal="center"/>
    </xf>
    <xf numFmtId="0" fontId="3" fillId="0" borderId="3" xfId="0" applyFont="1" applyBorder="1"/>
    <xf numFmtId="0" fontId="3" fillId="0" borderId="0" xfId="0" applyFont="1" applyBorder="1"/>
    <xf numFmtId="0" fontId="3" fillId="0" borderId="8" xfId="0" applyFont="1" applyBorder="1"/>
    <xf numFmtId="0" fontId="3" fillId="0" borderId="2" xfId="0" applyFont="1" applyBorder="1"/>
    <xf numFmtId="0" fontId="3" fillId="0" borderId="5" xfId="0" applyFont="1" applyBorder="1"/>
    <xf numFmtId="0" fontId="3" fillId="0" borderId="7" xfId="0" applyFont="1" applyBorder="1"/>
    <xf numFmtId="0" fontId="3" fillId="0" borderId="4" xfId="0" applyFont="1" applyBorder="1"/>
    <xf numFmtId="0" fontId="3" fillId="0" borderId="6" xfId="0" applyFont="1" applyBorder="1"/>
    <xf numFmtId="0" fontId="3" fillId="0" borderId="9" xfId="0" applyFont="1" applyBorder="1"/>
    <xf numFmtId="0" fontId="3" fillId="0" borderId="18" xfId="0" applyFont="1" applyBorder="1"/>
    <xf numFmtId="0" fontId="3" fillId="0" borderId="19" xfId="0" applyFont="1" applyBorder="1"/>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51" fillId="0" borderId="0" xfId="13857" applyFont="1" applyAlignment="1">
      <alignment horizontal="center"/>
    </xf>
    <xf numFmtId="0" fontId="53" fillId="0" borderId="0" xfId="0" applyFont="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5" xfId="0" applyFont="1" applyBorder="1" applyAlignment="1">
      <alignment horizontal="center" vertical="center"/>
    </xf>
    <xf numFmtId="0" fontId="17" fillId="0" borderId="43" xfId="0" applyFont="1" applyBorder="1" applyAlignment="1">
      <alignment horizontal="center"/>
    </xf>
    <xf numFmtId="0" fontId="17" fillId="0" borderId="44"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168" fontId="6" fillId="0" borderId="15" xfId="15603" applyNumberFormat="1" applyFont="1" applyBorder="1"/>
    <xf numFmtId="0" fontId="6" fillId="0" borderId="37" xfId="0" applyFont="1" applyBorder="1"/>
    <xf numFmtId="0" fontId="6" fillId="0" borderId="38" xfId="0" applyFont="1" applyBorder="1"/>
    <xf numFmtId="0" fontId="17" fillId="0" borderId="37" xfId="0" applyFont="1" applyBorder="1" applyAlignment="1">
      <alignment horizontal="center" vertical="center" wrapText="1"/>
    </xf>
    <xf numFmtId="168" fontId="17" fillId="0" borderId="15" xfId="15603" applyNumberFormat="1" applyFont="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168" fontId="17" fillId="0" borderId="34" xfId="15603" applyNumberFormat="1" applyFont="1" applyBorder="1" applyAlignment="1">
      <alignment horizontal="center"/>
    </xf>
    <xf numFmtId="168" fontId="17" fillId="0" borderId="35" xfId="15603" applyNumberFormat="1" applyFont="1" applyBorder="1" applyAlignment="1">
      <alignment horizontal="center"/>
    </xf>
    <xf numFmtId="168" fontId="17" fillId="0" borderId="36" xfId="15603" applyNumberFormat="1" applyFont="1" applyBorder="1" applyAlignment="1">
      <alignment horizontal="center"/>
    </xf>
    <xf numFmtId="165" fontId="10" fillId="0" borderId="15" xfId="15603" applyFont="1" applyBorder="1"/>
    <xf numFmtId="0" fontId="10" fillId="0" borderId="15" xfId="0" applyFont="1" applyBorder="1" applyAlignment="1">
      <alignment horizontal="left"/>
    </xf>
    <xf numFmtId="0" fontId="22" fillId="0" borderId="0" xfId="0" applyFont="1"/>
    <xf numFmtId="165" fontId="10" fillId="0" borderId="15" xfId="15603" applyFont="1" applyBorder="1" applyAlignment="1">
      <alignment horizontal="right"/>
    </xf>
    <xf numFmtId="0" fontId="10" fillId="0" borderId="15" xfId="0" applyFont="1" applyBorder="1"/>
    <xf numFmtId="0" fontId="24" fillId="0" borderId="0" xfId="0" applyFont="1"/>
    <xf numFmtId="168" fontId="0" fillId="0" borderId="0" xfId="15603" applyNumberFormat="1" applyFont="1"/>
    <xf numFmtId="0" fontId="21" fillId="0" borderId="53" xfId="0" applyFont="1" applyBorder="1"/>
    <xf numFmtId="49" fontId="21" fillId="0" borderId="35" xfId="0" applyNumberFormat="1" applyFont="1" applyBorder="1" applyAlignment="1">
      <alignment horizontal="center"/>
    </xf>
    <xf numFmtId="49" fontId="21" fillId="0" borderId="0" xfId="0" applyNumberFormat="1" applyFont="1" applyBorder="1" applyAlignment="1">
      <alignment horizontal="center"/>
    </xf>
    <xf numFmtId="0" fontId="44" fillId="0" borderId="50" xfId="0" applyFont="1" applyBorder="1"/>
    <xf numFmtId="168" fontId="44" fillId="0" borderId="50" xfId="15603" applyNumberFormat="1" applyFont="1" applyBorder="1"/>
    <xf numFmtId="168" fontId="44" fillId="0" borderId="0" xfId="15603" applyNumberFormat="1" applyFont="1" applyBorder="1"/>
    <xf numFmtId="168" fontId="46" fillId="0" borderId="0" xfId="15603" applyNumberFormat="1" applyFont="1" applyBorder="1"/>
    <xf numFmtId="3" fontId="44" fillId="0" borderId="0" xfId="0" applyNumberFormat="1" applyFont="1" applyBorder="1"/>
    <xf numFmtId="0" fontId="21" fillId="0" borderId="0" xfId="0" applyFont="1" applyBorder="1"/>
    <xf numFmtId="0" fontId="44" fillId="0" borderId="46" xfId="0" applyFont="1" applyBorder="1"/>
    <xf numFmtId="168" fontId="44" fillId="0" borderId="46" xfId="15603" applyNumberFormat="1" applyFont="1" applyBorder="1"/>
    <xf numFmtId="0" fontId="21" fillId="0" borderId="35" xfId="0" applyFont="1" applyBorder="1" applyAlignment="1">
      <alignment horizontal="center"/>
    </xf>
    <xf numFmtId="0" fontId="21" fillId="0" borderId="0" xfId="0" applyFont="1" applyAlignment="1">
      <alignment vertical="center"/>
    </xf>
    <xf numFmtId="0" fontId="42" fillId="0" borderId="0" xfId="0" applyFont="1" applyAlignment="1">
      <alignment vertical="center"/>
    </xf>
    <xf numFmtId="3" fontId="42" fillId="0" borderId="0" xfId="0" applyNumberFormat="1" applyFont="1" applyAlignment="1">
      <alignment horizontal="right" vertical="center"/>
    </xf>
    <xf numFmtId="0" fontId="69" fillId="0" borderId="0" xfId="0" applyFont="1"/>
    <xf numFmtId="0" fontId="21" fillId="0" borderId="0" xfId="0" applyFont="1" applyAlignment="1">
      <alignment horizontal="right" vertical="center"/>
    </xf>
    <xf numFmtId="0" fontId="42" fillId="0" borderId="0" xfId="0" applyFont="1" applyAlignment="1">
      <alignment horizontal="right" vertical="center"/>
    </xf>
    <xf numFmtId="0" fontId="69" fillId="0" borderId="0" xfId="0" applyFont="1" applyAlignment="1">
      <alignment vertical="center"/>
    </xf>
    <xf numFmtId="3" fontId="21" fillId="0" borderId="1" xfId="0" applyNumberFormat="1" applyFont="1" applyBorder="1" applyAlignment="1">
      <alignment horizontal="right" vertical="center"/>
    </xf>
    <xf numFmtId="0" fontId="42" fillId="0" borderId="1" xfId="0" applyFont="1" applyBorder="1" applyAlignment="1">
      <alignment horizontal="right" vertical="center"/>
    </xf>
    <xf numFmtId="167" fontId="21" fillId="0" borderId="0" xfId="0" applyNumberFormat="1" applyFont="1" applyBorder="1" applyAlignment="1" applyProtection="1">
      <alignment horizontal="right" vertical="center"/>
      <protection locked="0"/>
    </xf>
    <xf numFmtId="167" fontId="49" fillId="0" borderId="53" xfId="0" applyNumberFormat="1" applyFont="1" applyBorder="1"/>
    <xf numFmtId="0" fontId="18" fillId="0" borderId="0" xfId="14063" applyFont="1" applyFill="1" applyBorder="1"/>
    <xf numFmtId="0" fontId="42" fillId="0" borderId="0" xfId="14063" applyFont="1" applyFill="1" applyBorder="1"/>
    <xf numFmtId="0" fontId="0" fillId="0" borderId="0" xfId="0" applyFill="1" applyBorder="1"/>
    <xf numFmtId="0" fontId="42" fillId="43" borderId="0" xfId="14063" applyFont="1" applyFill="1" applyBorder="1"/>
    <xf numFmtId="169" fontId="42" fillId="43" borderId="0" xfId="13857" applyNumberFormat="1" applyFont="1" applyFill="1" applyBorder="1" applyAlignment="1">
      <alignment vertical="center"/>
    </xf>
    <xf numFmtId="0" fontId="42" fillId="43" borderId="0" xfId="13250" applyFont="1" applyFill="1" applyBorder="1"/>
    <xf numFmtId="0" fontId="50" fillId="0" borderId="0" xfId="0" applyFont="1" applyBorder="1"/>
    <xf numFmtId="169" fontId="21" fillId="43" borderId="0" xfId="13857" applyNumberFormat="1" applyFont="1" applyFill="1" applyBorder="1" applyAlignment="1">
      <alignment vertical="center"/>
    </xf>
    <xf numFmtId="0" fontId="50" fillId="0" borderId="0" xfId="0" applyFont="1" applyBorder="1" applyAlignment="1">
      <alignment vertical="center"/>
    </xf>
    <xf numFmtId="0" fontId="21" fillId="43" borderId="0" xfId="14063" applyFont="1" applyFill="1" applyBorder="1"/>
    <xf numFmtId="168" fontId="48" fillId="0" borderId="0" xfId="0" applyNumberFormat="1" applyFont="1" applyBorder="1"/>
    <xf numFmtId="168" fontId="42" fillId="43" borderId="0" xfId="15603" applyNumberFormat="1" applyFont="1" applyFill="1" applyBorder="1" applyAlignment="1">
      <alignment horizontal="right"/>
    </xf>
    <xf numFmtId="168" fontId="42" fillId="43" borderId="0" xfId="15603" applyNumberFormat="1" applyFont="1" applyFill="1" applyBorder="1" applyAlignment="1"/>
    <xf numFmtId="9" fontId="42" fillId="43" borderId="45" xfId="13250" applyNumberFormat="1" applyFont="1" applyFill="1" applyBorder="1" applyAlignment="1"/>
    <xf numFmtId="168" fontId="0" fillId="0" borderId="0" xfId="15603" applyNumberFormat="1" applyFont="1" applyBorder="1" applyAlignment="1"/>
    <xf numFmtId="0" fontId="42" fillId="43" borderId="0" xfId="13250" applyFont="1" applyFill="1" applyBorder="1" applyAlignment="1"/>
    <xf numFmtId="168" fontId="42" fillId="43" borderId="45" xfId="15603" applyNumberFormat="1" applyFont="1" applyFill="1" applyBorder="1" applyAlignment="1"/>
    <xf numFmtId="168" fontId="21" fillId="43" borderId="1" xfId="15603" applyNumberFormat="1" applyFont="1" applyFill="1" applyBorder="1" applyAlignment="1"/>
    <xf numFmtId="0" fontId="10" fillId="0" borderId="0" xfId="0" applyFont="1" applyBorder="1" applyAlignment="1">
      <alignment horizontal="right"/>
    </xf>
    <xf numFmtId="3" fontId="6" fillId="0" borderId="46" xfId="0" applyNumberFormat="1" applyFont="1" applyBorder="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vertical="center"/>
    </xf>
    <xf numFmtId="3" fontId="6" fillId="0" borderId="15" xfId="0" applyNumberFormat="1" applyFont="1" applyBorder="1" applyAlignment="1">
      <alignment horizontal="right" vertical="center"/>
    </xf>
    <xf numFmtId="9" fontId="6" fillId="0" borderId="15" xfId="0" applyNumberFormat="1" applyFont="1" applyBorder="1" applyAlignment="1">
      <alignment horizontal="right" vertical="center"/>
    </xf>
    <xf numFmtId="0" fontId="6" fillId="0" borderId="15" xfId="0" applyFont="1" applyBorder="1" applyAlignment="1">
      <alignment horizontal="right" vertical="center"/>
    </xf>
    <xf numFmtId="0" fontId="18" fillId="0" borderId="0" xfId="0" applyFont="1" applyBorder="1" applyAlignment="1">
      <alignment vertical="center"/>
    </xf>
    <xf numFmtId="0" fontId="17" fillId="0" borderId="0" xfId="0" applyFont="1" applyBorder="1" applyAlignment="1">
      <alignment vertical="center"/>
    </xf>
    <xf numFmtId="0" fontId="64" fillId="0" borderId="0" xfId="0" applyFont="1" applyBorder="1" applyAlignment="1">
      <alignment vertical="center"/>
    </xf>
    <xf numFmtId="0" fontId="68" fillId="0" borderId="0" xfId="0" applyFont="1" applyBorder="1"/>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vertical="center" wrapText="1"/>
    </xf>
    <xf numFmtId="0" fontId="22" fillId="0" borderId="53" xfId="0" applyFont="1" applyBorder="1"/>
    <xf numFmtId="0" fontId="19" fillId="0" borderId="53" xfId="0" applyFont="1" applyBorder="1"/>
    <xf numFmtId="168" fontId="17" fillId="0" borderId="15" xfId="15603" applyNumberFormat="1" applyFont="1" applyBorder="1" applyAlignment="1">
      <alignment horizontal="center"/>
    </xf>
    <xf numFmtId="0" fontId="10" fillId="0" borderId="0" xfId="0" applyFont="1" applyBorder="1"/>
    <xf numFmtId="0" fontId="6" fillId="0" borderId="53" xfId="0" applyFont="1" applyBorder="1" applyAlignment="1">
      <alignment wrapText="1"/>
    </xf>
    <xf numFmtId="0" fontId="65" fillId="0" borderId="0" xfId="0" applyFont="1" applyBorder="1"/>
    <xf numFmtId="49" fontId="17" fillId="0" borderId="0" xfId="0" applyNumberFormat="1" applyFont="1" applyBorder="1"/>
    <xf numFmtId="168" fontId="17" fillId="0" borderId="0" xfId="15603" applyNumberFormat="1" applyFont="1" applyBorder="1"/>
    <xf numFmtId="0" fontId="10" fillId="0" borderId="0" xfId="0" applyFont="1" applyBorder="1" applyAlignment="1">
      <alignment wrapText="1"/>
    </xf>
    <xf numFmtId="0" fontId="22" fillId="0" borderId="51" xfId="0" applyFont="1" applyBorder="1"/>
    <xf numFmtId="0" fontId="22" fillId="0" borderId="55" xfId="0" applyFont="1" applyBorder="1"/>
    <xf numFmtId="168" fontId="10" fillId="0" borderId="50" xfId="15603" applyNumberFormat="1" applyFont="1" applyBorder="1"/>
    <xf numFmtId="168" fontId="19" fillId="0" borderId="53" xfId="15603" applyNumberFormat="1" applyFont="1" applyBorder="1"/>
    <xf numFmtId="168" fontId="17" fillId="0" borderId="0" xfId="15603" applyNumberFormat="1" applyFont="1" applyBorder="1" applyAlignment="1">
      <alignment horizontal="center" vertical="center"/>
    </xf>
    <xf numFmtId="168" fontId="10" fillId="0" borderId="46" xfId="15603" applyNumberFormat="1" applyFont="1" applyBorder="1"/>
    <xf numFmtId="0" fontId="17" fillId="0" borderId="0" xfId="0" applyFont="1" applyBorder="1" applyAlignment="1"/>
    <xf numFmtId="0" fontId="6" fillId="0" borderId="52" xfId="0" applyFont="1" applyBorder="1" applyAlignment="1">
      <alignment horizontal="center" vertical="center" wrapText="1"/>
    </xf>
    <xf numFmtId="0" fontId="22" fillId="0" borderId="53" xfId="0" applyFont="1" applyBorder="1" applyAlignment="1">
      <alignment horizontal="center" vertical="center" wrapText="1"/>
    </xf>
    <xf numFmtId="3" fontId="22" fillId="0" borderId="53" xfId="0" applyNumberFormat="1" applyFont="1" applyBorder="1"/>
    <xf numFmtId="0" fontId="70" fillId="0" borderId="0" xfId="0" applyFont="1" applyBorder="1"/>
    <xf numFmtId="0" fontId="70" fillId="0" borderId="0" xfId="0" applyFont="1" applyBorder="1" applyAlignment="1">
      <alignment horizontal="center"/>
    </xf>
    <xf numFmtId="0" fontId="70" fillId="0" borderId="0" xfId="0" quotePrefix="1" applyFont="1" applyBorder="1"/>
    <xf numFmtId="0" fontId="70" fillId="0" borderId="0" xfId="0" quotePrefix="1" applyFont="1" applyBorder="1" applyAlignment="1">
      <alignment horizontal="center"/>
    </xf>
    <xf numFmtId="0" fontId="71" fillId="0" borderId="0" xfId="0" applyFont="1" applyBorder="1" applyAlignment="1">
      <alignment horizontal="left" vertical="center"/>
    </xf>
    <xf numFmtId="0" fontId="72" fillId="0" borderId="0" xfId="0" applyFont="1" applyBorder="1" applyAlignment="1">
      <alignment horizontal="right" vertical="center"/>
    </xf>
    <xf numFmtId="0" fontId="73" fillId="0" borderId="0" xfId="0" applyFont="1" applyBorder="1" applyAlignment="1">
      <alignment vertical="center"/>
    </xf>
    <xf numFmtId="0" fontId="75" fillId="0" borderId="0" xfId="0" applyFont="1" applyBorder="1" applyAlignment="1">
      <alignment horizontal="left" vertical="center"/>
    </xf>
    <xf numFmtId="0" fontId="73" fillId="0" borderId="0" xfId="0" applyFont="1" applyBorder="1" applyAlignment="1">
      <alignment horizontal="justify" vertical="center"/>
    </xf>
    <xf numFmtId="0" fontId="76" fillId="0" borderId="0" xfId="0" applyFont="1" applyBorder="1" applyAlignment="1">
      <alignment horizontal="justify" vertical="center"/>
    </xf>
    <xf numFmtId="0" fontId="73" fillId="0" borderId="0" xfId="0" applyFont="1" applyBorder="1" applyAlignment="1">
      <alignment horizontal="left" vertical="center"/>
    </xf>
    <xf numFmtId="0" fontId="75" fillId="0" borderId="0" xfId="0" applyFont="1" applyBorder="1" applyAlignment="1">
      <alignment horizontal="justify" vertical="center"/>
    </xf>
    <xf numFmtId="0" fontId="78" fillId="0" borderId="0" xfId="0" applyFont="1" applyBorder="1" applyAlignment="1">
      <alignment horizontal="justify" vertical="center"/>
    </xf>
    <xf numFmtId="0" fontId="50" fillId="0" borderId="0" xfId="0" applyFont="1" applyBorder="1" applyAlignment="1">
      <alignment horizontal="justify" vertical="center"/>
    </xf>
    <xf numFmtId="0" fontId="50" fillId="0" borderId="0" xfId="0" applyFont="1" applyBorder="1" applyAlignment="1">
      <alignment horizontal="left" vertical="center"/>
    </xf>
    <xf numFmtId="0" fontId="42" fillId="0" borderId="0" xfId="0" applyFont="1" applyAlignment="1">
      <alignment horizontal="center"/>
    </xf>
  </cellXfs>
  <cellStyles count="15649">
    <cellStyle name="          _x000d__x000a_386grabber=VGA.3GR_x000d__x000a_" xfId="1" xr:uid="{00000000-0005-0000-0000-000000000000}"/>
    <cellStyle name="          _x000d__x000a_386grabber=VGA.3GR_x000d__x000a_ 2" xfId="2" xr:uid="{00000000-0005-0000-0000-000001000000}"/>
    <cellStyle name="          _x000d__x000d_386grabber=VGA.3GR_x000d__x000d_" xfId="3" xr:uid="{00000000-0005-0000-0000-000002000000}"/>
    <cellStyle name="          _x000d__x000d_386grabber=VGA.3GR_x000d__x000d_ 10" xfId="4" xr:uid="{00000000-0005-0000-0000-000003000000}"/>
    <cellStyle name="          _x000d__x000d_386grabber=VGA.3GR_x000d__x000d_ 11" xfId="5" xr:uid="{00000000-0005-0000-0000-000004000000}"/>
    <cellStyle name="          _x000d__x000d_386grabber=VGA.3GR_x000d__x000d_ 12" xfId="6" xr:uid="{00000000-0005-0000-0000-000005000000}"/>
    <cellStyle name="          _x000d__x000d_386grabber=VGA.3GR_x000d__x000d_ 13" xfId="7" xr:uid="{00000000-0005-0000-0000-000006000000}"/>
    <cellStyle name="          _x000d__x000d_386grabber=VGA.3GR_x000d__x000d_ 14" xfId="8" xr:uid="{00000000-0005-0000-0000-000007000000}"/>
    <cellStyle name="          _x000d__x000d_386grabber=VGA.3GR_x000d__x000d_ 15" xfId="9" xr:uid="{00000000-0005-0000-0000-000008000000}"/>
    <cellStyle name="          _x000d__x000d_386grabber=VGA.3GR_x000d__x000d_ 16" xfId="10" xr:uid="{00000000-0005-0000-0000-000009000000}"/>
    <cellStyle name="          _x000d__x000d_386grabber=VGA.3GR_x000d__x000d_ 17" xfId="11" xr:uid="{00000000-0005-0000-0000-00000A000000}"/>
    <cellStyle name="          _x000d__x000d_386grabber=VGA.3GR_x000d__x000d_ 18" xfId="12" xr:uid="{00000000-0005-0000-0000-00000B000000}"/>
    <cellStyle name="          _x000d__x000d_386grabber=VGA.3GR_x000d__x000d_ 19" xfId="13" xr:uid="{00000000-0005-0000-0000-00000C000000}"/>
    <cellStyle name="          _x000d__x000d_386grabber=VGA.3GR_x000d__x000d_ 2" xfId="14" xr:uid="{00000000-0005-0000-0000-00000D000000}"/>
    <cellStyle name="          _x000d__x000d_386grabber=VGA.3GR_x000d__x000d_ 2 10" xfId="15" xr:uid="{00000000-0005-0000-0000-00000E000000}"/>
    <cellStyle name="          _x000d__x000d_386grabber=VGA.3GR_x000d__x000d_ 2 11" xfId="16" xr:uid="{00000000-0005-0000-0000-00000F000000}"/>
    <cellStyle name="          _x000d__x000d_386grabber=VGA.3GR_x000d__x000d_ 2 12" xfId="17" xr:uid="{00000000-0005-0000-0000-000010000000}"/>
    <cellStyle name="          _x000d__x000d_386grabber=VGA.3GR_x000d__x000d_ 2 13" xfId="18" xr:uid="{00000000-0005-0000-0000-000011000000}"/>
    <cellStyle name="          _x000d__x000d_386grabber=VGA.3GR_x000d__x000d_ 2 14" xfId="19" xr:uid="{00000000-0005-0000-0000-000012000000}"/>
    <cellStyle name="          _x000d__x000d_386grabber=VGA.3GR_x000d__x000d_ 2 15" xfId="20" xr:uid="{00000000-0005-0000-0000-000013000000}"/>
    <cellStyle name="          _x000d__x000d_386grabber=VGA.3GR_x000d__x000d_ 2 16" xfId="21" xr:uid="{00000000-0005-0000-0000-000014000000}"/>
    <cellStyle name="          _x000d__x000d_386grabber=VGA.3GR_x000d__x000d_ 2 17" xfId="22" xr:uid="{00000000-0005-0000-0000-000015000000}"/>
    <cellStyle name="          _x000d__x000d_386grabber=VGA.3GR_x000d__x000d_ 2 18" xfId="23" xr:uid="{00000000-0005-0000-0000-000016000000}"/>
    <cellStyle name="          _x000d__x000d_386grabber=VGA.3GR_x000d__x000d_ 2 19" xfId="24" xr:uid="{00000000-0005-0000-0000-000017000000}"/>
    <cellStyle name="          _x000d__x000d_386grabber=VGA.3GR_x000d__x000d_ 2 2" xfId="25" xr:uid="{00000000-0005-0000-0000-000018000000}"/>
    <cellStyle name="          _x000d__x000d_386grabber=VGA.3GR_x000d__x000d_ 2 2 10" xfId="26" xr:uid="{00000000-0005-0000-0000-000019000000}"/>
    <cellStyle name="          _x000d__x000d_386grabber=VGA.3GR_x000d__x000d_ 2 2 11" xfId="27" xr:uid="{00000000-0005-0000-0000-00001A000000}"/>
    <cellStyle name="          _x000d__x000d_386grabber=VGA.3GR_x000d__x000d_ 2 2 12" xfId="28" xr:uid="{00000000-0005-0000-0000-00001B000000}"/>
    <cellStyle name="          _x000d__x000d_386grabber=VGA.3GR_x000d__x000d_ 2 2 13" xfId="29" xr:uid="{00000000-0005-0000-0000-00001C000000}"/>
    <cellStyle name="          _x000d__x000d_386grabber=VGA.3GR_x000d__x000d_ 2 2 2" xfId="30" xr:uid="{00000000-0005-0000-0000-00001D000000}"/>
    <cellStyle name="          _x000d__x000d_386grabber=VGA.3GR_x000d__x000d_ 2 2 2 10" xfId="31" xr:uid="{00000000-0005-0000-0000-00001E000000}"/>
    <cellStyle name="          _x000d__x000d_386grabber=VGA.3GR_x000d__x000d_ 2 2 2 11" xfId="32" xr:uid="{00000000-0005-0000-0000-00001F000000}"/>
    <cellStyle name="          _x000d__x000d_386grabber=VGA.3GR_x000d__x000d_ 2 2 2 12" xfId="33" xr:uid="{00000000-0005-0000-0000-000020000000}"/>
    <cellStyle name="          _x000d__x000d_386grabber=VGA.3GR_x000d__x000d_ 2 2 2 13" xfId="34" xr:uid="{00000000-0005-0000-0000-000021000000}"/>
    <cellStyle name="          _x000d__x000d_386grabber=VGA.3GR_x000d__x000d_ 2 2 2 2" xfId="35" xr:uid="{00000000-0005-0000-0000-000022000000}"/>
    <cellStyle name="          _x000d__x000d_386grabber=VGA.3GR_x000d__x000d_ 2 2 2 3" xfId="36" xr:uid="{00000000-0005-0000-0000-000023000000}"/>
    <cellStyle name="          _x000d__x000d_386grabber=VGA.3GR_x000d__x000d_ 2 2 2 4" xfId="37" xr:uid="{00000000-0005-0000-0000-000024000000}"/>
    <cellStyle name="          _x000d__x000d_386grabber=VGA.3GR_x000d__x000d_ 2 2 2 5" xfId="38" xr:uid="{00000000-0005-0000-0000-000025000000}"/>
    <cellStyle name="          _x000d__x000d_386grabber=VGA.3GR_x000d__x000d_ 2 2 2 6" xfId="39" xr:uid="{00000000-0005-0000-0000-000026000000}"/>
    <cellStyle name="          _x000d__x000d_386grabber=VGA.3GR_x000d__x000d_ 2 2 2 7" xfId="40" xr:uid="{00000000-0005-0000-0000-000027000000}"/>
    <cellStyle name="          _x000d__x000d_386grabber=VGA.3GR_x000d__x000d_ 2 2 2 8" xfId="41" xr:uid="{00000000-0005-0000-0000-000028000000}"/>
    <cellStyle name="          _x000d__x000d_386grabber=VGA.3GR_x000d__x000d_ 2 2 2 9" xfId="42" xr:uid="{00000000-0005-0000-0000-000029000000}"/>
    <cellStyle name="          _x000d__x000d_386grabber=VGA.3GR_x000d__x000d_ 2 2 3" xfId="43" xr:uid="{00000000-0005-0000-0000-00002A000000}"/>
    <cellStyle name="          _x000d__x000d_386grabber=VGA.3GR_x000d__x000d_ 2 2 4" xfId="44" xr:uid="{00000000-0005-0000-0000-00002B000000}"/>
    <cellStyle name="          _x000d__x000d_386grabber=VGA.3GR_x000d__x000d_ 2 2 5" xfId="45" xr:uid="{00000000-0005-0000-0000-00002C000000}"/>
    <cellStyle name="          _x000d__x000d_386grabber=VGA.3GR_x000d__x000d_ 2 2 6" xfId="46" xr:uid="{00000000-0005-0000-0000-00002D000000}"/>
    <cellStyle name="          _x000d__x000d_386grabber=VGA.3GR_x000d__x000d_ 2 2 7" xfId="47" xr:uid="{00000000-0005-0000-0000-00002E000000}"/>
    <cellStyle name="          _x000d__x000d_386grabber=VGA.3GR_x000d__x000d_ 2 2 8" xfId="48" xr:uid="{00000000-0005-0000-0000-00002F000000}"/>
    <cellStyle name="          _x000d__x000d_386grabber=VGA.3GR_x000d__x000d_ 2 2 9" xfId="49" xr:uid="{00000000-0005-0000-0000-000030000000}"/>
    <cellStyle name="          _x000d__x000d_386grabber=VGA.3GR_x000d__x000d_ 2 20" xfId="50" xr:uid="{00000000-0005-0000-0000-000031000000}"/>
    <cellStyle name="          _x000d__x000d_386grabber=VGA.3GR_x000d__x000d_ 2 21" xfId="51" xr:uid="{00000000-0005-0000-0000-000032000000}"/>
    <cellStyle name="          _x000d__x000d_386grabber=VGA.3GR_x000d__x000d_ 2 22" xfId="52" xr:uid="{00000000-0005-0000-0000-000033000000}"/>
    <cellStyle name="          _x000d__x000d_386grabber=VGA.3GR_x000d__x000d_ 2 23" xfId="53" xr:uid="{00000000-0005-0000-0000-000034000000}"/>
    <cellStyle name="          _x000d__x000d_386grabber=VGA.3GR_x000d__x000d_ 2 24" xfId="54" xr:uid="{00000000-0005-0000-0000-000035000000}"/>
    <cellStyle name="          _x000d__x000d_386grabber=VGA.3GR_x000d__x000d_ 2 25" xfId="55" xr:uid="{00000000-0005-0000-0000-000036000000}"/>
    <cellStyle name="          _x000d__x000d_386grabber=VGA.3GR_x000d__x000d_ 2 3" xfId="56" xr:uid="{00000000-0005-0000-0000-000037000000}"/>
    <cellStyle name="          _x000d__x000d_386grabber=VGA.3GR_x000d__x000d_ 2 4" xfId="57" xr:uid="{00000000-0005-0000-0000-000038000000}"/>
    <cellStyle name="          _x000d__x000d_386grabber=VGA.3GR_x000d__x000d_ 2 5" xfId="58" xr:uid="{00000000-0005-0000-0000-000039000000}"/>
    <cellStyle name="          _x000d__x000d_386grabber=VGA.3GR_x000d__x000d_ 2 6" xfId="59" xr:uid="{00000000-0005-0000-0000-00003A000000}"/>
    <cellStyle name="          _x000d__x000d_386grabber=VGA.3GR_x000d__x000d_ 2 7" xfId="60" xr:uid="{00000000-0005-0000-0000-00003B000000}"/>
    <cellStyle name="          _x000d__x000d_386grabber=VGA.3GR_x000d__x000d_ 2 8" xfId="61" xr:uid="{00000000-0005-0000-0000-00003C000000}"/>
    <cellStyle name="          _x000d__x000d_386grabber=VGA.3GR_x000d__x000d_ 2 9" xfId="62" xr:uid="{00000000-0005-0000-0000-00003D000000}"/>
    <cellStyle name="          _x000d__x000d_386grabber=VGA.3GR_x000d__x000d_ 20" xfId="63" xr:uid="{00000000-0005-0000-0000-00003E000000}"/>
    <cellStyle name="          _x000d__x000d_386grabber=VGA.3GR_x000d__x000d_ 21" xfId="64" xr:uid="{00000000-0005-0000-0000-00003F000000}"/>
    <cellStyle name="          _x000d__x000d_386grabber=VGA.3GR_x000d__x000d_ 22" xfId="65" xr:uid="{00000000-0005-0000-0000-000040000000}"/>
    <cellStyle name="          _x000d__x000d_386grabber=VGA.3GR_x000d__x000d_ 23" xfId="66" xr:uid="{00000000-0005-0000-0000-000041000000}"/>
    <cellStyle name="          _x000d__x000d_386grabber=VGA.3GR_x000d__x000d_ 24" xfId="67" xr:uid="{00000000-0005-0000-0000-000042000000}"/>
    <cellStyle name="          _x000d__x000d_386grabber=VGA.3GR_x000d__x000d_ 25" xfId="68" xr:uid="{00000000-0005-0000-0000-000043000000}"/>
    <cellStyle name="          _x000d__x000d_386grabber=VGA.3GR_x000d__x000d_ 26" xfId="69" xr:uid="{00000000-0005-0000-0000-000044000000}"/>
    <cellStyle name="          _x000d__x000d_386grabber=VGA.3GR_x000d__x000d_ 27" xfId="70" xr:uid="{00000000-0005-0000-0000-000045000000}"/>
    <cellStyle name="          _x000d__x000d_386grabber=VGA.3GR_x000d__x000d_ 3" xfId="71" xr:uid="{00000000-0005-0000-0000-000046000000}"/>
    <cellStyle name="          _x000d__x000d_386grabber=VGA.3GR_x000d__x000d_ 3 2" xfId="72" xr:uid="{00000000-0005-0000-0000-000047000000}"/>
    <cellStyle name="          _x000d__x000d_386grabber=VGA.3GR_x000d__x000d_ 3 3" xfId="73" xr:uid="{00000000-0005-0000-0000-000048000000}"/>
    <cellStyle name="          _x000d__x000d_386grabber=VGA.3GR_x000d__x000d_ 3 4" xfId="74" xr:uid="{00000000-0005-0000-0000-000049000000}"/>
    <cellStyle name="          _x000d__x000d_386grabber=VGA.3GR_x000d__x000d_ 4" xfId="75" xr:uid="{00000000-0005-0000-0000-00004A000000}"/>
    <cellStyle name="          _x000d__x000d_386grabber=VGA.3GR_x000d__x000d_ 5" xfId="76" xr:uid="{00000000-0005-0000-0000-00004B000000}"/>
    <cellStyle name="          _x000d__x000d_386grabber=VGA.3GR_x000d__x000d_ 5 10" xfId="77" xr:uid="{00000000-0005-0000-0000-00004C000000}"/>
    <cellStyle name="          _x000d__x000d_386grabber=VGA.3GR_x000d__x000d_ 5 11" xfId="78" xr:uid="{00000000-0005-0000-0000-00004D000000}"/>
    <cellStyle name="          _x000d__x000d_386grabber=VGA.3GR_x000d__x000d_ 5 12" xfId="79" xr:uid="{00000000-0005-0000-0000-00004E000000}"/>
    <cellStyle name="          _x000d__x000d_386grabber=VGA.3GR_x000d__x000d_ 5 13" xfId="80" xr:uid="{00000000-0005-0000-0000-00004F000000}"/>
    <cellStyle name="          _x000d__x000d_386grabber=VGA.3GR_x000d__x000d_ 5 2" xfId="81" xr:uid="{00000000-0005-0000-0000-000050000000}"/>
    <cellStyle name="          _x000d__x000d_386grabber=VGA.3GR_x000d__x000d_ 5 3" xfId="82" xr:uid="{00000000-0005-0000-0000-000051000000}"/>
    <cellStyle name="          _x000d__x000d_386grabber=VGA.3GR_x000d__x000d_ 5 4" xfId="83" xr:uid="{00000000-0005-0000-0000-000052000000}"/>
    <cellStyle name="          _x000d__x000d_386grabber=VGA.3GR_x000d__x000d_ 5 5" xfId="84" xr:uid="{00000000-0005-0000-0000-000053000000}"/>
    <cellStyle name="          _x000d__x000d_386grabber=VGA.3GR_x000d__x000d_ 5 6" xfId="85" xr:uid="{00000000-0005-0000-0000-000054000000}"/>
    <cellStyle name="          _x000d__x000d_386grabber=VGA.3GR_x000d__x000d_ 5 7" xfId="86" xr:uid="{00000000-0005-0000-0000-000055000000}"/>
    <cellStyle name="          _x000d__x000d_386grabber=VGA.3GR_x000d__x000d_ 5 8" xfId="87" xr:uid="{00000000-0005-0000-0000-000056000000}"/>
    <cellStyle name="          _x000d__x000d_386grabber=VGA.3GR_x000d__x000d_ 5 9" xfId="88" xr:uid="{00000000-0005-0000-0000-000057000000}"/>
    <cellStyle name="          _x000d__x000d_386grabber=VGA.3GR_x000d__x000d_ 6" xfId="89" xr:uid="{00000000-0005-0000-0000-000058000000}"/>
    <cellStyle name="          _x000d__x000d_386grabber=VGA.3GR_x000d__x000d_ 7" xfId="90" xr:uid="{00000000-0005-0000-0000-000059000000}"/>
    <cellStyle name="          _x000d__x000d_386grabber=VGA.3GR_x000d__x000d_ 8" xfId="91" xr:uid="{00000000-0005-0000-0000-00005A000000}"/>
    <cellStyle name="          _x000d__x000d_386grabber=VGA.3GR_x000d__x000d_ 9" xfId="92" xr:uid="{00000000-0005-0000-0000-00005B000000}"/>
    <cellStyle name="          _x000d__x000d_386grabber=VGA.3GR_x000d__x000d__Compos. Pasivos Agosto" xfId="93" xr:uid="{00000000-0005-0000-0000-00005C000000}"/>
    <cellStyle name="_Armado del Informe_rev2008" xfId="95" xr:uid="{00000000-0005-0000-0000-00005E000000}"/>
    <cellStyle name="_Armado del Informe_rev2008 2" xfId="96" xr:uid="{00000000-0005-0000-0000-00005F000000}"/>
    <cellStyle name="_Worksheet in    Calculo IR Final APANE" xfId="97" xr:uid="{00000000-0005-0000-0000-000060000000}"/>
    <cellStyle name="_Worksheet in    Calculo IR Final APANE 10" xfId="98" xr:uid="{00000000-0005-0000-0000-000061000000}"/>
    <cellStyle name="_Worksheet in    Calculo IR Final APANE 11" xfId="99" xr:uid="{00000000-0005-0000-0000-000062000000}"/>
    <cellStyle name="_Worksheet in    Calculo IR Final APANE 12" xfId="100" xr:uid="{00000000-0005-0000-0000-000063000000}"/>
    <cellStyle name="_Worksheet in    Calculo IR Final APANE 13" xfId="101" xr:uid="{00000000-0005-0000-0000-000064000000}"/>
    <cellStyle name="_Worksheet in    Calculo IR Final APANE 14" xfId="102" xr:uid="{00000000-0005-0000-0000-000065000000}"/>
    <cellStyle name="_Worksheet in    Calculo IR Final APANE 2" xfId="103" xr:uid="{00000000-0005-0000-0000-000066000000}"/>
    <cellStyle name="_Worksheet in    Calculo IR Final APANE 3" xfId="104" xr:uid="{00000000-0005-0000-0000-000067000000}"/>
    <cellStyle name="_Worksheet in    Calculo IR Final APANE 4" xfId="105" xr:uid="{00000000-0005-0000-0000-000068000000}"/>
    <cellStyle name="_Worksheet in    Calculo IR Final APANE 5" xfId="106" xr:uid="{00000000-0005-0000-0000-000069000000}"/>
    <cellStyle name="_Worksheet in    Calculo IR Final APANE 6" xfId="107" xr:uid="{00000000-0005-0000-0000-00006A000000}"/>
    <cellStyle name="_Worksheet in    Calculo IR Final APANE 7" xfId="108" xr:uid="{00000000-0005-0000-0000-00006B000000}"/>
    <cellStyle name="_Worksheet in    Calculo IR Final APANE 8" xfId="109" xr:uid="{00000000-0005-0000-0000-00006C000000}"/>
    <cellStyle name="_Worksheet in    Calculo IR Final APANE 9" xfId="110" xr:uid="{00000000-0005-0000-0000-00006D000000}"/>
    <cellStyle name="%" xfId="94" xr:uid="{00000000-0005-0000-0000-00005D000000}"/>
    <cellStyle name="20% - Accent1" xfId="111" xr:uid="{00000000-0005-0000-0000-00006E000000}"/>
    <cellStyle name="20% - Accent2" xfId="112" xr:uid="{00000000-0005-0000-0000-00006F000000}"/>
    <cellStyle name="20% - Accent3" xfId="113" xr:uid="{00000000-0005-0000-0000-000070000000}"/>
    <cellStyle name="20% - Accent4" xfId="114" xr:uid="{00000000-0005-0000-0000-000071000000}"/>
    <cellStyle name="20% - Accent5" xfId="115" xr:uid="{00000000-0005-0000-0000-000072000000}"/>
    <cellStyle name="20% - Accent6" xfId="116" xr:uid="{00000000-0005-0000-0000-000073000000}"/>
    <cellStyle name="20% - Ênfase1" xfId="117" xr:uid="{00000000-0005-0000-0000-000074000000}"/>
    <cellStyle name="20% - Ênfase2" xfId="118" xr:uid="{00000000-0005-0000-0000-000075000000}"/>
    <cellStyle name="20% - Ênfase3" xfId="119" xr:uid="{00000000-0005-0000-0000-000076000000}"/>
    <cellStyle name="20% - Ênfase4" xfId="120" xr:uid="{00000000-0005-0000-0000-000077000000}"/>
    <cellStyle name="20% - Ênfase5" xfId="121" xr:uid="{00000000-0005-0000-0000-000078000000}"/>
    <cellStyle name="20% - Ênfase6" xfId="122" xr:uid="{00000000-0005-0000-0000-000079000000}"/>
    <cellStyle name="20% - Énfasis1" xfId="123" builtinId="30" customBuiltin="1"/>
    <cellStyle name="20% - Énfasis1 10" xfId="124" xr:uid="{00000000-0005-0000-0000-00007B000000}"/>
    <cellStyle name="20% - Énfasis1 10 10" xfId="125" xr:uid="{00000000-0005-0000-0000-00007C000000}"/>
    <cellStyle name="20% - Énfasis1 10 10 2" xfId="126" xr:uid="{00000000-0005-0000-0000-00007D000000}"/>
    <cellStyle name="20% - Énfasis1 10 11" xfId="127" xr:uid="{00000000-0005-0000-0000-00007E000000}"/>
    <cellStyle name="20% - Énfasis1 10 11 2" xfId="128" xr:uid="{00000000-0005-0000-0000-00007F000000}"/>
    <cellStyle name="20% - Énfasis1 10 12" xfId="129" xr:uid="{00000000-0005-0000-0000-000080000000}"/>
    <cellStyle name="20% - Énfasis1 10 12 2" xfId="130" xr:uid="{00000000-0005-0000-0000-000081000000}"/>
    <cellStyle name="20% - Énfasis1 10 13" xfId="131" xr:uid="{00000000-0005-0000-0000-000082000000}"/>
    <cellStyle name="20% - Énfasis1 10 13 2" xfId="132" xr:uid="{00000000-0005-0000-0000-000083000000}"/>
    <cellStyle name="20% - Énfasis1 10 14" xfId="133" xr:uid="{00000000-0005-0000-0000-000084000000}"/>
    <cellStyle name="20% - Énfasis1 10 14 2" xfId="134" xr:uid="{00000000-0005-0000-0000-000085000000}"/>
    <cellStyle name="20% - Énfasis1 10 15" xfId="135" xr:uid="{00000000-0005-0000-0000-000086000000}"/>
    <cellStyle name="20% - Énfasis1 10 15 2" xfId="136" xr:uid="{00000000-0005-0000-0000-000087000000}"/>
    <cellStyle name="20% - Énfasis1 10 16" xfId="137" xr:uid="{00000000-0005-0000-0000-000088000000}"/>
    <cellStyle name="20% - Énfasis1 10 16 2" xfId="138" xr:uid="{00000000-0005-0000-0000-000089000000}"/>
    <cellStyle name="20% - Énfasis1 10 17" xfId="139" xr:uid="{00000000-0005-0000-0000-00008A000000}"/>
    <cellStyle name="20% - Énfasis1 10 17 2" xfId="140" xr:uid="{00000000-0005-0000-0000-00008B000000}"/>
    <cellStyle name="20% - Énfasis1 10 18" xfId="141" xr:uid="{00000000-0005-0000-0000-00008C000000}"/>
    <cellStyle name="20% - Énfasis1 10 18 2" xfId="142" xr:uid="{00000000-0005-0000-0000-00008D000000}"/>
    <cellStyle name="20% - Énfasis1 10 19" xfId="143" xr:uid="{00000000-0005-0000-0000-00008E000000}"/>
    <cellStyle name="20% - Énfasis1 10 19 2" xfId="144" xr:uid="{00000000-0005-0000-0000-00008F000000}"/>
    <cellStyle name="20% - Énfasis1 10 2" xfId="145" xr:uid="{00000000-0005-0000-0000-000090000000}"/>
    <cellStyle name="20% - Énfasis1 10 2 2" xfId="146" xr:uid="{00000000-0005-0000-0000-000091000000}"/>
    <cellStyle name="20% - Énfasis1 10 20" xfId="147" xr:uid="{00000000-0005-0000-0000-000092000000}"/>
    <cellStyle name="20% - Énfasis1 10 21" xfId="148" xr:uid="{00000000-0005-0000-0000-000093000000}"/>
    <cellStyle name="20% - Énfasis1 10 3" xfId="149" xr:uid="{00000000-0005-0000-0000-000094000000}"/>
    <cellStyle name="20% - Énfasis1 10 3 2" xfId="150" xr:uid="{00000000-0005-0000-0000-000095000000}"/>
    <cellStyle name="20% - Énfasis1 10 4" xfId="151" xr:uid="{00000000-0005-0000-0000-000096000000}"/>
    <cellStyle name="20% - Énfasis1 10 4 2" xfId="152" xr:uid="{00000000-0005-0000-0000-000097000000}"/>
    <cellStyle name="20% - Énfasis1 10 5" xfId="153" xr:uid="{00000000-0005-0000-0000-000098000000}"/>
    <cellStyle name="20% - Énfasis1 10 5 2" xfId="154" xr:uid="{00000000-0005-0000-0000-000099000000}"/>
    <cellStyle name="20% - Énfasis1 10 6" xfId="155" xr:uid="{00000000-0005-0000-0000-00009A000000}"/>
    <cellStyle name="20% - Énfasis1 10 6 2" xfId="156" xr:uid="{00000000-0005-0000-0000-00009B000000}"/>
    <cellStyle name="20% - Énfasis1 10 7" xfId="157" xr:uid="{00000000-0005-0000-0000-00009C000000}"/>
    <cellStyle name="20% - Énfasis1 10 7 2" xfId="158" xr:uid="{00000000-0005-0000-0000-00009D000000}"/>
    <cellStyle name="20% - Énfasis1 10 8" xfId="159" xr:uid="{00000000-0005-0000-0000-00009E000000}"/>
    <cellStyle name="20% - Énfasis1 10 8 2" xfId="160" xr:uid="{00000000-0005-0000-0000-00009F000000}"/>
    <cellStyle name="20% - Énfasis1 10 9" xfId="161" xr:uid="{00000000-0005-0000-0000-0000A0000000}"/>
    <cellStyle name="20% - Énfasis1 10 9 2" xfId="162" xr:uid="{00000000-0005-0000-0000-0000A1000000}"/>
    <cellStyle name="20% - Énfasis1 11" xfId="163" xr:uid="{00000000-0005-0000-0000-0000A2000000}"/>
    <cellStyle name="20% - Énfasis1 11 10" xfId="164" xr:uid="{00000000-0005-0000-0000-0000A3000000}"/>
    <cellStyle name="20% - Énfasis1 11 10 2" xfId="165" xr:uid="{00000000-0005-0000-0000-0000A4000000}"/>
    <cellStyle name="20% - Énfasis1 11 11" xfId="166" xr:uid="{00000000-0005-0000-0000-0000A5000000}"/>
    <cellStyle name="20% - Énfasis1 11 11 2" xfId="167" xr:uid="{00000000-0005-0000-0000-0000A6000000}"/>
    <cellStyle name="20% - Énfasis1 11 12" xfId="168" xr:uid="{00000000-0005-0000-0000-0000A7000000}"/>
    <cellStyle name="20% - Énfasis1 11 12 2" xfId="169" xr:uid="{00000000-0005-0000-0000-0000A8000000}"/>
    <cellStyle name="20% - Énfasis1 11 13" xfId="170" xr:uid="{00000000-0005-0000-0000-0000A9000000}"/>
    <cellStyle name="20% - Énfasis1 11 13 2" xfId="171" xr:uid="{00000000-0005-0000-0000-0000AA000000}"/>
    <cellStyle name="20% - Énfasis1 11 14" xfId="172" xr:uid="{00000000-0005-0000-0000-0000AB000000}"/>
    <cellStyle name="20% - Énfasis1 11 14 2" xfId="173" xr:uid="{00000000-0005-0000-0000-0000AC000000}"/>
    <cellStyle name="20% - Énfasis1 11 15" xfId="174" xr:uid="{00000000-0005-0000-0000-0000AD000000}"/>
    <cellStyle name="20% - Énfasis1 11 15 2" xfId="175" xr:uid="{00000000-0005-0000-0000-0000AE000000}"/>
    <cellStyle name="20% - Énfasis1 11 16" xfId="176" xr:uid="{00000000-0005-0000-0000-0000AF000000}"/>
    <cellStyle name="20% - Énfasis1 11 16 2" xfId="177" xr:uid="{00000000-0005-0000-0000-0000B0000000}"/>
    <cellStyle name="20% - Énfasis1 11 17" xfId="178" xr:uid="{00000000-0005-0000-0000-0000B1000000}"/>
    <cellStyle name="20% - Énfasis1 11 17 2" xfId="179" xr:uid="{00000000-0005-0000-0000-0000B2000000}"/>
    <cellStyle name="20% - Énfasis1 11 18" xfId="180" xr:uid="{00000000-0005-0000-0000-0000B3000000}"/>
    <cellStyle name="20% - Énfasis1 11 18 2" xfId="181" xr:uid="{00000000-0005-0000-0000-0000B4000000}"/>
    <cellStyle name="20% - Énfasis1 11 19" xfId="182" xr:uid="{00000000-0005-0000-0000-0000B5000000}"/>
    <cellStyle name="20% - Énfasis1 11 19 2" xfId="183" xr:uid="{00000000-0005-0000-0000-0000B6000000}"/>
    <cellStyle name="20% - Énfasis1 11 2" xfId="184" xr:uid="{00000000-0005-0000-0000-0000B7000000}"/>
    <cellStyle name="20% - Énfasis1 11 2 2" xfId="185" xr:uid="{00000000-0005-0000-0000-0000B8000000}"/>
    <cellStyle name="20% - Énfasis1 11 20" xfId="186" xr:uid="{00000000-0005-0000-0000-0000B9000000}"/>
    <cellStyle name="20% - Énfasis1 11 21" xfId="187" xr:uid="{00000000-0005-0000-0000-0000BA000000}"/>
    <cellStyle name="20% - Énfasis1 11 3" xfId="188" xr:uid="{00000000-0005-0000-0000-0000BB000000}"/>
    <cellStyle name="20% - Énfasis1 11 3 2" xfId="189" xr:uid="{00000000-0005-0000-0000-0000BC000000}"/>
    <cellStyle name="20% - Énfasis1 11 4" xfId="190" xr:uid="{00000000-0005-0000-0000-0000BD000000}"/>
    <cellStyle name="20% - Énfasis1 11 4 2" xfId="191" xr:uid="{00000000-0005-0000-0000-0000BE000000}"/>
    <cellStyle name="20% - Énfasis1 11 5" xfId="192" xr:uid="{00000000-0005-0000-0000-0000BF000000}"/>
    <cellStyle name="20% - Énfasis1 11 5 2" xfId="193" xr:uid="{00000000-0005-0000-0000-0000C0000000}"/>
    <cellStyle name="20% - Énfasis1 11 6" xfId="194" xr:uid="{00000000-0005-0000-0000-0000C1000000}"/>
    <cellStyle name="20% - Énfasis1 11 6 2" xfId="195" xr:uid="{00000000-0005-0000-0000-0000C2000000}"/>
    <cellStyle name="20% - Énfasis1 11 7" xfId="196" xr:uid="{00000000-0005-0000-0000-0000C3000000}"/>
    <cellStyle name="20% - Énfasis1 11 7 2" xfId="197" xr:uid="{00000000-0005-0000-0000-0000C4000000}"/>
    <cellStyle name="20% - Énfasis1 11 8" xfId="198" xr:uid="{00000000-0005-0000-0000-0000C5000000}"/>
    <cellStyle name="20% - Énfasis1 11 8 2" xfId="199" xr:uid="{00000000-0005-0000-0000-0000C6000000}"/>
    <cellStyle name="20% - Énfasis1 11 9" xfId="200" xr:uid="{00000000-0005-0000-0000-0000C7000000}"/>
    <cellStyle name="20% - Énfasis1 11 9 2" xfId="201" xr:uid="{00000000-0005-0000-0000-0000C8000000}"/>
    <cellStyle name="20% - Énfasis1 12" xfId="202" xr:uid="{00000000-0005-0000-0000-0000C9000000}"/>
    <cellStyle name="20% - Énfasis1 12 10" xfId="203" xr:uid="{00000000-0005-0000-0000-0000CA000000}"/>
    <cellStyle name="20% - Énfasis1 12 10 2" xfId="204" xr:uid="{00000000-0005-0000-0000-0000CB000000}"/>
    <cellStyle name="20% - Énfasis1 12 11" xfId="205" xr:uid="{00000000-0005-0000-0000-0000CC000000}"/>
    <cellStyle name="20% - Énfasis1 12 11 2" xfId="206" xr:uid="{00000000-0005-0000-0000-0000CD000000}"/>
    <cellStyle name="20% - Énfasis1 12 12" xfId="207" xr:uid="{00000000-0005-0000-0000-0000CE000000}"/>
    <cellStyle name="20% - Énfasis1 12 12 2" xfId="208" xr:uid="{00000000-0005-0000-0000-0000CF000000}"/>
    <cellStyle name="20% - Énfasis1 12 13" xfId="209" xr:uid="{00000000-0005-0000-0000-0000D0000000}"/>
    <cellStyle name="20% - Énfasis1 12 13 2" xfId="210" xr:uid="{00000000-0005-0000-0000-0000D1000000}"/>
    <cellStyle name="20% - Énfasis1 12 14" xfId="211" xr:uid="{00000000-0005-0000-0000-0000D2000000}"/>
    <cellStyle name="20% - Énfasis1 12 14 2" xfId="212" xr:uid="{00000000-0005-0000-0000-0000D3000000}"/>
    <cellStyle name="20% - Énfasis1 12 15" xfId="213" xr:uid="{00000000-0005-0000-0000-0000D4000000}"/>
    <cellStyle name="20% - Énfasis1 12 15 2" xfId="214" xr:uid="{00000000-0005-0000-0000-0000D5000000}"/>
    <cellStyle name="20% - Énfasis1 12 16" xfId="215" xr:uid="{00000000-0005-0000-0000-0000D6000000}"/>
    <cellStyle name="20% - Énfasis1 12 16 2" xfId="216" xr:uid="{00000000-0005-0000-0000-0000D7000000}"/>
    <cellStyle name="20% - Énfasis1 12 17" xfId="217" xr:uid="{00000000-0005-0000-0000-0000D8000000}"/>
    <cellStyle name="20% - Énfasis1 12 17 2" xfId="218" xr:uid="{00000000-0005-0000-0000-0000D9000000}"/>
    <cellStyle name="20% - Énfasis1 12 18" xfId="219" xr:uid="{00000000-0005-0000-0000-0000DA000000}"/>
    <cellStyle name="20% - Énfasis1 12 18 2" xfId="220" xr:uid="{00000000-0005-0000-0000-0000DB000000}"/>
    <cellStyle name="20% - Énfasis1 12 19" xfId="221" xr:uid="{00000000-0005-0000-0000-0000DC000000}"/>
    <cellStyle name="20% - Énfasis1 12 19 2" xfId="222" xr:uid="{00000000-0005-0000-0000-0000DD000000}"/>
    <cellStyle name="20% - Énfasis1 12 2" xfId="223" xr:uid="{00000000-0005-0000-0000-0000DE000000}"/>
    <cellStyle name="20% - Énfasis1 12 2 2" xfId="224" xr:uid="{00000000-0005-0000-0000-0000DF000000}"/>
    <cellStyle name="20% - Énfasis1 12 20" xfId="225" xr:uid="{00000000-0005-0000-0000-0000E0000000}"/>
    <cellStyle name="20% - Énfasis1 12 21" xfId="226" xr:uid="{00000000-0005-0000-0000-0000E1000000}"/>
    <cellStyle name="20% - Énfasis1 12 3" xfId="227" xr:uid="{00000000-0005-0000-0000-0000E2000000}"/>
    <cellStyle name="20% - Énfasis1 12 3 2" xfId="228" xr:uid="{00000000-0005-0000-0000-0000E3000000}"/>
    <cellStyle name="20% - Énfasis1 12 4" xfId="229" xr:uid="{00000000-0005-0000-0000-0000E4000000}"/>
    <cellStyle name="20% - Énfasis1 12 4 2" xfId="230" xr:uid="{00000000-0005-0000-0000-0000E5000000}"/>
    <cellStyle name="20% - Énfasis1 12 5" xfId="231" xr:uid="{00000000-0005-0000-0000-0000E6000000}"/>
    <cellStyle name="20% - Énfasis1 12 5 2" xfId="232" xr:uid="{00000000-0005-0000-0000-0000E7000000}"/>
    <cellStyle name="20% - Énfasis1 12 6" xfId="233" xr:uid="{00000000-0005-0000-0000-0000E8000000}"/>
    <cellStyle name="20% - Énfasis1 12 6 2" xfId="234" xr:uid="{00000000-0005-0000-0000-0000E9000000}"/>
    <cellStyle name="20% - Énfasis1 12 7" xfId="235" xr:uid="{00000000-0005-0000-0000-0000EA000000}"/>
    <cellStyle name="20% - Énfasis1 12 7 2" xfId="236" xr:uid="{00000000-0005-0000-0000-0000EB000000}"/>
    <cellStyle name="20% - Énfasis1 12 8" xfId="237" xr:uid="{00000000-0005-0000-0000-0000EC000000}"/>
    <cellStyle name="20% - Énfasis1 12 8 2" xfId="238" xr:uid="{00000000-0005-0000-0000-0000ED000000}"/>
    <cellStyle name="20% - Énfasis1 12 9" xfId="239" xr:uid="{00000000-0005-0000-0000-0000EE000000}"/>
    <cellStyle name="20% - Énfasis1 12 9 2" xfId="240" xr:uid="{00000000-0005-0000-0000-0000EF000000}"/>
    <cellStyle name="20% - Énfasis1 13" xfId="241" xr:uid="{00000000-0005-0000-0000-0000F0000000}"/>
    <cellStyle name="20% - Énfasis1 13 10" xfId="242" xr:uid="{00000000-0005-0000-0000-0000F1000000}"/>
    <cellStyle name="20% - Énfasis1 13 10 2" xfId="243" xr:uid="{00000000-0005-0000-0000-0000F2000000}"/>
    <cellStyle name="20% - Énfasis1 13 11" xfId="244" xr:uid="{00000000-0005-0000-0000-0000F3000000}"/>
    <cellStyle name="20% - Énfasis1 13 11 2" xfId="245" xr:uid="{00000000-0005-0000-0000-0000F4000000}"/>
    <cellStyle name="20% - Énfasis1 13 12" xfId="246" xr:uid="{00000000-0005-0000-0000-0000F5000000}"/>
    <cellStyle name="20% - Énfasis1 13 12 2" xfId="247" xr:uid="{00000000-0005-0000-0000-0000F6000000}"/>
    <cellStyle name="20% - Énfasis1 13 13" xfId="248" xr:uid="{00000000-0005-0000-0000-0000F7000000}"/>
    <cellStyle name="20% - Énfasis1 13 13 2" xfId="249" xr:uid="{00000000-0005-0000-0000-0000F8000000}"/>
    <cellStyle name="20% - Énfasis1 13 14" xfId="250" xr:uid="{00000000-0005-0000-0000-0000F9000000}"/>
    <cellStyle name="20% - Énfasis1 13 14 2" xfId="251" xr:uid="{00000000-0005-0000-0000-0000FA000000}"/>
    <cellStyle name="20% - Énfasis1 13 15" xfId="252" xr:uid="{00000000-0005-0000-0000-0000FB000000}"/>
    <cellStyle name="20% - Énfasis1 13 15 2" xfId="253" xr:uid="{00000000-0005-0000-0000-0000FC000000}"/>
    <cellStyle name="20% - Énfasis1 13 16" xfId="254" xr:uid="{00000000-0005-0000-0000-0000FD000000}"/>
    <cellStyle name="20% - Énfasis1 13 16 2" xfId="255" xr:uid="{00000000-0005-0000-0000-0000FE000000}"/>
    <cellStyle name="20% - Énfasis1 13 17" xfId="256" xr:uid="{00000000-0005-0000-0000-0000FF000000}"/>
    <cellStyle name="20% - Énfasis1 13 17 2" xfId="257" xr:uid="{00000000-0005-0000-0000-000000010000}"/>
    <cellStyle name="20% - Énfasis1 13 18" xfId="258" xr:uid="{00000000-0005-0000-0000-000001010000}"/>
    <cellStyle name="20% - Énfasis1 13 18 2" xfId="259" xr:uid="{00000000-0005-0000-0000-000002010000}"/>
    <cellStyle name="20% - Énfasis1 13 19" xfId="260" xr:uid="{00000000-0005-0000-0000-000003010000}"/>
    <cellStyle name="20% - Énfasis1 13 19 2" xfId="261" xr:uid="{00000000-0005-0000-0000-000004010000}"/>
    <cellStyle name="20% - Énfasis1 13 2" xfId="262" xr:uid="{00000000-0005-0000-0000-000005010000}"/>
    <cellStyle name="20% - Énfasis1 13 2 2" xfId="263" xr:uid="{00000000-0005-0000-0000-000006010000}"/>
    <cellStyle name="20% - Énfasis1 13 20" xfId="264" xr:uid="{00000000-0005-0000-0000-000007010000}"/>
    <cellStyle name="20% - Énfasis1 13 21" xfId="265" xr:uid="{00000000-0005-0000-0000-000008010000}"/>
    <cellStyle name="20% - Énfasis1 13 3" xfId="266" xr:uid="{00000000-0005-0000-0000-000009010000}"/>
    <cellStyle name="20% - Énfasis1 13 3 2" xfId="267" xr:uid="{00000000-0005-0000-0000-00000A010000}"/>
    <cellStyle name="20% - Énfasis1 13 4" xfId="268" xr:uid="{00000000-0005-0000-0000-00000B010000}"/>
    <cellStyle name="20% - Énfasis1 13 4 2" xfId="269" xr:uid="{00000000-0005-0000-0000-00000C010000}"/>
    <cellStyle name="20% - Énfasis1 13 5" xfId="270" xr:uid="{00000000-0005-0000-0000-00000D010000}"/>
    <cellStyle name="20% - Énfasis1 13 5 2" xfId="271" xr:uid="{00000000-0005-0000-0000-00000E010000}"/>
    <cellStyle name="20% - Énfasis1 13 6" xfId="272" xr:uid="{00000000-0005-0000-0000-00000F010000}"/>
    <cellStyle name="20% - Énfasis1 13 6 2" xfId="273" xr:uid="{00000000-0005-0000-0000-000010010000}"/>
    <cellStyle name="20% - Énfasis1 13 7" xfId="274" xr:uid="{00000000-0005-0000-0000-000011010000}"/>
    <cellStyle name="20% - Énfasis1 13 7 2" xfId="275" xr:uid="{00000000-0005-0000-0000-000012010000}"/>
    <cellStyle name="20% - Énfasis1 13 8" xfId="276" xr:uid="{00000000-0005-0000-0000-000013010000}"/>
    <cellStyle name="20% - Énfasis1 13 8 2" xfId="277" xr:uid="{00000000-0005-0000-0000-000014010000}"/>
    <cellStyle name="20% - Énfasis1 13 9" xfId="278" xr:uid="{00000000-0005-0000-0000-000015010000}"/>
    <cellStyle name="20% - Énfasis1 13 9 2" xfId="279" xr:uid="{00000000-0005-0000-0000-000016010000}"/>
    <cellStyle name="20% - Énfasis1 14" xfId="280" xr:uid="{00000000-0005-0000-0000-000017010000}"/>
    <cellStyle name="20% - Énfasis1 14 10" xfId="281" xr:uid="{00000000-0005-0000-0000-000018010000}"/>
    <cellStyle name="20% - Énfasis1 14 10 2" xfId="282" xr:uid="{00000000-0005-0000-0000-000019010000}"/>
    <cellStyle name="20% - Énfasis1 14 11" xfId="283" xr:uid="{00000000-0005-0000-0000-00001A010000}"/>
    <cellStyle name="20% - Énfasis1 14 11 2" xfId="284" xr:uid="{00000000-0005-0000-0000-00001B010000}"/>
    <cellStyle name="20% - Énfasis1 14 12" xfId="285" xr:uid="{00000000-0005-0000-0000-00001C010000}"/>
    <cellStyle name="20% - Énfasis1 14 12 2" xfId="286" xr:uid="{00000000-0005-0000-0000-00001D010000}"/>
    <cellStyle name="20% - Énfasis1 14 13" xfId="287" xr:uid="{00000000-0005-0000-0000-00001E010000}"/>
    <cellStyle name="20% - Énfasis1 14 13 2" xfId="288" xr:uid="{00000000-0005-0000-0000-00001F010000}"/>
    <cellStyle name="20% - Énfasis1 14 14" xfId="289" xr:uid="{00000000-0005-0000-0000-000020010000}"/>
    <cellStyle name="20% - Énfasis1 14 14 2" xfId="290" xr:uid="{00000000-0005-0000-0000-000021010000}"/>
    <cellStyle name="20% - Énfasis1 14 15" xfId="291" xr:uid="{00000000-0005-0000-0000-000022010000}"/>
    <cellStyle name="20% - Énfasis1 14 15 2" xfId="292" xr:uid="{00000000-0005-0000-0000-000023010000}"/>
    <cellStyle name="20% - Énfasis1 14 16" xfId="293" xr:uid="{00000000-0005-0000-0000-000024010000}"/>
    <cellStyle name="20% - Énfasis1 14 16 2" xfId="294" xr:uid="{00000000-0005-0000-0000-000025010000}"/>
    <cellStyle name="20% - Énfasis1 14 17" xfId="295" xr:uid="{00000000-0005-0000-0000-000026010000}"/>
    <cellStyle name="20% - Énfasis1 14 17 2" xfId="296" xr:uid="{00000000-0005-0000-0000-000027010000}"/>
    <cellStyle name="20% - Énfasis1 14 18" xfId="297" xr:uid="{00000000-0005-0000-0000-000028010000}"/>
    <cellStyle name="20% - Énfasis1 14 18 2" xfId="298" xr:uid="{00000000-0005-0000-0000-000029010000}"/>
    <cellStyle name="20% - Énfasis1 14 19" xfId="299" xr:uid="{00000000-0005-0000-0000-00002A010000}"/>
    <cellStyle name="20% - Énfasis1 14 19 2" xfId="300" xr:uid="{00000000-0005-0000-0000-00002B010000}"/>
    <cellStyle name="20% - Énfasis1 14 2" xfId="301" xr:uid="{00000000-0005-0000-0000-00002C010000}"/>
    <cellStyle name="20% - Énfasis1 14 2 2" xfId="302" xr:uid="{00000000-0005-0000-0000-00002D010000}"/>
    <cellStyle name="20% - Énfasis1 14 20" xfId="303" xr:uid="{00000000-0005-0000-0000-00002E010000}"/>
    <cellStyle name="20% - Énfasis1 14 3" xfId="304" xr:uid="{00000000-0005-0000-0000-00002F010000}"/>
    <cellStyle name="20% - Énfasis1 14 3 2" xfId="305" xr:uid="{00000000-0005-0000-0000-000030010000}"/>
    <cellStyle name="20% - Énfasis1 14 4" xfId="306" xr:uid="{00000000-0005-0000-0000-000031010000}"/>
    <cellStyle name="20% - Énfasis1 14 4 2" xfId="307" xr:uid="{00000000-0005-0000-0000-000032010000}"/>
    <cellStyle name="20% - Énfasis1 14 5" xfId="308" xr:uid="{00000000-0005-0000-0000-000033010000}"/>
    <cellStyle name="20% - Énfasis1 14 5 2" xfId="309" xr:uid="{00000000-0005-0000-0000-000034010000}"/>
    <cellStyle name="20% - Énfasis1 14 6" xfId="310" xr:uid="{00000000-0005-0000-0000-000035010000}"/>
    <cellStyle name="20% - Énfasis1 14 6 2" xfId="311" xr:uid="{00000000-0005-0000-0000-000036010000}"/>
    <cellStyle name="20% - Énfasis1 14 7" xfId="312" xr:uid="{00000000-0005-0000-0000-000037010000}"/>
    <cellStyle name="20% - Énfasis1 14 7 2" xfId="313" xr:uid="{00000000-0005-0000-0000-000038010000}"/>
    <cellStyle name="20% - Énfasis1 14 8" xfId="314" xr:uid="{00000000-0005-0000-0000-000039010000}"/>
    <cellStyle name="20% - Énfasis1 14 8 2" xfId="315" xr:uid="{00000000-0005-0000-0000-00003A010000}"/>
    <cellStyle name="20% - Énfasis1 14 9" xfId="316" xr:uid="{00000000-0005-0000-0000-00003B010000}"/>
    <cellStyle name="20% - Énfasis1 14 9 2" xfId="317" xr:uid="{00000000-0005-0000-0000-00003C010000}"/>
    <cellStyle name="20% - Énfasis1 15" xfId="318" xr:uid="{00000000-0005-0000-0000-00003D010000}"/>
    <cellStyle name="20% - Énfasis1 15 10" xfId="319" xr:uid="{00000000-0005-0000-0000-00003E010000}"/>
    <cellStyle name="20% - Énfasis1 15 10 2" xfId="320" xr:uid="{00000000-0005-0000-0000-00003F010000}"/>
    <cellStyle name="20% - Énfasis1 15 11" xfId="321" xr:uid="{00000000-0005-0000-0000-000040010000}"/>
    <cellStyle name="20% - Énfasis1 15 11 2" xfId="322" xr:uid="{00000000-0005-0000-0000-000041010000}"/>
    <cellStyle name="20% - Énfasis1 15 12" xfId="323" xr:uid="{00000000-0005-0000-0000-000042010000}"/>
    <cellStyle name="20% - Énfasis1 15 12 2" xfId="324" xr:uid="{00000000-0005-0000-0000-000043010000}"/>
    <cellStyle name="20% - Énfasis1 15 13" xfId="325" xr:uid="{00000000-0005-0000-0000-000044010000}"/>
    <cellStyle name="20% - Énfasis1 15 13 2" xfId="326" xr:uid="{00000000-0005-0000-0000-000045010000}"/>
    <cellStyle name="20% - Énfasis1 15 14" xfId="327" xr:uid="{00000000-0005-0000-0000-000046010000}"/>
    <cellStyle name="20% - Énfasis1 15 14 2" xfId="328" xr:uid="{00000000-0005-0000-0000-000047010000}"/>
    <cellStyle name="20% - Énfasis1 15 15" xfId="329" xr:uid="{00000000-0005-0000-0000-000048010000}"/>
    <cellStyle name="20% - Énfasis1 15 15 2" xfId="330" xr:uid="{00000000-0005-0000-0000-000049010000}"/>
    <cellStyle name="20% - Énfasis1 15 16" xfId="331" xr:uid="{00000000-0005-0000-0000-00004A010000}"/>
    <cellStyle name="20% - Énfasis1 15 16 2" xfId="332" xr:uid="{00000000-0005-0000-0000-00004B010000}"/>
    <cellStyle name="20% - Énfasis1 15 17" xfId="333" xr:uid="{00000000-0005-0000-0000-00004C010000}"/>
    <cellStyle name="20% - Énfasis1 15 17 2" xfId="334" xr:uid="{00000000-0005-0000-0000-00004D010000}"/>
    <cellStyle name="20% - Énfasis1 15 18" xfId="335" xr:uid="{00000000-0005-0000-0000-00004E010000}"/>
    <cellStyle name="20% - Énfasis1 15 18 2" xfId="336" xr:uid="{00000000-0005-0000-0000-00004F010000}"/>
    <cellStyle name="20% - Énfasis1 15 19" xfId="337" xr:uid="{00000000-0005-0000-0000-000050010000}"/>
    <cellStyle name="20% - Énfasis1 15 19 2" xfId="338" xr:uid="{00000000-0005-0000-0000-000051010000}"/>
    <cellStyle name="20% - Énfasis1 15 2" xfId="339" xr:uid="{00000000-0005-0000-0000-000052010000}"/>
    <cellStyle name="20% - Énfasis1 15 2 2" xfId="340" xr:uid="{00000000-0005-0000-0000-000053010000}"/>
    <cellStyle name="20% - Énfasis1 15 20" xfId="341" xr:uid="{00000000-0005-0000-0000-000054010000}"/>
    <cellStyle name="20% - Énfasis1 15 3" xfId="342" xr:uid="{00000000-0005-0000-0000-000055010000}"/>
    <cellStyle name="20% - Énfasis1 15 3 2" xfId="343" xr:uid="{00000000-0005-0000-0000-000056010000}"/>
    <cellStyle name="20% - Énfasis1 15 4" xfId="344" xr:uid="{00000000-0005-0000-0000-000057010000}"/>
    <cellStyle name="20% - Énfasis1 15 4 2" xfId="345" xr:uid="{00000000-0005-0000-0000-000058010000}"/>
    <cellStyle name="20% - Énfasis1 15 5" xfId="346" xr:uid="{00000000-0005-0000-0000-000059010000}"/>
    <cellStyle name="20% - Énfasis1 15 5 2" xfId="347" xr:uid="{00000000-0005-0000-0000-00005A010000}"/>
    <cellStyle name="20% - Énfasis1 15 6" xfId="348" xr:uid="{00000000-0005-0000-0000-00005B010000}"/>
    <cellStyle name="20% - Énfasis1 15 6 2" xfId="349" xr:uid="{00000000-0005-0000-0000-00005C010000}"/>
    <cellStyle name="20% - Énfasis1 15 7" xfId="350" xr:uid="{00000000-0005-0000-0000-00005D010000}"/>
    <cellStyle name="20% - Énfasis1 15 7 2" xfId="351" xr:uid="{00000000-0005-0000-0000-00005E010000}"/>
    <cellStyle name="20% - Énfasis1 15 8" xfId="352" xr:uid="{00000000-0005-0000-0000-00005F010000}"/>
    <cellStyle name="20% - Énfasis1 15 8 2" xfId="353" xr:uid="{00000000-0005-0000-0000-000060010000}"/>
    <cellStyle name="20% - Énfasis1 15 9" xfId="354" xr:uid="{00000000-0005-0000-0000-000061010000}"/>
    <cellStyle name="20% - Énfasis1 15 9 2" xfId="355" xr:uid="{00000000-0005-0000-0000-000062010000}"/>
    <cellStyle name="20% - Énfasis1 16" xfId="356" xr:uid="{00000000-0005-0000-0000-000063010000}"/>
    <cellStyle name="20% - Énfasis1 16 10" xfId="357" xr:uid="{00000000-0005-0000-0000-000064010000}"/>
    <cellStyle name="20% - Énfasis1 16 10 2" xfId="358" xr:uid="{00000000-0005-0000-0000-000065010000}"/>
    <cellStyle name="20% - Énfasis1 16 11" xfId="359" xr:uid="{00000000-0005-0000-0000-000066010000}"/>
    <cellStyle name="20% - Énfasis1 16 11 2" xfId="360" xr:uid="{00000000-0005-0000-0000-000067010000}"/>
    <cellStyle name="20% - Énfasis1 16 12" xfId="361" xr:uid="{00000000-0005-0000-0000-000068010000}"/>
    <cellStyle name="20% - Énfasis1 16 12 2" xfId="362" xr:uid="{00000000-0005-0000-0000-000069010000}"/>
    <cellStyle name="20% - Énfasis1 16 13" xfId="363" xr:uid="{00000000-0005-0000-0000-00006A010000}"/>
    <cellStyle name="20% - Énfasis1 16 13 2" xfId="364" xr:uid="{00000000-0005-0000-0000-00006B010000}"/>
    <cellStyle name="20% - Énfasis1 16 14" xfId="365" xr:uid="{00000000-0005-0000-0000-00006C010000}"/>
    <cellStyle name="20% - Énfasis1 16 14 2" xfId="366" xr:uid="{00000000-0005-0000-0000-00006D010000}"/>
    <cellStyle name="20% - Énfasis1 16 15" xfId="367" xr:uid="{00000000-0005-0000-0000-00006E010000}"/>
    <cellStyle name="20% - Énfasis1 16 15 2" xfId="368" xr:uid="{00000000-0005-0000-0000-00006F010000}"/>
    <cellStyle name="20% - Énfasis1 16 16" xfId="369" xr:uid="{00000000-0005-0000-0000-000070010000}"/>
    <cellStyle name="20% - Énfasis1 16 16 2" xfId="370" xr:uid="{00000000-0005-0000-0000-000071010000}"/>
    <cellStyle name="20% - Énfasis1 16 17" xfId="371" xr:uid="{00000000-0005-0000-0000-000072010000}"/>
    <cellStyle name="20% - Énfasis1 16 17 2" xfId="372" xr:uid="{00000000-0005-0000-0000-000073010000}"/>
    <cellStyle name="20% - Énfasis1 16 18" xfId="373" xr:uid="{00000000-0005-0000-0000-000074010000}"/>
    <cellStyle name="20% - Énfasis1 16 18 2" xfId="374" xr:uid="{00000000-0005-0000-0000-000075010000}"/>
    <cellStyle name="20% - Énfasis1 16 19" xfId="375" xr:uid="{00000000-0005-0000-0000-000076010000}"/>
    <cellStyle name="20% - Énfasis1 16 19 2" xfId="376" xr:uid="{00000000-0005-0000-0000-000077010000}"/>
    <cellStyle name="20% - Énfasis1 16 2" xfId="377" xr:uid="{00000000-0005-0000-0000-000078010000}"/>
    <cellStyle name="20% - Énfasis1 16 2 2" xfId="378" xr:uid="{00000000-0005-0000-0000-000079010000}"/>
    <cellStyle name="20% - Énfasis1 16 20" xfId="379" xr:uid="{00000000-0005-0000-0000-00007A010000}"/>
    <cellStyle name="20% - Énfasis1 16 3" xfId="380" xr:uid="{00000000-0005-0000-0000-00007B010000}"/>
    <cellStyle name="20% - Énfasis1 16 3 2" xfId="381" xr:uid="{00000000-0005-0000-0000-00007C010000}"/>
    <cellStyle name="20% - Énfasis1 16 4" xfId="382" xr:uid="{00000000-0005-0000-0000-00007D010000}"/>
    <cellStyle name="20% - Énfasis1 16 4 2" xfId="383" xr:uid="{00000000-0005-0000-0000-00007E010000}"/>
    <cellStyle name="20% - Énfasis1 16 5" xfId="384" xr:uid="{00000000-0005-0000-0000-00007F010000}"/>
    <cellStyle name="20% - Énfasis1 16 5 2" xfId="385" xr:uid="{00000000-0005-0000-0000-000080010000}"/>
    <cellStyle name="20% - Énfasis1 16 6" xfId="386" xr:uid="{00000000-0005-0000-0000-000081010000}"/>
    <cellStyle name="20% - Énfasis1 16 6 2" xfId="387" xr:uid="{00000000-0005-0000-0000-000082010000}"/>
    <cellStyle name="20% - Énfasis1 16 7" xfId="388" xr:uid="{00000000-0005-0000-0000-000083010000}"/>
    <cellStyle name="20% - Énfasis1 16 7 2" xfId="389" xr:uid="{00000000-0005-0000-0000-000084010000}"/>
    <cellStyle name="20% - Énfasis1 16 8" xfId="390" xr:uid="{00000000-0005-0000-0000-000085010000}"/>
    <cellStyle name="20% - Énfasis1 16 8 2" xfId="391" xr:uid="{00000000-0005-0000-0000-000086010000}"/>
    <cellStyle name="20% - Énfasis1 16 9" xfId="392" xr:uid="{00000000-0005-0000-0000-000087010000}"/>
    <cellStyle name="20% - Énfasis1 16 9 2" xfId="393" xr:uid="{00000000-0005-0000-0000-000088010000}"/>
    <cellStyle name="20% - Énfasis1 17" xfId="394" xr:uid="{00000000-0005-0000-0000-000089010000}"/>
    <cellStyle name="20% - Énfasis1 17 10" xfId="395" xr:uid="{00000000-0005-0000-0000-00008A010000}"/>
    <cellStyle name="20% - Énfasis1 17 10 2" xfId="396" xr:uid="{00000000-0005-0000-0000-00008B010000}"/>
    <cellStyle name="20% - Énfasis1 17 11" xfId="397" xr:uid="{00000000-0005-0000-0000-00008C010000}"/>
    <cellStyle name="20% - Énfasis1 17 11 2" xfId="398" xr:uid="{00000000-0005-0000-0000-00008D010000}"/>
    <cellStyle name="20% - Énfasis1 17 12" xfId="399" xr:uid="{00000000-0005-0000-0000-00008E010000}"/>
    <cellStyle name="20% - Énfasis1 17 12 2" xfId="400" xr:uid="{00000000-0005-0000-0000-00008F010000}"/>
    <cellStyle name="20% - Énfasis1 17 13" xfId="401" xr:uid="{00000000-0005-0000-0000-000090010000}"/>
    <cellStyle name="20% - Énfasis1 17 13 2" xfId="402" xr:uid="{00000000-0005-0000-0000-000091010000}"/>
    <cellStyle name="20% - Énfasis1 17 14" xfId="403" xr:uid="{00000000-0005-0000-0000-000092010000}"/>
    <cellStyle name="20% - Énfasis1 17 14 2" xfId="404" xr:uid="{00000000-0005-0000-0000-000093010000}"/>
    <cellStyle name="20% - Énfasis1 17 15" xfId="405" xr:uid="{00000000-0005-0000-0000-000094010000}"/>
    <cellStyle name="20% - Énfasis1 17 15 2" xfId="406" xr:uid="{00000000-0005-0000-0000-000095010000}"/>
    <cellStyle name="20% - Énfasis1 17 16" xfId="407" xr:uid="{00000000-0005-0000-0000-000096010000}"/>
    <cellStyle name="20% - Énfasis1 17 16 2" xfId="408" xr:uid="{00000000-0005-0000-0000-000097010000}"/>
    <cellStyle name="20% - Énfasis1 17 17" xfId="409" xr:uid="{00000000-0005-0000-0000-000098010000}"/>
    <cellStyle name="20% - Énfasis1 17 17 2" xfId="410" xr:uid="{00000000-0005-0000-0000-000099010000}"/>
    <cellStyle name="20% - Énfasis1 17 18" xfId="411" xr:uid="{00000000-0005-0000-0000-00009A010000}"/>
    <cellStyle name="20% - Énfasis1 17 18 2" xfId="412" xr:uid="{00000000-0005-0000-0000-00009B010000}"/>
    <cellStyle name="20% - Énfasis1 17 19" xfId="413" xr:uid="{00000000-0005-0000-0000-00009C010000}"/>
    <cellStyle name="20% - Énfasis1 17 19 2" xfId="414" xr:uid="{00000000-0005-0000-0000-00009D010000}"/>
    <cellStyle name="20% - Énfasis1 17 2" xfId="415" xr:uid="{00000000-0005-0000-0000-00009E010000}"/>
    <cellStyle name="20% - Énfasis1 17 2 2" xfId="416" xr:uid="{00000000-0005-0000-0000-00009F010000}"/>
    <cellStyle name="20% - Énfasis1 17 20" xfId="417" xr:uid="{00000000-0005-0000-0000-0000A0010000}"/>
    <cellStyle name="20% - Énfasis1 17 3" xfId="418" xr:uid="{00000000-0005-0000-0000-0000A1010000}"/>
    <cellStyle name="20% - Énfasis1 17 3 2" xfId="419" xr:uid="{00000000-0005-0000-0000-0000A2010000}"/>
    <cellStyle name="20% - Énfasis1 17 4" xfId="420" xr:uid="{00000000-0005-0000-0000-0000A3010000}"/>
    <cellStyle name="20% - Énfasis1 17 4 2" xfId="421" xr:uid="{00000000-0005-0000-0000-0000A4010000}"/>
    <cellStyle name="20% - Énfasis1 17 5" xfId="422" xr:uid="{00000000-0005-0000-0000-0000A5010000}"/>
    <cellStyle name="20% - Énfasis1 17 5 2" xfId="423" xr:uid="{00000000-0005-0000-0000-0000A6010000}"/>
    <cellStyle name="20% - Énfasis1 17 6" xfId="424" xr:uid="{00000000-0005-0000-0000-0000A7010000}"/>
    <cellStyle name="20% - Énfasis1 17 6 2" xfId="425" xr:uid="{00000000-0005-0000-0000-0000A8010000}"/>
    <cellStyle name="20% - Énfasis1 17 7" xfId="426" xr:uid="{00000000-0005-0000-0000-0000A9010000}"/>
    <cellStyle name="20% - Énfasis1 17 7 2" xfId="427" xr:uid="{00000000-0005-0000-0000-0000AA010000}"/>
    <cellStyle name="20% - Énfasis1 17 8" xfId="428" xr:uid="{00000000-0005-0000-0000-0000AB010000}"/>
    <cellStyle name="20% - Énfasis1 17 8 2" xfId="429" xr:uid="{00000000-0005-0000-0000-0000AC010000}"/>
    <cellStyle name="20% - Énfasis1 17 9" xfId="430" xr:uid="{00000000-0005-0000-0000-0000AD010000}"/>
    <cellStyle name="20% - Énfasis1 17 9 2" xfId="431" xr:uid="{00000000-0005-0000-0000-0000AE010000}"/>
    <cellStyle name="20% - Énfasis1 18" xfId="432" xr:uid="{00000000-0005-0000-0000-0000AF010000}"/>
    <cellStyle name="20% - Énfasis1 18 10" xfId="433" xr:uid="{00000000-0005-0000-0000-0000B0010000}"/>
    <cellStyle name="20% - Énfasis1 18 10 2" xfId="434" xr:uid="{00000000-0005-0000-0000-0000B1010000}"/>
    <cellStyle name="20% - Énfasis1 18 11" xfId="435" xr:uid="{00000000-0005-0000-0000-0000B2010000}"/>
    <cellStyle name="20% - Énfasis1 18 11 2" xfId="436" xr:uid="{00000000-0005-0000-0000-0000B3010000}"/>
    <cellStyle name="20% - Énfasis1 18 12" xfId="437" xr:uid="{00000000-0005-0000-0000-0000B4010000}"/>
    <cellStyle name="20% - Énfasis1 18 12 2" xfId="438" xr:uid="{00000000-0005-0000-0000-0000B5010000}"/>
    <cellStyle name="20% - Énfasis1 18 13" xfId="439" xr:uid="{00000000-0005-0000-0000-0000B6010000}"/>
    <cellStyle name="20% - Énfasis1 18 13 2" xfId="440" xr:uid="{00000000-0005-0000-0000-0000B7010000}"/>
    <cellStyle name="20% - Énfasis1 18 14" xfId="441" xr:uid="{00000000-0005-0000-0000-0000B8010000}"/>
    <cellStyle name="20% - Énfasis1 18 14 2" xfId="442" xr:uid="{00000000-0005-0000-0000-0000B9010000}"/>
    <cellStyle name="20% - Énfasis1 18 15" xfId="443" xr:uid="{00000000-0005-0000-0000-0000BA010000}"/>
    <cellStyle name="20% - Énfasis1 18 15 2" xfId="444" xr:uid="{00000000-0005-0000-0000-0000BB010000}"/>
    <cellStyle name="20% - Énfasis1 18 16" xfId="445" xr:uid="{00000000-0005-0000-0000-0000BC010000}"/>
    <cellStyle name="20% - Énfasis1 18 16 2" xfId="446" xr:uid="{00000000-0005-0000-0000-0000BD010000}"/>
    <cellStyle name="20% - Énfasis1 18 17" xfId="447" xr:uid="{00000000-0005-0000-0000-0000BE010000}"/>
    <cellStyle name="20% - Énfasis1 18 17 2" xfId="448" xr:uid="{00000000-0005-0000-0000-0000BF010000}"/>
    <cellStyle name="20% - Énfasis1 18 18" xfId="449" xr:uid="{00000000-0005-0000-0000-0000C0010000}"/>
    <cellStyle name="20% - Énfasis1 18 18 2" xfId="450" xr:uid="{00000000-0005-0000-0000-0000C1010000}"/>
    <cellStyle name="20% - Énfasis1 18 19" xfId="451" xr:uid="{00000000-0005-0000-0000-0000C2010000}"/>
    <cellStyle name="20% - Énfasis1 18 19 2" xfId="452" xr:uid="{00000000-0005-0000-0000-0000C3010000}"/>
    <cellStyle name="20% - Énfasis1 18 2" xfId="453" xr:uid="{00000000-0005-0000-0000-0000C4010000}"/>
    <cellStyle name="20% - Énfasis1 18 2 2" xfId="454" xr:uid="{00000000-0005-0000-0000-0000C5010000}"/>
    <cellStyle name="20% - Énfasis1 18 20" xfId="455" xr:uid="{00000000-0005-0000-0000-0000C6010000}"/>
    <cellStyle name="20% - Énfasis1 18 3" xfId="456" xr:uid="{00000000-0005-0000-0000-0000C7010000}"/>
    <cellStyle name="20% - Énfasis1 18 3 2" xfId="457" xr:uid="{00000000-0005-0000-0000-0000C8010000}"/>
    <cellStyle name="20% - Énfasis1 18 4" xfId="458" xr:uid="{00000000-0005-0000-0000-0000C9010000}"/>
    <cellStyle name="20% - Énfasis1 18 4 2" xfId="459" xr:uid="{00000000-0005-0000-0000-0000CA010000}"/>
    <cellStyle name="20% - Énfasis1 18 5" xfId="460" xr:uid="{00000000-0005-0000-0000-0000CB010000}"/>
    <cellStyle name="20% - Énfasis1 18 5 2" xfId="461" xr:uid="{00000000-0005-0000-0000-0000CC010000}"/>
    <cellStyle name="20% - Énfasis1 18 6" xfId="462" xr:uid="{00000000-0005-0000-0000-0000CD010000}"/>
    <cellStyle name="20% - Énfasis1 18 6 2" xfId="463" xr:uid="{00000000-0005-0000-0000-0000CE010000}"/>
    <cellStyle name="20% - Énfasis1 18 7" xfId="464" xr:uid="{00000000-0005-0000-0000-0000CF010000}"/>
    <cellStyle name="20% - Énfasis1 18 7 2" xfId="465" xr:uid="{00000000-0005-0000-0000-0000D0010000}"/>
    <cellStyle name="20% - Énfasis1 18 8" xfId="466" xr:uid="{00000000-0005-0000-0000-0000D1010000}"/>
    <cellStyle name="20% - Énfasis1 18 8 2" xfId="467" xr:uid="{00000000-0005-0000-0000-0000D2010000}"/>
    <cellStyle name="20% - Énfasis1 18 9" xfId="468" xr:uid="{00000000-0005-0000-0000-0000D3010000}"/>
    <cellStyle name="20% - Énfasis1 18 9 2" xfId="469" xr:uid="{00000000-0005-0000-0000-0000D4010000}"/>
    <cellStyle name="20% - Énfasis1 19" xfId="470" xr:uid="{00000000-0005-0000-0000-0000D5010000}"/>
    <cellStyle name="20% - Énfasis1 19 10" xfId="471" xr:uid="{00000000-0005-0000-0000-0000D6010000}"/>
    <cellStyle name="20% - Énfasis1 19 10 2" xfId="472" xr:uid="{00000000-0005-0000-0000-0000D7010000}"/>
    <cellStyle name="20% - Énfasis1 19 11" xfId="473" xr:uid="{00000000-0005-0000-0000-0000D8010000}"/>
    <cellStyle name="20% - Énfasis1 19 11 2" xfId="474" xr:uid="{00000000-0005-0000-0000-0000D9010000}"/>
    <cellStyle name="20% - Énfasis1 19 12" xfId="475" xr:uid="{00000000-0005-0000-0000-0000DA010000}"/>
    <cellStyle name="20% - Énfasis1 19 12 2" xfId="476" xr:uid="{00000000-0005-0000-0000-0000DB010000}"/>
    <cellStyle name="20% - Énfasis1 19 13" xfId="477" xr:uid="{00000000-0005-0000-0000-0000DC010000}"/>
    <cellStyle name="20% - Énfasis1 19 13 2" xfId="478" xr:uid="{00000000-0005-0000-0000-0000DD010000}"/>
    <cellStyle name="20% - Énfasis1 19 14" xfId="479" xr:uid="{00000000-0005-0000-0000-0000DE010000}"/>
    <cellStyle name="20% - Énfasis1 19 14 2" xfId="480" xr:uid="{00000000-0005-0000-0000-0000DF010000}"/>
    <cellStyle name="20% - Énfasis1 19 15" xfId="481" xr:uid="{00000000-0005-0000-0000-0000E0010000}"/>
    <cellStyle name="20% - Énfasis1 19 15 2" xfId="482" xr:uid="{00000000-0005-0000-0000-0000E1010000}"/>
    <cellStyle name="20% - Énfasis1 19 16" xfId="483" xr:uid="{00000000-0005-0000-0000-0000E2010000}"/>
    <cellStyle name="20% - Énfasis1 19 16 2" xfId="484" xr:uid="{00000000-0005-0000-0000-0000E3010000}"/>
    <cellStyle name="20% - Énfasis1 19 17" xfId="485" xr:uid="{00000000-0005-0000-0000-0000E4010000}"/>
    <cellStyle name="20% - Énfasis1 19 17 2" xfId="486" xr:uid="{00000000-0005-0000-0000-0000E5010000}"/>
    <cellStyle name="20% - Énfasis1 19 18" xfId="487" xr:uid="{00000000-0005-0000-0000-0000E6010000}"/>
    <cellStyle name="20% - Énfasis1 19 18 2" xfId="488" xr:uid="{00000000-0005-0000-0000-0000E7010000}"/>
    <cellStyle name="20% - Énfasis1 19 19" xfId="489" xr:uid="{00000000-0005-0000-0000-0000E8010000}"/>
    <cellStyle name="20% - Énfasis1 19 19 2" xfId="490" xr:uid="{00000000-0005-0000-0000-0000E9010000}"/>
    <cellStyle name="20% - Énfasis1 19 2" xfId="491" xr:uid="{00000000-0005-0000-0000-0000EA010000}"/>
    <cellStyle name="20% - Énfasis1 19 2 2" xfId="492" xr:uid="{00000000-0005-0000-0000-0000EB010000}"/>
    <cellStyle name="20% - Énfasis1 19 20" xfId="493" xr:uid="{00000000-0005-0000-0000-0000EC010000}"/>
    <cellStyle name="20% - Énfasis1 19 3" xfId="494" xr:uid="{00000000-0005-0000-0000-0000ED010000}"/>
    <cellStyle name="20% - Énfasis1 19 3 2" xfId="495" xr:uid="{00000000-0005-0000-0000-0000EE010000}"/>
    <cellStyle name="20% - Énfasis1 19 4" xfId="496" xr:uid="{00000000-0005-0000-0000-0000EF010000}"/>
    <cellStyle name="20% - Énfasis1 19 4 2" xfId="497" xr:uid="{00000000-0005-0000-0000-0000F0010000}"/>
    <cellStyle name="20% - Énfasis1 19 5" xfId="498" xr:uid="{00000000-0005-0000-0000-0000F1010000}"/>
    <cellStyle name="20% - Énfasis1 19 5 2" xfId="499" xr:uid="{00000000-0005-0000-0000-0000F2010000}"/>
    <cellStyle name="20% - Énfasis1 19 6" xfId="500" xr:uid="{00000000-0005-0000-0000-0000F3010000}"/>
    <cellStyle name="20% - Énfasis1 19 6 2" xfId="501" xr:uid="{00000000-0005-0000-0000-0000F4010000}"/>
    <cellStyle name="20% - Énfasis1 19 7" xfId="502" xr:uid="{00000000-0005-0000-0000-0000F5010000}"/>
    <cellStyle name="20% - Énfasis1 19 7 2" xfId="503" xr:uid="{00000000-0005-0000-0000-0000F6010000}"/>
    <cellStyle name="20% - Énfasis1 19 8" xfId="504" xr:uid="{00000000-0005-0000-0000-0000F7010000}"/>
    <cellStyle name="20% - Énfasis1 19 8 2" xfId="505" xr:uid="{00000000-0005-0000-0000-0000F8010000}"/>
    <cellStyle name="20% - Énfasis1 19 9" xfId="506" xr:uid="{00000000-0005-0000-0000-0000F9010000}"/>
    <cellStyle name="20% - Énfasis1 19 9 2" xfId="507" xr:uid="{00000000-0005-0000-0000-0000FA010000}"/>
    <cellStyle name="20% - Énfasis1 2" xfId="508" xr:uid="{00000000-0005-0000-0000-0000FB010000}"/>
    <cellStyle name="20% - Énfasis1 2 10" xfId="509" xr:uid="{00000000-0005-0000-0000-0000FC010000}"/>
    <cellStyle name="20% - Énfasis1 2 10 2" xfId="510" xr:uid="{00000000-0005-0000-0000-0000FD010000}"/>
    <cellStyle name="20% - Énfasis1 2 11" xfId="511" xr:uid="{00000000-0005-0000-0000-0000FE010000}"/>
    <cellStyle name="20% - Énfasis1 2 11 2" xfId="512" xr:uid="{00000000-0005-0000-0000-0000FF010000}"/>
    <cellStyle name="20% - Énfasis1 2 12" xfId="513" xr:uid="{00000000-0005-0000-0000-000000020000}"/>
    <cellStyle name="20% - Énfasis1 2 12 2" xfId="514" xr:uid="{00000000-0005-0000-0000-000001020000}"/>
    <cellStyle name="20% - Énfasis1 2 13" xfId="515" xr:uid="{00000000-0005-0000-0000-000002020000}"/>
    <cellStyle name="20% - Énfasis1 2 13 2" xfId="516" xr:uid="{00000000-0005-0000-0000-000003020000}"/>
    <cellStyle name="20% - Énfasis1 2 14" xfId="517" xr:uid="{00000000-0005-0000-0000-000004020000}"/>
    <cellStyle name="20% - Énfasis1 2 14 2" xfId="518" xr:uid="{00000000-0005-0000-0000-000005020000}"/>
    <cellStyle name="20% - Énfasis1 2 15" xfId="519" xr:uid="{00000000-0005-0000-0000-000006020000}"/>
    <cellStyle name="20% - Énfasis1 2 15 2" xfId="520" xr:uid="{00000000-0005-0000-0000-000007020000}"/>
    <cellStyle name="20% - Énfasis1 2 16" xfId="521" xr:uid="{00000000-0005-0000-0000-000008020000}"/>
    <cellStyle name="20% - Énfasis1 2 16 2" xfId="522" xr:uid="{00000000-0005-0000-0000-000009020000}"/>
    <cellStyle name="20% - Énfasis1 2 17" xfId="523" xr:uid="{00000000-0005-0000-0000-00000A020000}"/>
    <cellStyle name="20% - Énfasis1 2 17 2" xfId="524" xr:uid="{00000000-0005-0000-0000-00000B020000}"/>
    <cellStyle name="20% - Énfasis1 2 18" xfId="525" xr:uid="{00000000-0005-0000-0000-00000C020000}"/>
    <cellStyle name="20% - Énfasis1 2 18 2" xfId="526" xr:uid="{00000000-0005-0000-0000-00000D020000}"/>
    <cellStyle name="20% - Énfasis1 2 19" xfId="527" xr:uid="{00000000-0005-0000-0000-00000E020000}"/>
    <cellStyle name="20% - Énfasis1 2 19 2" xfId="528" xr:uid="{00000000-0005-0000-0000-00000F020000}"/>
    <cellStyle name="20% - Énfasis1 2 2" xfId="529" xr:uid="{00000000-0005-0000-0000-000010020000}"/>
    <cellStyle name="20% - Énfasis1 2 2 2" xfId="530" xr:uid="{00000000-0005-0000-0000-000011020000}"/>
    <cellStyle name="20% - Énfasis1 2 20" xfId="531" xr:uid="{00000000-0005-0000-0000-000012020000}"/>
    <cellStyle name="20% - Énfasis1 2 21" xfId="532" xr:uid="{00000000-0005-0000-0000-000013020000}"/>
    <cellStyle name="20% - Énfasis1 2 3" xfId="533" xr:uid="{00000000-0005-0000-0000-000014020000}"/>
    <cellStyle name="20% - Énfasis1 2 3 2" xfId="534" xr:uid="{00000000-0005-0000-0000-000015020000}"/>
    <cellStyle name="20% - Énfasis1 2 4" xfId="535" xr:uid="{00000000-0005-0000-0000-000016020000}"/>
    <cellStyle name="20% - Énfasis1 2 4 2" xfId="536" xr:uid="{00000000-0005-0000-0000-000017020000}"/>
    <cellStyle name="20% - Énfasis1 2 5" xfId="537" xr:uid="{00000000-0005-0000-0000-000018020000}"/>
    <cellStyle name="20% - Énfasis1 2 5 2" xfId="538" xr:uid="{00000000-0005-0000-0000-000019020000}"/>
    <cellStyle name="20% - Énfasis1 2 6" xfId="539" xr:uid="{00000000-0005-0000-0000-00001A020000}"/>
    <cellStyle name="20% - Énfasis1 2 6 2" xfId="540" xr:uid="{00000000-0005-0000-0000-00001B020000}"/>
    <cellStyle name="20% - Énfasis1 2 7" xfId="541" xr:uid="{00000000-0005-0000-0000-00001C020000}"/>
    <cellStyle name="20% - Énfasis1 2 7 2" xfId="542" xr:uid="{00000000-0005-0000-0000-00001D020000}"/>
    <cellStyle name="20% - Énfasis1 2 8" xfId="543" xr:uid="{00000000-0005-0000-0000-00001E020000}"/>
    <cellStyle name="20% - Énfasis1 2 8 2" xfId="544" xr:uid="{00000000-0005-0000-0000-00001F020000}"/>
    <cellStyle name="20% - Énfasis1 2 9" xfId="545" xr:uid="{00000000-0005-0000-0000-000020020000}"/>
    <cellStyle name="20% - Énfasis1 2 9 2" xfId="546" xr:uid="{00000000-0005-0000-0000-000021020000}"/>
    <cellStyle name="20% - Énfasis1 20" xfId="547" xr:uid="{00000000-0005-0000-0000-000022020000}"/>
    <cellStyle name="20% - Énfasis1 20 10" xfId="548" xr:uid="{00000000-0005-0000-0000-000023020000}"/>
    <cellStyle name="20% - Énfasis1 20 10 2" xfId="549" xr:uid="{00000000-0005-0000-0000-000024020000}"/>
    <cellStyle name="20% - Énfasis1 20 11" xfId="550" xr:uid="{00000000-0005-0000-0000-000025020000}"/>
    <cellStyle name="20% - Énfasis1 20 11 2" xfId="551" xr:uid="{00000000-0005-0000-0000-000026020000}"/>
    <cellStyle name="20% - Énfasis1 20 12" xfId="552" xr:uid="{00000000-0005-0000-0000-000027020000}"/>
    <cellStyle name="20% - Énfasis1 20 12 2" xfId="553" xr:uid="{00000000-0005-0000-0000-000028020000}"/>
    <cellStyle name="20% - Énfasis1 20 13" xfId="554" xr:uid="{00000000-0005-0000-0000-000029020000}"/>
    <cellStyle name="20% - Énfasis1 20 13 2" xfId="555" xr:uid="{00000000-0005-0000-0000-00002A020000}"/>
    <cellStyle name="20% - Énfasis1 20 14" xfId="556" xr:uid="{00000000-0005-0000-0000-00002B020000}"/>
    <cellStyle name="20% - Énfasis1 20 14 2" xfId="557" xr:uid="{00000000-0005-0000-0000-00002C020000}"/>
    <cellStyle name="20% - Énfasis1 20 15" xfId="558" xr:uid="{00000000-0005-0000-0000-00002D020000}"/>
    <cellStyle name="20% - Énfasis1 20 15 2" xfId="559" xr:uid="{00000000-0005-0000-0000-00002E020000}"/>
    <cellStyle name="20% - Énfasis1 20 16" xfId="560" xr:uid="{00000000-0005-0000-0000-00002F020000}"/>
    <cellStyle name="20% - Énfasis1 20 16 2" xfId="561" xr:uid="{00000000-0005-0000-0000-000030020000}"/>
    <cellStyle name="20% - Énfasis1 20 17" xfId="562" xr:uid="{00000000-0005-0000-0000-000031020000}"/>
    <cellStyle name="20% - Énfasis1 20 17 2" xfId="563" xr:uid="{00000000-0005-0000-0000-000032020000}"/>
    <cellStyle name="20% - Énfasis1 20 18" xfId="564" xr:uid="{00000000-0005-0000-0000-000033020000}"/>
    <cellStyle name="20% - Énfasis1 20 18 2" xfId="565" xr:uid="{00000000-0005-0000-0000-000034020000}"/>
    <cellStyle name="20% - Énfasis1 20 19" xfId="566" xr:uid="{00000000-0005-0000-0000-000035020000}"/>
    <cellStyle name="20% - Énfasis1 20 19 2" xfId="567" xr:uid="{00000000-0005-0000-0000-000036020000}"/>
    <cellStyle name="20% - Énfasis1 20 2" xfId="568" xr:uid="{00000000-0005-0000-0000-000037020000}"/>
    <cellStyle name="20% - Énfasis1 20 2 2" xfId="569" xr:uid="{00000000-0005-0000-0000-000038020000}"/>
    <cellStyle name="20% - Énfasis1 20 20" xfId="570" xr:uid="{00000000-0005-0000-0000-000039020000}"/>
    <cellStyle name="20% - Énfasis1 20 3" xfId="571" xr:uid="{00000000-0005-0000-0000-00003A020000}"/>
    <cellStyle name="20% - Énfasis1 20 3 2" xfId="572" xr:uid="{00000000-0005-0000-0000-00003B020000}"/>
    <cellStyle name="20% - Énfasis1 20 4" xfId="573" xr:uid="{00000000-0005-0000-0000-00003C020000}"/>
    <cellStyle name="20% - Énfasis1 20 4 2" xfId="574" xr:uid="{00000000-0005-0000-0000-00003D020000}"/>
    <cellStyle name="20% - Énfasis1 20 5" xfId="575" xr:uid="{00000000-0005-0000-0000-00003E020000}"/>
    <cellStyle name="20% - Énfasis1 20 5 2" xfId="576" xr:uid="{00000000-0005-0000-0000-00003F020000}"/>
    <cellStyle name="20% - Énfasis1 20 6" xfId="577" xr:uid="{00000000-0005-0000-0000-000040020000}"/>
    <cellStyle name="20% - Énfasis1 20 6 2" xfId="578" xr:uid="{00000000-0005-0000-0000-000041020000}"/>
    <cellStyle name="20% - Énfasis1 20 7" xfId="579" xr:uid="{00000000-0005-0000-0000-000042020000}"/>
    <cellStyle name="20% - Énfasis1 20 7 2" xfId="580" xr:uid="{00000000-0005-0000-0000-000043020000}"/>
    <cellStyle name="20% - Énfasis1 20 8" xfId="581" xr:uid="{00000000-0005-0000-0000-000044020000}"/>
    <cellStyle name="20% - Énfasis1 20 8 2" xfId="582" xr:uid="{00000000-0005-0000-0000-000045020000}"/>
    <cellStyle name="20% - Énfasis1 20 9" xfId="583" xr:uid="{00000000-0005-0000-0000-000046020000}"/>
    <cellStyle name="20% - Énfasis1 20 9 2" xfId="584" xr:uid="{00000000-0005-0000-0000-000047020000}"/>
    <cellStyle name="20% - Énfasis1 21" xfId="585" xr:uid="{00000000-0005-0000-0000-000048020000}"/>
    <cellStyle name="20% - Énfasis1 21 10" xfId="586" xr:uid="{00000000-0005-0000-0000-000049020000}"/>
    <cellStyle name="20% - Énfasis1 21 10 2" xfId="587" xr:uid="{00000000-0005-0000-0000-00004A020000}"/>
    <cellStyle name="20% - Énfasis1 21 11" xfId="588" xr:uid="{00000000-0005-0000-0000-00004B020000}"/>
    <cellStyle name="20% - Énfasis1 21 11 2" xfId="589" xr:uid="{00000000-0005-0000-0000-00004C020000}"/>
    <cellStyle name="20% - Énfasis1 21 12" xfId="590" xr:uid="{00000000-0005-0000-0000-00004D020000}"/>
    <cellStyle name="20% - Énfasis1 21 12 2" xfId="591" xr:uid="{00000000-0005-0000-0000-00004E020000}"/>
    <cellStyle name="20% - Énfasis1 21 13" xfId="592" xr:uid="{00000000-0005-0000-0000-00004F020000}"/>
    <cellStyle name="20% - Énfasis1 21 13 2" xfId="593" xr:uid="{00000000-0005-0000-0000-000050020000}"/>
    <cellStyle name="20% - Énfasis1 21 14" xfId="594" xr:uid="{00000000-0005-0000-0000-000051020000}"/>
    <cellStyle name="20% - Énfasis1 21 14 2" xfId="595" xr:uid="{00000000-0005-0000-0000-000052020000}"/>
    <cellStyle name="20% - Énfasis1 21 15" xfId="596" xr:uid="{00000000-0005-0000-0000-000053020000}"/>
    <cellStyle name="20% - Énfasis1 21 15 2" xfId="597" xr:uid="{00000000-0005-0000-0000-000054020000}"/>
    <cellStyle name="20% - Énfasis1 21 16" xfId="598" xr:uid="{00000000-0005-0000-0000-000055020000}"/>
    <cellStyle name="20% - Énfasis1 21 16 2" xfId="599" xr:uid="{00000000-0005-0000-0000-000056020000}"/>
    <cellStyle name="20% - Énfasis1 21 17" xfId="600" xr:uid="{00000000-0005-0000-0000-000057020000}"/>
    <cellStyle name="20% - Énfasis1 21 17 2" xfId="601" xr:uid="{00000000-0005-0000-0000-000058020000}"/>
    <cellStyle name="20% - Énfasis1 21 18" xfId="602" xr:uid="{00000000-0005-0000-0000-000059020000}"/>
    <cellStyle name="20% - Énfasis1 21 18 2" xfId="603" xr:uid="{00000000-0005-0000-0000-00005A020000}"/>
    <cellStyle name="20% - Énfasis1 21 19" xfId="604" xr:uid="{00000000-0005-0000-0000-00005B020000}"/>
    <cellStyle name="20% - Énfasis1 21 19 2" xfId="605" xr:uid="{00000000-0005-0000-0000-00005C020000}"/>
    <cellStyle name="20% - Énfasis1 21 2" xfId="606" xr:uid="{00000000-0005-0000-0000-00005D020000}"/>
    <cellStyle name="20% - Énfasis1 21 2 2" xfId="607" xr:uid="{00000000-0005-0000-0000-00005E020000}"/>
    <cellStyle name="20% - Énfasis1 21 20" xfId="608" xr:uid="{00000000-0005-0000-0000-00005F020000}"/>
    <cellStyle name="20% - Énfasis1 21 3" xfId="609" xr:uid="{00000000-0005-0000-0000-000060020000}"/>
    <cellStyle name="20% - Énfasis1 21 3 2" xfId="610" xr:uid="{00000000-0005-0000-0000-000061020000}"/>
    <cellStyle name="20% - Énfasis1 21 4" xfId="611" xr:uid="{00000000-0005-0000-0000-000062020000}"/>
    <cellStyle name="20% - Énfasis1 21 4 2" xfId="612" xr:uid="{00000000-0005-0000-0000-000063020000}"/>
    <cellStyle name="20% - Énfasis1 21 5" xfId="613" xr:uid="{00000000-0005-0000-0000-000064020000}"/>
    <cellStyle name="20% - Énfasis1 21 5 2" xfId="614" xr:uid="{00000000-0005-0000-0000-000065020000}"/>
    <cellStyle name="20% - Énfasis1 21 6" xfId="615" xr:uid="{00000000-0005-0000-0000-000066020000}"/>
    <cellStyle name="20% - Énfasis1 21 6 2" xfId="616" xr:uid="{00000000-0005-0000-0000-000067020000}"/>
    <cellStyle name="20% - Énfasis1 21 7" xfId="617" xr:uid="{00000000-0005-0000-0000-000068020000}"/>
    <cellStyle name="20% - Énfasis1 21 7 2" xfId="618" xr:uid="{00000000-0005-0000-0000-000069020000}"/>
    <cellStyle name="20% - Énfasis1 21 8" xfId="619" xr:uid="{00000000-0005-0000-0000-00006A020000}"/>
    <cellStyle name="20% - Énfasis1 21 8 2" xfId="620" xr:uid="{00000000-0005-0000-0000-00006B020000}"/>
    <cellStyle name="20% - Énfasis1 21 9" xfId="621" xr:uid="{00000000-0005-0000-0000-00006C020000}"/>
    <cellStyle name="20% - Énfasis1 21 9 2" xfId="622" xr:uid="{00000000-0005-0000-0000-00006D020000}"/>
    <cellStyle name="20% - Énfasis1 22" xfId="623" xr:uid="{00000000-0005-0000-0000-00006E020000}"/>
    <cellStyle name="20% - Énfasis1 22 10" xfId="624" xr:uid="{00000000-0005-0000-0000-00006F020000}"/>
    <cellStyle name="20% - Énfasis1 22 10 2" xfId="625" xr:uid="{00000000-0005-0000-0000-000070020000}"/>
    <cellStyle name="20% - Énfasis1 22 11" xfId="626" xr:uid="{00000000-0005-0000-0000-000071020000}"/>
    <cellStyle name="20% - Énfasis1 22 11 2" xfId="627" xr:uid="{00000000-0005-0000-0000-000072020000}"/>
    <cellStyle name="20% - Énfasis1 22 12" xfId="628" xr:uid="{00000000-0005-0000-0000-000073020000}"/>
    <cellStyle name="20% - Énfasis1 22 12 2" xfId="629" xr:uid="{00000000-0005-0000-0000-000074020000}"/>
    <cellStyle name="20% - Énfasis1 22 13" xfId="630" xr:uid="{00000000-0005-0000-0000-000075020000}"/>
    <cellStyle name="20% - Énfasis1 22 13 2" xfId="631" xr:uid="{00000000-0005-0000-0000-000076020000}"/>
    <cellStyle name="20% - Énfasis1 22 14" xfId="632" xr:uid="{00000000-0005-0000-0000-000077020000}"/>
    <cellStyle name="20% - Énfasis1 22 14 2" xfId="633" xr:uid="{00000000-0005-0000-0000-000078020000}"/>
    <cellStyle name="20% - Énfasis1 22 15" xfId="634" xr:uid="{00000000-0005-0000-0000-000079020000}"/>
    <cellStyle name="20% - Énfasis1 22 15 2" xfId="635" xr:uid="{00000000-0005-0000-0000-00007A020000}"/>
    <cellStyle name="20% - Énfasis1 22 16" xfId="636" xr:uid="{00000000-0005-0000-0000-00007B020000}"/>
    <cellStyle name="20% - Énfasis1 22 16 2" xfId="637" xr:uid="{00000000-0005-0000-0000-00007C020000}"/>
    <cellStyle name="20% - Énfasis1 22 17" xfId="638" xr:uid="{00000000-0005-0000-0000-00007D020000}"/>
    <cellStyle name="20% - Énfasis1 22 17 2" xfId="639" xr:uid="{00000000-0005-0000-0000-00007E020000}"/>
    <cellStyle name="20% - Énfasis1 22 18" xfId="640" xr:uid="{00000000-0005-0000-0000-00007F020000}"/>
    <cellStyle name="20% - Énfasis1 22 18 2" xfId="641" xr:uid="{00000000-0005-0000-0000-000080020000}"/>
    <cellStyle name="20% - Énfasis1 22 19" xfId="642" xr:uid="{00000000-0005-0000-0000-000081020000}"/>
    <cellStyle name="20% - Énfasis1 22 19 2" xfId="643" xr:uid="{00000000-0005-0000-0000-000082020000}"/>
    <cellStyle name="20% - Énfasis1 22 2" xfId="644" xr:uid="{00000000-0005-0000-0000-000083020000}"/>
    <cellStyle name="20% - Énfasis1 22 2 2" xfId="645" xr:uid="{00000000-0005-0000-0000-000084020000}"/>
    <cellStyle name="20% - Énfasis1 22 20" xfId="646" xr:uid="{00000000-0005-0000-0000-000085020000}"/>
    <cellStyle name="20% - Énfasis1 22 3" xfId="647" xr:uid="{00000000-0005-0000-0000-000086020000}"/>
    <cellStyle name="20% - Énfasis1 22 3 2" xfId="648" xr:uid="{00000000-0005-0000-0000-000087020000}"/>
    <cellStyle name="20% - Énfasis1 22 4" xfId="649" xr:uid="{00000000-0005-0000-0000-000088020000}"/>
    <cellStyle name="20% - Énfasis1 22 4 2" xfId="650" xr:uid="{00000000-0005-0000-0000-000089020000}"/>
    <cellStyle name="20% - Énfasis1 22 5" xfId="651" xr:uid="{00000000-0005-0000-0000-00008A020000}"/>
    <cellStyle name="20% - Énfasis1 22 5 2" xfId="652" xr:uid="{00000000-0005-0000-0000-00008B020000}"/>
    <cellStyle name="20% - Énfasis1 22 6" xfId="653" xr:uid="{00000000-0005-0000-0000-00008C020000}"/>
    <cellStyle name="20% - Énfasis1 22 6 2" xfId="654" xr:uid="{00000000-0005-0000-0000-00008D020000}"/>
    <cellStyle name="20% - Énfasis1 22 7" xfId="655" xr:uid="{00000000-0005-0000-0000-00008E020000}"/>
    <cellStyle name="20% - Énfasis1 22 7 2" xfId="656" xr:uid="{00000000-0005-0000-0000-00008F020000}"/>
    <cellStyle name="20% - Énfasis1 22 8" xfId="657" xr:uid="{00000000-0005-0000-0000-000090020000}"/>
    <cellStyle name="20% - Énfasis1 22 8 2" xfId="658" xr:uid="{00000000-0005-0000-0000-000091020000}"/>
    <cellStyle name="20% - Énfasis1 22 9" xfId="659" xr:uid="{00000000-0005-0000-0000-000092020000}"/>
    <cellStyle name="20% - Énfasis1 22 9 2" xfId="660" xr:uid="{00000000-0005-0000-0000-000093020000}"/>
    <cellStyle name="20% - Énfasis1 23" xfId="661" xr:uid="{00000000-0005-0000-0000-000094020000}"/>
    <cellStyle name="20% - Énfasis1 23 10" xfId="662" xr:uid="{00000000-0005-0000-0000-000095020000}"/>
    <cellStyle name="20% - Énfasis1 23 10 2" xfId="663" xr:uid="{00000000-0005-0000-0000-000096020000}"/>
    <cellStyle name="20% - Énfasis1 23 11" xfId="664" xr:uid="{00000000-0005-0000-0000-000097020000}"/>
    <cellStyle name="20% - Énfasis1 23 11 2" xfId="665" xr:uid="{00000000-0005-0000-0000-000098020000}"/>
    <cellStyle name="20% - Énfasis1 23 12" xfId="666" xr:uid="{00000000-0005-0000-0000-000099020000}"/>
    <cellStyle name="20% - Énfasis1 23 12 2" xfId="667" xr:uid="{00000000-0005-0000-0000-00009A020000}"/>
    <cellStyle name="20% - Énfasis1 23 13" xfId="668" xr:uid="{00000000-0005-0000-0000-00009B020000}"/>
    <cellStyle name="20% - Énfasis1 23 13 2" xfId="669" xr:uid="{00000000-0005-0000-0000-00009C020000}"/>
    <cellStyle name="20% - Énfasis1 23 14" xfId="670" xr:uid="{00000000-0005-0000-0000-00009D020000}"/>
    <cellStyle name="20% - Énfasis1 23 14 2" xfId="671" xr:uid="{00000000-0005-0000-0000-00009E020000}"/>
    <cellStyle name="20% - Énfasis1 23 15" xfId="672" xr:uid="{00000000-0005-0000-0000-00009F020000}"/>
    <cellStyle name="20% - Énfasis1 23 15 2" xfId="673" xr:uid="{00000000-0005-0000-0000-0000A0020000}"/>
    <cellStyle name="20% - Énfasis1 23 16" xfId="674" xr:uid="{00000000-0005-0000-0000-0000A1020000}"/>
    <cellStyle name="20% - Énfasis1 23 16 2" xfId="675" xr:uid="{00000000-0005-0000-0000-0000A2020000}"/>
    <cellStyle name="20% - Énfasis1 23 17" xfId="676" xr:uid="{00000000-0005-0000-0000-0000A3020000}"/>
    <cellStyle name="20% - Énfasis1 23 17 2" xfId="677" xr:uid="{00000000-0005-0000-0000-0000A4020000}"/>
    <cellStyle name="20% - Énfasis1 23 18" xfId="678" xr:uid="{00000000-0005-0000-0000-0000A5020000}"/>
    <cellStyle name="20% - Énfasis1 23 18 2" xfId="679" xr:uid="{00000000-0005-0000-0000-0000A6020000}"/>
    <cellStyle name="20% - Énfasis1 23 19" xfId="680" xr:uid="{00000000-0005-0000-0000-0000A7020000}"/>
    <cellStyle name="20% - Énfasis1 23 19 2" xfId="681" xr:uid="{00000000-0005-0000-0000-0000A8020000}"/>
    <cellStyle name="20% - Énfasis1 23 2" xfId="682" xr:uid="{00000000-0005-0000-0000-0000A9020000}"/>
    <cellStyle name="20% - Énfasis1 23 2 2" xfId="683" xr:uid="{00000000-0005-0000-0000-0000AA020000}"/>
    <cellStyle name="20% - Énfasis1 23 20" xfId="684" xr:uid="{00000000-0005-0000-0000-0000AB020000}"/>
    <cellStyle name="20% - Énfasis1 23 3" xfId="685" xr:uid="{00000000-0005-0000-0000-0000AC020000}"/>
    <cellStyle name="20% - Énfasis1 23 3 2" xfId="686" xr:uid="{00000000-0005-0000-0000-0000AD020000}"/>
    <cellStyle name="20% - Énfasis1 23 4" xfId="687" xr:uid="{00000000-0005-0000-0000-0000AE020000}"/>
    <cellStyle name="20% - Énfasis1 23 4 2" xfId="688" xr:uid="{00000000-0005-0000-0000-0000AF020000}"/>
    <cellStyle name="20% - Énfasis1 23 5" xfId="689" xr:uid="{00000000-0005-0000-0000-0000B0020000}"/>
    <cellStyle name="20% - Énfasis1 23 5 2" xfId="690" xr:uid="{00000000-0005-0000-0000-0000B1020000}"/>
    <cellStyle name="20% - Énfasis1 23 6" xfId="691" xr:uid="{00000000-0005-0000-0000-0000B2020000}"/>
    <cellStyle name="20% - Énfasis1 23 6 2" xfId="692" xr:uid="{00000000-0005-0000-0000-0000B3020000}"/>
    <cellStyle name="20% - Énfasis1 23 7" xfId="693" xr:uid="{00000000-0005-0000-0000-0000B4020000}"/>
    <cellStyle name="20% - Énfasis1 23 7 2" xfId="694" xr:uid="{00000000-0005-0000-0000-0000B5020000}"/>
    <cellStyle name="20% - Énfasis1 23 8" xfId="695" xr:uid="{00000000-0005-0000-0000-0000B6020000}"/>
    <cellStyle name="20% - Énfasis1 23 8 2" xfId="696" xr:uid="{00000000-0005-0000-0000-0000B7020000}"/>
    <cellStyle name="20% - Énfasis1 23 9" xfId="697" xr:uid="{00000000-0005-0000-0000-0000B8020000}"/>
    <cellStyle name="20% - Énfasis1 23 9 2" xfId="698" xr:uid="{00000000-0005-0000-0000-0000B9020000}"/>
    <cellStyle name="20% - Énfasis1 24" xfId="699" xr:uid="{00000000-0005-0000-0000-0000BA020000}"/>
    <cellStyle name="20% - Énfasis1 24 10" xfId="700" xr:uid="{00000000-0005-0000-0000-0000BB020000}"/>
    <cellStyle name="20% - Énfasis1 24 10 2" xfId="701" xr:uid="{00000000-0005-0000-0000-0000BC020000}"/>
    <cellStyle name="20% - Énfasis1 24 11" xfId="702" xr:uid="{00000000-0005-0000-0000-0000BD020000}"/>
    <cellStyle name="20% - Énfasis1 24 11 2" xfId="703" xr:uid="{00000000-0005-0000-0000-0000BE020000}"/>
    <cellStyle name="20% - Énfasis1 24 12" xfId="704" xr:uid="{00000000-0005-0000-0000-0000BF020000}"/>
    <cellStyle name="20% - Énfasis1 24 12 2" xfId="705" xr:uid="{00000000-0005-0000-0000-0000C0020000}"/>
    <cellStyle name="20% - Énfasis1 24 13" xfId="706" xr:uid="{00000000-0005-0000-0000-0000C1020000}"/>
    <cellStyle name="20% - Énfasis1 24 13 2" xfId="707" xr:uid="{00000000-0005-0000-0000-0000C2020000}"/>
    <cellStyle name="20% - Énfasis1 24 14" xfId="708" xr:uid="{00000000-0005-0000-0000-0000C3020000}"/>
    <cellStyle name="20% - Énfasis1 24 14 2" xfId="709" xr:uid="{00000000-0005-0000-0000-0000C4020000}"/>
    <cellStyle name="20% - Énfasis1 24 15" xfId="710" xr:uid="{00000000-0005-0000-0000-0000C5020000}"/>
    <cellStyle name="20% - Énfasis1 24 15 2" xfId="711" xr:uid="{00000000-0005-0000-0000-0000C6020000}"/>
    <cellStyle name="20% - Énfasis1 24 16" xfId="712" xr:uid="{00000000-0005-0000-0000-0000C7020000}"/>
    <cellStyle name="20% - Énfasis1 24 16 2" xfId="713" xr:uid="{00000000-0005-0000-0000-0000C8020000}"/>
    <cellStyle name="20% - Énfasis1 24 17" xfId="714" xr:uid="{00000000-0005-0000-0000-0000C9020000}"/>
    <cellStyle name="20% - Énfasis1 24 17 2" xfId="715" xr:uid="{00000000-0005-0000-0000-0000CA020000}"/>
    <cellStyle name="20% - Énfasis1 24 18" xfId="716" xr:uid="{00000000-0005-0000-0000-0000CB020000}"/>
    <cellStyle name="20% - Énfasis1 24 18 2" xfId="717" xr:uid="{00000000-0005-0000-0000-0000CC020000}"/>
    <cellStyle name="20% - Énfasis1 24 19" xfId="718" xr:uid="{00000000-0005-0000-0000-0000CD020000}"/>
    <cellStyle name="20% - Énfasis1 24 19 2" xfId="719" xr:uid="{00000000-0005-0000-0000-0000CE020000}"/>
    <cellStyle name="20% - Énfasis1 24 2" xfId="720" xr:uid="{00000000-0005-0000-0000-0000CF020000}"/>
    <cellStyle name="20% - Énfasis1 24 2 2" xfId="721" xr:uid="{00000000-0005-0000-0000-0000D0020000}"/>
    <cellStyle name="20% - Énfasis1 24 20" xfId="722" xr:uid="{00000000-0005-0000-0000-0000D1020000}"/>
    <cellStyle name="20% - Énfasis1 24 3" xfId="723" xr:uid="{00000000-0005-0000-0000-0000D2020000}"/>
    <cellStyle name="20% - Énfasis1 24 3 2" xfId="724" xr:uid="{00000000-0005-0000-0000-0000D3020000}"/>
    <cellStyle name="20% - Énfasis1 24 4" xfId="725" xr:uid="{00000000-0005-0000-0000-0000D4020000}"/>
    <cellStyle name="20% - Énfasis1 24 4 2" xfId="726" xr:uid="{00000000-0005-0000-0000-0000D5020000}"/>
    <cellStyle name="20% - Énfasis1 24 5" xfId="727" xr:uid="{00000000-0005-0000-0000-0000D6020000}"/>
    <cellStyle name="20% - Énfasis1 24 5 2" xfId="728" xr:uid="{00000000-0005-0000-0000-0000D7020000}"/>
    <cellStyle name="20% - Énfasis1 24 6" xfId="729" xr:uid="{00000000-0005-0000-0000-0000D8020000}"/>
    <cellStyle name="20% - Énfasis1 24 6 2" xfId="730" xr:uid="{00000000-0005-0000-0000-0000D9020000}"/>
    <cellStyle name="20% - Énfasis1 24 7" xfId="731" xr:uid="{00000000-0005-0000-0000-0000DA020000}"/>
    <cellStyle name="20% - Énfasis1 24 7 2" xfId="732" xr:uid="{00000000-0005-0000-0000-0000DB020000}"/>
    <cellStyle name="20% - Énfasis1 24 8" xfId="733" xr:uid="{00000000-0005-0000-0000-0000DC020000}"/>
    <cellStyle name="20% - Énfasis1 24 8 2" xfId="734" xr:uid="{00000000-0005-0000-0000-0000DD020000}"/>
    <cellStyle name="20% - Énfasis1 24 9" xfId="735" xr:uid="{00000000-0005-0000-0000-0000DE020000}"/>
    <cellStyle name="20% - Énfasis1 24 9 2" xfId="736" xr:uid="{00000000-0005-0000-0000-0000DF020000}"/>
    <cellStyle name="20% - Énfasis1 25" xfId="737" xr:uid="{00000000-0005-0000-0000-0000E0020000}"/>
    <cellStyle name="20% - Énfasis1 25 10" xfId="738" xr:uid="{00000000-0005-0000-0000-0000E1020000}"/>
    <cellStyle name="20% - Énfasis1 25 10 2" xfId="739" xr:uid="{00000000-0005-0000-0000-0000E2020000}"/>
    <cellStyle name="20% - Énfasis1 25 11" xfId="740" xr:uid="{00000000-0005-0000-0000-0000E3020000}"/>
    <cellStyle name="20% - Énfasis1 25 11 2" xfId="741" xr:uid="{00000000-0005-0000-0000-0000E4020000}"/>
    <cellStyle name="20% - Énfasis1 25 12" xfId="742" xr:uid="{00000000-0005-0000-0000-0000E5020000}"/>
    <cellStyle name="20% - Énfasis1 25 12 2" xfId="743" xr:uid="{00000000-0005-0000-0000-0000E6020000}"/>
    <cellStyle name="20% - Énfasis1 25 13" xfId="744" xr:uid="{00000000-0005-0000-0000-0000E7020000}"/>
    <cellStyle name="20% - Énfasis1 25 13 2" xfId="745" xr:uid="{00000000-0005-0000-0000-0000E8020000}"/>
    <cellStyle name="20% - Énfasis1 25 14" xfId="746" xr:uid="{00000000-0005-0000-0000-0000E9020000}"/>
    <cellStyle name="20% - Énfasis1 25 14 2" xfId="747" xr:uid="{00000000-0005-0000-0000-0000EA020000}"/>
    <cellStyle name="20% - Énfasis1 25 15" xfId="748" xr:uid="{00000000-0005-0000-0000-0000EB020000}"/>
    <cellStyle name="20% - Énfasis1 25 15 2" xfId="749" xr:uid="{00000000-0005-0000-0000-0000EC020000}"/>
    <cellStyle name="20% - Énfasis1 25 16" xfId="750" xr:uid="{00000000-0005-0000-0000-0000ED020000}"/>
    <cellStyle name="20% - Énfasis1 25 16 2" xfId="751" xr:uid="{00000000-0005-0000-0000-0000EE020000}"/>
    <cellStyle name="20% - Énfasis1 25 17" xfId="752" xr:uid="{00000000-0005-0000-0000-0000EF020000}"/>
    <cellStyle name="20% - Énfasis1 25 17 2" xfId="753" xr:uid="{00000000-0005-0000-0000-0000F0020000}"/>
    <cellStyle name="20% - Énfasis1 25 18" xfId="754" xr:uid="{00000000-0005-0000-0000-0000F1020000}"/>
    <cellStyle name="20% - Énfasis1 25 18 2" xfId="755" xr:uid="{00000000-0005-0000-0000-0000F2020000}"/>
    <cellStyle name="20% - Énfasis1 25 19" xfId="756" xr:uid="{00000000-0005-0000-0000-0000F3020000}"/>
    <cellStyle name="20% - Énfasis1 25 19 2" xfId="757" xr:uid="{00000000-0005-0000-0000-0000F4020000}"/>
    <cellStyle name="20% - Énfasis1 25 2" xfId="758" xr:uid="{00000000-0005-0000-0000-0000F5020000}"/>
    <cellStyle name="20% - Énfasis1 25 2 2" xfId="759" xr:uid="{00000000-0005-0000-0000-0000F6020000}"/>
    <cellStyle name="20% - Énfasis1 25 20" xfId="760" xr:uid="{00000000-0005-0000-0000-0000F7020000}"/>
    <cellStyle name="20% - Énfasis1 25 3" xfId="761" xr:uid="{00000000-0005-0000-0000-0000F8020000}"/>
    <cellStyle name="20% - Énfasis1 25 3 2" xfId="762" xr:uid="{00000000-0005-0000-0000-0000F9020000}"/>
    <cellStyle name="20% - Énfasis1 25 4" xfId="763" xr:uid="{00000000-0005-0000-0000-0000FA020000}"/>
    <cellStyle name="20% - Énfasis1 25 4 2" xfId="764" xr:uid="{00000000-0005-0000-0000-0000FB020000}"/>
    <cellStyle name="20% - Énfasis1 25 5" xfId="765" xr:uid="{00000000-0005-0000-0000-0000FC020000}"/>
    <cellStyle name="20% - Énfasis1 25 5 2" xfId="766" xr:uid="{00000000-0005-0000-0000-0000FD020000}"/>
    <cellStyle name="20% - Énfasis1 25 6" xfId="767" xr:uid="{00000000-0005-0000-0000-0000FE020000}"/>
    <cellStyle name="20% - Énfasis1 25 6 2" xfId="768" xr:uid="{00000000-0005-0000-0000-0000FF020000}"/>
    <cellStyle name="20% - Énfasis1 25 7" xfId="769" xr:uid="{00000000-0005-0000-0000-000000030000}"/>
    <cellStyle name="20% - Énfasis1 25 7 2" xfId="770" xr:uid="{00000000-0005-0000-0000-000001030000}"/>
    <cellStyle name="20% - Énfasis1 25 8" xfId="771" xr:uid="{00000000-0005-0000-0000-000002030000}"/>
    <cellStyle name="20% - Énfasis1 25 8 2" xfId="772" xr:uid="{00000000-0005-0000-0000-000003030000}"/>
    <cellStyle name="20% - Énfasis1 25 9" xfId="773" xr:uid="{00000000-0005-0000-0000-000004030000}"/>
    <cellStyle name="20% - Énfasis1 25 9 2" xfId="774" xr:uid="{00000000-0005-0000-0000-000005030000}"/>
    <cellStyle name="20% - Énfasis1 26" xfId="775" xr:uid="{00000000-0005-0000-0000-000006030000}"/>
    <cellStyle name="20% - Énfasis1 26 10" xfId="776" xr:uid="{00000000-0005-0000-0000-000007030000}"/>
    <cellStyle name="20% - Énfasis1 26 10 2" xfId="777" xr:uid="{00000000-0005-0000-0000-000008030000}"/>
    <cellStyle name="20% - Énfasis1 26 11" xfId="778" xr:uid="{00000000-0005-0000-0000-000009030000}"/>
    <cellStyle name="20% - Énfasis1 26 11 2" xfId="779" xr:uid="{00000000-0005-0000-0000-00000A030000}"/>
    <cellStyle name="20% - Énfasis1 26 12" xfId="780" xr:uid="{00000000-0005-0000-0000-00000B030000}"/>
    <cellStyle name="20% - Énfasis1 26 12 2" xfId="781" xr:uid="{00000000-0005-0000-0000-00000C030000}"/>
    <cellStyle name="20% - Énfasis1 26 13" xfId="782" xr:uid="{00000000-0005-0000-0000-00000D030000}"/>
    <cellStyle name="20% - Énfasis1 26 13 2" xfId="783" xr:uid="{00000000-0005-0000-0000-00000E030000}"/>
    <cellStyle name="20% - Énfasis1 26 14" xfId="784" xr:uid="{00000000-0005-0000-0000-00000F030000}"/>
    <cellStyle name="20% - Énfasis1 26 14 2" xfId="785" xr:uid="{00000000-0005-0000-0000-000010030000}"/>
    <cellStyle name="20% - Énfasis1 26 15" xfId="786" xr:uid="{00000000-0005-0000-0000-000011030000}"/>
    <cellStyle name="20% - Énfasis1 26 15 2" xfId="787" xr:uid="{00000000-0005-0000-0000-000012030000}"/>
    <cellStyle name="20% - Énfasis1 26 16" xfId="788" xr:uid="{00000000-0005-0000-0000-000013030000}"/>
    <cellStyle name="20% - Énfasis1 26 16 2" xfId="789" xr:uid="{00000000-0005-0000-0000-000014030000}"/>
    <cellStyle name="20% - Énfasis1 26 17" xfId="790" xr:uid="{00000000-0005-0000-0000-000015030000}"/>
    <cellStyle name="20% - Énfasis1 26 17 2" xfId="791" xr:uid="{00000000-0005-0000-0000-000016030000}"/>
    <cellStyle name="20% - Énfasis1 26 18" xfId="792" xr:uid="{00000000-0005-0000-0000-000017030000}"/>
    <cellStyle name="20% - Énfasis1 26 18 2" xfId="793" xr:uid="{00000000-0005-0000-0000-000018030000}"/>
    <cellStyle name="20% - Énfasis1 26 19" xfId="794" xr:uid="{00000000-0005-0000-0000-000019030000}"/>
    <cellStyle name="20% - Énfasis1 26 19 2" xfId="795" xr:uid="{00000000-0005-0000-0000-00001A030000}"/>
    <cellStyle name="20% - Énfasis1 26 2" xfId="796" xr:uid="{00000000-0005-0000-0000-00001B030000}"/>
    <cellStyle name="20% - Énfasis1 26 2 2" xfId="797" xr:uid="{00000000-0005-0000-0000-00001C030000}"/>
    <cellStyle name="20% - Énfasis1 26 20" xfId="798" xr:uid="{00000000-0005-0000-0000-00001D030000}"/>
    <cellStyle name="20% - Énfasis1 26 3" xfId="799" xr:uid="{00000000-0005-0000-0000-00001E030000}"/>
    <cellStyle name="20% - Énfasis1 26 3 2" xfId="800" xr:uid="{00000000-0005-0000-0000-00001F030000}"/>
    <cellStyle name="20% - Énfasis1 26 4" xfId="801" xr:uid="{00000000-0005-0000-0000-000020030000}"/>
    <cellStyle name="20% - Énfasis1 26 4 2" xfId="802" xr:uid="{00000000-0005-0000-0000-000021030000}"/>
    <cellStyle name="20% - Énfasis1 26 5" xfId="803" xr:uid="{00000000-0005-0000-0000-000022030000}"/>
    <cellStyle name="20% - Énfasis1 26 5 2" xfId="804" xr:uid="{00000000-0005-0000-0000-000023030000}"/>
    <cellStyle name="20% - Énfasis1 26 6" xfId="805" xr:uid="{00000000-0005-0000-0000-000024030000}"/>
    <cellStyle name="20% - Énfasis1 26 6 2" xfId="806" xr:uid="{00000000-0005-0000-0000-000025030000}"/>
    <cellStyle name="20% - Énfasis1 26 7" xfId="807" xr:uid="{00000000-0005-0000-0000-000026030000}"/>
    <cellStyle name="20% - Énfasis1 26 7 2" xfId="808" xr:uid="{00000000-0005-0000-0000-000027030000}"/>
    <cellStyle name="20% - Énfasis1 26 8" xfId="809" xr:uid="{00000000-0005-0000-0000-000028030000}"/>
    <cellStyle name="20% - Énfasis1 26 8 2" xfId="810" xr:uid="{00000000-0005-0000-0000-000029030000}"/>
    <cellStyle name="20% - Énfasis1 26 9" xfId="811" xr:uid="{00000000-0005-0000-0000-00002A030000}"/>
    <cellStyle name="20% - Énfasis1 26 9 2" xfId="812" xr:uid="{00000000-0005-0000-0000-00002B030000}"/>
    <cellStyle name="20% - Énfasis1 27" xfId="813" xr:uid="{00000000-0005-0000-0000-00002C030000}"/>
    <cellStyle name="20% - Énfasis1 27 10" xfId="814" xr:uid="{00000000-0005-0000-0000-00002D030000}"/>
    <cellStyle name="20% - Énfasis1 27 10 2" xfId="815" xr:uid="{00000000-0005-0000-0000-00002E030000}"/>
    <cellStyle name="20% - Énfasis1 27 11" xfId="816" xr:uid="{00000000-0005-0000-0000-00002F030000}"/>
    <cellStyle name="20% - Énfasis1 27 11 2" xfId="817" xr:uid="{00000000-0005-0000-0000-000030030000}"/>
    <cellStyle name="20% - Énfasis1 27 12" xfId="818" xr:uid="{00000000-0005-0000-0000-000031030000}"/>
    <cellStyle name="20% - Énfasis1 27 12 2" xfId="819" xr:uid="{00000000-0005-0000-0000-000032030000}"/>
    <cellStyle name="20% - Énfasis1 27 13" xfId="820" xr:uid="{00000000-0005-0000-0000-000033030000}"/>
    <cellStyle name="20% - Énfasis1 27 13 2" xfId="821" xr:uid="{00000000-0005-0000-0000-000034030000}"/>
    <cellStyle name="20% - Énfasis1 27 14" xfId="822" xr:uid="{00000000-0005-0000-0000-000035030000}"/>
    <cellStyle name="20% - Énfasis1 27 14 2" xfId="823" xr:uid="{00000000-0005-0000-0000-000036030000}"/>
    <cellStyle name="20% - Énfasis1 27 15" xfId="824" xr:uid="{00000000-0005-0000-0000-000037030000}"/>
    <cellStyle name="20% - Énfasis1 27 15 2" xfId="825" xr:uid="{00000000-0005-0000-0000-000038030000}"/>
    <cellStyle name="20% - Énfasis1 27 16" xfId="826" xr:uid="{00000000-0005-0000-0000-000039030000}"/>
    <cellStyle name="20% - Énfasis1 27 16 2" xfId="827" xr:uid="{00000000-0005-0000-0000-00003A030000}"/>
    <cellStyle name="20% - Énfasis1 27 17" xfId="828" xr:uid="{00000000-0005-0000-0000-00003B030000}"/>
    <cellStyle name="20% - Énfasis1 27 17 2" xfId="829" xr:uid="{00000000-0005-0000-0000-00003C030000}"/>
    <cellStyle name="20% - Énfasis1 27 18" xfId="830" xr:uid="{00000000-0005-0000-0000-00003D030000}"/>
    <cellStyle name="20% - Énfasis1 27 18 2" xfId="831" xr:uid="{00000000-0005-0000-0000-00003E030000}"/>
    <cellStyle name="20% - Énfasis1 27 19" xfId="832" xr:uid="{00000000-0005-0000-0000-00003F030000}"/>
    <cellStyle name="20% - Énfasis1 27 19 2" xfId="833" xr:uid="{00000000-0005-0000-0000-000040030000}"/>
    <cellStyle name="20% - Énfasis1 27 2" xfId="834" xr:uid="{00000000-0005-0000-0000-000041030000}"/>
    <cellStyle name="20% - Énfasis1 27 2 2" xfId="835" xr:uid="{00000000-0005-0000-0000-000042030000}"/>
    <cellStyle name="20% - Énfasis1 27 20" xfId="836" xr:uid="{00000000-0005-0000-0000-000043030000}"/>
    <cellStyle name="20% - Énfasis1 27 3" xfId="837" xr:uid="{00000000-0005-0000-0000-000044030000}"/>
    <cellStyle name="20% - Énfasis1 27 3 2" xfId="838" xr:uid="{00000000-0005-0000-0000-000045030000}"/>
    <cellStyle name="20% - Énfasis1 27 4" xfId="839" xr:uid="{00000000-0005-0000-0000-000046030000}"/>
    <cellStyle name="20% - Énfasis1 27 4 2" xfId="840" xr:uid="{00000000-0005-0000-0000-000047030000}"/>
    <cellStyle name="20% - Énfasis1 27 5" xfId="841" xr:uid="{00000000-0005-0000-0000-000048030000}"/>
    <cellStyle name="20% - Énfasis1 27 5 2" xfId="842" xr:uid="{00000000-0005-0000-0000-000049030000}"/>
    <cellStyle name="20% - Énfasis1 27 6" xfId="843" xr:uid="{00000000-0005-0000-0000-00004A030000}"/>
    <cellStyle name="20% - Énfasis1 27 6 2" xfId="844" xr:uid="{00000000-0005-0000-0000-00004B030000}"/>
    <cellStyle name="20% - Énfasis1 27 7" xfId="845" xr:uid="{00000000-0005-0000-0000-00004C030000}"/>
    <cellStyle name="20% - Énfasis1 27 7 2" xfId="846" xr:uid="{00000000-0005-0000-0000-00004D030000}"/>
    <cellStyle name="20% - Énfasis1 27 8" xfId="847" xr:uid="{00000000-0005-0000-0000-00004E030000}"/>
    <cellStyle name="20% - Énfasis1 27 8 2" xfId="848" xr:uid="{00000000-0005-0000-0000-00004F030000}"/>
    <cellStyle name="20% - Énfasis1 27 9" xfId="849" xr:uid="{00000000-0005-0000-0000-000050030000}"/>
    <cellStyle name="20% - Énfasis1 27 9 2" xfId="850" xr:uid="{00000000-0005-0000-0000-000051030000}"/>
    <cellStyle name="20% - Énfasis1 28" xfId="851" xr:uid="{00000000-0005-0000-0000-000052030000}"/>
    <cellStyle name="20% - Énfasis1 28 10" xfId="852" xr:uid="{00000000-0005-0000-0000-000053030000}"/>
    <cellStyle name="20% - Énfasis1 28 10 2" xfId="853" xr:uid="{00000000-0005-0000-0000-000054030000}"/>
    <cellStyle name="20% - Énfasis1 28 11" xfId="854" xr:uid="{00000000-0005-0000-0000-000055030000}"/>
    <cellStyle name="20% - Énfasis1 28 11 2" xfId="855" xr:uid="{00000000-0005-0000-0000-000056030000}"/>
    <cellStyle name="20% - Énfasis1 28 12" xfId="856" xr:uid="{00000000-0005-0000-0000-000057030000}"/>
    <cellStyle name="20% - Énfasis1 28 12 2" xfId="857" xr:uid="{00000000-0005-0000-0000-000058030000}"/>
    <cellStyle name="20% - Énfasis1 28 13" xfId="858" xr:uid="{00000000-0005-0000-0000-000059030000}"/>
    <cellStyle name="20% - Énfasis1 28 13 2" xfId="859" xr:uid="{00000000-0005-0000-0000-00005A030000}"/>
    <cellStyle name="20% - Énfasis1 28 14" xfId="860" xr:uid="{00000000-0005-0000-0000-00005B030000}"/>
    <cellStyle name="20% - Énfasis1 28 14 2" xfId="861" xr:uid="{00000000-0005-0000-0000-00005C030000}"/>
    <cellStyle name="20% - Énfasis1 28 15" xfId="862" xr:uid="{00000000-0005-0000-0000-00005D030000}"/>
    <cellStyle name="20% - Énfasis1 28 15 2" xfId="863" xr:uid="{00000000-0005-0000-0000-00005E030000}"/>
    <cellStyle name="20% - Énfasis1 28 16" xfId="864" xr:uid="{00000000-0005-0000-0000-00005F030000}"/>
    <cellStyle name="20% - Énfasis1 28 16 2" xfId="865" xr:uid="{00000000-0005-0000-0000-000060030000}"/>
    <cellStyle name="20% - Énfasis1 28 17" xfId="866" xr:uid="{00000000-0005-0000-0000-000061030000}"/>
    <cellStyle name="20% - Énfasis1 28 17 2" xfId="867" xr:uid="{00000000-0005-0000-0000-000062030000}"/>
    <cellStyle name="20% - Énfasis1 28 18" xfId="868" xr:uid="{00000000-0005-0000-0000-000063030000}"/>
    <cellStyle name="20% - Énfasis1 28 18 2" xfId="869" xr:uid="{00000000-0005-0000-0000-000064030000}"/>
    <cellStyle name="20% - Énfasis1 28 19" xfId="870" xr:uid="{00000000-0005-0000-0000-000065030000}"/>
    <cellStyle name="20% - Énfasis1 28 19 2" xfId="871" xr:uid="{00000000-0005-0000-0000-000066030000}"/>
    <cellStyle name="20% - Énfasis1 28 2" xfId="872" xr:uid="{00000000-0005-0000-0000-000067030000}"/>
    <cellStyle name="20% - Énfasis1 28 2 2" xfId="873" xr:uid="{00000000-0005-0000-0000-000068030000}"/>
    <cellStyle name="20% - Énfasis1 28 20" xfId="874" xr:uid="{00000000-0005-0000-0000-000069030000}"/>
    <cellStyle name="20% - Énfasis1 28 3" xfId="875" xr:uid="{00000000-0005-0000-0000-00006A030000}"/>
    <cellStyle name="20% - Énfasis1 28 3 2" xfId="876" xr:uid="{00000000-0005-0000-0000-00006B030000}"/>
    <cellStyle name="20% - Énfasis1 28 4" xfId="877" xr:uid="{00000000-0005-0000-0000-00006C030000}"/>
    <cellStyle name="20% - Énfasis1 28 4 2" xfId="878" xr:uid="{00000000-0005-0000-0000-00006D030000}"/>
    <cellStyle name="20% - Énfasis1 28 5" xfId="879" xr:uid="{00000000-0005-0000-0000-00006E030000}"/>
    <cellStyle name="20% - Énfasis1 28 5 2" xfId="880" xr:uid="{00000000-0005-0000-0000-00006F030000}"/>
    <cellStyle name="20% - Énfasis1 28 6" xfId="881" xr:uid="{00000000-0005-0000-0000-000070030000}"/>
    <cellStyle name="20% - Énfasis1 28 6 2" xfId="882" xr:uid="{00000000-0005-0000-0000-000071030000}"/>
    <cellStyle name="20% - Énfasis1 28 7" xfId="883" xr:uid="{00000000-0005-0000-0000-000072030000}"/>
    <cellStyle name="20% - Énfasis1 28 7 2" xfId="884" xr:uid="{00000000-0005-0000-0000-000073030000}"/>
    <cellStyle name="20% - Énfasis1 28 8" xfId="885" xr:uid="{00000000-0005-0000-0000-000074030000}"/>
    <cellStyle name="20% - Énfasis1 28 8 2" xfId="886" xr:uid="{00000000-0005-0000-0000-000075030000}"/>
    <cellStyle name="20% - Énfasis1 28 9" xfId="887" xr:uid="{00000000-0005-0000-0000-000076030000}"/>
    <cellStyle name="20% - Énfasis1 28 9 2" xfId="888" xr:uid="{00000000-0005-0000-0000-000077030000}"/>
    <cellStyle name="20% - Énfasis1 29" xfId="889" xr:uid="{00000000-0005-0000-0000-000078030000}"/>
    <cellStyle name="20% - Énfasis1 29 10" xfId="890" xr:uid="{00000000-0005-0000-0000-000079030000}"/>
    <cellStyle name="20% - Énfasis1 29 10 2" xfId="891" xr:uid="{00000000-0005-0000-0000-00007A030000}"/>
    <cellStyle name="20% - Énfasis1 29 11" xfId="892" xr:uid="{00000000-0005-0000-0000-00007B030000}"/>
    <cellStyle name="20% - Énfasis1 29 11 2" xfId="893" xr:uid="{00000000-0005-0000-0000-00007C030000}"/>
    <cellStyle name="20% - Énfasis1 29 12" xfId="894" xr:uid="{00000000-0005-0000-0000-00007D030000}"/>
    <cellStyle name="20% - Énfasis1 29 12 2" xfId="895" xr:uid="{00000000-0005-0000-0000-00007E030000}"/>
    <cellStyle name="20% - Énfasis1 29 13" xfId="896" xr:uid="{00000000-0005-0000-0000-00007F030000}"/>
    <cellStyle name="20% - Énfasis1 29 13 2" xfId="897" xr:uid="{00000000-0005-0000-0000-000080030000}"/>
    <cellStyle name="20% - Énfasis1 29 14" xfId="898" xr:uid="{00000000-0005-0000-0000-000081030000}"/>
    <cellStyle name="20% - Énfasis1 29 14 2" xfId="899" xr:uid="{00000000-0005-0000-0000-000082030000}"/>
    <cellStyle name="20% - Énfasis1 29 15" xfId="900" xr:uid="{00000000-0005-0000-0000-000083030000}"/>
    <cellStyle name="20% - Énfasis1 29 15 2" xfId="901" xr:uid="{00000000-0005-0000-0000-000084030000}"/>
    <cellStyle name="20% - Énfasis1 29 16" xfId="902" xr:uid="{00000000-0005-0000-0000-000085030000}"/>
    <cellStyle name="20% - Énfasis1 29 16 2" xfId="903" xr:uid="{00000000-0005-0000-0000-000086030000}"/>
    <cellStyle name="20% - Énfasis1 29 17" xfId="904" xr:uid="{00000000-0005-0000-0000-000087030000}"/>
    <cellStyle name="20% - Énfasis1 29 17 2" xfId="905" xr:uid="{00000000-0005-0000-0000-000088030000}"/>
    <cellStyle name="20% - Énfasis1 29 18" xfId="906" xr:uid="{00000000-0005-0000-0000-000089030000}"/>
    <cellStyle name="20% - Énfasis1 29 18 2" xfId="907" xr:uid="{00000000-0005-0000-0000-00008A030000}"/>
    <cellStyle name="20% - Énfasis1 29 19" xfId="908" xr:uid="{00000000-0005-0000-0000-00008B030000}"/>
    <cellStyle name="20% - Énfasis1 29 19 2" xfId="909" xr:uid="{00000000-0005-0000-0000-00008C030000}"/>
    <cellStyle name="20% - Énfasis1 29 2" xfId="910" xr:uid="{00000000-0005-0000-0000-00008D030000}"/>
    <cellStyle name="20% - Énfasis1 29 2 2" xfId="911" xr:uid="{00000000-0005-0000-0000-00008E030000}"/>
    <cellStyle name="20% - Énfasis1 29 20" xfId="912" xr:uid="{00000000-0005-0000-0000-00008F030000}"/>
    <cellStyle name="20% - Énfasis1 29 3" xfId="913" xr:uid="{00000000-0005-0000-0000-000090030000}"/>
    <cellStyle name="20% - Énfasis1 29 3 2" xfId="914" xr:uid="{00000000-0005-0000-0000-000091030000}"/>
    <cellStyle name="20% - Énfasis1 29 4" xfId="915" xr:uid="{00000000-0005-0000-0000-000092030000}"/>
    <cellStyle name="20% - Énfasis1 29 4 2" xfId="916" xr:uid="{00000000-0005-0000-0000-000093030000}"/>
    <cellStyle name="20% - Énfasis1 29 5" xfId="917" xr:uid="{00000000-0005-0000-0000-000094030000}"/>
    <cellStyle name="20% - Énfasis1 29 5 2" xfId="918" xr:uid="{00000000-0005-0000-0000-000095030000}"/>
    <cellStyle name="20% - Énfasis1 29 6" xfId="919" xr:uid="{00000000-0005-0000-0000-000096030000}"/>
    <cellStyle name="20% - Énfasis1 29 6 2" xfId="920" xr:uid="{00000000-0005-0000-0000-000097030000}"/>
    <cellStyle name="20% - Énfasis1 29 7" xfId="921" xr:uid="{00000000-0005-0000-0000-000098030000}"/>
    <cellStyle name="20% - Énfasis1 29 7 2" xfId="922" xr:uid="{00000000-0005-0000-0000-000099030000}"/>
    <cellStyle name="20% - Énfasis1 29 8" xfId="923" xr:uid="{00000000-0005-0000-0000-00009A030000}"/>
    <cellStyle name="20% - Énfasis1 29 8 2" xfId="924" xr:uid="{00000000-0005-0000-0000-00009B030000}"/>
    <cellStyle name="20% - Énfasis1 29 9" xfId="925" xr:uid="{00000000-0005-0000-0000-00009C030000}"/>
    <cellStyle name="20% - Énfasis1 29 9 2" xfId="926" xr:uid="{00000000-0005-0000-0000-00009D030000}"/>
    <cellStyle name="20% - Énfasis1 3" xfId="927" xr:uid="{00000000-0005-0000-0000-00009E030000}"/>
    <cellStyle name="20% - Énfasis1 3 10" xfId="928" xr:uid="{00000000-0005-0000-0000-00009F030000}"/>
    <cellStyle name="20% - Énfasis1 3 10 2" xfId="929" xr:uid="{00000000-0005-0000-0000-0000A0030000}"/>
    <cellStyle name="20% - Énfasis1 3 11" xfId="930" xr:uid="{00000000-0005-0000-0000-0000A1030000}"/>
    <cellStyle name="20% - Énfasis1 3 11 2" xfId="931" xr:uid="{00000000-0005-0000-0000-0000A2030000}"/>
    <cellStyle name="20% - Énfasis1 3 12" xfId="932" xr:uid="{00000000-0005-0000-0000-0000A3030000}"/>
    <cellStyle name="20% - Énfasis1 3 12 2" xfId="933" xr:uid="{00000000-0005-0000-0000-0000A4030000}"/>
    <cellStyle name="20% - Énfasis1 3 13" xfId="934" xr:uid="{00000000-0005-0000-0000-0000A5030000}"/>
    <cellStyle name="20% - Énfasis1 3 13 2" xfId="935" xr:uid="{00000000-0005-0000-0000-0000A6030000}"/>
    <cellStyle name="20% - Énfasis1 3 14" xfId="936" xr:uid="{00000000-0005-0000-0000-0000A7030000}"/>
    <cellStyle name="20% - Énfasis1 3 14 2" xfId="937" xr:uid="{00000000-0005-0000-0000-0000A8030000}"/>
    <cellStyle name="20% - Énfasis1 3 15" xfId="938" xr:uid="{00000000-0005-0000-0000-0000A9030000}"/>
    <cellStyle name="20% - Énfasis1 3 15 2" xfId="939" xr:uid="{00000000-0005-0000-0000-0000AA030000}"/>
    <cellStyle name="20% - Énfasis1 3 16" xfId="940" xr:uid="{00000000-0005-0000-0000-0000AB030000}"/>
    <cellStyle name="20% - Énfasis1 3 16 2" xfId="941" xr:uid="{00000000-0005-0000-0000-0000AC030000}"/>
    <cellStyle name="20% - Énfasis1 3 17" xfId="942" xr:uid="{00000000-0005-0000-0000-0000AD030000}"/>
    <cellStyle name="20% - Énfasis1 3 17 2" xfId="943" xr:uid="{00000000-0005-0000-0000-0000AE030000}"/>
    <cellStyle name="20% - Énfasis1 3 18" xfId="944" xr:uid="{00000000-0005-0000-0000-0000AF030000}"/>
    <cellStyle name="20% - Énfasis1 3 18 2" xfId="945" xr:uid="{00000000-0005-0000-0000-0000B0030000}"/>
    <cellStyle name="20% - Énfasis1 3 19" xfId="946" xr:uid="{00000000-0005-0000-0000-0000B1030000}"/>
    <cellStyle name="20% - Énfasis1 3 19 2" xfId="947" xr:uid="{00000000-0005-0000-0000-0000B2030000}"/>
    <cellStyle name="20% - Énfasis1 3 2" xfId="948" xr:uid="{00000000-0005-0000-0000-0000B3030000}"/>
    <cellStyle name="20% - Énfasis1 3 2 2" xfId="949" xr:uid="{00000000-0005-0000-0000-0000B4030000}"/>
    <cellStyle name="20% - Énfasis1 3 20" xfId="950" xr:uid="{00000000-0005-0000-0000-0000B5030000}"/>
    <cellStyle name="20% - Énfasis1 3 21" xfId="951" xr:uid="{00000000-0005-0000-0000-0000B6030000}"/>
    <cellStyle name="20% - Énfasis1 3 3" xfId="952" xr:uid="{00000000-0005-0000-0000-0000B7030000}"/>
    <cellStyle name="20% - Énfasis1 3 3 2" xfId="953" xr:uid="{00000000-0005-0000-0000-0000B8030000}"/>
    <cellStyle name="20% - Énfasis1 3 4" xfId="954" xr:uid="{00000000-0005-0000-0000-0000B9030000}"/>
    <cellStyle name="20% - Énfasis1 3 4 2" xfId="955" xr:uid="{00000000-0005-0000-0000-0000BA030000}"/>
    <cellStyle name="20% - Énfasis1 3 5" xfId="956" xr:uid="{00000000-0005-0000-0000-0000BB030000}"/>
    <cellStyle name="20% - Énfasis1 3 5 2" xfId="957" xr:uid="{00000000-0005-0000-0000-0000BC030000}"/>
    <cellStyle name="20% - Énfasis1 3 6" xfId="958" xr:uid="{00000000-0005-0000-0000-0000BD030000}"/>
    <cellStyle name="20% - Énfasis1 3 6 2" xfId="959" xr:uid="{00000000-0005-0000-0000-0000BE030000}"/>
    <cellStyle name="20% - Énfasis1 3 7" xfId="960" xr:uid="{00000000-0005-0000-0000-0000BF030000}"/>
    <cellStyle name="20% - Énfasis1 3 7 2" xfId="961" xr:uid="{00000000-0005-0000-0000-0000C0030000}"/>
    <cellStyle name="20% - Énfasis1 3 8" xfId="962" xr:uid="{00000000-0005-0000-0000-0000C1030000}"/>
    <cellStyle name="20% - Énfasis1 3 8 2" xfId="963" xr:uid="{00000000-0005-0000-0000-0000C2030000}"/>
    <cellStyle name="20% - Énfasis1 3 9" xfId="964" xr:uid="{00000000-0005-0000-0000-0000C3030000}"/>
    <cellStyle name="20% - Énfasis1 3 9 2" xfId="965" xr:uid="{00000000-0005-0000-0000-0000C4030000}"/>
    <cellStyle name="20% - Énfasis1 30" xfId="966" xr:uid="{00000000-0005-0000-0000-0000C5030000}"/>
    <cellStyle name="20% - Énfasis1 30 10" xfId="967" xr:uid="{00000000-0005-0000-0000-0000C6030000}"/>
    <cellStyle name="20% - Énfasis1 30 10 2" xfId="968" xr:uid="{00000000-0005-0000-0000-0000C7030000}"/>
    <cellStyle name="20% - Énfasis1 30 11" xfId="969" xr:uid="{00000000-0005-0000-0000-0000C8030000}"/>
    <cellStyle name="20% - Énfasis1 30 11 2" xfId="970" xr:uid="{00000000-0005-0000-0000-0000C9030000}"/>
    <cellStyle name="20% - Énfasis1 30 12" xfId="971" xr:uid="{00000000-0005-0000-0000-0000CA030000}"/>
    <cellStyle name="20% - Énfasis1 30 12 2" xfId="972" xr:uid="{00000000-0005-0000-0000-0000CB030000}"/>
    <cellStyle name="20% - Énfasis1 30 13" xfId="973" xr:uid="{00000000-0005-0000-0000-0000CC030000}"/>
    <cellStyle name="20% - Énfasis1 30 13 2" xfId="974" xr:uid="{00000000-0005-0000-0000-0000CD030000}"/>
    <cellStyle name="20% - Énfasis1 30 14" xfId="975" xr:uid="{00000000-0005-0000-0000-0000CE030000}"/>
    <cellStyle name="20% - Énfasis1 30 14 2" xfId="976" xr:uid="{00000000-0005-0000-0000-0000CF030000}"/>
    <cellStyle name="20% - Énfasis1 30 15" xfId="977" xr:uid="{00000000-0005-0000-0000-0000D0030000}"/>
    <cellStyle name="20% - Énfasis1 30 15 2" xfId="978" xr:uid="{00000000-0005-0000-0000-0000D1030000}"/>
    <cellStyle name="20% - Énfasis1 30 16" xfId="979" xr:uid="{00000000-0005-0000-0000-0000D2030000}"/>
    <cellStyle name="20% - Énfasis1 30 16 2" xfId="980" xr:uid="{00000000-0005-0000-0000-0000D3030000}"/>
    <cellStyle name="20% - Énfasis1 30 17" xfId="981" xr:uid="{00000000-0005-0000-0000-0000D4030000}"/>
    <cellStyle name="20% - Énfasis1 30 17 2" xfId="982" xr:uid="{00000000-0005-0000-0000-0000D5030000}"/>
    <cellStyle name="20% - Énfasis1 30 18" xfId="983" xr:uid="{00000000-0005-0000-0000-0000D6030000}"/>
    <cellStyle name="20% - Énfasis1 30 18 2" xfId="984" xr:uid="{00000000-0005-0000-0000-0000D7030000}"/>
    <cellStyle name="20% - Énfasis1 30 19" xfId="985" xr:uid="{00000000-0005-0000-0000-0000D8030000}"/>
    <cellStyle name="20% - Énfasis1 30 19 2" xfId="986" xr:uid="{00000000-0005-0000-0000-0000D9030000}"/>
    <cellStyle name="20% - Énfasis1 30 2" xfId="987" xr:uid="{00000000-0005-0000-0000-0000DA030000}"/>
    <cellStyle name="20% - Énfasis1 30 2 2" xfId="988" xr:uid="{00000000-0005-0000-0000-0000DB030000}"/>
    <cellStyle name="20% - Énfasis1 30 20" xfId="989" xr:uid="{00000000-0005-0000-0000-0000DC030000}"/>
    <cellStyle name="20% - Énfasis1 30 3" xfId="990" xr:uid="{00000000-0005-0000-0000-0000DD030000}"/>
    <cellStyle name="20% - Énfasis1 30 3 2" xfId="991" xr:uid="{00000000-0005-0000-0000-0000DE030000}"/>
    <cellStyle name="20% - Énfasis1 30 4" xfId="992" xr:uid="{00000000-0005-0000-0000-0000DF030000}"/>
    <cellStyle name="20% - Énfasis1 30 4 2" xfId="993" xr:uid="{00000000-0005-0000-0000-0000E0030000}"/>
    <cellStyle name="20% - Énfasis1 30 5" xfId="994" xr:uid="{00000000-0005-0000-0000-0000E1030000}"/>
    <cellStyle name="20% - Énfasis1 30 5 2" xfId="995" xr:uid="{00000000-0005-0000-0000-0000E2030000}"/>
    <cellStyle name="20% - Énfasis1 30 6" xfId="996" xr:uid="{00000000-0005-0000-0000-0000E3030000}"/>
    <cellStyle name="20% - Énfasis1 30 6 2" xfId="997" xr:uid="{00000000-0005-0000-0000-0000E4030000}"/>
    <cellStyle name="20% - Énfasis1 30 7" xfId="998" xr:uid="{00000000-0005-0000-0000-0000E5030000}"/>
    <cellStyle name="20% - Énfasis1 30 7 2" xfId="999" xr:uid="{00000000-0005-0000-0000-0000E6030000}"/>
    <cellStyle name="20% - Énfasis1 30 8" xfId="1000" xr:uid="{00000000-0005-0000-0000-0000E7030000}"/>
    <cellStyle name="20% - Énfasis1 30 8 2" xfId="1001" xr:uid="{00000000-0005-0000-0000-0000E8030000}"/>
    <cellStyle name="20% - Énfasis1 30 9" xfId="1002" xr:uid="{00000000-0005-0000-0000-0000E9030000}"/>
    <cellStyle name="20% - Énfasis1 30 9 2" xfId="1003" xr:uid="{00000000-0005-0000-0000-0000EA030000}"/>
    <cellStyle name="20% - Énfasis1 31" xfId="1004" xr:uid="{00000000-0005-0000-0000-0000EB030000}"/>
    <cellStyle name="20% - Énfasis1 31 10" xfId="1005" xr:uid="{00000000-0005-0000-0000-0000EC030000}"/>
    <cellStyle name="20% - Énfasis1 31 10 2" xfId="1006" xr:uid="{00000000-0005-0000-0000-0000ED030000}"/>
    <cellStyle name="20% - Énfasis1 31 11" xfId="1007" xr:uid="{00000000-0005-0000-0000-0000EE030000}"/>
    <cellStyle name="20% - Énfasis1 31 11 2" xfId="1008" xr:uid="{00000000-0005-0000-0000-0000EF030000}"/>
    <cellStyle name="20% - Énfasis1 31 12" xfId="1009" xr:uid="{00000000-0005-0000-0000-0000F0030000}"/>
    <cellStyle name="20% - Énfasis1 31 12 2" xfId="1010" xr:uid="{00000000-0005-0000-0000-0000F1030000}"/>
    <cellStyle name="20% - Énfasis1 31 13" xfId="1011" xr:uid="{00000000-0005-0000-0000-0000F2030000}"/>
    <cellStyle name="20% - Énfasis1 31 13 2" xfId="1012" xr:uid="{00000000-0005-0000-0000-0000F3030000}"/>
    <cellStyle name="20% - Énfasis1 31 14" xfId="1013" xr:uid="{00000000-0005-0000-0000-0000F4030000}"/>
    <cellStyle name="20% - Énfasis1 31 14 2" xfId="1014" xr:uid="{00000000-0005-0000-0000-0000F5030000}"/>
    <cellStyle name="20% - Énfasis1 31 15" xfId="1015" xr:uid="{00000000-0005-0000-0000-0000F6030000}"/>
    <cellStyle name="20% - Énfasis1 31 15 2" xfId="1016" xr:uid="{00000000-0005-0000-0000-0000F7030000}"/>
    <cellStyle name="20% - Énfasis1 31 16" xfId="1017" xr:uid="{00000000-0005-0000-0000-0000F8030000}"/>
    <cellStyle name="20% - Énfasis1 31 16 2" xfId="1018" xr:uid="{00000000-0005-0000-0000-0000F9030000}"/>
    <cellStyle name="20% - Énfasis1 31 17" xfId="1019" xr:uid="{00000000-0005-0000-0000-0000FA030000}"/>
    <cellStyle name="20% - Énfasis1 31 17 2" xfId="1020" xr:uid="{00000000-0005-0000-0000-0000FB030000}"/>
    <cellStyle name="20% - Énfasis1 31 18" xfId="1021" xr:uid="{00000000-0005-0000-0000-0000FC030000}"/>
    <cellStyle name="20% - Énfasis1 31 18 2" xfId="1022" xr:uid="{00000000-0005-0000-0000-0000FD030000}"/>
    <cellStyle name="20% - Énfasis1 31 19" xfId="1023" xr:uid="{00000000-0005-0000-0000-0000FE030000}"/>
    <cellStyle name="20% - Énfasis1 31 19 2" xfId="1024" xr:uid="{00000000-0005-0000-0000-0000FF030000}"/>
    <cellStyle name="20% - Énfasis1 31 2" xfId="1025" xr:uid="{00000000-0005-0000-0000-000000040000}"/>
    <cellStyle name="20% - Énfasis1 31 2 2" xfId="1026" xr:uid="{00000000-0005-0000-0000-000001040000}"/>
    <cellStyle name="20% - Énfasis1 31 20" xfId="1027" xr:uid="{00000000-0005-0000-0000-000002040000}"/>
    <cellStyle name="20% - Énfasis1 31 3" xfId="1028" xr:uid="{00000000-0005-0000-0000-000003040000}"/>
    <cellStyle name="20% - Énfasis1 31 3 2" xfId="1029" xr:uid="{00000000-0005-0000-0000-000004040000}"/>
    <cellStyle name="20% - Énfasis1 31 4" xfId="1030" xr:uid="{00000000-0005-0000-0000-000005040000}"/>
    <cellStyle name="20% - Énfasis1 31 4 2" xfId="1031" xr:uid="{00000000-0005-0000-0000-000006040000}"/>
    <cellStyle name="20% - Énfasis1 31 5" xfId="1032" xr:uid="{00000000-0005-0000-0000-000007040000}"/>
    <cellStyle name="20% - Énfasis1 31 5 2" xfId="1033" xr:uid="{00000000-0005-0000-0000-000008040000}"/>
    <cellStyle name="20% - Énfasis1 31 6" xfId="1034" xr:uid="{00000000-0005-0000-0000-000009040000}"/>
    <cellStyle name="20% - Énfasis1 31 6 2" xfId="1035" xr:uid="{00000000-0005-0000-0000-00000A040000}"/>
    <cellStyle name="20% - Énfasis1 31 7" xfId="1036" xr:uid="{00000000-0005-0000-0000-00000B040000}"/>
    <cellStyle name="20% - Énfasis1 31 7 2" xfId="1037" xr:uid="{00000000-0005-0000-0000-00000C040000}"/>
    <cellStyle name="20% - Énfasis1 31 8" xfId="1038" xr:uid="{00000000-0005-0000-0000-00000D040000}"/>
    <cellStyle name="20% - Énfasis1 31 8 2" xfId="1039" xr:uid="{00000000-0005-0000-0000-00000E040000}"/>
    <cellStyle name="20% - Énfasis1 31 9" xfId="1040" xr:uid="{00000000-0005-0000-0000-00000F040000}"/>
    <cellStyle name="20% - Énfasis1 31 9 2" xfId="1041" xr:uid="{00000000-0005-0000-0000-000010040000}"/>
    <cellStyle name="20% - Énfasis1 32" xfId="1042" xr:uid="{00000000-0005-0000-0000-000011040000}"/>
    <cellStyle name="20% - Énfasis1 32 10" xfId="1043" xr:uid="{00000000-0005-0000-0000-000012040000}"/>
    <cellStyle name="20% - Énfasis1 32 10 2" xfId="1044" xr:uid="{00000000-0005-0000-0000-000013040000}"/>
    <cellStyle name="20% - Énfasis1 32 11" xfId="1045" xr:uid="{00000000-0005-0000-0000-000014040000}"/>
    <cellStyle name="20% - Énfasis1 32 11 2" xfId="1046" xr:uid="{00000000-0005-0000-0000-000015040000}"/>
    <cellStyle name="20% - Énfasis1 32 12" xfId="1047" xr:uid="{00000000-0005-0000-0000-000016040000}"/>
    <cellStyle name="20% - Énfasis1 32 12 2" xfId="1048" xr:uid="{00000000-0005-0000-0000-000017040000}"/>
    <cellStyle name="20% - Énfasis1 32 13" xfId="1049" xr:uid="{00000000-0005-0000-0000-000018040000}"/>
    <cellStyle name="20% - Énfasis1 32 13 2" xfId="1050" xr:uid="{00000000-0005-0000-0000-000019040000}"/>
    <cellStyle name="20% - Énfasis1 32 14" xfId="1051" xr:uid="{00000000-0005-0000-0000-00001A040000}"/>
    <cellStyle name="20% - Énfasis1 32 14 2" xfId="1052" xr:uid="{00000000-0005-0000-0000-00001B040000}"/>
    <cellStyle name="20% - Énfasis1 32 15" xfId="1053" xr:uid="{00000000-0005-0000-0000-00001C040000}"/>
    <cellStyle name="20% - Énfasis1 32 15 2" xfId="1054" xr:uid="{00000000-0005-0000-0000-00001D040000}"/>
    <cellStyle name="20% - Énfasis1 32 16" xfId="1055" xr:uid="{00000000-0005-0000-0000-00001E040000}"/>
    <cellStyle name="20% - Énfasis1 32 16 2" xfId="1056" xr:uid="{00000000-0005-0000-0000-00001F040000}"/>
    <cellStyle name="20% - Énfasis1 32 17" xfId="1057" xr:uid="{00000000-0005-0000-0000-000020040000}"/>
    <cellStyle name="20% - Énfasis1 32 17 2" xfId="1058" xr:uid="{00000000-0005-0000-0000-000021040000}"/>
    <cellStyle name="20% - Énfasis1 32 18" xfId="1059" xr:uid="{00000000-0005-0000-0000-000022040000}"/>
    <cellStyle name="20% - Énfasis1 32 18 2" xfId="1060" xr:uid="{00000000-0005-0000-0000-000023040000}"/>
    <cellStyle name="20% - Énfasis1 32 19" xfId="1061" xr:uid="{00000000-0005-0000-0000-000024040000}"/>
    <cellStyle name="20% - Énfasis1 32 19 2" xfId="1062" xr:uid="{00000000-0005-0000-0000-000025040000}"/>
    <cellStyle name="20% - Énfasis1 32 2" xfId="1063" xr:uid="{00000000-0005-0000-0000-000026040000}"/>
    <cellStyle name="20% - Énfasis1 32 2 2" xfId="1064" xr:uid="{00000000-0005-0000-0000-000027040000}"/>
    <cellStyle name="20% - Énfasis1 32 20" xfId="1065" xr:uid="{00000000-0005-0000-0000-000028040000}"/>
    <cellStyle name="20% - Énfasis1 32 3" xfId="1066" xr:uid="{00000000-0005-0000-0000-000029040000}"/>
    <cellStyle name="20% - Énfasis1 32 3 2" xfId="1067" xr:uid="{00000000-0005-0000-0000-00002A040000}"/>
    <cellStyle name="20% - Énfasis1 32 4" xfId="1068" xr:uid="{00000000-0005-0000-0000-00002B040000}"/>
    <cellStyle name="20% - Énfasis1 32 4 2" xfId="1069" xr:uid="{00000000-0005-0000-0000-00002C040000}"/>
    <cellStyle name="20% - Énfasis1 32 5" xfId="1070" xr:uid="{00000000-0005-0000-0000-00002D040000}"/>
    <cellStyle name="20% - Énfasis1 32 5 2" xfId="1071" xr:uid="{00000000-0005-0000-0000-00002E040000}"/>
    <cellStyle name="20% - Énfasis1 32 6" xfId="1072" xr:uid="{00000000-0005-0000-0000-00002F040000}"/>
    <cellStyle name="20% - Énfasis1 32 6 2" xfId="1073" xr:uid="{00000000-0005-0000-0000-000030040000}"/>
    <cellStyle name="20% - Énfasis1 32 7" xfId="1074" xr:uid="{00000000-0005-0000-0000-000031040000}"/>
    <cellStyle name="20% - Énfasis1 32 7 2" xfId="1075" xr:uid="{00000000-0005-0000-0000-000032040000}"/>
    <cellStyle name="20% - Énfasis1 32 8" xfId="1076" xr:uid="{00000000-0005-0000-0000-000033040000}"/>
    <cellStyle name="20% - Énfasis1 32 8 2" xfId="1077" xr:uid="{00000000-0005-0000-0000-000034040000}"/>
    <cellStyle name="20% - Énfasis1 32 9" xfId="1078" xr:uid="{00000000-0005-0000-0000-000035040000}"/>
    <cellStyle name="20% - Énfasis1 32 9 2" xfId="1079" xr:uid="{00000000-0005-0000-0000-000036040000}"/>
    <cellStyle name="20% - Énfasis1 33" xfId="1080" xr:uid="{00000000-0005-0000-0000-000037040000}"/>
    <cellStyle name="20% - Énfasis1 33 10" xfId="1081" xr:uid="{00000000-0005-0000-0000-000038040000}"/>
    <cellStyle name="20% - Énfasis1 33 10 2" xfId="1082" xr:uid="{00000000-0005-0000-0000-000039040000}"/>
    <cellStyle name="20% - Énfasis1 33 11" xfId="1083" xr:uid="{00000000-0005-0000-0000-00003A040000}"/>
    <cellStyle name="20% - Énfasis1 33 11 2" xfId="1084" xr:uid="{00000000-0005-0000-0000-00003B040000}"/>
    <cellStyle name="20% - Énfasis1 33 12" xfId="1085" xr:uid="{00000000-0005-0000-0000-00003C040000}"/>
    <cellStyle name="20% - Énfasis1 33 12 2" xfId="1086" xr:uid="{00000000-0005-0000-0000-00003D040000}"/>
    <cellStyle name="20% - Énfasis1 33 13" xfId="1087" xr:uid="{00000000-0005-0000-0000-00003E040000}"/>
    <cellStyle name="20% - Énfasis1 33 13 2" xfId="1088" xr:uid="{00000000-0005-0000-0000-00003F040000}"/>
    <cellStyle name="20% - Énfasis1 33 14" xfId="1089" xr:uid="{00000000-0005-0000-0000-000040040000}"/>
    <cellStyle name="20% - Énfasis1 33 14 2" xfId="1090" xr:uid="{00000000-0005-0000-0000-000041040000}"/>
    <cellStyle name="20% - Énfasis1 33 15" xfId="1091" xr:uid="{00000000-0005-0000-0000-000042040000}"/>
    <cellStyle name="20% - Énfasis1 33 15 2" xfId="1092" xr:uid="{00000000-0005-0000-0000-000043040000}"/>
    <cellStyle name="20% - Énfasis1 33 16" xfId="1093" xr:uid="{00000000-0005-0000-0000-000044040000}"/>
    <cellStyle name="20% - Énfasis1 33 16 2" xfId="1094" xr:uid="{00000000-0005-0000-0000-000045040000}"/>
    <cellStyle name="20% - Énfasis1 33 17" xfId="1095" xr:uid="{00000000-0005-0000-0000-000046040000}"/>
    <cellStyle name="20% - Énfasis1 33 17 2" xfId="1096" xr:uid="{00000000-0005-0000-0000-000047040000}"/>
    <cellStyle name="20% - Énfasis1 33 18" xfId="1097" xr:uid="{00000000-0005-0000-0000-000048040000}"/>
    <cellStyle name="20% - Énfasis1 33 18 2" xfId="1098" xr:uid="{00000000-0005-0000-0000-000049040000}"/>
    <cellStyle name="20% - Énfasis1 33 19" xfId="1099" xr:uid="{00000000-0005-0000-0000-00004A040000}"/>
    <cellStyle name="20% - Énfasis1 33 19 2" xfId="1100" xr:uid="{00000000-0005-0000-0000-00004B040000}"/>
    <cellStyle name="20% - Énfasis1 33 2" xfId="1101" xr:uid="{00000000-0005-0000-0000-00004C040000}"/>
    <cellStyle name="20% - Énfasis1 33 2 2" xfId="1102" xr:uid="{00000000-0005-0000-0000-00004D040000}"/>
    <cellStyle name="20% - Énfasis1 33 20" xfId="1103" xr:uid="{00000000-0005-0000-0000-00004E040000}"/>
    <cellStyle name="20% - Énfasis1 33 3" xfId="1104" xr:uid="{00000000-0005-0000-0000-00004F040000}"/>
    <cellStyle name="20% - Énfasis1 33 3 2" xfId="1105" xr:uid="{00000000-0005-0000-0000-000050040000}"/>
    <cellStyle name="20% - Énfasis1 33 4" xfId="1106" xr:uid="{00000000-0005-0000-0000-000051040000}"/>
    <cellStyle name="20% - Énfasis1 33 4 2" xfId="1107" xr:uid="{00000000-0005-0000-0000-000052040000}"/>
    <cellStyle name="20% - Énfasis1 33 5" xfId="1108" xr:uid="{00000000-0005-0000-0000-000053040000}"/>
    <cellStyle name="20% - Énfasis1 33 5 2" xfId="1109" xr:uid="{00000000-0005-0000-0000-000054040000}"/>
    <cellStyle name="20% - Énfasis1 33 6" xfId="1110" xr:uid="{00000000-0005-0000-0000-000055040000}"/>
    <cellStyle name="20% - Énfasis1 33 6 2" xfId="1111" xr:uid="{00000000-0005-0000-0000-000056040000}"/>
    <cellStyle name="20% - Énfasis1 33 7" xfId="1112" xr:uid="{00000000-0005-0000-0000-000057040000}"/>
    <cellStyle name="20% - Énfasis1 33 7 2" xfId="1113" xr:uid="{00000000-0005-0000-0000-000058040000}"/>
    <cellStyle name="20% - Énfasis1 33 8" xfId="1114" xr:uid="{00000000-0005-0000-0000-000059040000}"/>
    <cellStyle name="20% - Énfasis1 33 8 2" xfId="1115" xr:uid="{00000000-0005-0000-0000-00005A040000}"/>
    <cellStyle name="20% - Énfasis1 33 9" xfId="1116" xr:uid="{00000000-0005-0000-0000-00005B040000}"/>
    <cellStyle name="20% - Énfasis1 33 9 2" xfId="1117" xr:uid="{00000000-0005-0000-0000-00005C040000}"/>
    <cellStyle name="20% - Énfasis1 34" xfId="1118" xr:uid="{00000000-0005-0000-0000-00005D040000}"/>
    <cellStyle name="20% - Énfasis1 34 10" xfId="1119" xr:uid="{00000000-0005-0000-0000-00005E040000}"/>
    <cellStyle name="20% - Énfasis1 34 10 2" xfId="1120" xr:uid="{00000000-0005-0000-0000-00005F040000}"/>
    <cellStyle name="20% - Énfasis1 34 11" xfId="1121" xr:uid="{00000000-0005-0000-0000-000060040000}"/>
    <cellStyle name="20% - Énfasis1 34 11 2" xfId="1122" xr:uid="{00000000-0005-0000-0000-000061040000}"/>
    <cellStyle name="20% - Énfasis1 34 12" xfId="1123" xr:uid="{00000000-0005-0000-0000-000062040000}"/>
    <cellStyle name="20% - Énfasis1 34 12 2" xfId="1124" xr:uid="{00000000-0005-0000-0000-000063040000}"/>
    <cellStyle name="20% - Énfasis1 34 13" xfId="1125" xr:uid="{00000000-0005-0000-0000-000064040000}"/>
    <cellStyle name="20% - Énfasis1 34 13 2" xfId="1126" xr:uid="{00000000-0005-0000-0000-000065040000}"/>
    <cellStyle name="20% - Énfasis1 34 14" xfId="1127" xr:uid="{00000000-0005-0000-0000-000066040000}"/>
    <cellStyle name="20% - Énfasis1 34 14 2" xfId="1128" xr:uid="{00000000-0005-0000-0000-000067040000}"/>
    <cellStyle name="20% - Énfasis1 34 15" xfId="1129" xr:uid="{00000000-0005-0000-0000-000068040000}"/>
    <cellStyle name="20% - Énfasis1 34 15 2" xfId="1130" xr:uid="{00000000-0005-0000-0000-000069040000}"/>
    <cellStyle name="20% - Énfasis1 34 16" xfId="1131" xr:uid="{00000000-0005-0000-0000-00006A040000}"/>
    <cellStyle name="20% - Énfasis1 34 16 2" xfId="1132" xr:uid="{00000000-0005-0000-0000-00006B040000}"/>
    <cellStyle name="20% - Énfasis1 34 17" xfId="1133" xr:uid="{00000000-0005-0000-0000-00006C040000}"/>
    <cellStyle name="20% - Énfasis1 34 17 2" xfId="1134" xr:uid="{00000000-0005-0000-0000-00006D040000}"/>
    <cellStyle name="20% - Énfasis1 34 18" xfId="1135" xr:uid="{00000000-0005-0000-0000-00006E040000}"/>
    <cellStyle name="20% - Énfasis1 34 18 2" xfId="1136" xr:uid="{00000000-0005-0000-0000-00006F040000}"/>
    <cellStyle name="20% - Énfasis1 34 19" xfId="1137" xr:uid="{00000000-0005-0000-0000-000070040000}"/>
    <cellStyle name="20% - Énfasis1 34 19 2" xfId="1138" xr:uid="{00000000-0005-0000-0000-000071040000}"/>
    <cellStyle name="20% - Énfasis1 34 2" xfId="1139" xr:uid="{00000000-0005-0000-0000-000072040000}"/>
    <cellStyle name="20% - Énfasis1 34 2 2" xfId="1140" xr:uid="{00000000-0005-0000-0000-000073040000}"/>
    <cellStyle name="20% - Énfasis1 34 20" xfId="1141" xr:uid="{00000000-0005-0000-0000-000074040000}"/>
    <cellStyle name="20% - Énfasis1 34 3" xfId="1142" xr:uid="{00000000-0005-0000-0000-000075040000}"/>
    <cellStyle name="20% - Énfasis1 34 3 2" xfId="1143" xr:uid="{00000000-0005-0000-0000-000076040000}"/>
    <cellStyle name="20% - Énfasis1 34 4" xfId="1144" xr:uid="{00000000-0005-0000-0000-000077040000}"/>
    <cellStyle name="20% - Énfasis1 34 4 2" xfId="1145" xr:uid="{00000000-0005-0000-0000-000078040000}"/>
    <cellStyle name="20% - Énfasis1 34 5" xfId="1146" xr:uid="{00000000-0005-0000-0000-000079040000}"/>
    <cellStyle name="20% - Énfasis1 34 5 2" xfId="1147" xr:uid="{00000000-0005-0000-0000-00007A040000}"/>
    <cellStyle name="20% - Énfasis1 34 6" xfId="1148" xr:uid="{00000000-0005-0000-0000-00007B040000}"/>
    <cellStyle name="20% - Énfasis1 34 6 2" xfId="1149" xr:uid="{00000000-0005-0000-0000-00007C040000}"/>
    <cellStyle name="20% - Énfasis1 34 7" xfId="1150" xr:uid="{00000000-0005-0000-0000-00007D040000}"/>
    <cellStyle name="20% - Énfasis1 34 7 2" xfId="1151" xr:uid="{00000000-0005-0000-0000-00007E040000}"/>
    <cellStyle name="20% - Énfasis1 34 8" xfId="1152" xr:uid="{00000000-0005-0000-0000-00007F040000}"/>
    <cellStyle name="20% - Énfasis1 34 8 2" xfId="1153" xr:uid="{00000000-0005-0000-0000-000080040000}"/>
    <cellStyle name="20% - Énfasis1 34 9" xfId="1154" xr:uid="{00000000-0005-0000-0000-000081040000}"/>
    <cellStyle name="20% - Énfasis1 34 9 2" xfId="1155" xr:uid="{00000000-0005-0000-0000-000082040000}"/>
    <cellStyle name="20% - Énfasis1 35" xfId="1156" xr:uid="{00000000-0005-0000-0000-000083040000}"/>
    <cellStyle name="20% - Énfasis1 35 10" xfId="1157" xr:uid="{00000000-0005-0000-0000-000084040000}"/>
    <cellStyle name="20% - Énfasis1 35 10 2" xfId="1158" xr:uid="{00000000-0005-0000-0000-000085040000}"/>
    <cellStyle name="20% - Énfasis1 35 11" xfId="1159" xr:uid="{00000000-0005-0000-0000-000086040000}"/>
    <cellStyle name="20% - Énfasis1 35 11 2" xfId="1160" xr:uid="{00000000-0005-0000-0000-000087040000}"/>
    <cellStyle name="20% - Énfasis1 35 12" xfId="1161" xr:uid="{00000000-0005-0000-0000-000088040000}"/>
    <cellStyle name="20% - Énfasis1 35 12 2" xfId="1162" xr:uid="{00000000-0005-0000-0000-000089040000}"/>
    <cellStyle name="20% - Énfasis1 35 13" xfId="1163" xr:uid="{00000000-0005-0000-0000-00008A040000}"/>
    <cellStyle name="20% - Énfasis1 35 13 2" xfId="1164" xr:uid="{00000000-0005-0000-0000-00008B040000}"/>
    <cellStyle name="20% - Énfasis1 35 14" xfId="1165" xr:uid="{00000000-0005-0000-0000-00008C040000}"/>
    <cellStyle name="20% - Énfasis1 35 14 2" xfId="1166" xr:uid="{00000000-0005-0000-0000-00008D040000}"/>
    <cellStyle name="20% - Énfasis1 35 15" xfId="1167" xr:uid="{00000000-0005-0000-0000-00008E040000}"/>
    <cellStyle name="20% - Énfasis1 35 15 2" xfId="1168" xr:uid="{00000000-0005-0000-0000-00008F040000}"/>
    <cellStyle name="20% - Énfasis1 35 16" xfId="1169" xr:uid="{00000000-0005-0000-0000-000090040000}"/>
    <cellStyle name="20% - Énfasis1 35 16 2" xfId="1170" xr:uid="{00000000-0005-0000-0000-000091040000}"/>
    <cellStyle name="20% - Énfasis1 35 17" xfId="1171" xr:uid="{00000000-0005-0000-0000-000092040000}"/>
    <cellStyle name="20% - Énfasis1 35 17 2" xfId="1172" xr:uid="{00000000-0005-0000-0000-000093040000}"/>
    <cellStyle name="20% - Énfasis1 35 18" xfId="1173" xr:uid="{00000000-0005-0000-0000-000094040000}"/>
    <cellStyle name="20% - Énfasis1 35 18 2" xfId="1174" xr:uid="{00000000-0005-0000-0000-000095040000}"/>
    <cellStyle name="20% - Énfasis1 35 19" xfId="1175" xr:uid="{00000000-0005-0000-0000-000096040000}"/>
    <cellStyle name="20% - Énfasis1 35 19 2" xfId="1176" xr:uid="{00000000-0005-0000-0000-000097040000}"/>
    <cellStyle name="20% - Énfasis1 35 2" xfId="1177" xr:uid="{00000000-0005-0000-0000-000098040000}"/>
    <cellStyle name="20% - Énfasis1 35 2 2" xfId="1178" xr:uid="{00000000-0005-0000-0000-000099040000}"/>
    <cellStyle name="20% - Énfasis1 35 20" xfId="1179" xr:uid="{00000000-0005-0000-0000-00009A040000}"/>
    <cellStyle name="20% - Énfasis1 35 3" xfId="1180" xr:uid="{00000000-0005-0000-0000-00009B040000}"/>
    <cellStyle name="20% - Énfasis1 35 3 2" xfId="1181" xr:uid="{00000000-0005-0000-0000-00009C040000}"/>
    <cellStyle name="20% - Énfasis1 35 4" xfId="1182" xr:uid="{00000000-0005-0000-0000-00009D040000}"/>
    <cellStyle name="20% - Énfasis1 35 4 2" xfId="1183" xr:uid="{00000000-0005-0000-0000-00009E040000}"/>
    <cellStyle name="20% - Énfasis1 35 5" xfId="1184" xr:uid="{00000000-0005-0000-0000-00009F040000}"/>
    <cellStyle name="20% - Énfasis1 35 5 2" xfId="1185" xr:uid="{00000000-0005-0000-0000-0000A0040000}"/>
    <cellStyle name="20% - Énfasis1 35 6" xfId="1186" xr:uid="{00000000-0005-0000-0000-0000A1040000}"/>
    <cellStyle name="20% - Énfasis1 35 6 2" xfId="1187" xr:uid="{00000000-0005-0000-0000-0000A2040000}"/>
    <cellStyle name="20% - Énfasis1 35 7" xfId="1188" xr:uid="{00000000-0005-0000-0000-0000A3040000}"/>
    <cellStyle name="20% - Énfasis1 35 7 2" xfId="1189" xr:uid="{00000000-0005-0000-0000-0000A4040000}"/>
    <cellStyle name="20% - Énfasis1 35 8" xfId="1190" xr:uid="{00000000-0005-0000-0000-0000A5040000}"/>
    <cellStyle name="20% - Énfasis1 35 8 2" xfId="1191" xr:uid="{00000000-0005-0000-0000-0000A6040000}"/>
    <cellStyle name="20% - Énfasis1 35 9" xfId="1192" xr:uid="{00000000-0005-0000-0000-0000A7040000}"/>
    <cellStyle name="20% - Énfasis1 35 9 2" xfId="1193" xr:uid="{00000000-0005-0000-0000-0000A8040000}"/>
    <cellStyle name="20% - Énfasis1 36" xfId="1194" xr:uid="{00000000-0005-0000-0000-0000A9040000}"/>
    <cellStyle name="20% - Énfasis1 36 10" xfId="1195" xr:uid="{00000000-0005-0000-0000-0000AA040000}"/>
    <cellStyle name="20% - Énfasis1 36 10 2" xfId="1196" xr:uid="{00000000-0005-0000-0000-0000AB040000}"/>
    <cellStyle name="20% - Énfasis1 36 11" xfId="1197" xr:uid="{00000000-0005-0000-0000-0000AC040000}"/>
    <cellStyle name="20% - Énfasis1 36 11 2" xfId="1198" xr:uid="{00000000-0005-0000-0000-0000AD040000}"/>
    <cellStyle name="20% - Énfasis1 36 12" xfId="1199" xr:uid="{00000000-0005-0000-0000-0000AE040000}"/>
    <cellStyle name="20% - Énfasis1 36 12 2" xfId="1200" xr:uid="{00000000-0005-0000-0000-0000AF040000}"/>
    <cellStyle name="20% - Énfasis1 36 13" xfId="1201" xr:uid="{00000000-0005-0000-0000-0000B0040000}"/>
    <cellStyle name="20% - Énfasis1 36 13 2" xfId="1202" xr:uid="{00000000-0005-0000-0000-0000B1040000}"/>
    <cellStyle name="20% - Énfasis1 36 14" xfId="1203" xr:uid="{00000000-0005-0000-0000-0000B2040000}"/>
    <cellStyle name="20% - Énfasis1 36 14 2" xfId="1204" xr:uid="{00000000-0005-0000-0000-0000B3040000}"/>
    <cellStyle name="20% - Énfasis1 36 15" xfId="1205" xr:uid="{00000000-0005-0000-0000-0000B4040000}"/>
    <cellStyle name="20% - Énfasis1 36 15 2" xfId="1206" xr:uid="{00000000-0005-0000-0000-0000B5040000}"/>
    <cellStyle name="20% - Énfasis1 36 16" xfId="1207" xr:uid="{00000000-0005-0000-0000-0000B6040000}"/>
    <cellStyle name="20% - Énfasis1 36 16 2" xfId="1208" xr:uid="{00000000-0005-0000-0000-0000B7040000}"/>
    <cellStyle name="20% - Énfasis1 36 17" xfId="1209" xr:uid="{00000000-0005-0000-0000-0000B8040000}"/>
    <cellStyle name="20% - Énfasis1 36 17 2" xfId="1210" xr:uid="{00000000-0005-0000-0000-0000B9040000}"/>
    <cellStyle name="20% - Énfasis1 36 18" xfId="1211" xr:uid="{00000000-0005-0000-0000-0000BA040000}"/>
    <cellStyle name="20% - Énfasis1 36 18 2" xfId="1212" xr:uid="{00000000-0005-0000-0000-0000BB040000}"/>
    <cellStyle name="20% - Énfasis1 36 19" xfId="1213" xr:uid="{00000000-0005-0000-0000-0000BC040000}"/>
    <cellStyle name="20% - Énfasis1 36 19 2" xfId="1214" xr:uid="{00000000-0005-0000-0000-0000BD040000}"/>
    <cellStyle name="20% - Énfasis1 36 2" xfId="1215" xr:uid="{00000000-0005-0000-0000-0000BE040000}"/>
    <cellStyle name="20% - Énfasis1 36 2 2" xfId="1216" xr:uid="{00000000-0005-0000-0000-0000BF040000}"/>
    <cellStyle name="20% - Énfasis1 36 20" xfId="1217" xr:uid="{00000000-0005-0000-0000-0000C0040000}"/>
    <cellStyle name="20% - Énfasis1 36 3" xfId="1218" xr:uid="{00000000-0005-0000-0000-0000C1040000}"/>
    <cellStyle name="20% - Énfasis1 36 3 2" xfId="1219" xr:uid="{00000000-0005-0000-0000-0000C2040000}"/>
    <cellStyle name="20% - Énfasis1 36 4" xfId="1220" xr:uid="{00000000-0005-0000-0000-0000C3040000}"/>
    <cellStyle name="20% - Énfasis1 36 4 2" xfId="1221" xr:uid="{00000000-0005-0000-0000-0000C4040000}"/>
    <cellStyle name="20% - Énfasis1 36 5" xfId="1222" xr:uid="{00000000-0005-0000-0000-0000C5040000}"/>
    <cellStyle name="20% - Énfasis1 36 5 2" xfId="1223" xr:uid="{00000000-0005-0000-0000-0000C6040000}"/>
    <cellStyle name="20% - Énfasis1 36 6" xfId="1224" xr:uid="{00000000-0005-0000-0000-0000C7040000}"/>
    <cellStyle name="20% - Énfasis1 36 6 2" xfId="1225" xr:uid="{00000000-0005-0000-0000-0000C8040000}"/>
    <cellStyle name="20% - Énfasis1 36 7" xfId="1226" xr:uid="{00000000-0005-0000-0000-0000C9040000}"/>
    <cellStyle name="20% - Énfasis1 36 7 2" xfId="1227" xr:uid="{00000000-0005-0000-0000-0000CA040000}"/>
    <cellStyle name="20% - Énfasis1 36 8" xfId="1228" xr:uid="{00000000-0005-0000-0000-0000CB040000}"/>
    <cellStyle name="20% - Énfasis1 36 8 2" xfId="1229" xr:uid="{00000000-0005-0000-0000-0000CC040000}"/>
    <cellStyle name="20% - Énfasis1 36 9" xfId="1230" xr:uid="{00000000-0005-0000-0000-0000CD040000}"/>
    <cellStyle name="20% - Énfasis1 36 9 2" xfId="1231" xr:uid="{00000000-0005-0000-0000-0000CE040000}"/>
    <cellStyle name="20% - Énfasis1 37" xfId="1232" xr:uid="{00000000-0005-0000-0000-0000CF040000}"/>
    <cellStyle name="20% - Énfasis1 37 2" xfId="1233" xr:uid="{00000000-0005-0000-0000-0000D0040000}"/>
    <cellStyle name="20% - Énfasis1 38" xfId="1234" xr:uid="{00000000-0005-0000-0000-0000D1040000}"/>
    <cellStyle name="20% - Énfasis1 38 2" xfId="1235" xr:uid="{00000000-0005-0000-0000-0000D2040000}"/>
    <cellStyle name="20% - Énfasis1 39" xfId="1236" xr:uid="{00000000-0005-0000-0000-0000D3040000}"/>
    <cellStyle name="20% - Énfasis1 39 2" xfId="1237" xr:uid="{00000000-0005-0000-0000-0000D4040000}"/>
    <cellStyle name="20% - Énfasis1 4" xfId="1238" xr:uid="{00000000-0005-0000-0000-0000D5040000}"/>
    <cellStyle name="20% - Énfasis1 4 10" xfId="1239" xr:uid="{00000000-0005-0000-0000-0000D6040000}"/>
    <cellStyle name="20% - Énfasis1 4 10 2" xfId="1240" xr:uid="{00000000-0005-0000-0000-0000D7040000}"/>
    <cellStyle name="20% - Énfasis1 4 11" xfId="1241" xr:uid="{00000000-0005-0000-0000-0000D8040000}"/>
    <cellStyle name="20% - Énfasis1 4 11 2" xfId="1242" xr:uid="{00000000-0005-0000-0000-0000D9040000}"/>
    <cellStyle name="20% - Énfasis1 4 12" xfId="1243" xr:uid="{00000000-0005-0000-0000-0000DA040000}"/>
    <cellStyle name="20% - Énfasis1 4 12 2" xfId="1244" xr:uid="{00000000-0005-0000-0000-0000DB040000}"/>
    <cellStyle name="20% - Énfasis1 4 13" xfId="1245" xr:uid="{00000000-0005-0000-0000-0000DC040000}"/>
    <cellStyle name="20% - Énfasis1 4 13 2" xfId="1246" xr:uid="{00000000-0005-0000-0000-0000DD040000}"/>
    <cellStyle name="20% - Énfasis1 4 14" xfId="1247" xr:uid="{00000000-0005-0000-0000-0000DE040000}"/>
    <cellStyle name="20% - Énfasis1 4 14 2" xfId="1248" xr:uid="{00000000-0005-0000-0000-0000DF040000}"/>
    <cellStyle name="20% - Énfasis1 4 15" xfId="1249" xr:uid="{00000000-0005-0000-0000-0000E0040000}"/>
    <cellStyle name="20% - Énfasis1 4 15 2" xfId="1250" xr:uid="{00000000-0005-0000-0000-0000E1040000}"/>
    <cellStyle name="20% - Énfasis1 4 16" xfId="1251" xr:uid="{00000000-0005-0000-0000-0000E2040000}"/>
    <cellStyle name="20% - Énfasis1 4 16 2" xfId="1252" xr:uid="{00000000-0005-0000-0000-0000E3040000}"/>
    <cellStyle name="20% - Énfasis1 4 17" xfId="1253" xr:uid="{00000000-0005-0000-0000-0000E4040000}"/>
    <cellStyle name="20% - Énfasis1 4 17 2" xfId="1254" xr:uid="{00000000-0005-0000-0000-0000E5040000}"/>
    <cellStyle name="20% - Énfasis1 4 18" xfId="1255" xr:uid="{00000000-0005-0000-0000-0000E6040000}"/>
    <cellStyle name="20% - Énfasis1 4 18 2" xfId="1256" xr:uid="{00000000-0005-0000-0000-0000E7040000}"/>
    <cellStyle name="20% - Énfasis1 4 19" xfId="1257" xr:uid="{00000000-0005-0000-0000-0000E8040000}"/>
    <cellStyle name="20% - Énfasis1 4 19 2" xfId="1258" xr:uid="{00000000-0005-0000-0000-0000E9040000}"/>
    <cellStyle name="20% - Énfasis1 4 2" xfId="1259" xr:uid="{00000000-0005-0000-0000-0000EA040000}"/>
    <cellStyle name="20% - Énfasis1 4 2 2" xfId="1260" xr:uid="{00000000-0005-0000-0000-0000EB040000}"/>
    <cellStyle name="20% - Énfasis1 4 20" xfId="1261" xr:uid="{00000000-0005-0000-0000-0000EC040000}"/>
    <cellStyle name="20% - Énfasis1 4 21" xfId="1262" xr:uid="{00000000-0005-0000-0000-0000ED040000}"/>
    <cellStyle name="20% - Énfasis1 4 3" xfId="1263" xr:uid="{00000000-0005-0000-0000-0000EE040000}"/>
    <cellStyle name="20% - Énfasis1 4 3 2" xfId="1264" xr:uid="{00000000-0005-0000-0000-0000EF040000}"/>
    <cellStyle name="20% - Énfasis1 4 4" xfId="1265" xr:uid="{00000000-0005-0000-0000-0000F0040000}"/>
    <cellStyle name="20% - Énfasis1 4 4 2" xfId="1266" xr:uid="{00000000-0005-0000-0000-0000F1040000}"/>
    <cellStyle name="20% - Énfasis1 4 5" xfId="1267" xr:uid="{00000000-0005-0000-0000-0000F2040000}"/>
    <cellStyle name="20% - Énfasis1 4 5 2" xfId="1268" xr:uid="{00000000-0005-0000-0000-0000F3040000}"/>
    <cellStyle name="20% - Énfasis1 4 6" xfId="1269" xr:uid="{00000000-0005-0000-0000-0000F4040000}"/>
    <cellStyle name="20% - Énfasis1 4 6 2" xfId="1270" xr:uid="{00000000-0005-0000-0000-0000F5040000}"/>
    <cellStyle name="20% - Énfasis1 4 7" xfId="1271" xr:uid="{00000000-0005-0000-0000-0000F6040000}"/>
    <cellStyle name="20% - Énfasis1 4 7 2" xfId="1272" xr:uid="{00000000-0005-0000-0000-0000F7040000}"/>
    <cellStyle name="20% - Énfasis1 4 8" xfId="1273" xr:uid="{00000000-0005-0000-0000-0000F8040000}"/>
    <cellStyle name="20% - Énfasis1 4 8 2" xfId="1274" xr:uid="{00000000-0005-0000-0000-0000F9040000}"/>
    <cellStyle name="20% - Énfasis1 4 9" xfId="1275" xr:uid="{00000000-0005-0000-0000-0000FA040000}"/>
    <cellStyle name="20% - Énfasis1 4 9 2" xfId="1276" xr:uid="{00000000-0005-0000-0000-0000FB040000}"/>
    <cellStyle name="20% - Énfasis1 40" xfId="1277" xr:uid="{00000000-0005-0000-0000-0000FC040000}"/>
    <cellStyle name="20% - Énfasis1 40 2" xfId="1278" xr:uid="{00000000-0005-0000-0000-0000FD040000}"/>
    <cellStyle name="20% - Énfasis1 41" xfId="1279" xr:uid="{00000000-0005-0000-0000-0000FE040000}"/>
    <cellStyle name="20% - Énfasis1 41 2" xfId="1280" xr:uid="{00000000-0005-0000-0000-0000FF040000}"/>
    <cellStyle name="20% - Énfasis1 42" xfId="1281" xr:uid="{00000000-0005-0000-0000-000000050000}"/>
    <cellStyle name="20% - Énfasis1 42 2" xfId="1282" xr:uid="{00000000-0005-0000-0000-000001050000}"/>
    <cellStyle name="20% - Énfasis1 43" xfId="1283" xr:uid="{00000000-0005-0000-0000-000002050000}"/>
    <cellStyle name="20% - Énfasis1 43 2" xfId="1284" xr:uid="{00000000-0005-0000-0000-000003050000}"/>
    <cellStyle name="20% - Énfasis1 44" xfId="1285" xr:uid="{00000000-0005-0000-0000-000004050000}"/>
    <cellStyle name="20% - Énfasis1 44 2" xfId="1286" xr:uid="{00000000-0005-0000-0000-000005050000}"/>
    <cellStyle name="20% - Énfasis1 45" xfId="1287" xr:uid="{00000000-0005-0000-0000-000006050000}"/>
    <cellStyle name="20% - Énfasis1 45 2" xfId="1288" xr:uid="{00000000-0005-0000-0000-000007050000}"/>
    <cellStyle name="20% - Énfasis1 46" xfId="1289" xr:uid="{00000000-0005-0000-0000-000008050000}"/>
    <cellStyle name="20% - Énfasis1 46 2" xfId="1290" xr:uid="{00000000-0005-0000-0000-000009050000}"/>
    <cellStyle name="20% - Énfasis1 47" xfId="1291" xr:uid="{00000000-0005-0000-0000-00000A050000}"/>
    <cellStyle name="20% - Énfasis1 47 2" xfId="1292" xr:uid="{00000000-0005-0000-0000-00000B050000}"/>
    <cellStyle name="20% - Énfasis1 48" xfId="1293" xr:uid="{00000000-0005-0000-0000-00000C050000}"/>
    <cellStyle name="20% - Énfasis1 48 2" xfId="1294" xr:uid="{00000000-0005-0000-0000-00000D050000}"/>
    <cellStyle name="20% - Énfasis1 49" xfId="1295" xr:uid="{00000000-0005-0000-0000-00000E050000}"/>
    <cellStyle name="20% - Énfasis1 49 2" xfId="1296" xr:uid="{00000000-0005-0000-0000-00000F050000}"/>
    <cellStyle name="20% - Énfasis1 5" xfId="1297" xr:uid="{00000000-0005-0000-0000-000010050000}"/>
    <cellStyle name="20% - Énfasis1 5 10" xfId="1298" xr:uid="{00000000-0005-0000-0000-000011050000}"/>
    <cellStyle name="20% - Énfasis1 5 10 2" xfId="1299" xr:uid="{00000000-0005-0000-0000-000012050000}"/>
    <cellStyle name="20% - Énfasis1 5 11" xfId="1300" xr:uid="{00000000-0005-0000-0000-000013050000}"/>
    <cellStyle name="20% - Énfasis1 5 11 2" xfId="1301" xr:uid="{00000000-0005-0000-0000-000014050000}"/>
    <cellStyle name="20% - Énfasis1 5 12" xfId="1302" xr:uid="{00000000-0005-0000-0000-000015050000}"/>
    <cellStyle name="20% - Énfasis1 5 12 2" xfId="1303" xr:uid="{00000000-0005-0000-0000-000016050000}"/>
    <cellStyle name="20% - Énfasis1 5 13" xfId="1304" xr:uid="{00000000-0005-0000-0000-000017050000}"/>
    <cellStyle name="20% - Énfasis1 5 13 2" xfId="1305" xr:uid="{00000000-0005-0000-0000-000018050000}"/>
    <cellStyle name="20% - Énfasis1 5 14" xfId="1306" xr:uid="{00000000-0005-0000-0000-000019050000}"/>
    <cellStyle name="20% - Énfasis1 5 14 2" xfId="1307" xr:uid="{00000000-0005-0000-0000-00001A050000}"/>
    <cellStyle name="20% - Énfasis1 5 15" xfId="1308" xr:uid="{00000000-0005-0000-0000-00001B050000}"/>
    <cellStyle name="20% - Énfasis1 5 15 2" xfId="1309" xr:uid="{00000000-0005-0000-0000-00001C050000}"/>
    <cellStyle name="20% - Énfasis1 5 16" xfId="1310" xr:uid="{00000000-0005-0000-0000-00001D050000}"/>
    <cellStyle name="20% - Énfasis1 5 16 2" xfId="1311" xr:uid="{00000000-0005-0000-0000-00001E050000}"/>
    <cellStyle name="20% - Énfasis1 5 17" xfId="1312" xr:uid="{00000000-0005-0000-0000-00001F050000}"/>
    <cellStyle name="20% - Énfasis1 5 17 2" xfId="1313" xr:uid="{00000000-0005-0000-0000-000020050000}"/>
    <cellStyle name="20% - Énfasis1 5 18" xfId="1314" xr:uid="{00000000-0005-0000-0000-000021050000}"/>
    <cellStyle name="20% - Énfasis1 5 18 2" xfId="1315" xr:uid="{00000000-0005-0000-0000-000022050000}"/>
    <cellStyle name="20% - Énfasis1 5 19" xfId="1316" xr:uid="{00000000-0005-0000-0000-000023050000}"/>
    <cellStyle name="20% - Énfasis1 5 19 2" xfId="1317" xr:uid="{00000000-0005-0000-0000-000024050000}"/>
    <cellStyle name="20% - Énfasis1 5 2" xfId="1318" xr:uid="{00000000-0005-0000-0000-000025050000}"/>
    <cellStyle name="20% - Énfasis1 5 2 2" xfId="1319" xr:uid="{00000000-0005-0000-0000-000026050000}"/>
    <cellStyle name="20% - Énfasis1 5 20" xfId="1320" xr:uid="{00000000-0005-0000-0000-000027050000}"/>
    <cellStyle name="20% - Énfasis1 5 21" xfId="1321" xr:uid="{00000000-0005-0000-0000-000028050000}"/>
    <cellStyle name="20% - Énfasis1 5 3" xfId="1322" xr:uid="{00000000-0005-0000-0000-000029050000}"/>
    <cellStyle name="20% - Énfasis1 5 3 2" xfId="1323" xr:uid="{00000000-0005-0000-0000-00002A050000}"/>
    <cellStyle name="20% - Énfasis1 5 4" xfId="1324" xr:uid="{00000000-0005-0000-0000-00002B050000}"/>
    <cellStyle name="20% - Énfasis1 5 4 2" xfId="1325" xr:uid="{00000000-0005-0000-0000-00002C050000}"/>
    <cellStyle name="20% - Énfasis1 5 5" xfId="1326" xr:uid="{00000000-0005-0000-0000-00002D050000}"/>
    <cellStyle name="20% - Énfasis1 5 5 2" xfId="1327" xr:uid="{00000000-0005-0000-0000-00002E050000}"/>
    <cellStyle name="20% - Énfasis1 5 6" xfId="1328" xr:uid="{00000000-0005-0000-0000-00002F050000}"/>
    <cellStyle name="20% - Énfasis1 5 6 2" xfId="1329" xr:uid="{00000000-0005-0000-0000-000030050000}"/>
    <cellStyle name="20% - Énfasis1 5 7" xfId="1330" xr:uid="{00000000-0005-0000-0000-000031050000}"/>
    <cellStyle name="20% - Énfasis1 5 7 2" xfId="1331" xr:uid="{00000000-0005-0000-0000-000032050000}"/>
    <cellStyle name="20% - Énfasis1 5 8" xfId="1332" xr:uid="{00000000-0005-0000-0000-000033050000}"/>
    <cellStyle name="20% - Énfasis1 5 8 2" xfId="1333" xr:uid="{00000000-0005-0000-0000-000034050000}"/>
    <cellStyle name="20% - Énfasis1 5 9" xfId="1334" xr:uid="{00000000-0005-0000-0000-000035050000}"/>
    <cellStyle name="20% - Énfasis1 5 9 2" xfId="1335" xr:uid="{00000000-0005-0000-0000-000036050000}"/>
    <cellStyle name="20% - Énfasis1 50" xfId="1336" xr:uid="{00000000-0005-0000-0000-000037050000}"/>
    <cellStyle name="20% - Énfasis1 50 2" xfId="1337" xr:uid="{00000000-0005-0000-0000-000038050000}"/>
    <cellStyle name="20% - Énfasis1 51" xfId="1338" xr:uid="{00000000-0005-0000-0000-000039050000}"/>
    <cellStyle name="20% - Énfasis1 51 2" xfId="1339" xr:uid="{00000000-0005-0000-0000-00003A050000}"/>
    <cellStyle name="20% - Énfasis1 52" xfId="1340" xr:uid="{00000000-0005-0000-0000-00003B050000}"/>
    <cellStyle name="20% - Énfasis1 52 2" xfId="1341" xr:uid="{00000000-0005-0000-0000-00003C050000}"/>
    <cellStyle name="20% - Énfasis1 53" xfId="1342" xr:uid="{00000000-0005-0000-0000-00003D050000}"/>
    <cellStyle name="20% - Énfasis1 53 2" xfId="1343" xr:uid="{00000000-0005-0000-0000-00003E050000}"/>
    <cellStyle name="20% - Énfasis1 54" xfId="1344" xr:uid="{00000000-0005-0000-0000-00003F050000}"/>
    <cellStyle name="20% - Énfasis1 54 2" xfId="1345" xr:uid="{00000000-0005-0000-0000-000040050000}"/>
    <cellStyle name="20% - Énfasis1 55" xfId="1346" xr:uid="{00000000-0005-0000-0000-000041050000}"/>
    <cellStyle name="20% - Énfasis1 55 2" xfId="1347" xr:uid="{00000000-0005-0000-0000-000042050000}"/>
    <cellStyle name="20% - Énfasis1 56" xfId="1348" xr:uid="{00000000-0005-0000-0000-000043050000}"/>
    <cellStyle name="20% - Énfasis1 56 2" xfId="1349" xr:uid="{00000000-0005-0000-0000-000044050000}"/>
    <cellStyle name="20% - Énfasis1 57" xfId="1350" xr:uid="{00000000-0005-0000-0000-000045050000}"/>
    <cellStyle name="20% - Énfasis1 57 2" xfId="1351" xr:uid="{00000000-0005-0000-0000-000046050000}"/>
    <cellStyle name="20% - Énfasis1 58" xfId="1352" xr:uid="{00000000-0005-0000-0000-000047050000}"/>
    <cellStyle name="20% - Énfasis1 58 2" xfId="1353" xr:uid="{00000000-0005-0000-0000-000048050000}"/>
    <cellStyle name="20% - Énfasis1 59" xfId="1354" xr:uid="{00000000-0005-0000-0000-000049050000}"/>
    <cellStyle name="20% - Énfasis1 59 2" xfId="1355" xr:uid="{00000000-0005-0000-0000-00004A050000}"/>
    <cellStyle name="20% - Énfasis1 6" xfId="1356" xr:uid="{00000000-0005-0000-0000-00004B050000}"/>
    <cellStyle name="20% - Énfasis1 6 10" xfId="1357" xr:uid="{00000000-0005-0000-0000-00004C050000}"/>
    <cellStyle name="20% - Énfasis1 6 10 2" xfId="1358" xr:uid="{00000000-0005-0000-0000-00004D050000}"/>
    <cellStyle name="20% - Énfasis1 6 11" xfId="1359" xr:uid="{00000000-0005-0000-0000-00004E050000}"/>
    <cellStyle name="20% - Énfasis1 6 11 2" xfId="1360" xr:uid="{00000000-0005-0000-0000-00004F050000}"/>
    <cellStyle name="20% - Énfasis1 6 12" xfId="1361" xr:uid="{00000000-0005-0000-0000-000050050000}"/>
    <cellStyle name="20% - Énfasis1 6 12 2" xfId="1362" xr:uid="{00000000-0005-0000-0000-000051050000}"/>
    <cellStyle name="20% - Énfasis1 6 13" xfId="1363" xr:uid="{00000000-0005-0000-0000-000052050000}"/>
    <cellStyle name="20% - Énfasis1 6 13 2" xfId="1364" xr:uid="{00000000-0005-0000-0000-000053050000}"/>
    <cellStyle name="20% - Énfasis1 6 14" xfId="1365" xr:uid="{00000000-0005-0000-0000-000054050000}"/>
    <cellStyle name="20% - Énfasis1 6 14 2" xfId="1366" xr:uid="{00000000-0005-0000-0000-000055050000}"/>
    <cellStyle name="20% - Énfasis1 6 15" xfId="1367" xr:uid="{00000000-0005-0000-0000-000056050000}"/>
    <cellStyle name="20% - Énfasis1 6 15 2" xfId="1368" xr:uid="{00000000-0005-0000-0000-000057050000}"/>
    <cellStyle name="20% - Énfasis1 6 16" xfId="1369" xr:uid="{00000000-0005-0000-0000-000058050000}"/>
    <cellStyle name="20% - Énfasis1 6 16 2" xfId="1370" xr:uid="{00000000-0005-0000-0000-000059050000}"/>
    <cellStyle name="20% - Énfasis1 6 17" xfId="1371" xr:uid="{00000000-0005-0000-0000-00005A050000}"/>
    <cellStyle name="20% - Énfasis1 6 17 2" xfId="1372" xr:uid="{00000000-0005-0000-0000-00005B050000}"/>
    <cellStyle name="20% - Énfasis1 6 18" xfId="1373" xr:uid="{00000000-0005-0000-0000-00005C050000}"/>
    <cellStyle name="20% - Énfasis1 6 18 2" xfId="1374" xr:uid="{00000000-0005-0000-0000-00005D050000}"/>
    <cellStyle name="20% - Énfasis1 6 19" xfId="1375" xr:uid="{00000000-0005-0000-0000-00005E050000}"/>
    <cellStyle name="20% - Énfasis1 6 19 2" xfId="1376" xr:uid="{00000000-0005-0000-0000-00005F050000}"/>
    <cellStyle name="20% - Énfasis1 6 2" xfId="1377" xr:uid="{00000000-0005-0000-0000-000060050000}"/>
    <cellStyle name="20% - Énfasis1 6 2 2" xfId="1378" xr:uid="{00000000-0005-0000-0000-000061050000}"/>
    <cellStyle name="20% - Énfasis1 6 20" xfId="1379" xr:uid="{00000000-0005-0000-0000-000062050000}"/>
    <cellStyle name="20% - Énfasis1 6 21" xfId="1380" xr:uid="{00000000-0005-0000-0000-000063050000}"/>
    <cellStyle name="20% - Énfasis1 6 3" xfId="1381" xr:uid="{00000000-0005-0000-0000-000064050000}"/>
    <cellStyle name="20% - Énfasis1 6 3 2" xfId="1382" xr:uid="{00000000-0005-0000-0000-000065050000}"/>
    <cellStyle name="20% - Énfasis1 6 4" xfId="1383" xr:uid="{00000000-0005-0000-0000-000066050000}"/>
    <cellStyle name="20% - Énfasis1 6 4 2" xfId="1384" xr:uid="{00000000-0005-0000-0000-000067050000}"/>
    <cellStyle name="20% - Énfasis1 6 5" xfId="1385" xr:uid="{00000000-0005-0000-0000-000068050000}"/>
    <cellStyle name="20% - Énfasis1 6 5 2" xfId="1386" xr:uid="{00000000-0005-0000-0000-000069050000}"/>
    <cellStyle name="20% - Énfasis1 6 6" xfId="1387" xr:uid="{00000000-0005-0000-0000-00006A050000}"/>
    <cellStyle name="20% - Énfasis1 6 6 2" xfId="1388" xr:uid="{00000000-0005-0000-0000-00006B050000}"/>
    <cellStyle name="20% - Énfasis1 6 7" xfId="1389" xr:uid="{00000000-0005-0000-0000-00006C050000}"/>
    <cellStyle name="20% - Énfasis1 6 7 2" xfId="1390" xr:uid="{00000000-0005-0000-0000-00006D050000}"/>
    <cellStyle name="20% - Énfasis1 6 8" xfId="1391" xr:uid="{00000000-0005-0000-0000-00006E050000}"/>
    <cellStyle name="20% - Énfasis1 6 8 2" xfId="1392" xr:uid="{00000000-0005-0000-0000-00006F050000}"/>
    <cellStyle name="20% - Énfasis1 6 9" xfId="1393" xr:uid="{00000000-0005-0000-0000-000070050000}"/>
    <cellStyle name="20% - Énfasis1 6 9 2" xfId="1394" xr:uid="{00000000-0005-0000-0000-000071050000}"/>
    <cellStyle name="20% - Énfasis1 60" xfId="1395" xr:uid="{00000000-0005-0000-0000-000072050000}"/>
    <cellStyle name="20% - Énfasis1 60 2" xfId="1396" xr:uid="{00000000-0005-0000-0000-000073050000}"/>
    <cellStyle name="20% - Énfasis1 61" xfId="1397" xr:uid="{00000000-0005-0000-0000-000074050000}"/>
    <cellStyle name="20% - Énfasis1 61 2" xfId="1398" xr:uid="{00000000-0005-0000-0000-000075050000}"/>
    <cellStyle name="20% - Énfasis1 62" xfId="1399" xr:uid="{00000000-0005-0000-0000-000076050000}"/>
    <cellStyle name="20% - Énfasis1 62 2" xfId="1400" xr:uid="{00000000-0005-0000-0000-000077050000}"/>
    <cellStyle name="20% - Énfasis1 63" xfId="1401" xr:uid="{00000000-0005-0000-0000-000078050000}"/>
    <cellStyle name="20% - Énfasis1 63 2" xfId="1402" xr:uid="{00000000-0005-0000-0000-000079050000}"/>
    <cellStyle name="20% - Énfasis1 64" xfId="1403" xr:uid="{00000000-0005-0000-0000-00007A050000}"/>
    <cellStyle name="20% - Énfasis1 64 2" xfId="1404" xr:uid="{00000000-0005-0000-0000-00007B050000}"/>
    <cellStyle name="20% - Énfasis1 65" xfId="1405" xr:uid="{00000000-0005-0000-0000-00007C050000}"/>
    <cellStyle name="20% - Énfasis1 65 2" xfId="1406" xr:uid="{00000000-0005-0000-0000-00007D050000}"/>
    <cellStyle name="20% - Énfasis1 66" xfId="1407" xr:uid="{00000000-0005-0000-0000-00007E050000}"/>
    <cellStyle name="20% - Énfasis1 66 2" xfId="1408" xr:uid="{00000000-0005-0000-0000-00007F050000}"/>
    <cellStyle name="20% - Énfasis1 67" xfId="1409" xr:uid="{00000000-0005-0000-0000-000080050000}"/>
    <cellStyle name="20% - Énfasis1 67 2" xfId="1410" xr:uid="{00000000-0005-0000-0000-000081050000}"/>
    <cellStyle name="20% - Énfasis1 68" xfId="1411" xr:uid="{00000000-0005-0000-0000-000082050000}"/>
    <cellStyle name="20% - Énfasis1 68 2" xfId="1412" xr:uid="{00000000-0005-0000-0000-000083050000}"/>
    <cellStyle name="20% - Énfasis1 69" xfId="1413" xr:uid="{00000000-0005-0000-0000-000084050000}"/>
    <cellStyle name="20% - Énfasis1 69 2" xfId="1414" xr:uid="{00000000-0005-0000-0000-000085050000}"/>
    <cellStyle name="20% - Énfasis1 7" xfId="1415" xr:uid="{00000000-0005-0000-0000-000086050000}"/>
    <cellStyle name="20% - Énfasis1 7 10" xfId="1416" xr:uid="{00000000-0005-0000-0000-000087050000}"/>
    <cellStyle name="20% - Énfasis1 7 10 2" xfId="1417" xr:uid="{00000000-0005-0000-0000-000088050000}"/>
    <cellStyle name="20% - Énfasis1 7 11" xfId="1418" xr:uid="{00000000-0005-0000-0000-000089050000}"/>
    <cellStyle name="20% - Énfasis1 7 11 2" xfId="1419" xr:uid="{00000000-0005-0000-0000-00008A050000}"/>
    <cellStyle name="20% - Énfasis1 7 12" xfId="1420" xr:uid="{00000000-0005-0000-0000-00008B050000}"/>
    <cellStyle name="20% - Énfasis1 7 12 2" xfId="1421" xr:uid="{00000000-0005-0000-0000-00008C050000}"/>
    <cellStyle name="20% - Énfasis1 7 13" xfId="1422" xr:uid="{00000000-0005-0000-0000-00008D050000}"/>
    <cellStyle name="20% - Énfasis1 7 13 2" xfId="1423" xr:uid="{00000000-0005-0000-0000-00008E050000}"/>
    <cellStyle name="20% - Énfasis1 7 14" xfId="1424" xr:uid="{00000000-0005-0000-0000-00008F050000}"/>
    <cellStyle name="20% - Énfasis1 7 14 2" xfId="1425" xr:uid="{00000000-0005-0000-0000-000090050000}"/>
    <cellStyle name="20% - Énfasis1 7 15" xfId="1426" xr:uid="{00000000-0005-0000-0000-000091050000}"/>
    <cellStyle name="20% - Énfasis1 7 15 2" xfId="1427" xr:uid="{00000000-0005-0000-0000-000092050000}"/>
    <cellStyle name="20% - Énfasis1 7 16" xfId="1428" xr:uid="{00000000-0005-0000-0000-000093050000}"/>
    <cellStyle name="20% - Énfasis1 7 16 2" xfId="1429" xr:uid="{00000000-0005-0000-0000-000094050000}"/>
    <cellStyle name="20% - Énfasis1 7 17" xfId="1430" xr:uid="{00000000-0005-0000-0000-000095050000}"/>
    <cellStyle name="20% - Énfasis1 7 17 2" xfId="1431" xr:uid="{00000000-0005-0000-0000-000096050000}"/>
    <cellStyle name="20% - Énfasis1 7 18" xfId="1432" xr:uid="{00000000-0005-0000-0000-000097050000}"/>
    <cellStyle name="20% - Énfasis1 7 18 2" xfId="1433" xr:uid="{00000000-0005-0000-0000-000098050000}"/>
    <cellStyle name="20% - Énfasis1 7 19" xfId="1434" xr:uid="{00000000-0005-0000-0000-000099050000}"/>
    <cellStyle name="20% - Énfasis1 7 19 2" xfId="1435" xr:uid="{00000000-0005-0000-0000-00009A050000}"/>
    <cellStyle name="20% - Énfasis1 7 2" xfId="1436" xr:uid="{00000000-0005-0000-0000-00009B050000}"/>
    <cellStyle name="20% - Énfasis1 7 2 2" xfId="1437" xr:uid="{00000000-0005-0000-0000-00009C050000}"/>
    <cellStyle name="20% - Énfasis1 7 20" xfId="1438" xr:uid="{00000000-0005-0000-0000-00009D050000}"/>
    <cellStyle name="20% - Énfasis1 7 21" xfId="1439" xr:uid="{00000000-0005-0000-0000-00009E050000}"/>
    <cellStyle name="20% - Énfasis1 7 3" xfId="1440" xr:uid="{00000000-0005-0000-0000-00009F050000}"/>
    <cellStyle name="20% - Énfasis1 7 3 2" xfId="1441" xr:uid="{00000000-0005-0000-0000-0000A0050000}"/>
    <cellStyle name="20% - Énfasis1 7 4" xfId="1442" xr:uid="{00000000-0005-0000-0000-0000A1050000}"/>
    <cellStyle name="20% - Énfasis1 7 4 2" xfId="1443" xr:uid="{00000000-0005-0000-0000-0000A2050000}"/>
    <cellStyle name="20% - Énfasis1 7 5" xfId="1444" xr:uid="{00000000-0005-0000-0000-0000A3050000}"/>
    <cellStyle name="20% - Énfasis1 7 5 2" xfId="1445" xr:uid="{00000000-0005-0000-0000-0000A4050000}"/>
    <cellStyle name="20% - Énfasis1 7 6" xfId="1446" xr:uid="{00000000-0005-0000-0000-0000A5050000}"/>
    <cellStyle name="20% - Énfasis1 7 6 2" xfId="1447" xr:uid="{00000000-0005-0000-0000-0000A6050000}"/>
    <cellStyle name="20% - Énfasis1 7 7" xfId="1448" xr:uid="{00000000-0005-0000-0000-0000A7050000}"/>
    <cellStyle name="20% - Énfasis1 7 7 2" xfId="1449" xr:uid="{00000000-0005-0000-0000-0000A8050000}"/>
    <cellStyle name="20% - Énfasis1 7 8" xfId="1450" xr:uid="{00000000-0005-0000-0000-0000A9050000}"/>
    <cellStyle name="20% - Énfasis1 7 8 2" xfId="1451" xr:uid="{00000000-0005-0000-0000-0000AA050000}"/>
    <cellStyle name="20% - Énfasis1 7 9" xfId="1452" xr:uid="{00000000-0005-0000-0000-0000AB050000}"/>
    <cellStyle name="20% - Énfasis1 7 9 2" xfId="1453" xr:uid="{00000000-0005-0000-0000-0000AC050000}"/>
    <cellStyle name="20% - Énfasis1 70" xfId="1454" xr:uid="{00000000-0005-0000-0000-0000AD050000}"/>
    <cellStyle name="20% - Énfasis1 70 2" xfId="1455" xr:uid="{00000000-0005-0000-0000-0000AE050000}"/>
    <cellStyle name="20% - Énfasis1 71" xfId="1456" xr:uid="{00000000-0005-0000-0000-0000AF050000}"/>
    <cellStyle name="20% - Énfasis1 71 2" xfId="1457" xr:uid="{00000000-0005-0000-0000-0000B0050000}"/>
    <cellStyle name="20% - Énfasis1 72" xfId="1458" xr:uid="{00000000-0005-0000-0000-0000B1050000}"/>
    <cellStyle name="20% - Énfasis1 72 2" xfId="1459" xr:uid="{00000000-0005-0000-0000-0000B2050000}"/>
    <cellStyle name="20% - Énfasis1 73" xfId="1460" xr:uid="{00000000-0005-0000-0000-0000B3050000}"/>
    <cellStyle name="20% - Énfasis1 73 2" xfId="1461" xr:uid="{00000000-0005-0000-0000-0000B4050000}"/>
    <cellStyle name="20% - Énfasis1 74" xfId="1462" xr:uid="{00000000-0005-0000-0000-0000B5050000}"/>
    <cellStyle name="20% - Énfasis1 74 2" xfId="1463" xr:uid="{00000000-0005-0000-0000-0000B6050000}"/>
    <cellStyle name="20% - Énfasis1 75" xfId="1464" xr:uid="{00000000-0005-0000-0000-0000B7050000}"/>
    <cellStyle name="20% - Énfasis1 75 2" xfId="1465" xr:uid="{00000000-0005-0000-0000-0000B8050000}"/>
    <cellStyle name="20% - Énfasis1 76" xfId="1466" xr:uid="{00000000-0005-0000-0000-0000B9050000}"/>
    <cellStyle name="20% - Énfasis1 76 2" xfId="1467" xr:uid="{00000000-0005-0000-0000-0000BA050000}"/>
    <cellStyle name="20% - Énfasis1 77" xfId="1468" xr:uid="{00000000-0005-0000-0000-0000BB050000}"/>
    <cellStyle name="20% - Énfasis1 77 2" xfId="1469" xr:uid="{00000000-0005-0000-0000-0000BC050000}"/>
    <cellStyle name="20% - Énfasis1 78" xfId="1470" xr:uid="{00000000-0005-0000-0000-0000BD050000}"/>
    <cellStyle name="20% - Énfasis1 78 2" xfId="1471" xr:uid="{00000000-0005-0000-0000-0000BE050000}"/>
    <cellStyle name="20% - Énfasis1 79" xfId="1472" xr:uid="{00000000-0005-0000-0000-0000BF050000}"/>
    <cellStyle name="20% - Énfasis1 79 2" xfId="1473" xr:uid="{00000000-0005-0000-0000-0000C0050000}"/>
    <cellStyle name="20% - Énfasis1 8" xfId="1474" xr:uid="{00000000-0005-0000-0000-0000C1050000}"/>
    <cellStyle name="20% - Énfasis1 8 10" xfId="1475" xr:uid="{00000000-0005-0000-0000-0000C2050000}"/>
    <cellStyle name="20% - Énfasis1 8 10 2" xfId="1476" xr:uid="{00000000-0005-0000-0000-0000C3050000}"/>
    <cellStyle name="20% - Énfasis1 8 11" xfId="1477" xr:uid="{00000000-0005-0000-0000-0000C4050000}"/>
    <cellStyle name="20% - Énfasis1 8 11 2" xfId="1478" xr:uid="{00000000-0005-0000-0000-0000C5050000}"/>
    <cellStyle name="20% - Énfasis1 8 12" xfId="1479" xr:uid="{00000000-0005-0000-0000-0000C6050000}"/>
    <cellStyle name="20% - Énfasis1 8 12 2" xfId="1480" xr:uid="{00000000-0005-0000-0000-0000C7050000}"/>
    <cellStyle name="20% - Énfasis1 8 13" xfId="1481" xr:uid="{00000000-0005-0000-0000-0000C8050000}"/>
    <cellStyle name="20% - Énfasis1 8 13 2" xfId="1482" xr:uid="{00000000-0005-0000-0000-0000C9050000}"/>
    <cellStyle name="20% - Énfasis1 8 14" xfId="1483" xr:uid="{00000000-0005-0000-0000-0000CA050000}"/>
    <cellStyle name="20% - Énfasis1 8 14 2" xfId="1484" xr:uid="{00000000-0005-0000-0000-0000CB050000}"/>
    <cellStyle name="20% - Énfasis1 8 15" xfId="1485" xr:uid="{00000000-0005-0000-0000-0000CC050000}"/>
    <cellStyle name="20% - Énfasis1 8 15 2" xfId="1486" xr:uid="{00000000-0005-0000-0000-0000CD050000}"/>
    <cellStyle name="20% - Énfasis1 8 16" xfId="1487" xr:uid="{00000000-0005-0000-0000-0000CE050000}"/>
    <cellStyle name="20% - Énfasis1 8 16 2" xfId="1488" xr:uid="{00000000-0005-0000-0000-0000CF050000}"/>
    <cellStyle name="20% - Énfasis1 8 17" xfId="1489" xr:uid="{00000000-0005-0000-0000-0000D0050000}"/>
    <cellStyle name="20% - Énfasis1 8 17 2" xfId="1490" xr:uid="{00000000-0005-0000-0000-0000D1050000}"/>
    <cellStyle name="20% - Énfasis1 8 18" xfId="1491" xr:uid="{00000000-0005-0000-0000-0000D2050000}"/>
    <cellStyle name="20% - Énfasis1 8 18 2" xfId="1492" xr:uid="{00000000-0005-0000-0000-0000D3050000}"/>
    <cellStyle name="20% - Énfasis1 8 19" xfId="1493" xr:uid="{00000000-0005-0000-0000-0000D4050000}"/>
    <cellStyle name="20% - Énfasis1 8 19 2" xfId="1494" xr:uid="{00000000-0005-0000-0000-0000D5050000}"/>
    <cellStyle name="20% - Énfasis1 8 2" xfId="1495" xr:uid="{00000000-0005-0000-0000-0000D6050000}"/>
    <cellStyle name="20% - Énfasis1 8 2 2" xfId="1496" xr:uid="{00000000-0005-0000-0000-0000D7050000}"/>
    <cellStyle name="20% - Énfasis1 8 20" xfId="1497" xr:uid="{00000000-0005-0000-0000-0000D8050000}"/>
    <cellStyle name="20% - Énfasis1 8 21" xfId="1498" xr:uid="{00000000-0005-0000-0000-0000D9050000}"/>
    <cellStyle name="20% - Énfasis1 8 3" xfId="1499" xr:uid="{00000000-0005-0000-0000-0000DA050000}"/>
    <cellStyle name="20% - Énfasis1 8 3 2" xfId="1500" xr:uid="{00000000-0005-0000-0000-0000DB050000}"/>
    <cellStyle name="20% - Énfasis1 8 4" xfId="1501" xr:uid="{00000000-0005-0000-0000-0000DC050000}"/>
    <cellStyle name="20% - Énfasis1 8 4 2" xfId="1502" xr:uid="{00000000-0005-0000-0000-0000DD050000}"/>
    <cellStyle name="20% - Énfasis1 8 5" xfId="1503" xr:uid="{00000000-0005-0000-0000-0000DE050000}"/>
    <cellStyle name="20% - Énfasis1 8 5 2" xfId="1504" xr:uid="{00000000-0005-0000-0000-0000DF050000}"/>
    <cellStyle name="20% - Énfasis1 8 6" xfId="1505" xr:uid="{00000000-0005-0000-0000-0000E0050000}"/>
    <cellStyle name="20% - Énfasis1 8 6 2" xfId="1506" xr:uid="{00000000-0005-0000-0000-0000E1050000}"/>
    <cellStyle name="20% - Énfasis1 8 7" xfId="1507" xr:uid="{00000000-0005-0000-0000-0000E2050000}"/>
    <cellStyle name="20% - Énfasis1 8 7 2" xfId="1508" xr:uid="{00000000-0005-0000-0000-0000E3050000}"/>
    <cellStyle name="20% - Énfasis1 8 8" xfId="1509" xr:uid="{00000000-0005-0000-0000-0000E4050000}"/>
    <cellStyle name="20% - Énfasis1 8 8 2" xfId="1510" xr:uid="{00000000-0005-0000-0000-0000E5050000}"/>
    <cellStyle name="20% - Énfasis1 8 9" xfId="1511" xr:uid="{00000000-0005-0000-0000-0000E6050000}"/>
    <cellStyle name="20% - Énfasis1 8 9 2" xfId="1512" xr:uid="{00000000-0005-0000-0000-0000E7050000}"/>
    <cellStyle name="20% - Énfasis1 80" xfId="1513" xr:uid="{00000000-0005-0000-0000-0000E8050000}"/>
    <cellStyle name="20% - Énfasis1 80 2" xfId="1514" xr:uid="{00000000-0005-0000-0000-0000E9050000}"/>
    <cellStyle name="20% - Énfasis1 81" xfId="1515" xr:uid="{00000000-0005-0000-0000-0000EA050000}"/>
    <cellStyle name="20% - Énfasis1 81 2" xfId="1516" xr:uid="{00000000-0005-0000-0000-0000EB050000}"/>
    <cellStyle name="20% - Énfasis1 82" xfId="1517" xr:uid="{00000000-0005-0000-0000-0000EC050000}"/>
    <cellStyle name="20% - Énfasis1 82 2" xfId="1518" xr:uid="{00000000-0005-0000-0000-0000ED050000}"/>
    <cellStyle name="20% - Énfasis1 83" xfId="1519" xr:uid="{00000000-0005-0000-0000-0000EE050000}"/>
    <cellStyle name="20% - Énfasis1 83 2" xfId="1520" xr:uid="{00000000-0005-0000-0000-0000EF050000}"/>
    <cellStyle name="20% - Énfasis1 84" xfId="1521" xr:uid="{00000000-0005-0000-0000-0000F0050000}"/>
    <cellStyle name="20% - Énfasis1 84 2" xfId="1522" xr:uid="{00000000-0005-0000-0000-0000F1050000}"/>
    <cellStyle name="20% - Énfasis1 85" xfId="1523" xr:uid="{00000000-0005-0000-0000-0000F2050000}"/>
    <cellStyle name="20% - Énfasis1 85 2" xfId="1524" xr:uid="{00000000-0005-0000-0000-0000F3050000}"/>
    <cellStyle name="20% - Énfasis1 86" xfId="1525" xr:uid="{00000000-0005-0000-0000-0000F4050000}"/>
    <cellStyle name="20% - Énfasis1 86 2" xfId="1526" xr:uid="{00000000-0005-0000-0000-0000F5050000}"/>
    <cellStyle name="20% - Énfasis1 87" xfId="1527" xr:uid="{00000000-0005-0000-0000-0000F6050000}"/>
    <cellStyle name="20% - Énfasis1 88" xfId="1528" xr:uid="{00000000-0005-0000-0000-0000F7050000}"/>
    <cellStyle name="20% - Énfasis1 89" xfId="1529" xr:uid="{00000000-0005-0000-0000-0000F8050000}"/>
    <cellStyle name="20% - Énfasis1 9" xfId="1530" xr:uid="{00000000-0005-0000-0000-0000F9050000}"/>
    <cellStyle name="20% - Énfasis1 9 10" xfId="1531" xr:uid="{00000000-0005-0000-0000-0000FA050000}"/>
    <cellStyle name="20% - Énfasis1 9 10 2" xfId="1532" xr:uid="{00000000-0005-0000-0000-0000FB050000}"/>
    <cellStyle name="20% - Énfasis1 9 11" xfId="1533" xr:uid="{00000000-0005-0000-0000-0000FC050000}"/>
    <cellStyle name="20% - Énfasis1 9 11 2" xfId="1534" xr:uid="{00000000-0005-0000-0000-0000FD050000}"/>
    <cellStyle name="20% - Énfasis1 9 12" xfId="1535" xr:uid="{00000000-0005-0000-0000-0000FE050000}"/>
    <cellStyle name="20% - Énfasis1 9 12 2" xfId="1536" xr:uid="{00000000-0005-0000-0000-0000FF050000}"/>
    <cellStyle name="20% - Énfasis1 9 13" xfId="1537" xr:uid="{00000000-0005-0000-0000-000000060000}"/>
    <cellStyle name="20% - Énfasis1 9 13 2" xfId="1538" xr:uid="{00000000-0005-0000-0000-000001060000}"/>
    <cellStyle name="20% - Énfasis1 9 14" xfId="1539" xr:uid="{00000000-0005-0000-0000-000002060000}"/>
    <cellStyle name="20% - Énfasis1 9 14 2" xfId="1540" xr:uid="{00000000-0005-0000-0000-000003060000}"/>
    <cellStyle name="20% - Énfasis1 9 15" xfId="1541" xr:uid="{00000000-0005-0000-0000-000004060000}"/>
    <cellStyle name="20% - Énfasis1 9 15 2" xfId="1542" xr:uid="{00000000-0005-0000-0000-000005060000}"/>
    <cellStyle name="20% - Énfasis1 9 16" xfId="1543" xr:uid="{00000000-0005-0000-0000-000006060000}"/>
    <cellStyle name="20% - Énfasis1 9 16 2" xfId="1544" xr:uid="{00000000-0005-0000-0000-000007060000}"/>
    <cellStyle name="20% - Énfasis1 9 17" xfId="1545" xr:uid="{00000000-0005-0000-0000-000008060000}"/>
    <cellStyle name="20% - Énfasis1 9 17 2" xfId="1546" xr:uid="{00000000-0005-0000-0000-000009060000}"/>
    <cellStyle name="20% - Énfasis1 9 18" xfId="1547" xr:uid="{00000000-0005-0000-0000-00000A060000}"/>
    <cellStyle name="20% - Énfasis1 9 18 2" xfId="1548" xr:uid="{00000000-0005-0000-0000-00000B060000}"/>
    <cellStyle name="20% - Énfasis1 9 19" xfId="1549" xr:uid="{00000000-0005-0000-0000-00000C060000}"/>
    <cellStyle name="20% - Énfasis1 9 19 2" xfId="1550" xr:uid="{00000000-0005-0000-0000-00000D060000}"/>
    <cellStyle name="20% - Énfasis1 9 2" xfId="1551" xr:uid="{00000000-0005-0000-0000-00000E060000}"/>
    <cellStyle name="20% - Énfasis1 9 2 2" xfId="1552" xr:uid="{00000000-0005-0000-0000-00000F060000}"/>
    <cellStyle name="20% - Énfasis1 9 20" xfId="1553" xr:uid="{00000000-0005-0000-0000-000010060000}"/>
    <cellStyle name="20% - Énfasis1 9 21" xfId="1554" xr:uid="{00000000-0005-0000-0000-000011060000}"/>
    <cellStyle name="20% - Énfasis1 9 3" xfId="1555" xr:uid="{00000000-0005-0000-0000-000012060000}"/>
    <cellStyle name="20% - Énfasis1 9 3 2" xfId="1556" xr:uid="{00000000-0005-0000-0000-000013060000}"/>
    <cellStyle name="20% - Énfasis1 9 4" xfId="1557" xr:uid="{00000000-0005-0000-0000-000014060000}"/>
    <cellStyle name="20% - Énfasis1 9 4 2" xfId="1558" xr:uid="{00000000-0005-0000-0000-000015060000}"/>
    <cellStyle name="20% - Énfasis1 9 5" xfId="1559" xr:uid="{00000000-0005-0000-0000-000016060000}"/>
    <cellStyle name="20% - Énfasis1 9 5 2" xfId="1560" xr:uid="{00000000-0005-0000-0000-000017060000}"/>
    <cellStyle name="20% - Énfasis1 9 6" xfId="1561" xr:uid="{00000000-0005-0000-0000-000018060000}"/>
    <cellStyle name="20% - Énfasis1 9 6 2" xfId="1562" xr:uid="{00000000-0005-0000-0000-000019060000}"/>
    <cellStyle name="20% - Énfasis1 9 7" xfId="1563" xr:uid="{00000000-0005-0000-0000-00001A060000}"/>
    <cellStyle name="20% - Énfasis1 9 7 2" xfId="1564" xr:uid="{00000000-0005-0000-0000-00001B060000}"/>
    <cellStyle name="20% - Énfasis1 9 8" xfId="1565" xr:uid="{00000000-0005-0000-0000-00001C060000}"/>
    <cellStyle name="20% - Énfasis1 9 8 2" xfId="1566" xr:uid="{00000000-0005-0000-0000-00001D060000}"/>
    <cellStyle name="20% - Énfasis1 9 9" xfId="1567" xr:uid="{00000000-0005-0000-0000-00001E060000}"/>
    <cellStyle name="20% - Énfasis1 9 9 2" xfId="1568" xr:uid="{00000000-0005-0000-0000-00001F060000}"/>
    <cellStyle name="20% - Énfasis1 90" xfId="1569" xr:uid="{00000000-0005-0000-0000-000020060000}"/>
    <cellStyle name="20% - Énfasis1 91" xfId="1570" xr:uid="{00000000-0005-0000-0000-000021060000}"/>
    <cellStyle name="20% - Énfasis1 92" xfId="1571" xr:uid="{00000000-0005-0000-0000-000022060000}"/>
    <cellStyle name="20% - Énfasis1 93" xfId="1572" xr:uid="{00000000-0005-0000-0000-000023060000}"/>
    <cellStyle name="20% - Énfasis1 94" xfId="1573" xr:uid="{00000000-0005-0000-0000-000024060000}"/>
    <cellStyle name="20% - Énfasis1 95" xfId="1574" xr:uid="{00000000-0005-0000-0000-000025060000}"/>
    <cellStyle name="20% - Énfasis1 96" xfId="1575" xr:uid="{00000000-0005-0000-0000-000026060000}"/>
    <cellStyle name="20% - Énfasis1 97" xfId="1576" xr:uid="{00000000-0005-0000-0000-000027060000}"/>
    <cellStyle name="20% - Énfasis1 98" xfId="15623" xr:uid="{00000000-0005-0000-0000-000028060000}"/>
    <cellStyle name="20% - Énfasis2" xfId="1577" builtinId="34" customBuiltin="1"/>
    <cellStyle name="20% - Énfasis2 10" xfId="1578" xr:uid="{00000000-0005-0000-0000-00002A060000}"/>
    <cellStyle name="20% - Énfasis2 10 10" xfId="1579" xr:uid="{00000000-0005-0000-0000-00002B060000}"/>
    <cellStyle name="20% - Énfasis2 10 10 2" xfId="1580" xr:uid="{00000000-0005-0000-0000-00002C060000}"/>
    <cellStyle name="20% - Énfasis2 10 11" xfId="1581" xr:uid="{00000000-0005-0000-0000-00002D060000}"/>
    <cellStyle name="20% - Énfasis2 10 11 2" xfId="1582" xr:uid="{00000000-0005-0000-0000-00002E060000}"/>
    <cellStyle name="20% - Énfasis2 10 12" xfId="1583" xr:uid="{00000000-0005-0000-0000-00002F060000}"/>
    <cellStyle name="20% - Énfasis2 10 12 2" xfId="1584" xr:uid="{00000000-0005-0000-0000-000030060000}"/>
    <cellStyle name="20% - Énfasis2 10 13" xfId="1585" xr:uid="{00000000-0005-0000-0000-000031060000}"/>
    <cellStyle name="20% - Énfasis2 10 13 2" xfId="1586" xr:uid="{00000000-0005-0000-0000-000032060000}"/>
    <cellStyle name="20% - Énfasis2 10 14" xfId="1587" xr:uid="{00000000-0005-0000-0000-000033060000}"/>
    <cellStyle name="20% - Énfasis2 10 14 2" xfId="1588" xr:uid="{00000000-0005-0000-0000-000034060000}"/>
    <cellStyle name="20% - Énfasis2 10 15" xfId="1589" xr:uid="{00000000-0005-0000-0000-000035060000}"/>
    <cellStyle name="20% - Énfasis2 10 15 2" xfId="1590" xr:uid="{00000000-0005-0000-0000-000036060000}"/>
    <cellStyle name="20% - Énfasis2 10 16" xfId="1591" xr:uid="{00000000-0005-0000-0000-000037060000}"/>
    <cellStyle name="20% - Énfasis2 10 16 2" xfId="1592" xr:uid="{00000000-0005-0000-0000-000038060000}"/>
    <cellStyle name="20% - Énfasis2 10 17" xfId="1593" xr:uid="{00000000-0005-0000-0000-000039060000}"/>
    <cellStyle name="20% - Énfasis2 10 17 2" xfId="1594" xr:uid="{00000000-0005-0000-0000-00003A060000}"/>
    <cellStyle name="20% - Énfasis2 10 18" xfId="1595" xr:uid="{00000000-0005-0000-0000-00003B060000}"/>
    <cellStyle name="20% - Énfasis2 10 18 2" xfId="1596" xr:uid="{00000000-0005-0000-0000-00003C060000}"/>
    <cellStyle name="20% - Énfasis2 10 19" xfId="1597" xr:uid="{00000000-0005-0000-0000-00003D060000}"/>
    <cellStyle name="20% - Énfasis2 10 19 2" xfId="1598" xr:uid="{00000000-0005-0000-0000-00003E060000}"/>
    <cellStyle name="20% - Énfasis2 10 2" xfId="1599" xr:uid="{00000000-0005-0000-0000-00003F060000}"/>
    <cellStyle name="20% - Énfasis2 10 2 2" xfId="1600" xr:uid="{00000000-0005-0000-0000-000040060000}"/>
    <cellStyle name="20% - Énfasis2 10 20" xfId="1601" xr:uid="{00000000-0005-0000-0000-000041060000}"/>
    <cellStyle name="20% - Énfasis2 10 21" xfId="1602" xr:uid="{00000000-0005-0000-0000-000042060000}"/>
    <cellStyle name="20% - Énfasis2 10 3" xfId="1603" xr:uid="{00000000-0005-0000-0000-000043060000}"/>
    <cellStyle name="20% - Énfasis2 10 3 2" xfId="1604" xr:uid="{00000000-0005-0000-0000-000044060000}"/>
    <cellStyle name="20% - Énfasis2 10 4" xfId="1605" xr:uid="{00000000-0005-0000-0000-000045060000}"/>
    <cellStyle name="20% - Énfasis2 10 4 2" xfId="1606" xr:uid="{00000000-0005-0000-0000-000046060000}"/>
    <cellStyle name="20% - Énfasis2 10 5" xfId="1607" xr:uid="{00000000-0005-0000-0000-000047060000}"/>
    <cellStyle name="20% - Énfasis2 10 5 2" xfId="1608" xr:uid="{00000000-0005-0000-0000-000048060000}"/>
    <cellStyle name="20% - Énfasis2 10 6" xfId="1609" xr:uid="{00000000-0005-0000-0000-000049060000}"/>
    <cellStyle name="20% - Énfasis2 10 6 2" xfId="1610" xr:uid="{00000000-0005-0000-0000-00004A060000}"/>
    <cellStyle name="20% - Énfasis2 10 7" xfId="1611" xr:uid="{00000000-0005-0000-0000-00004B060000}"/>
    <cellStyle name="20% - Énfasis2 10 7 2" xfId="1612" xr:uid="{00000000-0005-0000-0000-00004C060000}"/>
    <cellStyle name="20% - Énfasis2 10 8" xfId="1613" xr:uid="{00000000-0005-0000-0000-00004D060000}"/>
    <cellStyle name="20% - Énfasis2 10 8 2" xfId="1614" xr:uid="{00000000-0005-0000-0000-00004E060000}"/>
    <cellStyle name="20% - Énfasis2 10 9" xfId="1615" xr:uid="{00000000-0005-0000-0000-00004F060000}"/>
    <cellStyle name="20% - Énfasis2 10 9 2" xfId="1616" xr:uid="{00000000-0005-0000-0000-000050060000}"/>
    <cellStyle name="20% - Énfasis2 11" xfId="1617" xr:uid="{00000000-0005-0000-0000-000051060000}"/>
    <cellStyle name="20% - Énfasis2 11 10" xfId="1618" xr:uid="{00000000-0005-0000-0000-000052060000}"/>
    <cellStyle name="20% - Énfasis2 11 10 2" xfId="1619" xr:uid="{00000000-0005-0000-0000-000053060000}"/>
    <cellStyle name="20% - Énfasis2 11 11" xfId="1620" xr:uid="{00000000-0005-0000-0000-000054060000}"/>
    <cellStyle name="20% - Énfasis2 11 11 2" xfId="1621" xr:uid="{00000000-0005-0000-0000-000055060000}"/>
    <cellStyle name="20% - Énfasis2 11 12" xfId="1622" xr:uid="{00000000-0005-0000-0000-000056060000}"/>
    <cellStyle name="20% - Énfasis2 11 12 2" xfId="1623" xr:uid="{00000000-0005-0000-0000-000057060000}"/>
    <cellStyle name="20% - Énfasis2 11 13" xfId="1624" xr:uid="{00000000-0005-0000-0000-000058060000}"/>
    <cellStyle name="20% - Énfasis2 11 13 2" xfId="1625" xr:uid="{00000000-0005-0000-0000-000059060000}"/>
    <cellStyle name="20% - Énfasis2 11 14" xfId="1626" xr:uid="{00000000-0005-0000-0000-00005A060000}"/>
    <cellStyle name="20% - Énfasis2 11 14 2" xfId="1627" xr:uid="{00000000-0005-0000-0000-00005B060000}"/>
    <cellStyle name="20% - Énfasis2 11 15" xfId="1628" xr:uid="{00000000-0005-0000-0000-00005C060000}"/>
    <cellStyle name="20% - Énfasis2 11 15 2" xfId="1629" xr:uid="{00000000-0005-0000-0000-00005D060000}"/>
    <cellStyle name="20% - Énfasis2 11 16" xfId="1630" xr:uid="{00000000-0005-0000-0000-00005E060000}"/>
    <cellStyle name="20% - Énfasis2 11 16 2" xfId="1631" xr:uid="{00000000-0005-0000-0000-00005F060000}"/>
    <cellStyle name="20% - Énfasis2 11 17" xfId="1632" xr:uid="{00000000-0005-0000-0000-000060060000}"/>
    <cellStyle name="20% - Énfasis2 11 17 2" xfId="1633" xr:uid="{00000000-0005-0000-0000-000061060000}"/>
    <cellStyle name="20% - Énfasis2 11 18" xfId="1634" xr:uid="{00000000-0005-0000-0000-000062060000}"/>
    <cellStyle name="20% - Énfasis2 11 18 2" xfId="1635" xr:uid="{00000000-0005-0000-0000-000063060000}"/>
    <cellStyle name="20% - Énfasis2 11 19" xfId="1636" xr:uid="{00000000-0005-0000-0000-000064060000}"/>
    <cellStyle name="20% - Énfasis2 11 19 2" xfId="1637" xr:uid="{00000000-0005-0000-0000-000065060000}"/>
    <cellStyle name="20% - Énfasis2 11 2" xfId="1638" xr:uid="{00000000-0005-0000-0000-000066060000}"/>
    <cellStyle name="20% - Énfasis2 11 2 2" xfId="1639" xr:uid="{00000000-0005-0000-0000-000067060000}"/>
    <cellStyle name="20% - Énfasis2 11 20" xfId="1640" xr:uid="{00000000-0005-0000-0000-000068060000}"/>
    <cellStyle name="20% - Énfasis2 11 21" xfId="1641" xr:uid="{00000000-0005-0000-0000-000069060000}"/>
    <cellStyle name="20% - Énfasis2 11 3" xfId="1642" xr:uid="{00000000-0005-0000-0000-00006A060000}"/>
    <cellStyle name="20% - Énfasis2 11 3 2" xfId="1643" xr:uid="{00000000-0005-0000-0000-00006B060000}"/>
    <cellStyle name="20% - Énfasis2 11 4" xfId="1644" xr:uid="{00000000-0005-0000-0000-00006C060000}"/>
    <cellStyle name="20% - Énfasis2 11 4 2" xfId="1645" xr:uid="{00000000-0005-0000-0000-00006D060000}"/>
    <cellStyle name="20% - Énfasis2 11 5" xfId="1646" xr:uid="{00000000-0005-0000-0000-00006E060000}"/>
    <cellStyle name="20% - Énfasis2 11 5 2" xfId="1647" xr:uid="{00000000-0005-0000-0000-00006F060000}"/>
    <cellStyle name="20% - Énfasis2 11 6" xfId="1648" xr:uid="{00000000-0005-0000-0000-000070060000}"/>
    <cellStyle name="20% - Énfasis2 11 6 2" xfId="1649" xr:uid="{00000000-0005-0000-0000-000071060000}"/>
    <cellStyle name="20% - Énfasis2 11 7" xfId="1650" xr:uid="{00000000-0005-0000-0000-000072060000}"/>
    <cellStyle name="20% - Énfasis2 11 7 2" xfId="1651" xr:uid="{00000000-0005-0000-0000-000073060000}"/>
    <cellStyle name="20% - Énfasis2 11 8" xfId="1652" xr:uid="{00000000-0005-0000-0000-000074060000}"/>
    <cellStyle name="20% - Énfasis2 11 8 2" xfId="1653" xr:uid="{00000000-0005-0000-0000-000075060000}"/>
    <cellStyle name="20% - Énfasis2 11 9" xfId="1654" xr:uid="{00000000-0005-0000-0000-000076060000}"/>
    <cellStyle name="20% - Énfasis2 11 9 2" xfId="1655" xr:uid="{00000000-0005-0000-0000-000077060000}"/>
    <cellStyle name="20% - Énfasis2 12" xfId="1656" xr:uid="{00000000-0005-0000-0000-000078060000}"/>
    <cellStyle name="20% - Énfasis2 12 10" xfId="1657" xr:uid="{00000000-0005-0000-0000-000079060000}"/>
    <cellStyle name="20% - Énfasis2 12 10 2" xfId="1658" xr:uid="{00000000-0005-0000-0000-00007A060000}"/>
    <cellStyle name="20% - Énfasis2 12 11" xfId="1659" xr:uid="{00000000-0005-0000-0000-00007B060000}"/>
    <cellStyle name="20% - Énfasis2 12 11 2" xfId="1660" xr:uid="{00000000-0005-0000-0000-00007C060000}"/>
    <cellStyle name="20% - Énfasis2 12 12" xfId="1661" xr:uid="{00000000-0005-0000-0000-00007D060000}"/>
    <cellStyle name="20% - Énfasis2 12 12 2" xfId="1662" xr:uid="{00000000-0005-0000-0000-00007E060000}"/>
    <cellStyle name="20% - Énfasis2 12 13" xfId="1663" xr:uid="{00000000-0005-0000-0000-00007F060000}"/>
    <cellStyle name="20% - Énfasis2 12 13 2" xfId="1664" xr:uid="{00000000-0005-0000-0000-000080060000}"/>
    <cellStyle name="20% - Énfasis2 12 14" xfId="1665" xr:uid="{00000000-0005-0000-0000-000081060000}"/>
    <cellStyle name="20% - Énfasis2 12 14 2" xfId="1666" xr:uid="{00000000-0005-0000-0000-000082060000}"/>
    <cellStyle name="20% - Énfasis2 12 15" xfId="1667" xr:uid="{00000000-0005-0000-0000-000083060000}"/>
    <cellStyle name="20% - Énfasis2 12 15 2" xfId="1668" xr:uid="{00000000-0005-0000-0000-000084060000}"/>
    <cellStyle name="20% - Énfasis2 12 16" xfId="1669" xr:uid="{00000000-0005-0000-0000-000085060000}"/>
    <cellStyle name="20% - Énfasis2 12 16 2" xfId="1670" xr:uid="{00000000-0005-0000-0000-000086060000}"/>
    <cellStyle name="20% - Énfasis2 12 17" xfId="1671" xr:uid="{00000000-0005-0000-0000-000087060000}"/>
    <cellStyle name="20% - Énfasis2 12 17 2" xfId="1672" xr:uid="{00000000-0005-0000-0000-000088060000}"/>
    <cellStyle name="20% - Énfasis2 12 18" xfId="1673" xr:uid="{00000000-0005-0000-0000-000089060000}"/>
    <cellStyle name="20% - Énfasis2 12 18 2" xfId="1674" xr:uid="{00000000-0005-0000-0000-00008A060000}"/>
    <cellStyle name="20% - Énfasis2 12 19" xfId="1675" xr:uid="{00000000-0005-0000-0000-00008B060000}"/>
    <cellStyle name="20% - Énfasis2 12 19 2" xfId="1676" xr:uid="{00000000-0005-0000-0000-00008C060000}"/>
    <cellStyle name="20% - Énfasis2 12 2" xfId="1677" xr:uid="{00000000-0005-0000-0000-00008D060000}"/>
    <cellStyle name="20% - Énfasis2 12 2 2" xfId="1678" xr:uid="{00000000-0005-0000-0000-00008E060000}"/>
    <cellStyle name="20% - Énfasis2 12 20" xfId="1679" xr:uid="{00000000-0005-0000-0000-00008F060000}"/>
    <cellStyle name="20% - Énfasis2 12 21" xfId="1680" xr:uid="{00000000-0005-0000-0000-000090060000}"/>
    <cellStyle name="20% - Énfasis2 12 3" xfId="1681" xr:uid="{00000000-0005-0000-0000-000091060000}"/>
    <cellStyle name="20% - Énfasis2 12 3 2" xfId="1682" xr:uid="{00000000-0005-0000-0000-000092060000}"/>
    <cellStyle name="20% - Énfasis2 12 4" xfId="1683" xr:uid="{00000000-0005-0000-0000-000093060000}"/>
    <cellStyle name="20% - Énfasis2 12 4 2" xfId="1684" xr:uid="{00000000-0005-0000-0000-000094060000}"/>
    <cellStyle name="20% - Énfasis2 12 5" xfId="1685" xr:uid="{00000000-0005-0000-0000-000095060000}"/>
    <cellStyle name="20% - Énfasis2 12 5 2" xfId="1686" xr:uid="{00000000-0005-0000-0000-000096060000}"/>
    <cellStyle name="20% - Énfasis2 12 6" xfId="1687" xr:uid="{00000000-0005-0000-0000-000097060000}"/>
    <cellStyle name="20% - Énfasis2 12 6 2" xfId="1688" xr:uid="{00000000-0005-0000-0000-000098060000}"/>
    <cellStyle name="20% - Énfasis2 12 7" xfId="1689" xr:uid="{00000000-0005-0000-0000-000099060000}"/>
    <cellStyle name="20% - Énfasis2 12 7 2" xfId="1690" xr:uid="{00000000-0005-0000-0000-00009A060000}"/>
    <cellStyle name="20% - Énfasis2 12 8" xfId="1691" xr:uid="{00000000-0005-0000-0000-00009B060000}"/>
    <cellStyle name="20% - Énfasis2 12 8 2" xfId="1692" xr:uid="{00000000-0005-0000-0000-00009C060000}"/>
    <cellStyle name="20% - Énfasis2 12 9" xfId="1693" xr:uid="{00000000-0005-0000-0000-00009D060000}"/>
    <cellStyle name="20% - Énfasis2 12 9 2" xfId="1694" xr:uid="{00000000-0005-0000-0000-00009E060000}"/>
    <cellStyle name="20% - Énfasis2 13" xfId="1695" xr:uid="{00000000-0005-0000-0000-00009F060000}"/>
    <cellStyle name="20% - Énfasis2 13 10" xfId="1696" xr:uid="{00000000-0005-0000-0000-0000A0060000}"/>
    <cellStyle name="20% - Énfasis2 13 10 2" xfId="1697" xr:uid="{00000000-0005-0000-0000-0000A1060000}"/>
    <cellStyle name="20% - Énfasis2 13 11" xfId="1698" xr:uid="{00000000-0005-0000-0000-0000A2060000}"/>
    <cellStyle name="20% - Énfasis2 13 11 2" xfId="1699" xr:uid="{00000000-0005-0000-0000-0000A3060000}"/>
    <cellStyle name="20% - Énfasis2 13 12" xfId="1700" xr:uid="{00000000-0005-0000-0000-0000A4060000}"/>
    <cellStyle name="20% - Énfasis2 13 12 2" xfId="1701" xr:uid="{00000000-0005-0000-0000-0000A5060000}"/>
    <cellStyle name="20% - Énfasis2 13 13" xfId="1702" xr:uid="{00000000-0005-0000-0000-0000A6060000}"/>
    <cellStyle name="20% - Énfasis2 13 13 2" xfId="1703" xr:uid="{00000000-0005-0000-0000-0000A7060000}"/>
    <cellStyle name="20% - Énfasis2 13 14" xfId="1704" xr:uid="{00000000-0005-0000-0000-0000A8060000}"/>
    <cellStyle name="20% - Énfasis2 13 14 2" xfId="1705" xr:uid="{00000000-0005-0000-0000-0000A9060000}"/>
    <cellStyle name="20% - Énfasis2 13 15" xfId="1706" xr:uid="{00000000-0005-0000-0000-0000AA060000}"/>
    <cellStyle name="20% - Énfasis2 13 15 2" xfId="1707" xr:uid="{00000000-0005-0000-0000-0000AB060000}"/>
    <cellStyle name="20% - Énfasis2 13 16" xfId="1708" xr:uid="{00000000-0005-0000-0000-0000AC060000}"/>
    <cellStyle name="20% - Énfasis2 13 16 2" xfId="1709" xr:uid="{00000000-0005-0000-0000-0000AD060000}"/>
    <cellStyle name="20% - Énfasis2 13 17" xfId="1710" xr:uid="{00000000-0005-0000-0000-0000AE060000}"/>
    <cellStyle name="20% - Énfasis2 13 17 2" xfId="1711" xr:uid="{00000000-0005-0000-0000-0000AF060000}"/>
    <cellStyle name="20% - Énfasis2 13 18" xfId="1712" xr:uid="{00000000-0005-0000-0000-0000B0060000}"/>
    <cellStyle name="20% - Énfasis2 13 18 2" xfId="1713" xr:uid="{00000000-0005-0000-0000-0000B1060000}"/>
    <cellStyle name="20% - Énfasis2 13 19" xfId="1714" xr:uid="{00000000-0005-0000-0000-0000B2060000}"/>
    <cellStyle name="20% - Énfasis2 13 19 2" xfId="1715" xr:uid="{00000000-0005-0000-0000-0000B3060000}"/>
    <cellStyle name="20% - Énfasis2 13 2" xfId="1716" xr:uid="{00000000-0005-0000-0000-0000B4060000}"/>
    <cellStyle name="20% - Énfasis2 13 2 2" xfId="1717" xr:uid="{00000000-0005-0000-0000-0000B5060000}"/>
    <cellStyle name="20% - Énfasis2 13 20" xfId="1718" xr:uid="{00000000-0005-0000-0000-0000B6060000}"/>
    <cellStyle name="20% - Énfasis2 13 21" xfId="1719" xr:uid="{00000000-0005-0000-0000-0000B7060000}"/>
    <cellStyle name="20% - Énfasis2 13 3" xfId="1720" xr:uid="{00000000-0005-0000-0000-0000B8060000}"/>
    <cellStyle name="20% - Énfasis2 13 3 2" xfId="1721" xr:uid="{00000000-0005-0000-0000-0000B9060000}"/>
    <cellStyle name="20% - Énfasis2 13 4" xfId="1722" xr:uid="{00000000-0005-0000-0000-0000BA060000}"/>
    <cellStyle name="20% - Énfasis2 13 4 2" xfId="1723" xr:uid="{00000000-0005-0000-0000-0000BB060000}"/>
    <cellStyle name="20% - Énfasis2 13 5" xfId="1724" xr:uid="{00000000-0005-0000-0000-0000BC060000}"/>
    <cellStyle name="20% - Énfasis2 13 5 2" xfId="1725" xr:uid="{00000000-0005-0000-0000-0000BD060000}"/>
    <cellStyle name="20% - Énfasis2 13 6" xfId="1726" xr:uid="{00000000-0005-0000-0000-0000BE060000}"/>
    <cellStyle name="20% - Énfasis2 13 6 2" xfId="1727" xr:uid="{00000000-0005-0000-0000-0000BF060000}"/>
    <cellStyle name="20% - Énfasis2 13 7" xfId="1728" xr:uid="{00000000-0005-0000-0000-0000C0060000}"/>
    <cellStyle name="20% - Énfasis2 13 7 2" xfId="1729" xr:uid="{00000000-0005-0000-0000-0000C1060000}"/>
    <cellStyle name="20% - Énfasis2 13 8" xfId="1730" xr:uid="{00000000-0005-0000-0000-0000C2060000}"/>
    <cellStyle name="20% - Énfasis2 13 8 2" xfId="1731" xr:uid="{00000000-0005-0000-0000-0000C3060000}"/>
    <cellStyle name="20% - Énfasis2 13 9" xfId="1732" xr:uid="{00000000-0005-0000-0000-0000C4060000}"/>
    <cellStyle name="20% - Énfasis2 13 9 2" xfId="1733" xr:uid="{00000000-0005-0000-0000-0000C5060000}"/>
    <cellStyle name="20% - Énfasis2 14" xfId="1734" xr:uid="{00000000-0005-0000-0000-0000C6060000}"/>
    <cellStyle name="20% - Énfasis2 14 10" xfId="1735" xr:uid="{00000000-0005-0000-0000-0000C7060000}"/>
    <cellStyle name="20% - Énfasis2 14 10 2" xfId="1736" xr:uid="{00000000-0005-0000-0000-0000C8060000}"/>
    <cellStyle name="20% - Énfasis2 14 11" xfId="1737" xr:uid="{00000000-0005-0000-0000-0000C9060000}"/>
    <cellStyle name="20% - Énfasis2 14 11 2" xfId="1738" xr:uid="{00000000-0005-0000-0000-0000CA060000}"/>
    <cellStyle name="20% - Énfasis2 14 12" xfId="1739" xr:uid="{00000000-0005-0000-0000-0000CB060000}"/>
    <cellStyle name="20% - Énfasis2 14 12 2" xfId="1740" xr:uid="{00000000-0005-0000-0000-0000CC060000}"/>
    <cellStyle name="20% - Énfasis2 14 13" xfId="1741" xr:uid="{00000000-0005-0000-0000-0000CD060000}"/>
    <cellStyle name="20% - Énfasis2 14 13 2" xfId="1742" xr:uid="{00000000-0005-0000-0000-0000CE060000}"/>
    <cellStyle name="20% - Énfasis2 14 14" xfId="1743" xr:uid="{00000000-0005-0000-0000-0000CF060000}"/>
    <cellStyle name="20% - Énfasis2 14 14 2" xfId="1744" xr:uid="{00000000-0005-0000-0000-0000D0060000}"/>
    <cellStyle name="20% - Énfasis2 14 15" xfId="1745" xr:uid="{00000000-0005-0000-0000-0000D1060000}"/>
    <cellStyle name="20% - Énfasis2 14 15 2" xfId="1746" xr:uid="{00000000-0005-0000-0000-0000D2060000}"/>
    <cellStyle name="20% - Énfasis2 14 16" xfId="1747" xr:uid="{00000000-0005-0000-0000-0000D3060000}"/>
    <cellStyle name="20% - Énfasis2 14 16 2" xfId="1748" xr:uid="{00000000-0005-0000-0000-0000D4060000}"/>
    <cellStyle name="20% - Énfasis2 14 17" xfId="1749" xr:uid="{00000000-0005-0000-0000-0000D5060000}"/>
    <cellStyle name="20% - Énfasis2 14 17 2" xfId="1750" xr:uid="{00000000-0005-0000-0000-0000D6060000}"/>
    <cellStyle name="20% - Énfasis2 14 18" xfId="1751" xr:uid="{00000000-0005-0000-0000-0000D7060000}"/>
    <cellStyle name="20% - Énfasis2 14 18 2" xfId="1752" xr:uid="{00000000-0005-0000-0000-0000D8060000}"/>
    <cellStyle name="20% - Énfasis2 14 19" xfId="1753" xr:uid="{00000000-0005-0000-0000-0000D9060000}"/>
    <cellStyle name="20% - Énfasis2 14 19 2" xfId="1754" xr:uid="{00000000-0005-0000-0000-0000DA060000}"/>
    <cellStyle name="20% - Énfasis2 14 2" xfId="1755" xr:uid="{00000000-0005-0000-0000-0000DB060000}"/>
    <cellStyle name="20% - Énfasis2 14 2 2" xfId="1756" xr:uid="{00000000-0005-0000-0000-0000DC060000}"/>
    <cellStyle name="20% - Énfasis2 14 20" xfId="1757" xr:uid="{00000000-0005-0000-0000-0000DD060000}"/>
    <cellStyle name="20% - Énfasis2 14 3" xfId="1758" xr:uid="{00000000-0005-0000-0000-0000DE060000}"/>
    <cellStyle name="20% - Énfasis2 14 3 2" xfId="1759" xr:uid="{00000000-0005-0000-0000-0000DF060000}"/>
    <cellStyle name="20% - Énfasis2 14 4" xfId="1760" xr:uid="{00000000-0005-0000-0000-0000E0060000}"/>
    <cellStyle name="20% - Énfasis2 14 4 2" xfId="1761" xr:uid="{00000000-0005-0000-0000-0000E1060000}"/>
    <cellStyle name="20% - Énfasis2 14 5" xfId="1762" xr:uid="{00000000-0005-0000-0000-0000E2060000}"/>
    <cellStyle name="20% - Énfasis2 14 5 2" xfId="1763" xr:uid="{00000000-0005-0000-0000-0000E3060000}"/>
    <cellStyle name="20% - Énfasis2 14 6" xfId="1764" xr:uid="{00000000-0005-0000-0000-0000E4060000}"/>
    <cellStyle name="20% - Énfasis2 14 6 2" xfId="1765" xr:uid="{00000000-0005-0000-0000-0000E5060000}"/>
    <cellStyle name="20% - Énfasis2 14 7" xfId="1766" xr:uid="{00000000-0005-0000-0000-0000E6060000}"/>
    <cellStyle name="20% - Énfasis2 14 7 2" xfId="1767" xr:uid="{00000000-0005-0000-0000-0000E7060000}"/>
    <cellStyle name="20% - Énfasis2 14 8" xfId="1768" xr:uid="{00000000-0005-0000-0000-0000E8060000}"/>
    <cellStyle name="20% - Énfasis2 14 8 2" xfId="1769" xr:uid="{00000000-0005-0000-0000-0000E9060000}"/>
    <cellStyle name="20% - Énfasis2 14 9" xfId="1770" xr:uid="{00000000-0005-0000-0000-0000EA060000}"/>
    <cellStyle name="20% - Énfasis2 14 9 2" xfId="1771" xr:uid="{00000000-0005-0000-0000-0000EB060000}"/>
    <cellStyle name="20% - Énfasis2 15" xfId="1772" xr:uid="{00000000-0005-0000-0000-0000EC060000}"/>
    <cellStyle name="20% - Énfasis2 15 10" xfId="1773" xr:uid="{00000000-0005-0000-0000-0000ED060000}"/>
    <cellStyle name="20% - Énfasis2 15 10 2" xfId="1774" xr:uid="{00000000-0005-0000-0000-0000EE060000}"/>
    <cellStyle name="20% - Énfasis2 15 11" xfId="1775" xr:uid="{00000000-0005-0000-0000-0000EF060000}"/>
    <cellStyle name="20% - Énfasis2 15 11 2" xfId="1776" xr:uid="{00000000-0005-0000-0000-0000F0060000}"/>
    <cellStyle name="20% - Énfasis2 15 12" xfId="1777" xr:uid="{00000000-0005-0000-0000-0000F1060000}"/>
    <cellStyle name="20% - Énfasis2 15 12 2" xfId="1778" xr:uid="{00000000-0005-0000-0000-0000F2060000}"/>
    <cellStyle name="20% - Énfasis2 15 13" xfId="1779" xr:uid="{00000000-0005-0000-0000-0000F3060000}"/>
    <cellStyle name="20% - Énfasis2 15 13 2" xfId="1780" xr:uid="{00000000-0005-0000-0000-0000F4060000}"/>
    <cellStyle name="20% - Énfasis2 15 14" xfId="1781" xr:uid="{00000000-0005-0000-0000-0000F5060000}"/>
    <cellStyle name="20% - Énfasis2 15 14 2" xfId="1782" xr:uid="{00000000-0005-0000-0000-0000F6060000}"/>
    <cellStyle name="20% - Énfasis2 15 15" xfId="1783" xr:uid="{00000000-0005-0000-0000-0000F7060000}"/>
    <cellStyle name="20% - Énfasis2 15 15 2" xfId="1784" xr:uid="{00000000-0005-0000-0000-0000F8060000}"/>
    <cellStyle name="20% - Énfasis2 15 16" xfId="1785" xr:uid="{00000000-0005-0000-0000-0000F9060000}"/>
    <cellStyle name="20% - Énfasis2 15 16 2" xfId="1786" xr:uid="{00000000-0005-0000-0000-0000FA060000}"/>
    <cellStyle name="20% - Énfasis2 15 17" xfId="1787" xr:uid="{00000000-0005-0000-0000-0000FB060000}"/>
    <cellStyle name="20% - Énfasis2 15 17 2" xfId="1788" xr:uid="{00000000-0005-0000-0000-0000FC060000}"/>
    <cellStyle name="20% - Énfasis2 15 18" xfId="1789" xr:uid="{00000000-0005-0000-0000-0000FD060000}"/>
    <cellStyle name="20% - Énfasis2 15 18 2" xfId="1790" xr:uid="{00000000-0005-0000-0000-0000FE060000}"/>
    <cellStyle name="20% - Énfasis2 15 19" xfId="1791" xr:uid="{00000000-0005-0000-0000-0000FF060000}"/>
    <cellStyle name="20% - Énfasis2 15 19 2" xfId="1792" xr:uid="{00000000-0005-0000-0000-000000070000}"/>
    <cellStyle name="20% - Énfasis2 15 2" xfId="1793" xr:uid="{00000000-0005-0000-0000-000001070000}"/>
    <cellStyle name="20% - Énfasis2 15 2 2" xfId="1794" xr:uid="{00000000-0005-0000-0000-000002070000}"/>
    <cellStyle name="20% - Énfasis2 15 20" xfId="1795" xr:uid="{00000000-0005-0000-0000-000003070000}"/>
    <cellStyle name="20% - Énfasis2 15 3" xfId="1796" xr:uid="{00000000-0005-0000-0000-000004070000}"/>
    <cellStyle name="20% - Énfasis2 15 3 2" xfId="1797" xr:uid="{00000000-0005-0000-0000-000005070000}"/>
    <cellStyle name="20% - Énfasis2 15 4" xfId="1798" xr:uid="{00000000-0005-0000-0000-000006070000}"/>
    <cellStyle name="20% - Énfasis2 15 4 2" xfId="1799" xr:uid="{00000000-0005-0000-0000-000007070000}"/>
    <cellStyle name="20% - Énfasis2 15 5" xfId="1800" xr:uid="{00000000-0005-0000-0000-000008070000}"/>
    <cellStyle name="20% - Énfasis2 15 5 2" xfId="1801" xr:uid="{00000000-0005-0000-0000-000009070000}"/>
    <cellStyle name="20% - Énfasis2 15 6" xfId="1802" xr:uid="{00000000-0005-0000-0000-00000A070000}"/>
    <cellStyle name="20% - Énfasis2 15 6 2" xfId="1803" xr:uid="{00000000-0005-0000-0000-00000B070000}"/>
    <cellStyle name="20% - Énfasis2 15 7" xfId="1804" xr:uid="{00000000-0005-0000-0000-00000C070000}"/>
    <cellStyle name="20% - Énfasis2 15 7 2" xfId="1805" xr:uid="{00000000-0005-0000-0000-00000D070000}"/>
    <cellStyle name="20% - Énfasis2 15 8" xfId="1806" xr:uid="{00000000-0005-0000-0000-00000E070000}"/>
    <cellStyle name="20% - Énfasis2 15 8 2" xfId="1807" xr:uid="{00000000-0005-0000-0000-00000F070000}"/>
    <cellStyle name="20% - Énfasis2 15 9" xfId="1808" xr:uid="{00000000-0005-0000-0000-000010070000}"/>
    <cellStyle name="20% - Énfasis2 15 9 2" xfId="1809" xr:uid="{00000000-0005-0000-0000-000011070000}"/>
    <cellStyle name="20% - Énfasis2 16" xfId="1810" xr:uid="{00000000-0005-0000-0000-000012070000}"/>
    <cellStyle name="20% - Énfasis2 16 10" xfId="1811" xr:uid="{00000000-0005-0000-0000-000013070000}"/>
    <cellStyle name="20% - Énfasis2 16 10 2" xfId="1812" xr:uid="{00000000-0005-0000-0000-000014070000}"/>
    <cellStyle name="20% - Énfasis2 16 11" xfId="1813" xr:uid="{00000000-0005-0000-0000-000015070000}"/>
    <cellStyle name="20% - Énfasis2 16 11 2" xfId="1814" xr:uid="{00000000-0005-0000-0000-000016070000}"/>
    <cellStyle name="20% - Énfasis2 16 12" xfId="1815" xr:uid="{00000000-0005-0000-0000-000017070000}"/>
    <cellStyle name="20% - Énfasis2 16 12 2" xfId="1816" xr:uid="{00000000-0005-0000-0000-000018070000}"/>
    <cellStyle name="20% - Énfasis2 16 13" xfId="1817" xr:uid="{00000000-0005-0000-0000-000019070000}"/>
    <cellStyle name="20% - Énfasis2 16 13 2" xfId="1818" xr:uid="{00000000-0005-0000-0000-00001A070000}"/>
    <cellStyle name="20% - Énfasis2 16 14" xfId="1819" xr:uid="{00000000-0005-0000-0000-00001B070000}"/>
    <cellStyle name="20% - Énfasis2 16 14 2" xfId="1820" xr:uid="{00000000-0005-0000-0000-00001C070000}"/>
    <cellStyle name="20% - Énfasis2 16 15" xfId="1821" xr:uid="{00000000-0005-0000-0000-00001D070000}"/>
    <cellStyle name="20% - Énfasis2 16 15 2" xfId="1822" xr:uid="{00000000-0005-0000-0000-00001E070000}"/>
    <cellStyle name="20% - Énfasis2 16 16" xfId="1823" xr:uid="{00000000-0005-0000-0000-00001F070000}"/>
    <cellStyle name="20% - Énfasis2 16 16 2" xfId="1824" xr:uid="{00000000-0005-0000-0000-000020070000}"/>
    <cellStyle name="20% - Énfasis2 16 17" xfId="1825" xr:uid="{00000000-0005-0000-0000-000021070000}"/>
    <cellStyle name="20% - Énfasis2 16 17 2" xfId="1826" xr:uid="{00000000-0005-0000-0000-000022070000}"/>
    <cellStyle name="20% - Énfasis2 16 18" xfId="1827" xr:uid="{00000000-0005-0000-0000-000023070000}"/>
    <cellStyle name="20% - Énfasis2 16 18 2" xfId="1828" xr:uid="{00000000-0005-0000-0000-000024070000}"/>
    <cellStyle name="20% - Énfasis2 16 19" xfId="1829" xr:uid="{00000000-0005-0000-0000-000025070000}"/>
    <cellStyle name="20% - Énfasis2 16 19 2" xfId="1830" xr:uid="{00000000-0005-0000-0000-000026070000}"/>
    <cellStyle name="20% - Énfasis2 16 2" xfId="1831" xr:uid="{00000000-0005-0000-0000-000027070000}"/>
    <cellStyle name="20% - Énfasis2 16 2 2" xfId="1832" xr:uid="{00000000-0005-0000-0000-000028070000}"/>
    <cellStyle name="20% - Énfasis2 16 20" xfId="1833" xr:uid="{00000000-0005-0000-0000-000029070000}"/>
    <cellStyle name="20% - Énfasis2 16 3" xfId="1834" xr:uid="{00000000-0005-0000-0000-00002A070000}"/>
    <cellStyle name="20% - Énfasis2 16 3 2" xfId="1835" xr:uid="{00000000-0005-0000-0000-00002B070000}"/>
    <cellStyle name="20% - Énfasis2 16 4" xfId="1836" xr:uid="{00000000-0005-0000-0000-00002C070000}"/>
    <cellStyle name="20% - Énfasis2 16 4 2" xfId="1837" xr:uid="{00000000-0005-0000-0000-00002D070000}"/>
    <cellStyle name="20% - Énfasis2 16 5" xfId="1838" xr:uid="{00000000-0005-0000-0000-00002E070000}"/>
    <cellStyle name="20% - Énfasis2 16 5 2" xfId="1839" xr:uid="{00000000-0005-0000-0000-00002F070000}"/>
    <cellStyle name="20% - Énfasis2 16 6" xfId="1840" xr:uid="{00000000-0005-0000-0000-000030070000}"/>
    <cellStyle name="20% - Énfasis2 16 6 2" xfId="1841" xr:uid="{00000000-0005-0000-0000-000031070000}"/>
    <cellStyle name="20% - Énfasis2 16 7" xfId="1842" xr:uid="{00000000-0005-0000-0000-000032070000}"/>
    <cellStyle name="20% - Énfasis2 16 7 2" xfId="1843" xr:uid="{00000000-0005-0000-0000-000033070000}"/>
    <cellStyle name="20% - Énfasis2 16 8" xfId="1844" xr:uid="{00000000-0005-0000-0000-000034070000}"/>
    <cellStyle name="20% - Énfasis2 16 8 2" xfId="1845" xr:uid="{00000000-0005-0000-0000-000035070000}"/>
    <cellStyle name="20% - Énfasis2 16 9" xfId="1846" xr:uid="{00000000-0005-0000-0000-000036070000}"/>
    <cellStyle name="20% - Énfasis2 16 9 2" xfId="1847" xr:uid="{00000000-0005-0000-0000-000037070000}"/>
    <cellStyle name="20% - Énfasis2 17" xfId="1848" xr:uid="{00000000-0005-0000-0000-000038070000}"/>
    <cellStyle name="20% - Énfasis2 17 10" xfId="1849" xr:uid="{00000000-0005-0000-0000-000039070000}"/>
    <cellStyle name="20% - Énfasis2 17 10 2" xfId="1850" xr:uid="{00000000-0005-0000-0000-00003A070000}"/>
    <cellStyle name="20% - Énfasis2 17 11" xfId="1851" xr:uid="{00000000-0005-0000-0000-00003B070000}"/>
    <cellStyle name="20% - Énfasis2 17 11 2" xfId="1852" xr:uid="{00000000-0005-0000-0000-00003C070000}"/>
    <cellStyle name="20% - Énfasis2 17 12" xfId="1853" xr:uid="{00000000-0005-0000-0000-00003D070000}"/>
    <cellStyle name="20% - Énfasis2 17 12 2" xfId="1854" xr:uid="{00000000-0005-0000-0000-00003E070000}"/>
    <cellStyle name="20% - Énfasis2 17 13" xfId="1855" xr:uid="{00000000-0005-0000-0000-00003F070000}"/>
    <cellStyle name="20% - Énfasis2 17 13 2" xfId="1856" xr:uid="{00000000-0005-0000-0000-000040070000}"/>
    <cellStyle name="20% - Énfasis2 17 14" xfId="1857" xr:uid="{00000000-0005-0000-0000-000041070000}"/>
    <cellStyle name="20% - Énfasis2 17 14 2" xfId="1858" xr:uid="{00000000-0005-0000-0000-000042070000}"/>
    <cellStyle name="20% - Énfasis2 17 15" xfId="1859" xr:uid="{00000000-0005-0000-0000-000043070000}"/>
    <cellStyle name="20% - Énfasis2 17 15 2" xfId="1860" xr:uid="{00000000-0005-0000-0000-000044070000}"/>
    <cellStyle name="20% - Énfasis2 17 16" xfId="1861" xr:uid="{00000000-0005-0000-0000-000045070000}"/>
    <cellStyle name="20% - Énfasis2 17 16 2" xfId="1862" xr:uid="{00000000-0005-0000-0000-000046070000}"/>
    <cellStyle name="20% - Énfasis2 17 17" xfId="1863" xr:uid="{00000000-0005-0000-0000-000047070000}"/>
    <cellStyle name="20% - Énfasis2 17 17 2" xfId="1864" xr:uid="{00000000-0005-0000-0000-000048070000}"/>
    <cellStyle name="20% - Énfasis2 17 18" xfId="1865" xr:uid="{00000000-0005-0000-0000-000049070000}"/>
    <cellStyle name="20% - Énfasis2 17 18 2" xfId="1866" xr:uid="{00000000-0005-0000-0000-00004A070000}"/>
    <cellStyle name="20% - Énfasis2 17 19" xfId="1867" xr:uid="{00000000-0005-0000-0000-00004B070000}"/>
    <cellStyle name="20% - Énfasis2 17 19 2" xfId="1868" xr:uid="{00000000-0005-0000-0000-00004C070000}"/>
    <cellStyle name="20% - Énfasis2 17 2" xfId="1869" xr:uid="{00000000-0005-0000-0000-00004D070000}"/>
    <cellStyle name="20% - Énfasis2 17 2 2" xfId="1870" xr:uid="{00000000-0005-0000-0000-00004E070000}"/>
    <cellStyle name="20% - Énfasis2 17 20" xfId="1871" xr:uid="{00000000-0005-0000-0000-00004F070000}"/>
    <cellStyle name="20% - Énfasis2 17 3" xfId="1872" xr:uid="{00000000-0005-0000-0000-000050070000}"/>
    <cellStyle name="20% - Énfasis2 17 3 2" xfId="1873" xr:uid="{00000000-0005-0000-0000-000051070000}"/>
    <cellStyle name="20% - Énfasis2 17 4" xfId="1874" xr:uid="{00000000-0005-0000-0000-000052070000}"/>
    <cellStyle name="20% - Énfasis2 17 4 2" xfId="1875" xr:uid="{00000000-0005-0000-0000-000053070000}"/>
    <cellStyle name="20% - Énfasis2 17 5" xfId="1876" xr:uid="{00000000-0005-0000-0000-000054070000}"/>
    <cellStyle name="20% - Énfasis2 17 5 2" xfId="1877" xr:uid="{00000000-0005-0000-0000-000055070000}"/>
    <cellStyle name="20% - Énfasis2 17 6" xfId="1878" xr:uid="{00000000-0005-0000-0000-000056070000}"/>
    <cellStyle name="20% - Énfasis2 17 6 2" xfId="1879" xr:uid="{00000000-0005-0000-0000-000057070000}"/>
    <cellStyle name="20% - Énfasis2 17 7" xfId="1880" xr:uid="{00000000-0005-0000-0000-000058070000}"/>
    <cellStyle name="20% - Énfasis2 17 7 2" xfId="1881" xr:uid="{00000000-0005-0000-0000-000059070000}"/>
    <cellStyle name="20% - Énfasis2 17 8" xfId="1882" xr:uid="{00000000-0005-0000-0000-00005A070000}"/>
    <cellStyle name="20% - Énfasis2 17 8 2" xfId="1883" xr:uid="{00000000-0005-0000-0000-00005B070000}"/>
    <cellStyle name="20% - Énfasis2 17 9" xfId="1884" xr:uid="{00000000-0005-0000-0000-00005C070000}"/>
    <cellStyle name="20% - Énfasis2 17 9 2" xfId="1885" xr:uid="{00000000-0005-0000-0000-00005D070000}"/>
    <cellStyle name="20% - Énfasis2 18" xfId="1886" xr:uid="{00000000-0005-0000-0000-00005E070000}"/>
    <cellStyle name="20% - Énfasis2 18 10" xfId="1887" xr:uid="{00000000-0005-0000-0000-00005F070000}"/>
    <cellStyle name="20% - Énfasis2 18 10 2" xfId="1888" xr:uid="{00000000-0005-0000-0000-000060070000}"/>
    <cellStyle name="20% - Énfasis2 18 11" xfId="1889" xr:uid="{00000000-0005-0000-0000-000061070000}"/>
    <cellStyle name="20% - Énfasis2 18 11 2" xfId="1890" xr:uid="{00000000-0005-0000-0000-000062070000}"/>
    <cellStyle name="20% - Énfasis2 18 12" xfId="1891" xr:uid="{00000000-0005-0000-0000-000063070000}"/>
    <cellStyle name="20% - Énfasis2 18 12 2" xfId="1892" xr:uid="{00000000-0005-0000-0000-000064070000}"/>
    <cellStyle name="20% - Énfasis2 18 13" xfId="1893" xr:uid="{00000000-0005-0000-0000-000065070000}"/>
    <cellStyle name="20% - Énfasis2 18 13 2" xfId="1894" xr:uid="{00000000-0005-0000-0000-000066070000}"/>
    <cellStyle name="20% - Énfasis2 18 14" xfId="1895" xr:uid="{00000000-0005-0000-0000-000067070000}"/>
    <cellStyle name="20% - Énfasis2 18 14 2" xfId="1896" xr:uid="{00000000-0005-0000-0000-000068070000}"/>
    <cellStyle name="20% - Énfasis2 18 15" xfId="1897" xr:uid="{00000000-0005-0000-0000-000069070000}"/>
    <cellStyle name="20% - Énfasis2 18 15 2" xfId="1898" xr:uid="{00000000-0005-0000-0000-00006A070000}"/>
    <cellStyle name="20% - Énfasis2 18 16" xfId="1899" xr:uid="{00000000-0005-0000-0000-00006B070000}"/>
    <cellStyle name="20% - Énfasis2 18 16 2" xfId="1900" xr:uid="{00000000-0005-0000-0000-00006C070000}"/>
    <cellStyle name="20% - Énfasis2 18 17" xfId="1901" xr:uid="{00000000-0005-0000-0000-00006D070000}"/>
    <cellStyle name="20% - Énfasis2 18 17 2" xfId="1902" xr:uid="{00000000-0005-0000-0000-00006E070000}"/>
    <cellStyle name="20% - Énfasis2 18 18" xfId="1903" xr:uid="{00000000-0005-0000-0000-00006F070000}"/>
    <cellStyle name="20% - Énfasis2 18 18 2" xfId="1904" xr:uid="{00000000-0005-0000-0000-000070070000}"/>
    <cellStyle name="20% - Énfasis2 18 19" xfId="1905" xr:uid="{00000000-0005-0000-0000-000071070000}"/>
    <cellStyle name="20% - Énfasis2 18 19 2" xfId="1906" xr:uid="{00000000-0005-0000-0000-000072070000}"/>
    <cellStyle name="20% - Énfasis2 18 2" xfId="1907" xr:uid="{00000000-0005-0000-0000-000073070000}"/>
    <cellStyle name="20% - Énfasis2 18 2 2" xfId="1908" xr:uid="{00000000-0005-0000-0000-000074070000}"/>
    <cellStyle name="20% - Énfasis2 18 20" xfId="1909" xr:uid="{00000000-0005-0000-0000-000075070000}"/>
    <cellStyle name="20% - Énfasis2 18 3" xfId="1910" xr:uid="{00000000-0005-0000-0000-000076070000}"/>
    <cellStyle name="20% - Énfasis2 18 3 2" xfId="1911" xr:uid="{00000000-0005-0000-0000-000077070000}"/>
    <cellStyle name="20% - Énfasis2 18 4" xfId="1912" xr:uid="{00000000-0005-0000-0000-000078070000}"/>
    <cellStyle name="20% - Énfasis2 18 4 2" xfId="1913" xr:uid="{00000000-0005-0000-0000-000079070000}"/>
    <cellStyle name="20% - Énfasis2 18 5" xfId="1914" xr:uid="{00000000-0005-0000-0000-00007A070000}"/>
    <cellStyle name="20% - Énfasis2 18 5 2" xfId="1915" xr:uid="{00000000-0005-0000-0000-00007B070000}"/>
    <cellStyle name="20% - Énfasis2 18 6" xfId="1916" xr:uid="{00000000-0005-0000-0000-00007C070000}"/>
    <cellStyle name="20% - Énfasis2 18 6 2" xfId="1917" xr:uid="{00000000-0005-0000-0000-00007D070000}"/>
    <cellStyle name="20% - Énfasis2 18 7" xfId="1918" xr:uid="{00000000-0005-0000-0000-00007E070000}"/>
    <cellStyle name="20% - Énfasis2 18 7 2" xfId="1919" xr:uid="{00000000-0005-0000-0000-00007F070000}"/>
    <cellStyle name="20% - Énfasis2 18 8" xfId="1920" xr:uid="{00000000-0005-0000-0000-000080070000}"/>
    <cellStyle name="20% - Énfasis2 18 8 2" xfId="1921" xr:uid="{00000000-0005-0000-0000-000081070000}"/>
    <cellStyle name="20% - Énfasis2 18 9" xfId="1922" xr:uid="{00000000-0005-0000-0000-000082070000}"/>
    <cellStyle name="20% - Énfasis2 18 9 2" xfId="1923" xr:uid="{00000000-0005-0000-0000-000083070000}"/>
    <cellStyle name="20% - Énfasis2 19" xfId="1924" xr:uid="{00000000-0005-0000-0000-000084070000}"/>
    <cellStyle name="20% - Énfasis2 19 10" xfId="1925" xr:uid="{00000000-0005-0000-0000-000085070000}"/>
    <cellStyle name="20% - Énfasis2 19 10 2" xfId="1926" xr:uid="{00000000-0005-0000-0000-000086070000}"/>
    <cellStyle name="20% - Énfasis2 19 11" xfId="1927" xr:uid="{00000000-0005-0000-0000-000087070000}"/>
    <cellStyle name="20% - Énfasis2 19 11 2" xfId="1928" xr:uid="{00000000-0005-0000-0000-000088070000}"/>
    <cellStyle name="20% - Énfasis2 19 12" xfId="1929" xr:uid="{00000000-0005-0000-0000-000089070000}"/>
    <cellStyle name="20% - Énfasis2 19 12 2" xfId="1930" xr:uid="{00000000-0005-0000-0000-00008A070000}"/>
    <cellStyle name="20% - Énfasis2 19 13" xfId="1931" xr:uid="{00000000-0005-0000-0000-00008B070000}"/>
    <cellStyle name="20% - Énfasis2 19 13 2" xfId="1932" xr:uid="{00000000-0005-0000-0000-00008C070000}"/>
    <cellStyle name="20% - Énfasis2 19 14" xfId="1933" xr:uid="{00000000-0005-0000-0000-00008D070000}"/>
    <cellStyle name="20% - Énfasis2 19 14 2" xfId="1934" xr:uid="{00000000-0005-0000-0000-00008E070000}"/>
    <cellStyle name="20% - Énfasis2 19 15" xfId="1935" xr:uid="{00000000-0005-0000-0000-00008F070000}"/>
    <cellStyle name="20% - Énfasis2 19 15 2" xfId="1936" xr:uid="{00000000-0005-0000-0000-000090070000}"/>
    <cellStyle name="20% - Énfasis2 19 16" xfId="1937" xr:uid="{00000000-0005-0000-0000-000091070000}"/>
    <cellStyle name="20% - Énfasis2 19 16 2" xfId="1938" xr:uid="{00000000-0005-0000-0000-000092070000}"/>
    <cellStyle name="20% - Énfasis2 19 17" xfId="1939" xr:uid="{00000000-0005-0000-0000-000093070000}"/>
    <cellStyle name="20% - Énfasis2 19 17 2" xfId="1940" xr:uid="{00000000-0005-0000-0000-000094070000}"/>
    <cellStyle name="20% - Énfasis2 19 18" xfId="1941" xr:uid="{00000000-0005-0000-0000-000095070000}"/>
    <cellStyle name="20% - Énfasis2 19 18 2" xfId="1942" xr:uid="{00000000-0005-0000-0000-000096070000}"/>
    <cellStyle name="20% - Énfasis2 19 19" xfId="1943" xr:uid="{00000000-0005-0000-0000-000097070000}"/>
    <cellStyle name="20% - Énfasis2 19 19 2" xfId="1944" xr:uid="{00000000-0005-0000-0000-000098070000}"/>
    <cellStyle name="20% - Énfasis2 19 2" xfId="1945" xr:uid="{00000000-0005-0000-0000-000099070000}"/>
    <cellStyle name="20% - Énfasis2 19 2 2" xfId="1946" xr:uid="{00000000-0005-0000-0000-00009A070000}"/>
    <cellStyle name="20% - Énfasis2 19 20" xfId="1947" xr:uid="{00000000-0005-0000-0000-00009B070000}"/>
    <cellStyle name="20% - Énfasis2 19 3" xfId="1948" xr:uid="{00000000-0005-0000-0000-00009C070000}"/>
    <cellStyle name="20% - Énfasis2 19 3 2" xfId="1949" xr:uid="{00000000-0005-0000-0000-00009D070000}"/>
    <cellStyle name="20% - Énfasis2 19 4" xfId="1950" xr:uid="{00000000-0005-0000-0000-00009E070000}"/>
    <cellStyle name="20% - Énfasis2 19 4 2" xfId="1951" xr:uid="{00000000-0005-0000-0000-00009F070000}"/>
    <cellStyle name="20% - Énfasis2 19 5" xfId="1952" xr:uid="{00000000-0005-0000-0000-0000A0070000}"/>
    <cellStyle name="20% - Énfasis2 19 5 2" xfId="1953" xr:uid="{00000000-0005-0000-0000-0000A1070000}"/>
    <cellStyle name="20% - Énfasis2 19 6" xfId="1954" xr:uid="{00000000-0005-0000-0000-0000A2070000}"/>
    <cellStyle name="20% - Énfasis2 19 6 2" xfId="1955" xr:uid="{00000000-0005-0000-0000-0000A3070000}"/>
    <cellStyle name="20% - Énfasis2 19 7" xfId="1956" xr:uid="{00000000-0005-0000-0000-0000A4070000}"/>
    <cellStyle name="20% - Énfasis2 19 7 2" xfId="1957" xr:uid="{00000000-0005-0000-0000-0000A5070000}"/>
    <cellStyle name="20% - Énfasis2 19 8" xfId="1958" xr:uid="{00000000-0005-0000-0000-0000A6070000}"/>
    <cellStyle name="20% - Énfasis2 19 8 2" xfId="1959" xr:uid="{00000000-0005-0000-0000-0000A7070000}"/>
    <cellStyle name="20% - Énfasis2 19 9" xfId="1960" xr:uid="{00000000-0005-0000-0000-0000A8070000}"/>
    <cellStyle name="20% - Énfasis2 19 9 2" xfId="1961" xr:uid="{00000000-0005-0000-0000-0000A9070000}"/>
    <cellStyle name="20% - Énfasis2 2" xfId="1962" xr:uid="{00000000-0005-0000-0000-0000AA070000}"/>
    <cellStyle name="20% - Énfasis2 2 10" xfId="1963" xr:uid="{00000000-0005-0000-0000-0000AB070000}"/>
    <cellStyle name="20% - Énfasis2 2 10 2" xfId="1964" xr:uid="{00000000-0005-0000-0000-0000AC070000}"/>
    <cellStyle name="20% - Énfasis2 2 11" xfId="1965" xr:uid="{00000000-0005-0000-0000-0000AD070000}"/>
    <cellStyle name="20% - Énfasis2 2 11 2" xfId="1966" xr:uid="{00000000-0005-0000-0000-0000AE070000}"/>
    <cellStyle name="20% - Énfasis2 2 12" xfId="1967" xr:uid="{00000000-0005-0000-0000-0000AF070000}"/>
    <cellStyle name="20% - Énfasis2 2 12 2" xfId="1968" xr:uid="{00000000-0005-0000-0000-0000B0070000}"/>
    <cellStyle name="20% - Énfasis2 2 13" xfId="1969" xr:uid="{00000000-0005-0000-0000-0000B1070000}"/>
    <cellStyle name="20% - Énfasis2 2 13 2" xfId="1970" xr:uid="{00000000-0005-0000-0000-0000B2070000}"/>
    <cellStyle name="20% - Énfasis2 2 14" xfId="1971" xr:uid="{00000000-0005-0000-0000-0000B3070000}"/>
    <cellStyle name="20% - Énfasis2 2 14 2" xfId="1972" xr:uid="{00000000-0005-0000-0000-0000B4070000}"/>
    <cellStyle name="20% - Énfasis2 2 15" xfId="1973" xr:uid="{00000000-0005-0000-0000-0000B5070000}"/>
    <cellStyle name="20% - Énfasis2 2 15 2" xfId="1974" xr:uid="{00000000-0005-0000-0000-0000B6070000}"/>
    <cellStyle name="20% - Énfasis2 2 16" xfId="1975" xr:uid="{00000000-0005-0000-0000-0000B7070000}"/>
    <cellStyle name="20% - Énfasis2 2 16 2" xfId="1976" xr:uid="{00000000-0005-0000-0000-0000B8070000}"/>
    <cellStyle name="20% - Énfasis2 2 17" xfId="1977" xr:uid="{00000000-0005-0000-0000-0000B9070000}"/>
    <cellStyle name="20% - Énfasis2 2 17 2" xfId="1978" xr:uid="{00000000-0005-0000-0000-0000BA070000}"/>
    <cellStyle name="20% - Énfasis2 2 18" xfId="1979" xr:uid="{00000000-0005-0000-0000-0000BB070000}"/>
    <cellStyle name="20% - Énfasis2 2 18 2" xfId="1980" xr:uid="{00000000-0005-0000-0000-0000BC070000}"/>
    <cellStyle name="20% - Énfasis2 2 19" xfId="1981" xr:uid="{00000000-0005-0000-0000-0000BD070000}"/>
    <cellStyle name="20% - Énfasis2 2 19 2" xfId="1982" xr:uid="{00000000-0005-0000-0000-0000BE070000}"/>
    <cellStyle name="20% - Énfasis2 2 2" xfId="1983" xr:uid="{00000000-0005-0000-0000-0000BF070000}"/>
    <cellStyle name="20% - Énfasis2 2 2 2" xfId="1984" xr:uid="{00000000-0005-0000-0000-0000C0070000}"/>
    <cellStyle name="20% - Énfasis2 2 20" xfId="1985" xr:uid="{00000000-0005-0000-0000-0000C1070000}"/>
    <cellStyle name="20% - Énfasis2 2 21" xfId="1986" xr:uid="{00000000-0005-0000-0000-0000C2070000}"/>
    <cellStyle name="20% - Énfasis2 2 3" xfId="1987" xr:uid="{00000000-0005-0000-0000-0000C3070000}"/>
    <cellStyle name="20% - Énfasis2 2 3 2" xfId="1988" xr:uid="{00000000-0005-0000-0000-0000C4070000}"/>
    <cellStyle name="20% - Énfasis2 2 4" xfId="1989" xr:uid="{00000000-0005-0000-0000-0000C5070000}"/>
    <cellStyle name="20% - Énfasis2 2 4 2" xfId="1990" xr:uid="{00000000-0005-0000-0000-0000C6070000}"/>
    <cellStyle name="20% - Énfasis2 2 5" xfId="1991" xr:uid="{00000000-0005-0000-0000-0000C7070000}"/>
    <cellStyle name="20% - Énfasis2 2 5 2" xfId="1992" xr:uid="{00000000-0005-0000-0000-0000C8070000}"/>
    <cellStyle name="20% - Énfasis2 2 6" xfId="1993" xr:uid="{00000000-0005-0000-0000-0000C9070000}"/>
    <cellStyle name="20% - Énfasis2 2 6 2" xfId="1994" xr:uid="{00000000-0005-0000-0000-0000CA070000}"/>
    <cellStyle name="20% - Énfasis2 2 7" xfId="1995" xr:uid="{00000000-0005-0000-0000-0000CB070000}"/>
    <cellStyle name="20% - Énfasis2 2 7 2" xfId="1996" xr:uid="{00000000-0005-0000-0000-0000CC070000}"/>
    <cellStyle name="20% - Énfasis2 2 8" xfId="1997" xr:uid="{00000000-0005-0000-0000-0000CD070000}"/>
    <cellStyle name="20% - Énfasis2 2 8 2" xfId="1998" xr:uid="{00000000-0005-0000-0000-0000CE070000}"/>
    <cellStyle name="20% - Énfasis2 2 9" xfId="1999" xr:uid="{00000000-0005-0000-0000-0000CF070000}"/>
    <cellStyle name="20% - Énfasis2 2 9 2" xfId="2000" xr:uid="{00000000-0005-0000-0000-0000D0070000}"/>
    <cellStyle name="20% - Énfasis2 20" xfId="2001" xr:uid="{00000000-0005-0000-0000-0000D1070000}"/>
    <cellStyle name="20% - Énfasis2 20 10" xfId="2002" xr:uid="{00000000-0005-0000-0000-0000D2070000}"/>
    <cellStyle name="20% - Énfasis2 20 10 2" xfId="2003" xr:uid="{00000000-0005-0000-0000-0000D3070000}"/>
    <cellStyle name="20% - Énfasis2 20 11" xfId="2004" xr:uid="{00000000-0005-0000-0000-0000D4070000}"/>
    <cellStyle name="20% - Énfasis2 20 11 2" xfId="2005" xr:uid="{00000000-0005-0000-0000-0000D5070000}"/>
    <cellStyle name="20% - Énfasis2 20 12" xfId="2006" xr:uid="{00000000-0005-0000-0000-0000D6070000}"/>
    <cellStyle name="20% - Énfasis2 20 12 2" xfId="2007" xr:uid="{00000000-0005-0000-0000-0000D7070000}"/>
    <cellStyle name="20% - Énfasis2 20 13" xfId="2008" xr:uid="{00000000-0005-0000-0000-0000D8070000}"/>
    <cellStyle name="20% - Énfasis2 20 13 2" xfId="2009" xr:uid="{00000000-0005-0000-0000-0000D9070000}"/>
    <cellStyle name="20% - Énfasis2 20 14" xfId="2010" xr:uid="{00000000-0005-0000-0000-0000DA070000}"/>
    <cellStyle name="20% - Énfasis2 20 14 2" xfId="2011" xr:uid="{00000000-0005-0000-0000-0000DB070000}"/>
    <cellStyle name="20% - Énfasis2 20 15" xfId="2012" xr:uid="{00000000-0005-0000-0000-0000DC070000}"/>
    <cellStyle name="20% - Énfasis2 20 15 2" xfId="2013" xr:uid="{00000000-0005-0000-0000-0000DD070000}"/>
    <cellStyle name="20% - Énfasis2 20 16" xfId="2014" xr:uid="{00000000-0005-0000-0000-0000DE070000}"/>
    <cellStyle name="20% - Énfasis2 20 16 2" xfId="2015" xr:uid="{00000000-0005-0000-0000-0000DF070000}"/>
    <cellStyle name="20% - Énfasis2 20 17" xfId="2016" xr:uid="{00000000-0005-0000-0000-0000E0070000}"/>
    <cellStyle name="20% - Énfasis2 20 17 2" xfId="2017" xr:uid="{00000000-0005-0000-0000-0000E1070000}"/>
    <cellStyle name="20% - Énfasis2 20 18" xfId="2018" xr:uid="{00000000-0005-0000-0000-0000E2070000}"/>
    <cellStyle name="20% - Énfasis2 20 18 2" xfId="2019" xr:uid="{00000000-0005-0000-0000-0000E3070000}"/>
    <cellStyle name="20% - Énfasis2 20 19" xfId="2020" xr:uid="{00000000-0005-0000-0000-0000E4070000}"/>
    <cellStyle name="20% - Énfasis2 20 19 2" xfId="2021" xr:uid="{00000000-0005-0000-0000-0000E5070000}"/>
    <cellStyle name="20% - Énfasis2 20 2" xfId="2022" xr:uid="{00000000-0005-0000-0000-0000E6070000}"/>
    <cellStyle name="20% - Énfasis2 20 2 2" xfId="2023" xr:uid="{00000000-0005-0000-0000-0000E7070000}"/>
    <cellStyle name="20% - Énfasis2 20 20" xfId="2024" xr:uid="{00000000-0005-0000-0000-0000E8070000}"/>
    <cellStyle name="20% - Énfasis2 20 3" xfId="2025" xr:uid="{00000000-0005-0000-0000-0000E9070000}"/>
    <cellStyle name="20% - Énfasis2 20 3 2" xfId="2026" xr:uid="{00000000-0005-0000-0000-0000EA070000}"/>
    <cellStyle name="20% - Énfasis2 20 4" xfId="2027" xr:uid="{00000000-0005-0000-0000-0000EB070000}"/>
    <cellStyle name="20% - Énfasis2 20 4 2" xfId="2028" xr:uid="{00000000-0005-0000-0000-0000EC070000}"/>
    <cellStyle name="20% - Énfasis2 20 5" xfId="2029" xr:uid="{00000000-0005-0000-0000-0000ED070000}"/>
    <cellStyle name="20% - Énfasis2 20 5 2" xfId="2030" xr:uid="{00000000-0005-0000-0000-0000EE070000}"/>
    <cellStyle name="20% - Énfasis2 20 6" xfId="2031" xr:uid="{00000000-0005-0000-0000-0000EF070000}"/>
    <cellStyle name="20% - Énfasis2 20 6 2" xfId="2032" xr:uid="{00000000-0005-0000-0000-0000F0070000}"/>
    <cellStyle name="20% - Énfasis2 20 7" xfId="2033" xr:uid="{00000000-0005-0000-0000-0000F1070000}"/>
    <cellStyle name="20% - Énfasis2 20 7 2" xfId="2034" xr:uid="{00000000-0005-0000-0000-0000F2070000}"/>
    <cellStyle name="20% - Énfasis2 20 8" xfId="2035" xr:uid="{00000000-0005-0000-0000-0000F3070000}"/>
    <cellStyle name="20% - Énfasis2 20 8 2" xfId="2036" xr:uid="{00000000-0005-0000-0000-0000F4070000}"/>
    <cellStyle name="20% - Énfasis2 20 9" xfId="2037" xr:uid="{00000000-0005-0000-0000-0000F5070000}"/>
    <cellStyle name="20% - Énfasis2 20 9 2" xfId="2038" xr:uid="{00000000-0005-0000-0000-0000F6070000}"/>
    <cellStyle name="20% - Énfasis2 21" xfId="2039" xr:uid="{00000000-0005-0000-0000-0000F7070000}"/>
    <cellStyle name="20% - Énfasis2 21 10" xfId="2040" xr:uid="{00000000-0005-0000-0000-0000F8070000}"/>
    <cellStyle name="20% - Énfasis2 21 10 2" xfId="2041" xr:uid="{00000000-0005-0000-0000-0000F9070000}"/>
    <cellStyle name="20% - Énfasis2 21 11" xfId="2042" xr:uid="{00000000-0005-0000-0000-0000FA070000}"/>
    <cellStyle name="20% - Énfasis2 21 11 2" xfId="2043" xr:uid="{00000000-0005-0000-0000-0000FB070000}"/>
    <cellStyle name="20% - Énfasis2 21 12" xfId="2044" xr:uid="{00000000-0005-0000-0000-0000FC070000}"/>
    <cellStyle name="20% - Énfasis2 21 12 2" xfId="2045" xr:uid="{00000000-0005-0000-0000-0000FD070000}"/>
    <cellStyle name="20% - Énfasis2 21 13" xfId="2046" xr:uid="{00000000-0005-0000-0000-0000FE070000}"/>
    <cellStyle name="20% - Énfasis2 21 13 2" xfId="2047" xr:uid="{00000000-0005-0000-0000-0000FF070000}"/>
    <cellStyle name="20% - Énfasis2 21 14" xfId="2048" xr:uid="{00000000-0005-0000-0000-000000080000}"/>
    <cellStyle name="20% - Énfasis2 21 14 2" xfId="2049" xr:uid="{00000000-0005-0000-0000-000001080000}"/>
    <cellStyle name="20% - Énfasis2 21 15" xfId="2050" xr:uid="{00000000-0005-0000-0000-000002080000}"/>
    <cellStyle name="20% - Énfasis2 21 15 2" xfId="2051" xr:uid="{00000000-0005-0000-0000-000003080000}"/>
    <cellStyle name="20% - Énfasis2 21 16" xfId="2052" xr:uid="{00000000-0005-0000-0000-000004080000}"/>
    <cellStyle name="20% - Énfasis2 21 16 2" xfId="2053" xr:uid="{00000000-0005-0000-0000-000005080000}"/>
    <cellStyle name="20% - Énfasis2 21 17" xfId="2054" xr:uid="{00000000-0005-0000-0000-000006080000}"/>
    <cellStyle name="20% - Énfasis2 21 17 2" xfId="2055" xr:uid="{00000000-0005-0000-0000-000007080000}"/>
    <cellStyle name="20% - Énfasis2 21 18" xfId="2056" xr:uid="{00000000-0005-0000-0000-000008080000}"/>
    <cellStyle name="20% - Énfasis2 21 18 2" xfId="2057" xr:uid="{00000000-0005-0000-0000-000009080000}"/>
    <cellStyle name="20% - Énfasis2 21 19" xfId="2058" xr:uid="{00000000-0005-0000-0000-00000A080000}"/>
    <cellStyle name="20% - Énfasis2 21 19 2" xfId="2059" xr:uid="{00000000-0005-0000-0000-00000B080000}"/>
    <cellStyle name="20% - Énfasis2 21 2" xfId="2060" xr:uid="{00000000-0005-0000-0000-00000C080000}"/>
    <cellStyle name="20% - Énfasis2 21 2 2" xfId="2061" xr:uid="{00000000-0005-0000-0000-00000D080000}"/>
    <cellStyle name="20% - Énfasis2 21 20" xfId="2062" xr:uid="{00000000-0005-0000-0000-00000E080000}"/>
    <cellStyle name="20% - Énfasis2 21 3" xfId="2063" xr:uid="{00000000-0005-0000-0000-00000F080000}"/>
    <cellStyle name="20% - Énfasis2 21 3 2" xfId="2064" xr:uid="{00000000-0005-0000-0000-000010080000}"/>
    <cellStyle name="20% - Énfasis2 21 4" xfId="2065" xr:uid="{00000000-0005-0000-0000-000011080000}"/>
    <cellStyle name="20% - Énfasis2 21 4 2" xfId="2066" xr:uid="{00000000-0005-0000-0000-000012080000}"/>
    <cellStyle name="20% - Énfasis2 21 5" xfId="2067" xr:uid="{00000000-0005-0000-0000-000013080000}"/>
    <cellStyle name="20% - Énfasis2 21 5 2" xfId="2068" xr:uid="{00000000-0005-0000-0000-000014080000}"/>
    <cellStyle name="20% - Énfasis2 21 6" xfId="2069" xr:uid="{00000000-0005-0000-0000-000015080000}"/>
    <cellStyle name="20% - Énfasis2 21 6 2" xfId="2070" xr:uid="{00000000-0005-0000-0000-000016080000}"/>
    <cellStyle name="20% - Énfasis2 21 7" xfId="2071" xr:uid="{00000000-0005-0000-0000-000017080000}"/>
    <cellStyle name="20% - Énfasis2 21 7 2" xfId="2072" xr:uid="{00000000-0005-0000-0000-000018080000}"/>
    <cellStyle name="20% - Énfasis2 21 8" xfId="2073" xr:uid="{00000000-0005-0000-0000-000019080000}"/>
    <cellStyle name="20% - Énfasis2 21 8 2" xfId="2074" xr:uid="{00000000-0005-0000-0000-00001A080000}"/>
    <cellStyle name="20% - Énfasis2 21 9" xfId="2075" xr:uid="{00000000-0005-0000-0000-00001B080000}"/>
    <cellStyle name="20% - Énfasis2 21 9 2" xfId="2076" xr:uid="{00000000-0005-0000-0000-00001C080000}"/>
    <cellStyle name="20% - Énfasis2 22" xfId="2077" xr:uid="{00000000-0005-0000-0000-00001D080000}"/>
    <cellStyle name="20% - Énfasis2 22 10" xfId="2078" xr:uid="{00000000-0005-0000-0000-00001E080000}"/>
    <cellStyle name="20% - Énfasis2 22 10 2" xfId="2079" xr:uid="{00000000-0005-0000-0000-00001F080000}"/>
    <cellStyle name="20% - Énfasis2 22 11" xfId="2080" xr:uid="{00000000-0005-0000-0000-000020080000}"/>
    <cellStyle name="20% - Énfasis2 22 11 2" xfId="2081" xr:uid="{00000000-0005-0000-0000-000021080000}"/>
    <cellStyle name="20% - Énfasis2 22 12" xfId="2082" xr:uid="{00000000-0005-0000-0000-000022080000}"/>
    <cellStyle name="20% - Énfasis2 22 12 2" xfId="2083" xr:uid="{00000000-0005-0000-0000-000023080000}"/>
    <cellStyle name="20% - Énfasis2 22 13" xfId="2084" xr:uid="{00000000-0005-0000-0000-000024080000}"/>
    <cellStyle name="20% - Énfasis2 22 13 2" xfId="2085" xr:uid="{00000000-0005-0000-0000-000025080000}"/>
    <cellStyle name="20% - Énfasis2 22 14" xfId="2086" xr:uid="{00000000-0005-0000-0000-000026080000}"/>
    <cellStyle name="20% - Énfasis2 22 14 2" xfId="2087" xr:uid="{00000000-0005-0000-0000-000027080000}"/>
    <cellStyle name="20% - Énfasis2 22 15" xfId="2088" xr:uid="{00000000-0005-0000-0000-000028080000}"/>
    <cellStyle name="20% - Énfasis2 22 15 2" xfId="2089" xr:uid="{00000000-0005-0000-0000-000029080000}"/>
    <cellStyle name="20% - Énfasis2 22 16" xfId="2090" xr:uid="{00000000-0005-0000-0000-00002A080000}"/>
    <cellStyle name="20% - Énfasis2 22 16 2" xfId="2091" xr:uid="{00000000-0005-0000-0000-00002B080000}"/>
    <cellStyle name="20% - Énfasis2 22 17" xfId="2092" xr:uid="{00000000-0005-0000-0000-00002C080000}"/>
    <cellStyle name="20% - Énfasis2 22 17 2" xfId="2093" xr:uid="{00000000-0005-0000-0000-00002D080000}"/>
    <cellStyle name="20% - Énfasis2 22 18" xfId="2094" xr:uid="{00000000-0005-0000-0000-00002E080000}"/>
    <cellStyle name="20% - Énfasis2 22 18 2" xfId="2095" xr:uid="{00000000-0005-0000-0000-00002F080000}"/>
    <cellStyle name="20% - Énfasis2 22 19" xfId="2096" xr:uid="{00000000-0005-0000-0000-000030080000}"/>
    <cellStyle name="20% - Énfasis2 22 19 2" xfId="2097" xr:uid="{00000000-0005-0000-0000-000031080000}"/>
    <cellStyle name="20% - Énfasis2 22 2" xfId="2098" xr:uid="{00000000-0005-0000-0000-000032080000}"/>
    <cellStyle name="20% - Énfasis2 22 2 2" xfId="2099" xr:uid="{00000000-0005-0000-0000-000033080000}"/>
    <cellStyle name="20% - Énfasis2 22 20" xfId="2100" xr:uid="{00000000-0005-0000-0000-000034080000}"/>
    <cellStyle name="20% - Énfasis2 22 3" xfId="2101" xr:uid="{00000000-0005-0000-0000-000035080000}"/>
    <cellStyle name="20% - Énfasis2 22 3 2" xfId="2102" xr:uid="{00000000-0005-0000-0000-000036080000}"/>
    <cellStyle name="20% - Énfasis2 22 4" xfId="2103" xr:uid="{00000000-0005-0000-0000-000037080000}"/>
    <cellStyle name="20% - Énfasis2 22 4 2" xfId="2104" xr:uid="{00000000-0005-0000-0000-000038080000}"/>
    <cellStyle name="20% - Énfasis2 22 5" xfId="2105" xr:uid="{00000000-0005-0000-0000-000039080000}"/>
    <cellStyle name="20% - Énfasis2 22 5 2" xfId="2106" xr:uid="{00000000-0005-0000-0000-00003A080000}"/>
    <cellStyle name="20% - Énfasis2 22 6" xfId="2107" xr:uid="{00000000-0005-0000-0000-00003B080000}"/>
    <cellStyle name="20% - Énfasis2 22 6 2" xfId="2108" xr:uid="{00000000-0005-0000-0000-00003C080000}"/>
    <cellStyle name="20% - Énfasis2 22 7" xfId="2109" xr:uid="{00000000-0005-0000-0000-00003D080000}"/>
    <cellStyle name="20% - Énfasis2 22 7 2" xfId="2110" xr:uid="{00000000-0005-0000-0000-00003E080000}"/>
    <cellStyle name="20% - Énfasis2 22 8" xfId="2111" xr:uid="{00000000-0005-0000-0000-00003F080000}"/>
    <cellStyle name="20% - Énfasis2 22 8 2" xfId="2112" xr:uid="{00000000-0005-0000-0000-000040080000}"/>
    <cellStyle name="20% - Énfasis2 22 9" xfId="2113" xr:uid="{00000000-0005-0000-0000-000041080000}"/>
    <cellStyle name="20% - Énfasis2 22 9 2" xfId="2114" xr:uid="{00000000-0005-0000-0000-000042080000}"/>
    <cellStyle name="20% - Énfasis2 23" xfId="2115" xr:uid="{00000000-0005-0000-0000-000043080000}"/>
    <cellStyle name="20% - Énfasis2 23 10" xfId="2116" xr:uid="{00000000-0005-0000-0000-000044080000}"/>
    <cellStyle name="20% - Énfasis2 23 10 2" xfId="2117" xr:uid="{00000000-0005-0000-0000-000045080000}"/>
    <cellStyle name="20% - Énfasis2 23 11" xfId="2118" xr:uid="{00000000-0005-0000-0000-000046080000}"/>
    <cellStyle name="20% - Énfasis2 23 11 2" xfId="2119" xr:uid="{00000000-0005-0000-0000-000047080000}"/>
    <cellStyle name="20% - Énfasis2 23 12" xfId="2120" xr:uid="{00000000-0005-0000-0000-000048080000}"/>
    <cellStyle name="20% - Énfasis2 23 12 2" xfId="2121" xr:uid="{00000000-0005-0000-0000-000049080000}"/>
    <cellStyle name="20% - Énfasis2 23 13" xfId="2122" xr:uid="{00000000-0005-0000-0000-00004A080000}"/>
    <cellStyle name="20% - Énfasis2 23 13 2" xfId="2123" xr:uid="{00000000-0005-0000-0000-00004B080000}"/>
    <cellStyle name="20% - Énfasis2 23 14" xfId="2124" xr:uid="{00000000-0005-0000-0000-00004C080000}"/>
    <cellStyle name="20% - Énfasis2 23 14 2" xfId="2125" xr:uid="{00000000-0005-0000-0000-00004D080000}"/>
    <cellStyle name="20% - Énfasis2 23 15" xfId="2126" xr:uid="{00000000-0005-0000-0000-00004E080000}"/>
    <cellStyle name="20% - Énfasis2 23 15 2" xfId="2127" xr:uid="{00000000-0005-0000-0000-00004F080000}"/>
    <cellStyle name="20% - Énfasis2 23 16" xfId="2128" xr:uid="{00000000-0005-0000-0000-000050080000}"/>
    <cellStyle name="20% - Énfasis2 23 16 2" xfId="2129" xr:uid="{00000000-0005-0000-0000-000051080000}"/>
    <cellStyle name="20% - Énfasis2 23 17" xfId="2130" xr:uid="{00000000-0005-0000-0000-000052080000}"/>
    <cellStyle name="20% - Énfasis2 23 17 2" xfId="2131" xr:uid="{00000000-0005-0000-0000-000053080000}"/>
    <cellStyle name="20% - Énfasis2 23 18" xfId="2132" xr:uid="{00000000-0005-0000-0000-000054080000}"/>
    <cellStyle name="20% - Énfasis2 23 18 2" xfId="2133" xr:uid="{00000000-0005-0000-0000-000055080000}"/>
    <cellStyle name="20% - Énfasis2 23 19" xfId="2134" xr:uid="{00000000-0005-0000-0000-000056080000}"/>
    <cellStyle name="20% - Énfasis2 23 19 2" xfId="2135" xr:uid="{00000000-0005-0000-0000-000057080000}"/>
    <cellStyle name="20% - Énfasis2 23 2" xfId="2136" xr:uid="{00000000-0005-0000-0000-000058080000}"/>
    <cellStyle name="20% - Énfasis2 23 2 2" xfId="2137" xr:uid="{00000000-0005-0000-0000-000059080000}"/>
    <cellStyle name="20% - Énfasis2 23 20" xfId="2138" xr:uid="{00000000-0005-0000-0000-00005A080000}"/>
    <cellStyle name="20% - Énfasis2 23 3" xfId="2139" xr:uid="{00000000-0005-0000-0000-00005B080000}"/>
    <cellStyle name="20% - Énfasis2 23 3 2" xfId="2140" xr:uid="{00000000-0005-0000-0000-00005C080000}"/>
    <cellStyle name="20% - Énfasis2 23 4" xfId="2141" xr:uid="{00000000-0005-0000-0000-00005D080000}"/>
    <cellStyle name="20% - Énfasis2 23 4 2" xfId="2142" xr:uid="{00000000-0005-0000-0000-00005E080000}"/>
    <cellStyle name="20% - Énfasis2 23 5" xfId="2143" xr:uid="{00000000-0005-0000-0000-00005F080000}"/>
    <cellStyle name="20% - Énfasis2 23 5 2" xfId="2144" xr:uid="{00000000-0005-0000-0000-000060080000}"/>
    <cellStyle name="20% - Énfasis2 23 6" xfId="2145" xr:uid="{00000000-0005-0000-0000-000061080000}"/>
    <cellStyle name="20% - Énfasis2 23 6 2" xfId="2146" xr:uid="{00000000-0005-0000-0000-000062080000}"/>
    <cellStyle name="20% - Énfasis2 23 7" xfId="2147" xr:uid="{00000000-0005-0000-0000-000063080000}"/>
    <cellStyle name="20% - Énfasis2 23 7 2" xfId="2148" xr:uid="{00000000-0005-0000-0000-000064080000}"/>
    <cellStyle name="20% - Énfasis2 23 8" xfId="2149" xr:uid="{00000000-0005-0000-0000-000065080000}"/>
    <cellStyle name="20% - Énfasis2 23 8 2" xfId="2150" xr:uid="{00000000-0005-0000-0000-000066080000}"/>
    <cellStyle name="20% - Énfasis2 23 9" xfId="2151" xr:uid="{00000000-0005-0000-0000-000067080000}"/>
    <cellStyle name="20% - Énfasis2 23 9 2" xfId="2152" xr:uid="{00000000-0005-0000-0000-000068080000}"/>
    <cellStyle name="20% - Énfasis2 24" xfId="2153" xr:uid="{00000000-0005-0000-0000-000069080000}"/>
    <cellStyle name="20% - Énfasis2 24 10" xfId="2154" xr:uid="{00000000-0005-0000-0000-00006A080000}"/>
    <cellStyle name="20% - Énfasis2 24 10 2" xfId="2155" xr:uid="{00000000-0005-0000-0000-00006B080000}"/>
    <cellStyle name="20% - Énfasis2 24 11" xfId="2156" xr:uid="{00000000-0005-0000-0000-00006C080000}"/>
    <cellStyle name="20% - Énfasis2 24 11 2" xfId="2157" xr:uid="{00000000-0005-0000-0000-00006D080000}"/>
    <cellStyle name="20% - Énfasis2 24 12" xfId="2158" xr:uid="{00000000-0005-0000-0000-00006E080000}"/>
    <cellStyle name="20% - Énfasis2 24 12 2" xfId="2159" xr:uid="{00000000-0005-0000-0000-00006F080000}"/>
    <cellStyle name="20% - Énfasis2 24 13" xfId="2160" xr:uid="{00000000-0005-0000-0000-000070080000}"/>
    <cellStyle name="20% - Énfasis2 24 13 2" xfId="2161" xr:uid="{00000000-0005-0000-0000-000071080000}"/>
    <cellStyle name="20% - Énfasis2 24 14" xfId="2162" xr:uid="{00000000-0005-0000-0000-000072080000}"/>
    <cellStyle name="20% - Énfasis2 24 14 2" xfId="2163" xr:uid="{00000000-0005-0000-0000-000073080000}"/>
    <cellStyle name="20% - Énfasis2 24 15" xfId="2164" xr:uid="{00000000-0005-0000-0000-000074080000}"/>
    <cellStyle name="20% - Énfasis2 24 15 2" xfId="2165" xr:uid="{00000000-0005-0000-0000-000075080000}"/>
    <cellStyle name="20% - Énfasis2 24 16" xfId="2166" xr:uid="{00000000-0005-0000-0000-000076080000}"/>
    <cellStyle name="20% - Énfasis2 24 16 2" xfId="2167" xr:uid="{00000000-0005-0000-0000-000077080000}"/>
    <cellStyle name="20% - Énfasis2 24 17" xfId="2168" xr:uid="{00000000-0005-0000-0000-000078080000}"/>
    <cellStyle name="20% - Énfasis2 24 17 2" xfId="2169" xr:uid="{00000000-0005-0000-0000-000079080000}"/>
    <cellStyle name="20% - Énfasis2 24 18" xfId="2170" xr:uid="{00000000-0005-0000-0000-00007A080000}"/>
    <cellStyle name="20% - Énfasis2 24 18 2" xfId="2171" xr:uid="{00000000-0005-0000-0000-00007B080000}"/>
    <cellStyle name="20% - Énfasis2 24 19" xfId="2172" xr:uid="{00000000-0005-0000-0000-00007C080000}"/>
    <cellStyle name="20% - Énfasis2 24 19 2" xfId="2173" xr:uid="{00000000-0005-0000-0000-00007D080000}"/>
    <cellStyle name="20% - Énfasis2 24 2" xfId="2174" xr:uid="{00000000-0005-0000-0000-00007E080000}"/>
    <cellStyle name="20% - Énfasis2 24 2 2" xfId="2175" xr:uid="{00000000-0005-0000-0000-00007F080000}"/>
    <cellStyle name="20% - Énfasis2 24 20" xfId="2176" xr:uid="{00000000-0005-0000-0000-000080080000}"/>
    <cellStyle name="20% - Énfasis2 24 3" xfId="2177" xr:uid="{00000000-0005-0000-0000-000081080000}"/>
    <cellStyle name="20% - Énfasis2 24 3 2" xfId="2178" xr:uid="{00000000-0005-0000-0000-000082080000}"/>
    <cellStyle name="20% - Énfasis2 24 4" xfId="2179" xr:uid="{00000000-0005-0000-0000-000083080000}"/>
    <cellStyle name="20% - Énfasis2 24 4 2" xfId="2180" xr:uid="{00000000-0005-0000-0000-000084080000}"/>
    <cellStyle name="20% - Énfasis2 24 5" xfId="2181" xr:uid="{00000000-0005-0000-0000-000085080000}"/>
    <cellStyle name="20% - Énfasis2 24 5 2" xfId="2182" xr:uid="{00000000-0005-0000-0000-000086080000}"/>
    <cellStyle name="20% - Énfasis2 24 6" xfId="2183" xr:uid="{00000000-0005-0000-0000-000087080000}"/>
    <cellStyle name="20% - Énfasis2 24 6 2" xfId="2184" xr:uid="{00000000-0005-0000-0000-000088080000}"/>
    <cellStyle name="20% - Énfasis2 24 7" xfId="2185" xr:uid="{00000000-0005-0000-0000-000089080000}"/>
    <cellStyle name="20% - Énfasis2 24 7 2" xfId="2186" xr:uid="{00000000-0005-0000-0000-00008A080000}"/>
    <cellStyle name="20% - Énfasis2 24 8" xfId="2187" xr:uid="{00000000-0005-0000-0000-00008B080000}"/>
    <cellStyle name="20% - Énfasis2 24 8 2" xfId="2188" xr:uid="{00000000-0005-0000-0000-00008C080000}"/>
    <cellStyle name="20% - Énfasis2 24 9" xfId="2189" xr:uid="{00000000-0005-0000-0000-00008D080000}"/>
    <cellStyle name="20% - Énfasis2 24 9 2" xfId="2190" xr:uid="{00000000-0005-0000-0000-00008E080000}"/>
    <cellStyle name="20% - Énfasis2 25" xfId="2191" xr:uid="{00000000-0005-0000-0000-00008F080000}"/>
    <cellStyle name="20% - Énfasis2 25 10" xfId="2192" xr:uid="{00000000-0005-0000-0000-000090080000}"/>
    <cellStyle name="20% - Énfasis2 25 10 2" xfId="2193" xr:uid="{00000000-0005-0000-0000-000091080000}"/>
    <cellStyle name="20% - Énfasis2 25 11" xfId="2194" xr:uid="{00000000-0005-0000-0000-000092080000}"/>
    <cellStyle name="20% - Énfasis2 25 11 2" xfId="2195" xr:uid="{00000000-0005-0000-0000-000093080000}"/>
    <cellStyle name="20% - Énfasis2 25 12" xfId="2196" xr:uid="{00000000-0005-0000-0000-000094080000}"/>
    <cellStyle name="20% - Énfasis2 25 12 2" xfId="2197" xr:uid="{00000000-0005-0000-0000-000095080000}"/>
    <cellStyle name="20% - Énfasis2 25 13" xfId="2198" xr:uid="{00000000-0005-0000-0000-000096080000}"/>
    <cellStyle name="20% - Énfasis2 25 13 2" xfId="2199" xr:uid="{00000000-0005-0000-0000-000097080000}"/>
    <cellStyle name="20% - Énfasis2 25 14" xfId="2200" xr:uid="{00000000-0005-0000-0000-000098080000}"/>
    <cellStyle name="20% - Énfasis2 25 14 2" xfId="2201" xr:uid="{00000000-0005-0000-0000-000099080000}"/>
    <cellStyle name="20% - Énfasis2 25 15" xfId="2202" xr:uid="{00000000-0005-0000-0000-00009A080000}"/>
    <cellStyle name="20% - Énfasis2 25 15 2" xfId="2203" xr:uid="{00000000-0005-0000-0000-00009B080000}"/>
    <cellStyle name="20% - Énfasis2 25 16" xfId="2204" xr:uid="{00000000-0005-0000-0000-00009C080000}"/>
    <cellStyle name="20% - Énfasis2 25 16 2" xfId="2205" xr:uid="{00000000-0005-0000-0000-00009D080000}"/>
    <cellStyle name="20% - Énfasis2 25 17" xfId="2206" xr:uid="{00000000-0005-0000-0000-00009E080000}"/>
    <cellStyle name="20% - Énfasis2 25 17 2" xfId="2207" xr:uid="{00000000-0005-0000-0000-00009F080000}"/>
    <cellStyle name="20% - Énfasis2 25 18" xfId="2208" xr:uid="{00000000-0005-0000-0000-0000A0080000}"/>
    <cellStyle name="20% - Énfasis2 25 18 2" xfId="2209" xr:uid="{00000000-0005-0000-0000-0000A1080000}"/>
    <cellStyle name="20% - Énfasis2 25 19" xfId="2210" xr:uid="{00000000-0005-0000-0000-0000A2080000}"/>
    <cellStyle name="20% - Énfasis2 25 19 2" xfId="2211" xr:uid="{00000000-0005-0000-0000-0000A3080000}"/>
    <cellStyle name="20% - Énfasis2 25 2" xfId="2212" xr:uid="{00000000-0005-0000-0000-0000A4080000}"/>
    <cellStyle name="20% - Énfasis2 25 2 2" xfId="2213" xr:uid="{00000000-0005-0000-0000-0000A5080000}"/>
    <cellStyle name="20% - Énfasis2 25 20" xfId="2214" xr:uid="{00000000-0005-0000-0000-0000A6080000}"/>
    <cellStyle name="20% - Énfasis2 25 3" xfId="2215" xr:uid="{00000000-0005-0000-0000-0000A7080000}"/>
    <cellStyle name="20% - Énfasis2 25 3 2" xfId="2216" xr:uid="{00000000-0005-0000-0000-0000A8080000}"/>
    <cellStyle name="20% - Énfasis2 25 4" xfId="2217" xr:uid="{00000000-0005-0000-0000-0000A9080000}"/>
    <cellStyle name="20% - Énfasis2 25 4 2" xfId="2218" xr:uid="{00000000-0005-0000-0000-0000AA080000}"/>
    <cellStyle name="20% - Énfasis2 25 5" xfId="2219" xr:uid="{00000000-0005-0000-0000-0000AB080000}"/>
    <cellStyle name="20% - Énfasis2 25 5 2" xfId="2220" xr:uid="{00000000-0005-0000-0000-0000AC080000}"/>
    <cellStyle name="20% - Énfasis2 25 6" xfId="2221" xr:uid="{00000000-0005-0000-0000-0000AD080000}"/>
    <cellStyle name="20% - Énfasis2 25 6 2" xfId="2222" xr:uid="{00000000-0005-0000-0000-0000AE080000}"/>
    <cellStyle name="20% - Énfasis2 25 7" xfId="2223" xr:uid="{00000000-0005-0000-0000-0000AF080000}"/>
    <cellStyle name="20% - Énfasis2 25 7 2" xfId="2224" xr:uid="{00000000-0005-0000-0000-0000B0080000}"/>
    <cellStyle name="20% - Énfasis2 25 8" xfId="2225" xr:uid="{00000000-0005-0000-0000-0000B1080000}"/>
    <cellStyle name="20% - Énfasis2 25 8 2" xfId="2226" xr:uid="{00000000-0005-0000-0000-0000B2080000}"/>
    <cellStyle name="20% - Énfasis2 25 9" xfId="2227" xr:uid="{00000000-0005-0000-0000-0000B3080000}"/>
    <cellStyle name="20% - Énfasis2 25 9 2" xfId="2228" xr:uid="{00000000-0005-0000-0000-0000B4080000}"/>
    <cellStyle name="20% - Énfasis2 26" xfId="2229" xr:uid="{00000000-0005-0000-0000-0000B5080000}"/>
    <cellStyle name="20% - Énfasis2 26 10" xfId="2230" xr:uid="{00000000-0005-0000-0000-0000B6080000}"/>
    <cellStyle name="20% - Énfasis2 26 10 2" xfId="2231" xr:uid="{00000000-0005-0000-0000-0000B7080000}"/>
    <cellStyle name="20% - Énfasis2 26 11" xfId="2232" xr:uid="{00000000-0005-0000-0000-0000B8080000}"/>
    <cellStyle name="20% - Énfasis2 26 11 2" xfId="2233" xr:uid="{00000000-0005-0000-0000-0000B9080000}"/>
    <cellStyle name="20% - Énfasis2 26 12" xfId="2234" xr:uid="{00000000-0005-0000-0000-0000BA080000}"/>
    <cellStyle name="20% - Énfasis2 26 12 2" xfId="2235" xr:uid="{00000000-0005-0000-0000-0000BB080000}"/>
    <cellStyle name="20% - Énfasis2 26 13" xfId="2236" xr:uid="{00000000-0005-0000-0000-0000BC080000}"/>
    <cellStyle name="20% - Énfasis2 26 13 2" xfId="2237" xr:uid="{00000000-0005-0000-0000-0000BD080000}"/>
    <cellStyle name="20% - Énfasis2 26 14" xfId="2238" xr:uid="{00000000-0005-0000-0000-0000BE080000}"/>
    <cellStyle name="20% - Énfasis2 26 14 2" xfId="2239" xr:uid="{00000000-0005-0000-0000-0000BF080000}"/>
    <cellStyle name="20% - Énfasis2 26 15" xfId="2240" xr:uid="{00000000-0005-0000-0000-0000C0080000}"/>
    <cellStyle name="20% - Énfasis2 26 15 2" xfId="2241" xr:uid="{00000000-0005-0000-0000-0000C1080000}"/>
    <cellStyle name="20% - Énfasis2 26 16" xfId="2242" xr:uid="{00000000-0005-0000-0000-0000C2080000}"/>
    <cellStyle name="20% - Énfasis2 26 16 2" xfId="2243" xr:uid="{00000000-0005-0000-0000-0000C3080000}"/>
    <cellStyle name="20% - Énfasis2 26 17" xfId="2244" xr:uid="{00000000-0005-0000-0000-0000C4080000}"/>
    <cellStyle name="20% - Énfasis2 26 17 2" xfId="2245" xr:uid="{00000000-0005-0000-0000-0000C5080000}"/>
    <cellStyle name="20% - Énfasis2 26 18" xfId="2246" xr:uid="{00000000-0005-0000-0000-0000C6080000}"/>
    <cellStyle name="20% - Énfasis2 26 18 2" xfId="2247" xr:uid="{00000000-0005-0000-0000-0000C7080000}"/>
    <cellStyle name="20% - Énfasis2 26 19" xfId="2248" xr:uid="{00000000-0005-0000-0000-0000C8080000}"/>
    <cellStyle name="20% - Énfasis2 26 19 2" xfId="2249" xr:uid="{00000000-0005-0000-0000-0000C9080000}"/>
    <cellStyle name="20% - Énfasis2 26 2" xfId="2250" xr:uid="{00000000-0005-0000-0000-0000CA080000}"/>
    <cellStyle name="20% - Énfasis2 26 2 2" xfId="2251" xr:uid="{00000000-0005-0000-0000-0000CB080000}"/>
    <cellStyle name="20% - Énfasis2 26 20" xfId="2252" xr:uid="{00000000-0005-0000-0000-0000CC080000}"/>
    <cellStyle name="20% - Énfasis2 26 3" xfId="2253" xr:uid="{00000000-0005-0000-0000-0000CD080000}"/>
    <cellStyle name="20% - Énfasis2 26 3 2" xfId="2254" xr:uid="{00000000-0005-0000-0000-0000CE080000}"/>
    <cellStyle name="20% - Énfasis2 26 4" xfId="2255" xr:uid="{00000000-0005-0000-0000-0000CF080000}"/>
    <cellStyle name="20% - Énfasis2 26 4 2" xfId="2256" xr:uid="{00000000-0005-0000-0000-0000D0080000}"/>
    <cellStyle name="20% - Énfasis2 26 5" xfId="2257" xr:uid="{00000000-0005-0000-0000-0000D1080000}"/>
    <cellStyle name="20% - Énfasis2 26 5 2" xfId="2258" xr:uid="{00000000-0005-0000-0000-0000D2080000}"/>
    <cellStyle name="20% - Énfasis2 26 6" xfId="2259" xr:uid="{00000000-0005-0000-0000-0000D3080000}"/>
    <cellStyle name="20% - Énfasis2 26 6 2" xfId="2260" xr:uid="{00000000-0005-0000-0000-0000D4080000}"/>
    <cellStyle name="20% - Énfasis2 26 7" xfId="2261" xr:uid="{00000000-0005-0000-0000-0000D5080000}"/>
    <cellStyle name="20% - Énfasis2 26 7 2" xfId="2262" xr:uid="{00000000-0005-0000-0000-0000D6080000}"/>
    <cellStyle name="20% - Énfasis2 26 8" xfId="2263" xr:uid="{00000000-0005-0000-0000-0000D7080000}"/>
    <cellStyle name="20% - Énfasis2 26 8 2" xfId="2264" xr:uid="{00000000-0005-0000-0000-0000D8080000}"/>
    <cellStyle name="20% - Énfasis2 26 9" xfId="2265" xr:uid="{00000000-0005-0000-0000-0000D9080000}"/>
    <cellStyle name="20% - Énfasis2 26 9 2" xfId="2266" xr:uid="{00000000-0005-0000-0000-0000DA080000}"/>
    <cellStyle name="20% - Énfasis2 27" xfId="2267" xr:uid="{00000000-0005-0000-0000-0000DB080000}"/>
    <cellStyle name="20% - Énfasis2 27 10" xfId="2268" xr:uid="{00000000-0005-0000-0000-0000DC080000}"/>
    <cellStyle name="20% - Énfasis2 27 10 2" xfId="2269" xr:uid="{00000000-0005-0000-0000-0000DD080000}"/>
    <cellStyle name="20% - Énfasis2 27 11" xfId="2270" xr:uid="{00000000-0005-0000-0000-0000DE080000}"/>
    <cellStyle name="20% - Énfasis2 27 11 2" xfId="2271" xr:uid="{00000000-0005-0000-0000-0000DF080000}"/>
    <cellStyle name="20% - Énfasis2 27 12" xfId="2272" xr:uid="{00000000-0005-0000-0000-0000E0080000}"/>
    <cellStyle name="20% - Énfasis2 27 12 2" xfId="2273" xr:uid="{00000000-0005-0000-0000-0000E1080000}"/>
    <cellStyle name="20% - Énfasis2 27 13" xfId="2274" xr:uid="{00000000-0005-0000-0000-0000E2080000}"/>
    <cellStyle name="20% - Énfasis2 27 13 2" xfId="2275" xr:uid="{00000000-0005-0000-0000-0000E3080000}"/>
    <cellStyle name="20% - Énfasis2 27 14" xfId="2276" xr:uid="{00000000-0005-0000-0000-0000E4080000}"/>
    <cellStyle name="20% - Énfasis2 27 14 2" xfId="2277" xr:uid="{00000000-0005-0000-0000-0000E5080000}"/>
    <cellStyle name="20% - Énfasis2 27 15" xfId="2278" xr:uid="{00000000-0005-0000-0000-0000E6080000}"/>
    <cellStyle name="20% - Énfasis2 27 15 2" xfId="2279" xr:uid="{00000000-0005-0000-0000-0000E7080000}"/>
    <cellStyle name="20% - Énfasis2 27 16" xfId="2280" xr:uid="{00000000-0005-0000-0000-0000E8080000}"/>
    <cellStyle name="20% - Énfasis2 27 16 2" xfId="2281" xr:uid="{00000000-0005-0000-0000-0000E9080000}"/>
    <cellStyle name="20% - Énfasis2 27 17" xfId="2282" xr:uid="{00000000-0005-0000-0000-0000EA080000}"/>
    <cellStyle name="20% - Énfasis2 27 17 2" xfId="2283" xr:uid="{00000000-0005-0000-0000-0000EB080000}"/>
    <cellStyle name="20% - Énfasis2 27 18" xfId="2284" xr:uid="{00000000-0005-0000-0000-0000EC080000}"/>
    <cellStyle name="20% - Énfasis2 27 18 2" xfId="2285" xr:uid="{00000000-0005-0000-0000-0000ED080000}"/>
    <cellStyle name="20% - Énfasis2 27 19" xfId="2286" xr:uid="{00000000-0005-0000-0000-0000EE080000}"/>
    <cellStyle name="20% - Énfasis2 27 19 2" xfId="2287" xr:uid="{00000000-0005-0000-0000-0000EF080000}"/>
    <cellStyle name="20% - Énfasis2 27 2" xfId="2288" xr:uid="{00000000-0005-0000-0000-0000F0080000}"/>
    <cellStyle name="20% - Énfasis2 27 2 2" xfId="2289" xr:uid="{00000000-0005-0000-0000-0000F1080000}"/>
    <cellStyle name="20% - Énfasis2 27 20" xfId="2290" xr:uid="{00000000-0005-0000-0000-0000F2080000}"/>
    <cellStyle name="20% - Énfasis2 27 3" xfId="2291" xr:uid="{00000000-0005-0000-0000-0000F3080000}"/>
    <cellStyle name="20% - Énfasis2 27 3 2" xfId="2292" xr:uid="{00000000-0005-0000-0000-0000F4080000}"/>
    <cellStyle name="20% - Énfasis2 27 4" xfId="2293" xr:uid="{00000000-0005-0000-0000-0000F5080000}"/>
    <cellStyle name="20% - Énfasis2 27 4 2" xfId="2294" xr:uid="{00000000-0005-0000-0000-0000F6080000}"/>
    <cellStyle name="20% - Énfasis2 27 5" xfId="2295" xr:uid="{00000000-0005-0000-0000-0000F7080000}"/>
    <cellStyle name="20% - Énfasis2 27 5 2" xfId="2296" xr:uid="{00000000-0005-0000-0000-0000F8080000}"/>
    <cellStyle name="20% - Énfasis2 27 6" xfId="2297" xr:uid="{00000000-0005-0000-0000-0000F9080000}"/>
    <cellStyle name="20% - Énfasis2 27 6 2" xfId="2298" xr:uid="{00000000-0005-0000-0000-0000FA080000}"/>
    <cellStyle name="20% - Énfasis2 27 7" xfId="2299" xr:uid="{00000000-0005-0000-0000-0000FB080000}"/>
    <cellStyle name="20% - Énfasis2 27 7 2" xfId="2300" xr:uid="{00000000-0005-0000-0000-0000FC080000}"/>
    <cellStyle name="20% - Énfasis2 27 8" xfId="2301" xr:uid="{00000000-0005-0000-0000-0000FD080000}"/>
    <cellStyle name="20% - Énfasis2 27 8 2" xfId="2302" xr:uid="{00000000-0005-0000-0000-0000FE080000}"/>
    <cellStyle name="20% - Énfasis2 27 9" xfId="2303" xr:uid="{00000000-0005-0000-0000-0000FF080000}"/>
    <cellStyle name="20% - Énfasis2 27 9 2" xfId="2304" xr:uid="{00000000-0005-0000-0000-000000090000}"/>
    <cellStyle name="20% - Énfasis2 28" xfId="2305" xr:uid="{00000000-0005-0000-0000-000001090000}"/>
    <cellStyle name="20% - Énfasis2 28 10" xfId="2306" xr:uid="{00000000-0005-0000-0000-000002090000}"/>
    <cellStyle name="20% - Énfasis2 28 10 2" xfId="2307" xr:uid="{00000000-0005-0000-0000-000003090000}"/>
    <cellStyle name="20% - Énfasis2 28 11" xfId="2308" xr:uid="{00000000-0005-0000-0000-000004090000}"/>
    <cellStyle name="20% - Énfasis2 28 11 2" xfId="2309" xr:uid="{00000000-0005-0000-0000-000005090000}"/>
    <cellStyle name="20% - Énfasis2 28 12" xfId="2310" xr:uid="{00000000-0005-0000-0000-000006090000}"/>
    <cellStyle name="20% - Énfasis2 28 12 2" xfId="2311" xr:uid="{00000000-0005-0000-0000-000007090000}"/>
    <cellStyle name="20% - Énfasis2 28 13" xfId="2312" xr:uid="{00000000-0005-0000-0000-000008090000}"/>
    <cellStyle name="20% - Énfasis2 28 13 2" xfId="2313" xr:uid="{00000000-0005-0000-0000-000009090000}"/>
    <cellStyle name="20% - Énfasis2 28 14" xfId="2314" xr:uid="{00000000-0005-0000-0000-00000A090000}"/>
    <cellStyle name="20% - Énfasis2 28 14 2" xfId="2315" xr:uid="{00000000-0005-0000-0000-00000B090000}"/>
    <cellStyle name="20% - Énfasis2 28 15" xfId="2316" xr:uid="{00000000-0005-0000-0000-00000C090000}"/>
    <cellStyle name="20% - Énfasis2 28 15 2" xfId="2317" xr:uid="{00000000-0005-0000-0000-00000D090000}"/>
    <cellStyle name="20% - Énfasis2 28 16" xfId="2318" xr:uid="{00000000-0005-0000-0000-00000E090000}"/>
    <cellStyle name="20% - Énfasis2 28 16 2" xfId="2319" xr:uid="{00000000-0005-0000-0000-00000F090000}"/>
    <cellStyle name="20% - Énfasis2 28 17" xfId="2320" xr:uid="{00000000-0005-0000-0000-000010090000}"/>
    <cellStyle name="20% - Énfasis2 28 17 2" xfId="2321" xr:uid="{00000000-0005-0000-0000-000011090000}"/>
    <cellStyle name="20% - Énfasis2 28 18" xfId="2322" xr:uid="{00000000-0005-0000-0000-000012090000}"/>
    <cellStyle name="20% - Énfasis2 28 18 2" xfId="2323" xr:uid="{00000000-0005-0000-0000-000013090000}"/>
    <cellStyle name="20% - Énfasis2 28 19" xfId="2324" xr:uid="{00000000-0005-0000-0000-000014090000}"/>
    <cellStyle name="20% - Énfasis2 28 19 2" xfId="2325" xr:uid="{00000000-0005-0000-0000-000015090000}"/>
    <cellStyle name="20% - Énfasis2 28 2" xfId="2326" xr:uid="{00000000-0005-0000-0000-000016090000}"/>
    <cellStyle name="20% - Énfasis2 28 2 2" xfId="2327" xr:uid="{00000000-0005-0000-0000-000017090000}"/>
    <cellStyle name="20% - Énfasis2 28 20" xfId="2328" xr:uid="{00000000-0005-0000-0000-000018090000}"/>
    <cellStyle name="20% - Énfasis2 28 3" xfId="2329" xr:uid="{00000000-0005-0000-0000-000019090000}"/>
    <cellStyle name="20% - Énfasis2 28 3 2" xfId="2330" xr:uid="{00000000-0005-0000-0000-00001A090000}"/>
    <cellStyle name="20% - Énfasis2 28 4" xfId="2331" xr:uid="{00000000-0005-0000-0000-00001B090000}"/>
    <cellStyle name="20% - Énfasis2 28 4 2" xfId="2332" xr:uid="{00000000-0005-0000-0000-00001C090000}"/>
    <cellStyle name="20% - Énfasis2 28 5" xfId="2333" xr:uid="{00000000-0005-0000-0000-00001D090000}"/>
    <cellStyle name="20% - Énfasis2 28 5 2" xfId="2334" xr:uid="{00000000-0005-0000-0000-00001E090000}"/>
    <cellStyle name="20% - Énfasis2 28 6" xfId="2335" xr:uid="{00000000-0005-0000-0000-00001F090000}"/>
    <cellStyle name="20% - Énfasis2 28 6 2" xfId="2336" xr:uid="{00000000-0005-0000-0000-000020090000}"/>
    <cellStyle name="20% - Énfasis2 28 7" xfId="2337" xr:uid="{00000000-0005-0000-0000-000021090000}"/>
    <cellStyle name="20% - Énfasis2 28 7 2" xfId="2338" xr:uid="{00000000-0005-0000-0000-000022090000}"/>
    <cellStyle name="20% - Énfasis2 28 8" xfId="2339" xr:uid="{00000000-0005-0000-0000-000023090000}"/>
    <cellStyle name="20% - Énfasis2 28 8 2" xfId="2340" xr:uid="{00000000-0005-0000-0000-000024090000}"/>
    <cellStyle name="20% - Énfasis2 28 9" xfId="2341" xr:uid="{00000000-0005-0000-0000-000025090000}"/>
    <cellStyle name="20% - Énfasis2 28 9 2" xfId="2342" xr:uid="{00000000-0005-0000-0000-000026090000}"/>
    <cellStyle name="20% - Énfasis2 29" xfId="2343" xr:uid="{00000000-0005-0000-0000-000027090000}"/>
    <cellStyle name="20% - Énfasis2 29 10" xfId="2344" xr:uid="{00000000-0005-0000-0000-000028090000}"/>
    <cellStyle name="20% - Énfasis2 29 10 2" xfId="2345" xr:uid="{00000000-0005-0000-0000-000029090000}"/>
    <cellStyle name="20% - Énfasis2 29 11" xfId="2346" xr:uid="{00000000-0005-0000-0000-00002A090000}"/>
    <cellStyle name="20% - Énfasis2 29 11 2" xfId="2347" xr:uid="{00000000-0005-0000-0000-00002B090000}"/>
    <cellStyle name="20% - Énfasis2 29 12" xfId="2348" xr:uid="{00000000-0005-0000-0000-00002C090000}"/>
    <cellStyle name="20% - Énfasis2 29 12 2" xfId="2349" xr:uid="{00000000-0005-0000-0000-00002D090000}"/>
    <cellStyle name="20% - Énfasis2 29 13" xfId="2350" xr:uid="{00000000-0005-0000-0000-00002E090000}"/>
    <cellStyle name="20% - Énfasis2 29 13 2" xfId="2351" xr:uid="{00000000-0005-0000-0000-00002F090000}"/>
    <cellStyle name="20% - Énfasis2 29 14" xfId="2352" xr:uid="{00000000-0005-0000-0000-000030090000}"/>
    <cellStyle name="20% - Énfasis2 29 14 2" xfId="2353" xr:uid="{00000000-0005-0000-0000-000031090000}"/>
    <cellStyle name="20% - Énfasis2 29 15" xfId="2354" xr:uid="{00000000-0005-0000-0000-000032090000}"/>
    <cellStyle name="20% - Énfasis2 29 15 2" xfId="2355" xr:uid="{00000000-0005-0000-0000-000033090000}"/>
    <cellStyle name="20% - Énfasis2 29 16" xfId="2356" xr:uid="{00000000-0005-0000-0000-000034090000}"/>
    <cellStyle name="20% - Énfasis2 29 16 2" xfId="2357" xr:uid="{00000000-0005-0000-0000-000035090000}"/>
    <cellStyle name="20% - Énfasis2 29 17" xfId="2358" xr:uid="{00000000-0005-0000-0000-000036090000}"/>
    <cellStyle name="20% - Énfasis2 29 17 2" xfId="2359" xr:uid="{00000000-0005-0000-0000-000037090000}"/>
    <cellStyle name="20% - Énfasis2 29 18" xfId="2360" xr:uid="{00000000-0005-0000-0000-000038090000}"/>
    <cellStyle name="20% - Énfasis2 29 18 2" xfId="2361" xr:uid="{00000000-0005-0000-0000-000039090000}"/>
    <cellStyle name="20% - Énfasis2 29 19" xfId="2362" xr:uid="{00000000-0005-0000-0000-00003A090000}"/>
    <cellStyle name="20% - Énfasis2 29 19 2" xfId="2363" xr:uid="{00000000-0005-0000-0000-00003B090000}"/>
    <cellStyle name="20% - Énfasis2 29 2" xfId="2364" xr:uid="{00000000-0005-0000-0000-00003C090000}"/>
    <cellStyle name="20% - Énfasis2 29 2 2" xfId="2365" xr:uid="{00000000-0005-0000-0000-00003D090000}"/>
    <cellStyle name="20% - Énfasis2 29 20" xfId="2366" xr:uid="{00000000-0005-0000-0000-00003E090000}"/>
    <cellStyle name="20% - Énfasis2 29 3" xfId="2367" xr:uid="{00000000-0005-0000-0000-00003F090000}"/>
    <cellStyle name="20% - Énfasis2 29 3 2" xfId="2368" xr:uid="{00000000-0005-0000-0000-000040090000}"/>
    <cellStyle name="20% - Énfasis2 29 4" xfId="2369" xr:uid="{00000000-0005-0000-0000-000041090000}"/>
    <cellStyle name="20% - Énfasis2 29 4 2" xfId="2370" xr:uid="{00000000-0005-0000-0000-000042090000}"/>
    <cellStyle name="20% - Énfasis2 29 5" xfId="2371" xr:uid="{00000000-0005-0000-0000-000043090000}"/>
    <cellStyle name="20% - Énfasis2 29 5 2" xfId="2372" xr:uid="{00000000-0005-0000-0000-000044090000}"/>
    <cellStyle name="20% - Énfasis2 29 6" xfId="2373" xr:uid="{00000000-0005-0000-0000-000045090000}"/>
    <cellStyle name="20% - Énfasis2 29 6 2" xfId="2374" xr:uid="{00000000-0005-0000-0000-000046090000}"/>
    <cellStyle name="20% - Énfasis2 29 7" xfId="2375" xr:uid="{00000000-0005-0000-0000-000047090000}"/>
    <cellStyle name="20% - Énfasis2 29 7 2" xfId="2376" xr:uid="{00000000-0005-0000-0000-000048090000}"/>
    <cellStyle name="20% - Énfasis2 29 8" xfId="2377" xr:uid="{00000000-0005-0000-0000-000049090000}"/>
    <cellStyle name="20% - Énfasis2 29 8 2" xfId="2378" xr:uid="{00000000-0005-0000-0000-00004A090000}"/>
    <cellStyle name="20% - Énfasis2 29 9" xfId="2379" xr:uid="{00000000-0005-0000-0000-00004B090000}"/>
    <cellStyle name="20% - Énfasis2 29 9 2" xfId="2380" xr:uid="{00000000-0005-0000-0000-00004C090000}"/>
    <cellStyle name="20% - Énfasis2 3" xfId="2381" xr:uid="{00000000-0005-0000-0000-00004D090000}"/>
    <cellStyle name="20% - Énfasis2 3 10" xfId="2382" xr:uid="{00000000-0005-0000-0000-00004E090000}"/>
    <cellStyle name="20% - Énfasis2 3 10 2" xfId="2383" xr:uid="{00000000-0005-0000-0000-00004F090000}"/>
    <cellStyle name="20% - Énfasis2 3 11" xfId="2384" xr:uid="{00000000-0005-0000-0000-000050090000}"/>
    <cellStyle name="20% - Énfasis2 3 11 2" xfId="2385" xr:uid="{00000000-0005-0000-0000-000051090000}"/>
    <cellStyle name="20% - Énfasis2 3 12" xfId="2386" xr:uid="{00000000-0005-0000-0000-000052090000}"/>
    <cellStyle name="20% - Énfasis2 3 12 2" xfId="2387" xr:uid="{00000000-0005-0000-0000-000053090000}"/>
    <cellStyle name="20% - Énfasis2 3 13" xfId="2388" xr:uid="{00000000-0005-0000-0000-000054090000}"/>
    <cellStyle name="20% - Énfasis2 3 13 2" xfId="2389" xr:uid="{00000000-0005-0000-0000-000055090000}"/>
    <cellStyle name="20% - Énfasis2 3 14" xfId="2390" xr:uid="{00000000-0005-0000-0000-000056090000}"/>
    <cellStyle name="20% - Énfasis2 3 14 2" xfId="2391" xr:uid="{00000000-0005-0000-0000-000057090000}"/>
    <cellStyle name="20% - Énfasis2 3 15" xfId="2392" xr:uid="{00000000-0005-0000-0000-000058090000}"/>
    <cellStyle name="20% - Énfasis2 3 15 2" xfId="2393" xr:uid="{00000000-0005-0000-0000-000059090000}"/>
    <cellStyle name="20% - Énfasis2 3 16" xfId="2394" xr:uid="{00000000-0005-0000-0000-00005A090000}"/>
    <cellStyle name="20% - Énfasis2 3 16 2" xfId="2395" xr:uid="{00000000-0005-0000-0000-00005B090000}"/>
    <cellStyle name="20% - Énfasis2 3 17" xfId="2396" xr:uid="{00000000-0005-0000-0000-00005C090000}"/>
    <cellStyle name="20% - Énfasis2 3 17 2" xfId="2397" xr:uid="{00000000-0005-0000-0000-00005D090000}"/>
    <cellStyle name="20% - Énfasis2 3 18" xfId="2398" xr:uid="{00000000-0005-0000-0000-00005E090000}"/>
    <cellStyle name="20% - Énfasis2 3 18 2" xfId="2399" xr:uid="{00000000-0005-0000-0000-00005F090000}"/>
    <cellStyle name="20% - Énfasis2 3 19" xfId="2400" xr:uid="{00000000-0005-0000-0000-000060090000}"/>
    <cellStyle name="20% - Énfasis2 3 19 2" xfId="2401" xr:uid="{00000000-0005-0000-0000-000061090000}"/>
    <cellStyle name="20% - Énfasis2 3 2" xfId="2402" xr:uid="{00000000-0005-0000-0000-000062090000}"/>
    <cellStyle name="20% - Énfasis2 3 2 2" xfId="2403" xr:uid="{00000000-0005-0000-0000-000063090000}"/>
    <cellStyle name="20% - Énfasis2 3 20" xfId="2404" xr:uid="{00000000-0005-0000-0000-000064090000}"/>
    <cellStyle name="20% - Énfasis2 3 21" xfId="2405" xr:uid="{00000000-0005-0000-0000-000065090000}"/>
    <cellStyle name="20% - Énfasis2 3 3" xfId="2406" xr:uid="{00000000-0005-0000-0000-000066090000}"/>
    <cellStyle name="20% - Énfasis2 3 3 2" xfId="2407" xr:uid="{00000000-0005-0000-0000-000067090000}"/>
    <cellStyle name="20% - Énfasis2 3 4" xfId="2408" xr:uid="{00000000-0005-0000-0000-000068090000}"/>
    <cellStyle name="20% - Énfasis2 3 4 2" xfId="2409" xr:uid="{00000000-0005-0000-0000-000069090000}"/>
    <cellStyle name="20% - Énfasis2 3 5" xfId="2410" xr:uid="{00000000-0005-0000-0000-00006A090000}"/>
    <cellStyle name="20% - Énfasis2 3 5 2" xfId="2411" xr:uid="{00000000-0005-0000-0000-00006B090000}"/>
    <cellStyle name="20% - Énfasis2 3 6" xfId="2412" xr:uid="{00000000-0005-0000-0000-00006C090000}"/>
    <cellStyle name="20% - Énfasis2 3 6 2" xfId="2413" xr:uid="{00000000-0005-0000-0000-00006D090000}"/>
    <cellStyle name="20% - Énfasis2 3 7" xfId="2414" xr:uid="{00000000-0005-0000-0000-00006E090000}"/>
    <cellStyle name="20% - Énfasis2 3 7 2" xfId="2415" xr:uid="{00000000-0005-0000-0000-00006F090000}"/>
    <cellStyle name="20% - Énfasis2 3 8" xfId="2416" xr:uid="{00000000-0005-0000-0000-000070090000}"/>
    <cellStyle name="20% - Énfasis2 3 8 2" xfId="2417" xr:uid="{00000000-0005-0000-0000-000071090000}"/>
    <cellStyle name="20% - Énfasis2 3 9" xfId="2418" xr:uid="{00000000-0005-0000-0000-000072090000}"/>
    <cellStyle name="20% - Énfasis2 3 9 2" xfId="2419" xr:uid="{00000000-0005-0000-0000-000073090000}"/>
    <cellStyle name="20% - Énfasis2 30" xfId="2420" xr:uid="{00000000-0005-0000-0000-000074090000}"/>
    <cellStyle name="20% - Énfasis2 30 10" xfId="2421" xr:uid="{00000000-0005-0000-0000-000075090000}"/>
    <cellStyle name="20% - Énfasis2 30 10 2" xfId="2422" xr:uid="{00000000-0005-0000-0000-000076090000}"/>
    <cellStyle name="20% - Énfasis2 30 11" xfId="2423" xr:uid="{00000000-0005-0000-0000-000077090000}"/>
    <cellStyle name="20% - Énfasis2 30 11 2" xfId="2424" xr:uid="{00000000-0005-0000-0000-000078090000}"/>
    <cellStyle name="20% - Énfasis2 30 12" xfId="2425" xr:uid="{00000000-0005-0000-0000-000079090000}"/>
    <cellStyle name="20% - Énfasis2 30 12 2" xfId="2426" xr:uid="{00000000-0005-0000-0000-00007A090000}"/>
    <cellStyle name="20% - Énfasis2 30 13" xfId="2427" xr:uid="{00000000-0005-0000-0000-00007B090000}"/>
    <cellStyle name="20% - Énfasis2 30 13 2" xfId="2428" xr:uid="{00000000-0005-0000-0000-00007C090000}"/>
    <cellStyle name="20% - Énfasis2 30 14" xfId="2429" xr:uid="{00000000-0005-0000-0000-00007D090000}"/>
    <cellStyle name="20% - Énfasis2 30 14 2" xfId="2430" xr:uid="{00000000-0005-0000-0000-00007E090000}"/>
    <cellStyle name="20% - Énfasis2 30 15" xfId="2431" xr:uid="{00000000-0005-0000-0000-00007F090000}"/>
    <cellStyle name="20% - Énfasis2 30 15 2" xfId="2432" xr:uid="{00000000-0005-0000-0000-000080090000}"/>
    <cellStyle name="20% - Énfasis2 30 16" xfId="2433" xr:uid="{00000000-0005-0000-0000-000081090000}"/>
    <cellStyle name="20% - Énfasis2 30 16 2" xfId="2434" xr:uid="{00000000-0005-0000-0000-000082090000}"/>
    <cellStyle name="20% - Énfasis2 30 17" xfId="2435" xr:uid="{00000000-0005-0000-0000-000083090000}"/>
    <cellStyle name="20% - Énfasis2 30 17 2" xfId="2436" xr:uid="{00000000-0005-0000-0000-000084090000}"/>
    <cellStyle name="20% - Énfasis2 30 18" xfId="2437" xr:uid="{00000000-0005-0000-0000-000085090000}"/>
    <cellStyle name="20% - Énfasis2 30 18 2" xfId="2438" xr:uid="{00000000-0005-0000-0000-000086090000}"/>
    <cellStyle name="20% - Énfasis2 30 19" xfId="2439" xr:uid="{00000000-0005-0000-0000-000087090000}"/>
    <cellStyle name="20% - Énfasis2 30 19 2" xfId="2440" xr:uid="{00000000-0005-0000-0000-000088090000}"/>
    <cellStyle name="20% - Énfasis2 30 2" xfId="2441" xr:uid="{00000000-0005-0000-0000-000089090000}"/>
    <cellStyle name="20% - Énfasis2 30 2 2" xfId="2442" xr:uid="{00000000-0005-0000-0000-00008A090000}"/>
    <cellStyle name="20% - Énfasis2 30 20" xfId="2443" xr:uid="{00000000-0005-0000-0000-00008B090000}"/>
    <cellStyle name="20% - Énfasis2 30 3" xfId="2444" xr:uid="{00000000-0005-0000-0000-00008C090000}"/>
    <cellStyle name="20% - Énfasis2 30 3 2" xfId="2445" xr:uid="{00000000-0005-0000-0000-00008D090000}"/>
    <cellStyle name="20% - Énfasis2 30 4" xfId="2446" xr:uid="{00000000-0005-0000-0000-00008E090000}"/>
    <cellStyle name="20% - Énfasis2 30 4 2" xfId="2447" xr:uid="{00000000-0005-0000-0000-00008F090000}"/>
    <cellStyle name="20% - Énfasis2 30 5" xfId="2448" xr:uid="{00000000-0005-0000-0000-000090090000}"/>
    <cellStyle name="20% - Énfasis2 30 5 2" xfId="2449" xr:uid="{00000000-0005-0000-0000-000091090000}"/>
    <cellStyle name="20% - Énfasis2 30 6" xfId="2450" xr:uid="{00000000-0005-0000-0000-000092090000}"/>
    <cellStyle name="20% - Énfasis2 30 6 2" xfId="2451" xr:uid="{00000000-0005-0000-0000-000093090000}"/>
    <cellStyle name="20% - Énfasis2 30 7" xfId="2452" xr:uid="{00000000-0005-0000-0000-000094090000}"/>
    <cellStyle name="20% - Énfasis2 30 7 2" xfId="2453" xr:uid="{00000000-0005-0000-0000-000095090000}"/>
    <cellStyle name="20% - Énfasis2 30 8" xfId="2454" xr:uid="{00000000-0005-0000-0000-000096090000}"/>
    <cellStyle name="20% - Énfasis2 30 8 2" xfId="2455" xr:uid="{00000000-0005-0000-0000-000097090000}"/>
    <cellStyle name="20% - Énfasis2 30 9" xfId="2456" xr:uid="{00000000-0005-0000-0000-000098090000}"/>
    <cellStyle name="20% - Énfasis2 30 9 2" xfId="2457" xr:uid="{00000000-0005-0000-0000-000099090000}"/>
    <cellStyle name="20% - Énfasis2 31" xfId="2458" xr:uid="{00000000-0005-0000-0000-00009A090000}"/>
    <cellStyle name="20% - Énfasis2 31 10" xfId="2459" xr:uid="{00000000-0005-0000-0000-00009B090000}"/>
    <cellStyle name="20% - Énfasis2 31 10 2" xfId="2460" xr:uid="{00000000-0005-0000-0000-00009C090000}"/>
    <cellStyle name="20% - Énfasis2 31 11" xfId="2461" xr:uid="{00000000-0005-0000-0000-00009D090000}"/>
    <cellStyle name="20% - Énfasis2 31 11 2" xfId="2462" xr:uid="{00000000-0005-0000-0000-00009E090000}"/>
    <cellStyle name="20% - Énfasis2 31 12" xfId="2463" xr:uid="{00000000-0005-0000-0000-00009F090000}"/>
    <cellStyle name="20% - Énfasis2 31 12 2" xfId="2464" xr:uid="{00000000-0005-0000-0000-0000A0090000}"/>
    <cellStyle name="20% - Énfasis2 31 13" xfId="2465" xr:uid="{00000000-0005-0000-0000-0000A1090000}"/>
    <cellStyle name="20% - Énfasis2 31 13 2" xfId="2466" xr:uid="{00000000-0005-0000-0000-0000A2090000}"/>
    <cellStyle name="20% - Énfasis2 31 14" xfId="2467" xr:uid="{00000000-0005-0000-0000-0000A3090000}"/>
    <cellStyle name="20% - Énfasis2 31 14 2" xfId="2468" xr:uid="{00000000-0005-0000-0000-0000A4090000}"/>
    <cellStyle name="20% - Énfasis2 31 15" xfId="2469" xr:uid="{00000000-0005-0000-0000-0000A5090000}"/>
    <cellStyle name="20% - Énfasis2 31 15 2" xfId="2470" xr:uid="{00000000-0005-0000-0000-0000A6090000}"/>
    <cellStyle name="20% - Énfasis2 31 16" xfId="2471" xr:uid="{00000000-0005-0000-0000-0000A7090000}"/>
    <cellStyle name="20% - Énfasis2 31 16 2" xfId="2472" xr:uid="{00000000-0005-0000-0000-0000A8090000}"/>
    <cellStyle name="20% - Énfasis2 31 17" xfId="2473" xr:uid="{00000000-0005-0000-0000-0000A9090000}"/>
    <cellStyle name="20% - Énfasis2 31 17 2" xfId="2474" xr:uid="{00000000-0005-0000-0000-0000AA090000}"/>
    <cellStyle name="20% - Énfasis2 31 18" xfId="2475" xr:uid="{00000000-0005-0000-0000-0000AB090000}"/>
    <cellStyle name="20% - Énfasis2 31 18 2" xfId="2476" xr:uid="{00000000-0005-0000-0000-0000AC090000}"/>
    <cellStyle name="20% - Énfasis2 31 19" xfId="2477" xr:uid="{00000000-0005-0000-0000-0000AD090000}"/>
    <cellStyle name="20% - Énfasis2 31 19 2" xfId="2478" xr:uid="{00000000-0005-0000-0000-0000AE090000}"/>
    <cellStyle name="20% - Énfasis2 31 2" xfId="2479" xr:uid="{00000000-0005-0000-0000-0000AF090000}"/>
    <cellStyle name="20% - Énfasis2 31 2 2" xfId="2480" xr:uid="{00000000-0005-0000-0000-0000B0090000}"/>
    <cellStyle name="20% - Énfasis2 31 20" xfId="2481" xr:uid="{00000000-0005-0000-0000-0000B1090000}"/>
    <cellStyle name="20% - Énfasis2 31 3" xfId="2482" xr:uid="{00000000-0005-0000-0000-0000B2090000}"/>
    <cellStyle name="20% - Énfasis2 31 3 2" xfId="2483" xr:uid="{00000000-0005-0000-0000-0000B3090000}"/>
    <cellStyle name="20% - Énfasis2 31 4" xfId="2484" xr:uid="{00000000-0005-0000-0000-0000B4090000}"/>
    <cellStyle name="20% - Énfasis2 31 4 2" xfId="2485" xr:uid="{00000000-0005-0000-0000-0000B5090000}"/>
    <cellStyle name="20% - Énfasis2 31 5" xfId="2486" xr:uid="{00000000-0005-0000-0000-0000B6090000}"/>
    <cellStyle name="20% - Énfasis2 31 5 2" xfId="2487" xr:uid="{00000000-0005-0000-0000-0000B7090000}"/>
    <cellStyle name="20% - Énfasis2 31 6" xfId="2488" xr:uid="{00000000-0005-0000-0000-0000B8090000}"/>
    <cellStyle name="20% - Énfasis2 31 6 2" xfId="2489" xr:uid="{00000000-0005-0000-0000-0000B9090000}"/>
    <cellStyle name="20% - Énfasis2 31 7" xfId="2490" xr:uid="{00000000-0005-0000-0000-0000BA090000}"/>
    <cellStyle name="20% - Énfasis2 31 7 2" xfId="2491" xr:uid="{00000000-0005-0000-0000-0000BB090000}"/>
    <cellStyle name="20% - Énfasis2 31 8" xfId="2492" xr:uid="{00000000-0005-0000-0000-0000BC090000}"/>
    <cellStyle name="20% - Énfasis2 31 8 2" xfId="2493" xr:uid="{00000000-0005-0000-0000-0000BD090000}"/>
    <cellStyle name="20% - Énfasis2 31 9" xfId="2494" xr:uid="{00000000-0005-0000-0000-0000BE090000}"/>
    <cellStyle name="20% - Énfasis2 31 9 2" xfId="2495" xr:uid="{00000000-0005-0000-0000-0000BF090000}"/>
    <cellStyle name="20% - Énfasis2 32" xfId="2496" xr:uid="{00000000-0005-0000-0000-0000C0090000}"/>
    <cellStyle name="20% - Énfasis2 32 10" xfId="2497" xr:uid="{00000000-0005-0000-0000-0000C1090000}"/>
    <cellStyle name="20% - Énfasis2 32 10 2" xfId="2498" xr:uid="{00000000-0005-0000-0000-0000C2090000}"/>
    <cellStyle name="20% - Énfasis2 32 11" xfId="2499" xr:uid="{00000000-0005-0000-0000-0000C3090000}"/>
    <cellStyle name="20% - Énfasis2 32 11 2" xfId="2500" xr:uid="{00000000-0005-0000-0000-0000C4090000}"/>
    <cellStyle name="20% - Énfasis2 32 12" xfId="2501" xr:uid="{00000000-0005-0000-0000-0000C5090000}"/>
    <cellStyle name="20% - Énfasis2 32 12 2" xfId="2502" xr:uid="{00000000-0005-0000-0000-0000C6090000}"/>
    <cellStyle name="20% - Énfasis2 32 13" xfId="2503" xr:uid="{00000000-0005-0000-0000-0000C7090000}"/>
    <cellStyle name="20% - Énfasis2 32 13 2" xfId="2504" xr:uid="{00000000-0005-0000-0000-0000C8090000}"/>
    <cellStyle name="20% - Énfasis2 32 14" xfId="2505" xr:uid="{00000000-0005-0000-0000-0000C9090000}"/>
    <cellStyle name="20% - Énfasis2 32 14 2" xfId="2506" xr:uid="{00000000-0005-0000-0000-0000CA090000}"/>
    <cellStyle name="20% - Énfasis2 32 15" xfId="2507" xr:uid="{00000000-0005-0000-0000-0000CB090000}"/>
    <cellStyle name="20% - Énfasis2 32 15 2" xfId="2508" xr:uid="{00000000-0005-0000-0000-0000CC090000}"/>
    <cellStyle name="20% - Énfasis2 32 16" xfId="2509" xr:uid="{00000000-0005-0000-0000-0000CD090000}"/>
    <cellStyle name="20% - Énfasis2 32 16 2" xfId="2510" xr:uid="{00000000-0005-0000-0000-0000CE090000}"/>
    <cellStyle name="20% - Énfasis2 32 17" xfId="2511" xr:uid="{00000000-0005-0000-0000-0000CF090000}"/>
    <cellStyle name="20% - Énfasis2 32 17 2" xfId="2512" xr:uid="{00000000-0005-0000-0000-0000D0090000}"/>
    <cellStyle name="20% - Énfasis2 32 18" xfId="2513" xr:uid="{00000000-0005-0000-0000-0000D1090000}"/>
    <cellStyle name="20% - Énfasis2 32 18 2" xfId="2514" xr:uid="{00000000-0005-0000-0000-0000D2090000}"/>
    <cellStyle name="20% - Énfasis2 32 19" xfId="2515" xr:uid="{00000000-0005-0000-0000-0000D3090000}"/>
    <cellStyle name="20% - Énfasis2 32 19 2" xfId="2516" xr:uid="{00000000-0005-0000-0000-0000D4090000}"/>
    <cellStyle name="20% - Énfasis2 32 2" xfId="2517" xr:uid="{00000000-0005-0000-0000-0000D5090000}"/>
    <cellStyle name="20% - Énfasis2 32 2 2" xfId="2518" xr:uid="{00000000-0005-0000-0000-0000D6090000}"/>
    <cellStyle name="20% - Énfasis2 32 20" xfId="2519" xr:uid="{00000000-0005-0000-0000-0000D7090000}"/>
    <cellStyle name="20% - Énfasis2 32 3" xfId="2520" xr:uid="{00000000-0005-0000-0000-0000D8090000}"/>
    <cellStyle name="20% - Énfasis2 32 3 2" xfId="2521" xr:uid="{00000000-0005-0000-0000-0000D9090000}"/>
    <cellStyle name="20% - Énfasis2 32 4" xfId="2522" xr:uid="{00000000-0005-0000-0000-0000DA090000}"/>
    <cellStyle name="20% - Énfasis2 32 4 2" xfId="2523" xr:uid="{00000000-0005-0000-0000-0000DB090000}"/>
    <cellStyle name="20% - Énfasis2 32 5" xfId="2524" xr:uid="{00000000-0005-0000-0000-0000DC090000}"/>
    <cellStyle name="20% - Énfasis2 32 5 2" xfId="2525" xr:uid="{00000000-0005-0000-0000-0000DD090000}"/>
    <cellStyle name="20% - Énfasis2 32 6" xfId="2526" xr:uid="{00000000-0005-0000-0000-0000DE090000}"/>
    <cellStyle name="20% - Énfasis2 32 6 2" xfId="2527" xr:uid="{00000000-0005-0000-0000-0000DF090000}"/>
    <cellStyle name="20% - Énfasis2 32 7" xfId="2528" xr:uid="{00000000-0005-0000-0000-0000E0090000}"/>
    <cellStyle name="20% - Énfasis2 32 7 2" xfId="2529" xr:uid="{00000000-0005-0000-0000-0000E1090000}"/>
    <cellStyle name="20% - Énfasis2 32 8" xfId="2530" xr:uid="{00000000-0005-0000-0000-0000E2090000}"/>
    <cellStyle name="20% - Énfasis2 32 8 2" xfId="2531" xr:uid="{00000000-0005-0000-0000-0000E3090000}"/>
    <cellStyle name="20% - Énfasis2 32 9" xfId="2532" xr:uid="{00000000-0005-0000-0000-0000E4090000}"/>
    <cellStyle name="20% - Énfasis2 32 9 2" xfId="2533" xr:uid="{00000000-0005-0000-0000-0000E5090000}"/>
    <cellStyle name="20% - Énfasis2 33" xfId="2534" xr:uid="{00000000-0005-0000-0000-0000E6090000}"/>
    <cellStyle name="20% - Énfasis2 33 10" xfId="2535" xr:uid="{00000000-0005-0000-0000-0000E7090000}"/>
    <cellStyle name="20% - Énfasis2 33 10 2" xfId="2536" xr:uid="{00000000-0005-0000-0000-0000E8090000}"/>
    <cellStyle name="20% - Énfasis2 33 11" xfId="2537" xr:uid="{00000000-0005-0000-0000-0000E9090000}"/>
    <cellStyle name="20% - Énfasis2 33 11 2" xfId="2538" xr:uid="{00000000-0005-0000-0000-0000EA090000}"/>
    <cellStyle name="20% - Énfasis2 33 12" xfId="2539" xr:uid="{00000000-0005-0000-0000-0000EB090000}"/>
    <cellStyle name="20% - Énfasis2 33 12 2" xfId="2540" xr:uid="{00000000-0005-0000-0000-0000EC090000}"/>
    <cellStyle name="20% - Énfasis2 33 13" xfId="2541" xr:uid="{00000000-0005-0000-0000-0000ED090000}"/>
    <cellStyle name="20% - Énfasis2 33 13 2" xfId="2542" xr:uid="{00000000-0005-0000-0000-0000EE090000}"/>
    <cellStyle name="20% - Énfasis2 33 14" xfId="2543" xr:uid="{00000000-0005-0000-0000-0000EF090000}"/>
    <cellStyle name="20% - Énfasis2 33 14 2" xfId="2544" xr:uid="{00000000-0005-0000-0000-0000F0090000}"/>
    <cellStyle name="20% - Énfasis2 33 15" xfId="2545" xr:uid="{00000000-0005-0000-0000-0000F1090000}"/>
    <cellStyle name="20% - Énfasis2 33 15 2" xfId="2546" xr:uid="{00000000-0005-0000-0000-0000F2090000}"/>
    <cellStyle name="20% - Énfasis2 33 16" xfId="2547" xr:uid="{00000000-0005-0000-0000-0000F3090000}"/>
    <cellStyle name="20% - Énfasis2 33 16 2" xfId="2548" xr:uid="{00000000-0005-0000-0000-0000F4090000}"/>
    <cellStyle name="20% - Énfasis2 33 17" xfId="2549" xr:uid="{00000000-0005-0000-0000-0000F5090000}"/>
    <cellStyle name="20% - Énfasis2 33 17 2" xfId="2550" xr:uid="{00000000-0005-0000-0000-0000F6090000}"/>
    <cellStyle name="20% - Énfasis2 33 18" xfId="2551" xr:uid="{00000000-0005-0000-0000-0000F7090000}"/>
    <cellStyle name="20% - Énfasis2 33 18 2" xfId="2552" xr:uid="{00000000-0005-0000-0000-0000F8090000}"/>
    <cellStyle name="20% - Énfasis2 33 19" xfId="2553" xr:uid="{00000000-0005-0000-0000-0000F9090000}"/>
    <cellStyle name="20% - Énfasis2 33 19 2" xfId="2554" xr:uid="{00000000-0005-0000-0000-0000FA090000}"/>
    <cellStyle name="20% - Énfasis2 33 2" xfId="2555" xr:uid="{00000000-0005-0000-0000-0000FB090000}"/>
    <cellStyle name="20% - Énfasis2 33 2 2" xfId="2556" xr:uid="{00000000-0005-0000-0000-0000FC090000}"/>
    <cellStyle name="20% - Énfasis2 33 20" xfId="2557" xr:uid="{00000000-0005-0000-0000-0000FD090000}"/>
    <cellStyle name="20% - Énfasis2 33 3" xfId="2558" xr:uid="{00000000-0005-0000-0000-0000FE090000}"/>
    <cellStyle name="20% - Énfasis2 33 3 2" xfId="2559" xr:uid="{00000000-0005-0000-0000-0000FF090000}"/>
    <cellStyle name="20% - Énfasis2 33 4" xfId="2560" xr:uid="{00000000-0005-0000-0000-0000000A0000}"/>
    <cellStyle name="20% - Énfasis2 33 4 2" xfId="2561" xr:uid="{00000000-0005-0000-0000-0000010A0000}"/>
    <cellStyle name="20% - Énfasis2 33 5" xfId="2562" xr:uid="{00000000-0005-0000-0000-0000020A0000}"/>
    <cellStyle name="20% - Énfasis2 33 5 2" xfId="2563" xr:uid="{00000000-0005-0000-0000-0000030A0000}"/>
    <cellStyle name="20% - Énfasis2 33 6" xfId="2564" xr:uid="{00000000-0005-0000-0000-0000040A0000}"/>
    <cellStyle name="20% - Énfasis2 33 6 2" xfId="2565" xr:uid="{00000000-0005-0000-0000-0000050A0000}"/>
    <cellStyle name="20% - Énfasis2 33 7" xfId="2566" xr:uid="{00000000-0005-0000-0000-0000060A0000}"/>
    <cellStyle name="20% - Énfasis2 33 7 2" xfId="2567" xr:uid="{00000000-0005-0000-0000-0000070A0000}"/>
    <cellStyle name="20% - Énfasis2 33 8" xfId="2568" xr:uid="{00000000-0005-0000-0000-0000080A0000}"/>
    <cellStyle name="20% - Énfasis2 33 8 2" xfId="2569" xr:uid="{00000000-0005-0000-0000-0000090A0000}"/>
    <cellStyle name="20% - Énfasis2 33 9" xfId="2570" xr:uid="{00000000-0005-0000-0000-00000A0A0000}"/>
    <cellStyle name="20% - Énfasis2 33 9 2" xfId="2571" xr:uid="{00000000-0005-0000-0000-00000B0A0000}"/>
    <cellStyle name="20% - Énfasis2 34" xfId="2572" xr:uid="{00000000-0005-0000-0000-00000C0A0000}"/>
    <cellStyle name="20% - Énfasis2 34 10" xfId="2573" xr:uid="{00000000-0005-0000-0000-00000D0A0000}"/>
    <cellStyle name="20% - Énfasis2 34 10 2" xfId="2574" xr:uid="{00000000-0005-0000-0000-00000E0A0000}"/>
    <cellStyle name="20% - Énfasis2 34 11" xfId="2575" xr:uid="{00000000-0005-0000-0000-00000F0A0000}"/>
    <cellStyle name="20% - Énfasis2 34 11 2" xfId="2576" xr:uid="{00000000-0005-0000-0000-0000100A0000}"/>
    <cellStyle name="20% - Énfasis2 34 12" xfId="2577" xr:uid="{00000000-0005-0000-0000-0000110A0000}"/>
    <cellStyle name="20% - Énfasis2 34 12 2" xfId="2578" xr:uid="{00000000-0005-0000-0000-0000120A0000}"/>
    <cellStyle name="20% - Énfasis2 34 13" xfId="2579" xr:uid="{00000000-0005-0000-0000-0000130A0000}"/>
    <cellStyle name="20% - Énfasis2 34 13 2" xfId="2580" xr:uid="{00000000-0005-0000-0000-0000140A0000}"/>
    <cellStyle name="20% - Énfasis2 34 14" xfId="2581" xr:uid="{00000000-0005-0000-0000-0000150A0000}"/>
    <cellStyle name="20% - Énfasis2 34 14 2" xfId="2582" xr:uid="{00000000-0005-0000-0000-0000160A0000}"/>
    <cellStyle name="20% - Énfasis2 34 15" xfId="2583" xr:uid="{00000000-0005-0000-0000-0000170A0000}"/>
    <cellStyle name="20% - Énfasis2 34 15 2" xfId="2584" xr:uid="{00000000-0005-0000-0000-0000180A0000}"/>
    <cellStyle name="20% - Énfasis2 34 16" xfId="2585" xr:uid="{00000000-0005-0000-0000-0000190A0000}"/>
    <cellStyle name="20% - Énfasis2 34 16 2" xfId="2586" xr:uid="{00000000-0005-0000-0000-00001A0A0000}"/>
    <cellStyle name="20% - Énfasis2 34 17" xfId="2587" xr:uid="{00000000-0005-0000-0000-00001B0A0000}"/>
    <cellStyle name="20% - Énfasis2 34 17 2" xfId="2588" xr:uid="{00000000-0005-0000-0000-00001C0A0000}"/>
    <cellStyle name="20% - Énfasis2 34 18" xfId="2589" xr:uid="{00000000-0005-0000-0000-00001D0A0000}"/>
    <cellStyle name="20% - Énfasis2 34 18 2" xfId="2590" xr:uid="{00000000-0005-0000-0000-00001E0A0000}"/>
    <cellStyle name="20% - Énfasis2 34 19" xfId="2591" xr:uid="{00000000-0005-0000-0000-00001F0A0000}"/>
    <cellStyle name="20% - Énfasis2 34 19 2" xfId="2592" xr:uid="{00000000-0005-0000-0000-0000200A0000}"/>
    <cellStyle name="20% - Énfasis2 34 2" xfId="2593" xr:uid="{00000000-0005-0000-0000-0000210A0000}"/>
    <cellStyle name="20% - Énfasis2 34 2 2" xfId="2594" xr:uid="{00000000-0005-0000-0000-0000220A0000}"/>
    <cellStyle name="20% - Énfasis2 34 20" xfId="2595" xr:uid="{00000000-0005-0000-0000-0000230A0000}"/>
    <cellStyle name="20% - Énfasis2 34 3" xfId="2596" xr:uid="{00000000-0005-0000-0000-0000240A0000}"/>
    <cellStyle name="20% - Énfasis2 34 3 2" xfId="2597" xr:uid="{00000000-0005-0000-0000-0000250A0000}"/>
    <cellStyle name="20% - Énfasis2 34 4" xfId="2598" xr:uid="{00000000-0005-0000-0000-0000260A0000}"/>
    <cellStyle name="20% - Énfasis2 34 4 2" xfId="2599" xr:uid="{00000000-0005-0000-0000-0000270A0000}"/>
    <cellStyle name="20% - Énfasis2 34 5" xfId="2600" xr:uid="{00000000-0005-0000-0000-0000280A0000}"/>
    <cellStyle name="20% - Énfasis2 34 5 2" xfId="2601" xr:uid="{00000000-0005-0000-0000-0000290A0000}"/>
    <cellStyle name="20% - Énfasis2 34 6" xfId="2602" xr:uid="{00000000-0005-0000-0000-00002A0A0000}"/>
    <cellStyle name="20% - Énfasis2 34 6 2" xfId="2603" xr:uid="{00000000-0005-0000-0000-00002B0A0000}"/>
    <cellStyle name="20% - Énfasis2 34 7" xfId="2604" xr:uid="{00000000-0005-0000-0000-00002C0A0000}"/>
    <cellStyle name="20% - Énfasis2 34 7 2" xfId="2605" xr:uid="{00000000-0005-0000-0000-00002D0A0000}"/>
    <cellStyle name="20% - Énfasis2 34 8" xfId="2606" xr:uid="{00000000-0005-0000-0000-00002E0A0000}"/>
    <cellStyle name="20% - Énfasis2 34 8 2" xfId="2607" xr:uid="{00000000-0005-0000-0000-00002F0A0000}"/>
    <cellStyle name="20% - Énfasis2 34 9" xfId="2608" xr:uid="{00000000-0005-0000-0000-0000300A0000}"/>
    <cellStyle name="20% - Énfasis2 34 9 2" xfId="2609" xr:uid="{00000000-0005-0000-0000-0000310A0000}"/>
    <cellStyle name="20% - Énfasis2 35" xfId="2610" xr:uid="{00000000-0005-0000-0000-0000320A0000}"/>
    <cellStyle name="20% - Énfasis2 35 10" xfId="2611" xr:uid="{00000000-0005-0000-0000-0000330A0000}"/>
    <cellStyle name="20% - Énfasis2 35 10 2" xfId="2612" xr:uid="{00000000-0005-0000-0000-0000340A0000}"/>
    <cellStyle name="20% - Énfasis2 35 11" xfId="2613" xr:uid="{00000000-0005-0000-0000-0000350A0000}"/>
    <cellStyle name="20% - Énfasis2 35 11 2" xfId="2614" xr:uid="{00000000-0005-0000-0000-0000360A0000}"/>
    <cellStyle name="20% - Énfasis2 35 12" xfId="2615" xr:uid="{00000000-0005-0000-0000-0000370A0000}"/>
    <cellStyle name="20% - Énfasis2 35 12 2" xfId="2616" xr:uid="{00000000-0005-0000-0000-0000380A0000}"/>
    <cellStyle name="20% - Énfasis2 35 13" xfId="2617" xr:uid="{00000000-0005-0000-0000-0000390A0000}"/>
    <cellStyle name="20% - Énfasis2 35 13 2" xfId="2618" xr:uid="{00000000-0005-0000-0000-00003A0A0000}"/>
    <cellStyle name="20% - Énfasis2 35 14" xfId="2619" xr:uid="{00000000-0005-0000-0000-00003B0A0000}"/>
    <cellStyle name="20% - Énfasis2 35 14 2" xfId="2620" xr:uid="{00000000-0005-0000-0000-00003C0A0000}"/>
    <cellStyle name="20% - Énfasis2 35 15" xfId="2621" xr:uid="{00000000-0005-0000-0000-00003D0A0000}"/>
    <cellStyle name="20% - Énfasis2 35 15 2" xfId="2622" xr:uid="{00000000-0005-0000-0000-00003E0A0000}"/>
    <cellStyle name="20% - Énfasis2 35 16" xfId="2623" xr:uid="{00000000-0005-0000-0000-00003F0A0000}"/>
    <cellStyle name="20% - Énfasis2 35 16 2" xfId="2624" xr:uid="{00000000-0005-0000-0000-0000400A0000}"/>
    <cellStyle name="20% - Énfasis2 35 17" xfId="2625" xr:uid="{00000000-0005-0000-0000-0000410A0000}"/>
    <cellStyle name="20% - Énfasis2 35 17 2" xfId="2626" xr:uid="{00000000-0005-0000-0000-0000420A0000}"/>
    <cellStyle name="20% - Énfasis2 35 18" xfId="2627" xr:uid="{00000000-0005-0000-0000-0000430A0000}"/>
    <cellStyle name="20% - Énfasis2 35 18 2" xfId="2628" xr:uid="{00000000-0005-0000-0000-0000440A0000}"/>
    <cellStyle name="20% - Énfasis2 35 19" xfId="2629" xr:uid="{00000000-0005-0000-0000-0000450A0000}"/>
    <cellStyle name="20% - Énfasis2 35 19 2" xfId="2630" xr:uid="{00000000-0005-0000-0000-0000460A0000}"/>
    <cellStyle name="20% - Énfasis2 35 2" xfId="2631" xr:uid="{00000000-0005-0000-0000-0000470A0000}"/>
    <cellStyle name="20% - Énfasis2 35 2 2" xfId="2632" xr:uid="{00000000-0005-0000-0000-0000480A0000}"/>
    <cellStyle name="20% - Énfasis2 35 20" xfId="2633" xr:uid="{00000000-0005-0000-0000-0000490A0000}"/>
    <cellStyle name="20% - Énfasis2 35 3" xfId="2634" xr:uid="{00000000-0005-0000-0000-00004A0A0000}"/>
    <cellStyle name="20% - Énfasis2 35 3 2" xfId="2635" xr:uid="{00000000-0005-0000-0000-00004B0A0000}"/>
    <cellStyle name="20% - Énfasis2 35 4" xfId="2636" xr:uid="{00000000-0005-0000-0000-00004C0A0000}"/>
    <cellStyle name="20% - Énfasis2 35 4 2" xfId="2637" xr:uid="{00000000-0005-0000-0000-00004D0A0000}"/>
    <cellStyle name="20% - Énfasis2 35 5" xfId="2638" xr:uid="{00000000-0005-0000-0000-00004E0A0000}"/>
    <cellStyle name="20% - Énfasis2 35 5 2" xfId="2639" xr:uid="{00000000-0005-0000-0000-00004F0A0000}"/>
    <cellStyle name="20% - Énfasis2 35 6" xfId="2640" xr:uid="{00000000-0005-0000-0000-0000500A0000}"/>
    <cellStyle name="20% - Énfasis2 35 6 2" xfId="2641" xr:uid="{00000000-0005-0000-0000-0000510A0000}"/>
    <cellStyle name="20% - Énfasis2 35 7" xfId="2642" xr:uid="{00000000-0005-0000-0000-0000520A0000}"/>
    <cellStyle name="20% - Énfasis2 35 7 2" xfId="2643" xr:uid="{00000000-0005-0000-0000-0000530A0000}"/>
    <cellStyle name="20% - Énfasis2 35 8" xfId="2644" xr:uid="{00000000-0005-0000-0000-0000540A0000}"/>
    <cellStyle name="20% - Énfasis2 35 8 2" xfId="2645" xr:uid="{00000000-0005-0000-0000-0000550A0000}"/>
    <cellStyle name="20% - Énfasis2 35 9" xfId="2646" xr:uid="{00000000-0005-0000-0000-0000560A0000}"/>
    <cellStyle name="20% - Énfasis2 35 9 2" xfId="2647" xr:uid="{00000000-0005-0000-0000-0000570A0000}"/>
    <cellStyle name="20% - Énfasis2 36" xfId="2648" xr:uid="{00000000-0005-0000-0000-0000580A0000}"/>
    <cellStyle name="20% - Énfasis2 36 10" xfId="2649" xr:uid="{00000000-0005-0000-0000-0000590A0000}"/>
    <cellStyle name="20% - Énfasis2 36 10 2" xfId="2650" xr:uid="{00000000-0005-0000-0000-00005A0A0000}"/>
    <cellStyle name="20% - Énfasis2 36 11" xfId="2651" xr:uid="{00000000-0005-0000-0000-00005B0A0000}"/>
    <cellStyle name="20% - Énfasis2 36 11 2" xfId="2652" xr:uid="{00000000-0005-0000-0000-00005C0A0000}"/>
    <cellStyle name="20% - Énfasis2 36 12" xfId="2653" xr:uid="{00000000-0005-0000-0000-00005D0A0000}"/>
    <cellStyle name="20% - Énfasis2 36 12 2" xfId="2654" xr:uid="{00000000-0005-0000-0000-00005E0A0000}"/>
    <cellStyle name="20% - Énfasis2 36 13" xfId="2655" xr:uid="{00000000-0005-0000-0000-00005F0A0000}"/>
    <cellStyle name="20% - Énfasis2 36 13 2" xfId="2656" xr:uid="{00000000-0005-0000-0000-0000600A0000}"/>
    <cellStyle name="20% - Énfasis2 36 14" xfId="2657" xr:uid="{00000000-0005-0000-0000-0000610A0000}"/>
    <cellStyle name="20% - Énfasis2 36 14 2" xfId="2658" xr:uid="{00000000-0005-0000-0000-0000620A0000}"/>
    <cellStyle name="20% - Énfasis2 36 15" xfId="2659" xr:uid="{00000000-0005-0000-0000-0000630A0000}"/>
    <cellStyle name="20% - Énfasis2 36 15 2" xfId="2660" xr:uid="{00000000-0005-0000-0000-0000640A0000}"/>
    <cellStyle name="20% - Énfasis2 36 16" xfId="2661" xr:uid="{00000000-0005-0000-0000-0000650A0000}"/>
    <cellStyle name="20% - Énfasis2 36 16 2" xfId="2662" xr:uid="{00000000-0005-0000-0000-0000660A0000}"/>
    <cellStyle name="20% - Énfasis2 36 17" xfId="2663" xr:uid="{00000000-0005-0000-0000-0000670A0000}"/>
    <cellStyle name="20% - Énfasis2 36 17 2" xfId="2664" xr:uid="{00000000-0005-0000-0000-0000680A0000}"/>
    <cellStyle name="20% - Énfasis2 36 18" xfId="2665" xr:uid="{00000000-0005-0000-0000-0000690A0000}"/>
    <cellStyle name="20% - Énfasis2 36 18 2" xfId="2666" xr:uid="{00000000-0005-0000-0000-00006A0A0000}"/>
    <cellStyle name="20% - Énfasis2 36 19" xfId="2667" xr:uid="{00000000-0005-0000-0000-00006B0A0000}"/>
    <cellStyle name="20% - Énfasis2 36 19 2" xfId="2668" xr:uid="{00000000-0005-0000-0000-00006C0A0000}"/>
    <cellStyle name="20% - Énfasis2 36 2" xfId="2669" xr:uid="{00000000-0005-0000-0000-00006D0A0000}"/>
    <cellStyle name="20% - Énfasis2 36 2 2" xfId="2670" xr:uid="{00000000-0005-0000-0000-00006E0A0000}"/>
    <cellStyle name="20% - Énfasis2 36 20" xfId="2671" xr:uid="{00000000-0005-0000-0000-00006F0A0000}"/>
    <cellStyle name="20% - Énfasis2 36 3" xfId="2672" xr:uid="{00000000-0005-0000-0000-0000700A0000}"/>
    <cellStyle name="20% - Énfasis2 36 3 2" xfId="2673" xr:uid="{00000000-0005-0000-0000-0000710A0000}"/>
    <cellStyle name="20% - Énfasis2 36 4" xfId="2674" xr:uid="{00000000-0005-0000-0000-0000720A0000}"/>
    <cellStyle name="20% - Énfasis2 36 4 2" xfId="2675" xr:uid="{00000000-0005-0000-0000-0000730A0000}"/>
    <cellStyle name="20% - Énfasis2 36 5" xfId="2676" xr:uid="{00000000-0005-0000-0000-0000740A0000}"/>
    <cellStyle name="20% - Énfasis2 36 5 2" xfId="2677" xr:uid="{00000000-0005-0000-0000-0000750A0000}"/>
    <cellStyle name="20% - Énfasis2 36 6" xfId="2678" xr:uid="{00000000-0005-0000-0000-0000760A0000}"/>
    <cellStyle name="20% - Énfasis2 36 6 2" xfId="2679" xr:uid="{00000000-0005-0000-0000-0000770A0000}"/>
    <cellStyle name="20% - Énfasis2 36 7" xfId="2680" xr:uid="{00000000-0005-0000-0000-0000780A0000}"/>
    <cellStyle name="20% - Énfasis2 36 7 2" xfId="2681" xr:uid="{00000000-0005-0000-0000-0000790A0000}"/>
    <cellStyle name="20% - Énfasis2 36 8" xfId="2682" xr:uid="{00000000-0005-0000-0000-00007A0A0000}"/>
    <cellStyle name="20% - Énfasis2 36 8 2" xfId="2683" xr:uid="{00000000-0005-0000-0000-00007B0A0000}"/>
    <cellStyle name="20% - Énfasis2 36 9" xfId="2684" xr:uid="{00000000-0005-0000-0000-00007C0A0000}"/>
    <cellStyle name="20% - Énfasis2 36 9 2" xfId="2685" xr:uid="{00000000-0005-0000-0000-00007D0A0000}"/>
    <cellStyle name="20% - Énfasis2 37" xfId="2686" xr:uid="{00000000-0005-0000-0000-00007E0A0000}"/>
    <cellStyle name="20% - Énfasis2 37 2" xfId="2687" xr:uid="{00000000-0005-0000-0000-00007F0A0000}"/>
    <cellStyle name="20% - Énfasis2 38" xfId="2688" xr:uid="{00000000-0005-0000-0000-0000800A0000}"/>
    <cellStyle name="20% - Énfasis2 38 2" xfId="2689" xr:uid="{00000000-0005-0000-0000-0000810A0000}"/>
    <cellStyle name="20% - Énfasis2 39" xfId="2690" xr:uid="{00000000-0005-0000-0000-0000820A0000}"/>
    <cellStyle name="20% - Énfasis2 39 2" xfId="2691" xr:uid="{00000000-0005-0000-0000-0000830A0000}"/>
    <cellStyle name="20% - Énfasis2 4" xfId="2692" xr:uid="{00000000-0005-0000-0000-0000840A0000}"/>
    <cellStyle name="20% - Énfasis2 4 10" xfId="2693" xr:uid="{00000000-0005-0000-0000-0000850A0000}"/>
    <cellStyle name="20% - Énfasis2 4 10 2" xfId="2694" xr:uid="{00000000-0005-0000-0000-0000860A0000}"/>
    <cellStyle name="20% - Énfasis2 4 11" xfId="2695" xr:uid="{00000000-0005-0000-0000-0000870A0000}"/>
    <cellStyle name="20% - Énfasis2 4 11 2" xfId="2696" xr:uid="{00000000-0005-0000-0000-0000880A0000}"/>
    <cellStyle name="20% - Énfasis2 4 12" xfId="2697" xr:uid="{00000000-0005-0000-0000-0000890A0000}"/>
    <cellStyle name="20% - Énfasis2 4 12 2" xfId="2698" xr:uid="{00000000-0005-0000-0000-00008A0A0000}"/>
    <cellStyle name="20% - Énfasis2 4 13" xfId="2699" xr:uid="{00000000-0005-0000-0000-00008B0A0000}"/>
    <cellStyle name="20% - Énfasis2 4 13 2" xfId="2700" xr:uid="{00000000-0005-0000-0000-00008C0A0000}"/>
    <cellStyle name="20% - Énfasis2 4 14" xfId="2701" xr:uid="{00000000-0005-0000-0000-00008D0A0000}"/>
    <cellStyle name="20% - Énfasis2 4 14 2" xfId="2702" xr:uid="{00000000-0005-0000-0000-00008E0A0000}"/>
    <cellStyle name="20% - Énfasis2 4 15" xfId="2703" xr:uid="{00000000-0005-0000-0000-00008F0A0000}"/>
    <cellStyle name="20% - Énfasis2 4 15 2" xfId="2704" xr:uid="{00000000-0005-0000-0000-0000900A0000}"/>
    <cellStyle name="20% - Énfasis2 4 16" xfId="2705" xr:uid="{00000000-0005-0000-0000-0000910A0000}"/>
    <cellStyle name="20% - Énfasis2 4 16 2" xfId="2706" xr:uid="{00000000-0005-0000-0000-0000920A0000}"/>
    <cellStyle name="20% - Énfasis2 4 17" xfId="2707" xr:uid="{00000000-0005-0000-0000-0000930A0000}"/>
    <cellStyle name="20% - Énfasis2 4 17 2" xfId="2708" xr:uid="{00000000-0005-0000-0000-0000940A0000}"/>
    <cellStyle name="20% - Énfasis2 4 18" xfId="2709" xr:uid="{00000000-0005-0000-0000-0000950A0000}"/>
    <cellStyle name="20% - Énfasis2 4 18 2" xfId="2710" xr:uid="{00000000-0005-0000-0000-0000960A0000}"/>
    <cellStyle name="20% - Énfasis2 4 19" xfId="2711" xr:uid="{00000000-0005-0000-0000-0000970A0000}"/>
    <cellStyle name="20% - Énfasis2 4 19 2" xfId="2712" xr:uid="{00000000-0005-0000-0000-0000980A0000}"/>
    <cellStyle name="20% - Énfasis2 4 2" xfId="2713" xr:uid="{00000000-0005-0000-0000-0000990A0000}"/>
    <cellStyle name="20% - Énfasis2 4 2 2" xfId="2714" xr:uid="{00000000-0005-0000-0000-00009A0A0000}"/>
    <cellStyle name="20% - Énfasis2 4 20" xfId="2715" xr:uid="{00000000-0005-0000-0000-00009B0A0000}"/>
    <cellStyle name="20% - Énfasis2 4 21" xfId="2716" xr:uid="{00000000-0005-0000-0000-00009C0A0000}"/>
    <cellStyle name="20% - Énfasis2 4 3" xfId="2717" xr:uid="{00000000-0005-0000-0000-00009D0A0000}"/>
    <cellStyle name="20% - Énfasis2 4 3 2" xfId="2718" xr:uid="{00000000-0005-0000-0000-00009E0A0000}"/>
    <cellStyle name="20% - Énfasis2 4 4" xfId="2719" xr:uid="{00000000-0005-0000-0000-00009F0A0000}"/>
    <cellStyle name="20% - Énfasis2 4 4 2" xfId="2720" xr:uid="{00000000-0005-0000-0000-0000A00A0000}"/>
    <cellStyle name="20% - Énfasis2 4 5" xfId="2721" xr:uid="{00000000-0005-0000-0000-0000A10A0000}"/>
    <cellStyle name="20% - Énfasis2 4 5 2" xfId="2722" xr:uid="{00000000-0005-0000-0000-0000A20A0000}"/>
    <cellStyle name="20% - Énfasis2 4 6" xfId="2723" xr:uid="{00000000-0005-0000-0000-0000A30A0000}"/>
    <cellStyle name="20% - Énfasis2 4 6 2" xfId="2724" xr:uid="{00000000-0005-0000-0000-0000A40A0000}"/>
    <cellStyle name="20% - Énfasis2 4 7" xfId="2725" xr:uid="{00000000-0005-0000-0000-0000A50A0000}"/>
    <cellStyle name="20% - Énfasis2 4 7 2" xfId="2726" xr:uid="{00000000-0005-0000-0000-0000A60A0000}"/>
    <cellStyle name="20% - Énfasis2 4 8" xfId="2727" xr:uid="{00000000-0005-0000-0000-0000A70A0000}"/>
    <cellStyle name="20% - Énfasis2 4 8 2" xfId="2728" xr:uid="{00000000-0005-0000-0000-0000A80A0000}"/>
    <cellStyle name="20% - Énfasis2 4 9" xfId="2729" xr:uid="{00000000-0005-0000-0000-0000A90A0000}"/>
    <cellStyle name="20% - Énfasis2 4 9 2" xfId="2730" xr:uid="{00000000-0005-0000-0000-0000AA0A0000}"/>
    <cellStyle name="20% - Énfasis2 40" xfId="2731" xr:uid="{00000000-0005-0000-0000-0000AB0A0000}"/>
    <cellStyle name="20% - Énfasis2 40 2" xfId="2732" xr:uid="{00000000-0005-0000-0000-0000AC0A0000}"/>
    <cellStyle name="20% - Énfasis2 41" xfId="2733" xr:uid="{00000000-0005-0000-0000-0000AD0A0000}"/>
    <cellStyle name="20% - Énfasis2 41 2" xfId="2734" xr:uid="{00000000-0005-0000-0000-0000AE0A0000}"/>
    <cellStyle name="20% - Énfasis2 42" xfId="2735" xr:uid="{00000000-0005-0000-0000-0000AF0A0000}"/>
    <cellStyle name="20% - Énfasis2 42 2" xfId="2736" xr:uid="{00000000-0005-0000-0000-0000B00A0000}"/>
    <cellStyle name="20% - Énfasis2 43" xfId="2737" xr:uid="{00000000-0005-0000-0000-0000B10A0000}"/>
    <cellStyle name="20% - Énfasis2 43 2" xfId="2738" xr:uid="{00000000-0005-0000-0000-0000B20A0000}"/>
    <cellStyle name="20% - Énfasis2 44" xfId="2739" xr:uid="{00000000-0005-0000-0000-0000B30A0000}"/>
    <cellStyle name="20% - Énfasis2 44 2" xfId="2740" xr:uid="{00000000-0005-0000-0000-0000B40A0000}"/>
    <cellStyle name="20% - Énfasis2 45" xfId="2741" xr:uid="{00000000-0005-0000-0000-0000B50A0000}"/>
    <cellStyle name="20% - Énfasis2 45 2" xfId="2742" xr:uid="{00000000-0005-0000-0000-0000B60A0000}"/>
    <cellStyle name="20% - Énfasis2 46" xfId="2743" xr:uid="{00000000-0005-0000-0000-0000B70A0000}"/>
    <cellStyle name="20% - Énfasis2 46 2" xfId="2744" xr:uid="{00000000-0005-0000-0000-0000B80A0000}"/>
    <cellStyle name="20% - Énfasis2 47" xfId="2745" xr:uid="{00000000-0005-0000-0000-0000B90A0000}"/>
    <cellStyle name="20% - Énfasis2 47 2" xfId="2746" xr:uid="{00000000-0005-0000-0000-0000BA0A0000}"/>
    <cellStyle name="20% - Énfasis2 48" xfId="2747" xr:uid="{00000000-0005-0000-0000-0000BB0A0000}"/>
    <cellStyle name="20% - Énfasis2 48 2" xfId="2748" xr:uid="{00000000-0005-0000-0000-0000BC0A0000}"/>
    <cellStyle name="20% - Énfasis2 49" xfId="2749" xr:uid="{00000000-0005-0000-0000-0000BD0A0000}"/>
    <cellStyle name="20% - Énfasis2 49 2" xfId="2750" xr:uid="{00000000-0005-0000-0000-0000BE0A0000}"/>
    <cellStyle name="20% - Énfasis2 5" xfId="2751" xr:uid="{00000000-0005-0000-0000-0000BF0A0000}"/>
    <cellStyle name="20% - Énfasis2 5 10" xfId="2752" xr:uid="{00000000-0005-0000-0000-0000C00A0000}"/>
    <cellStyle name="20% - Énfasis2 5 10 2" xfId="2753" xr:uid="{00000000-0005-0000-0000-0000C10A0000}"/>
    <cellStyle name="20% - Énfasis2 5 11" xfId="2754" xr:uid="{00000000-0005-0000-0000-0000C20A0000}"/>
    <cellStyle name="20% - Énfasis2 5 11 2" xfId="2755" xr:uid="{00000000-0005-0000-0000-0000C30A0000}"/>
    <cellStyle name="20% - Énfasis2 5 12" xfId="2756" xr:uid="{00000000-0005-0000-0000-0000C40A0000}"/>
    <cellStyle name="20% - Énfasis2 5 12 2" xfId="2757" xr:uid="{00000000-0005-0000-0000-0000C50A0000}"/>
    <cellStyle name="20% - Énfasis2 5 13" xfId="2758" xr:uid="{00000000-0005-0000-0000-0000C60A0000}"/>
    <cellStyle name="20% - Énfasis2 5 13 2" xfId="2759" xr:uid="{00000000-0005-0000-0000-0000C70A0000}"/>
    <cellStyle name="20% - Énfasis2 5 14" xfId="2760" xr:uid="{00000000-0005-0000-0000-0000C80A0000}"/>
    <cellStyle name="20% - Énfasis2 5 14 2" xfId="2761" xr:uid="{00000000-0005-0000-0000-0000C90A0000}"/>
    <cellStyle name="20% - Énfasis2 5 15" xfId="2762" xr:uid="{00000000-0005-0000-0000-0000CA0A0000}"/>
    <cellStyle name="20% - Énfasis2 5 15 2" xfId="2763" xr:uid="{00000000-0005-0000-0000-0000CB0A0000}"/>
    <cellStyle name="20% - Énfasis2 5 16" xfId="2764" xr:uid="{00000000-0005-0000-0000-0000CC0A0000}"/>
    <cellStyle name="20% - Énfasis2 5 16 2" xfId="2765" xr:uid="{00000000-0005-0000-0000-0000CD0A0000}"/>
    <cellStyle name="20% - Énfasis2 5 17" xfId="2766" xr:uid="{00000000-0005-0000-0000-0000CE0A0000}"/>
    <cellStyle name="20% - Énfasis2 5 17 2" xfId="2767" xr:uid="{00000000-0005-0000-0000-0000CF0A0000}"/>
    <cellStyle name="20% - Énfasis2 5 18" xfId="2768" xr:uid="{00000000-0005-0000-0000-0000D00A0000}"/>
    <cellStyle name="20% - Énfasis2 5 18 2" xfId="2769" xr:uid="{00000000-0005-0000-0000-0000D10A0000}"/>
    <cellStyle name="20% - Énfasis2 5 19" xfId="2770" xr:uid="{00000000-0005-0000-0000-0000D20A0000}"/>
    <cellStyle name="20% - Énfasis2 5 19 2" xfId="2771" xr:uid="{00000000-0005-0000-0000-0000D30A0000}"/>
    <cellStyle name="20% - Énfasis2 5 2" xfId="2772" xr:uid="{00000000-0005-0000-0000-0000D40A0000}"/>
    <cellStyle name="20% - Énfasis2 5 2 2" xfId="2773" xr:uid="{00000000-0005-0000-0000-0000D50A0000}"/>
    <cellStyle name="20% - Énfasis2 5 20" xfId="2774" xr:uid="{00000000-0005-0000-0000-0000D60A0000}"/>
    <cellStyle name="20% - Énfasis2 5 21" xfId="2775" xr:uid="{00000000-0005-0000-0000-0000D70A0000}"/>
    <cellStyle name="20% - Énfasis2 5 3" xfId="2776" xr:uid="{00000000-0005-0000-0000-0000D80A0000}"/>
    <cellStyle name="20% - Énfasis2 5 3 2" xfId="2777" xr:uid="{00000000-0005-0000-0000-0000D90A0000}"/>
    <cellStyle name="20% - Énfasis2 5 4" xfId="2778" xr:uid="{00000000-0005-0000-0000-0000DA0A0000}"/>
    <cellStyle name="20% - Énfasis2 5 4 2" xfId="2779" xr:uid="{00000000-0005-0000-0000-0000DB0A0000}"/>
    <cellStyle name="20% - Énfasis2 5 5" xfId="2780" xr:uid="{00000000-0005-0000-0000-0000DC0A0000}"/>
    <cellStyle name="20% - Énfasis2 5 5 2" xfId="2781" xr:uid="{00000000-0005-0000-0000-0000DD0A0000}"/>
    <cellStyle name="20% - Énfasis2 5 6" xfId="2782" xr:uid="{00000000-0005-0000-0000-0000DE0A0000}"/>
    <cellStyle name="20% - Énfasis2 5 6 2" xfId="2783" xr:uid="{00000000-0005-0000-0000-0000DF0A0000}"/>
    <cellStyle name="20% - Énfasis2 5 7" xfId="2784" xr:uid="{00000000-0005-0000-0000-0000E00A0000}"/>
    <cellStyle name="20% - Énfasis2 5 7 2" xfId="2785" xr:uid="{00000000-0005-0000-0000-0000E10A0000}"/>
    <cellStyle name="20% - Énfasis2 5 8" xfId="2786" xr:uid="{00000000-0005-0000-0000-0000E20A0000}"/>
    <cellStyle name="20% - Énfasis2 5 8 2" xfId="2787" xr:uid="{00000000-0005-0000-0000-0000E30A0000}"/>
    <cellStyle name="20% - Énfasis2 5 9" xfId="2788" xr:uid="{00000000-0005-0000-0000-0000E40A0000}"/>
    <cellStyle name="20% - Énfasis2 5 9 2" xfId="2789" xr:uid="{00000000-0005-0000-0000-0000E50A0000}"/>
    <cellStyle name="20% - Énfasis2 50" xfId="2790" xr:uid="{00000000-0005-0000-0000-0000E60A0000}"/>
    <cellStyle name="20% - Énfasis2 50 2" xfId="2791" xr:uid="{00000000-0005-0000-0000-0000E70A0000}"/>
    <cellStyle name="20% - Énfasis2 51" xfId="2792" xr:uid="{00000000-0005-0000-0000-0000E80A0000}"/>
    <cellStyle name="20% - Énfasis2 51 2" xfId="2793" xr:uid="{00000000-0005-0000-0000-0000E90A0000}"/>
    <cellStyle name="20% - Énfasis2 52" xfId="2794" xr:uid="{00000000-0005-0000-0000-0000EA0A0000}"/>
    <cellStyle name="20% - Énfasis2 52 2" xfId="2795" xr:uid="{00000000-0005-0000-0000-0000EB0A0000}"/>
    <cellStyle name="20% - Énfasis2 53" xfId="2796" xr:uid="{00000000-0005-0000-0000-0000EC0A0000}"/>
    <cellStyle name="20% - Énfasis2 53 2" xfId="2797" xr:uid="{00000000-0005-0000-0000-0000ED0A0000}"/>
    <cellStyle name="20% - Énfasis2 54" xfId="2798" xr:uid="{00000000-0005-0000-0000-0000EE0A0000}"/>
    <cellStyle name="20% - Énfasis2 54 2" xfId="2799" xr:uid="{00000000-0005-0000-0000-0000EF0A0000}"/>
    <cellStyle name="20% - Énfasis2 55" xfId="2800" xr:uid="{00000000-0005-0000-0000-0000F00A0000}"/>
    <cellStyle name="20% - Énfasis2 55 2" xfId="2801" xr:uid="{00000000-0005-0000-0000-0000F10A0000}"/>
    <cellStyle name="20% - Énfasis2 56" xfId="2802" xr:uid="{00000000-0005-0000-0000-0000F20A0000}"/>
    <cellStyle name="20% - Énfasis2 56 2" xfId="2803" xr:uid="{00000000-0005-0000-0000-0000F30A0000}"/>
    <cellStyle name="20% - Énfasis2 57" xfId="2804" xr:uid="{00000000-0005-0000-0000-0000F40A0000}"/>
    <cellStyle name="20% - Énfasis2 57 2" xfId="2805" xr:uid="{00000000-0005-0000-0000-0000F50A0000}"/>
    <cellStyle name="20% - Énfasis2 58" xfId="2806" xr:uid="{00000000-0005-0000-0000-0000F60A0000}"/>
    <cellStyle name="20% - Énfasis2 58 2" xfId="2807" xr:uid="{00000000-0005-0000-0000-0000F70A0000}"/>
    <cellStyle name="20% - Énfasis2 59" xfId="2808" xr:uid="{00000000-0005-0000-0000-0000F80A0000}"/>
    <cellStyle name="20% - Énfasis2 59 2" xfId="2809" xr:uid="{00000000-0005-0000-0000-0000F90A0000}"/>
    <cellStyle name="20% - Énfasis2 6" xfId="2810" xr:uid="{00000000-0005-0000-0000-0000FA0A0000}"/>
    <cellStyle name="20% - Énfasis2 6 10" xfId="2811" xr:uid="{00000000-0005-0000-0000-0000FB0A0000}"/>
    <cellStyle name="20% - Énfasis2 6 10 2" xfId="2812" xr:uid="{00000000-0005-0000-0000-0000FC0A0000}"/>
    <cellStyle name="20% - Énfasis2 6 11" xfId="2813" xr:uid="{00000000-0005-0000-0000-0000FD0A0000}"/>
    <cellStyle name="20% - Énfasis2 6 11 2" xfId="2814" xr:uid="{00000000-0005-0000-0000-0000FE0A0000}"/>
    <cellStyle name="20% - Énfasis2 6 12" xfId="2815" xr:uid="{00000000-0005-0000-0000-0000FF0A0000}"/>
    <cellStyle name="20% - Énfasis2 6 12 2" xfId="2816" xr:uid="{00000000-0005-0000-0000-0000000B0000}"/>
    <cellStyle name="20% - Énfasis2 6 13" xfId="2817" xr:uid="{00000000-0005-0000-0000-0000010B0000}"/>
    <cellStyle name="20% - Énfasis2 6 13 2" xfId="2818" xr:uid="{00000000-0005-0000-0000-0000020B0000}"/>
    <cellStyle name="20% - Énfasis2 6 14" xfId="2819" xr:uid="{00000000-0005-0000-0000-0000030B0000}"/>
    <cellStyle name="20% - Énfasis2 6 14 2" xfId="2820" xr:uid="{00000000-0005-0000-0000-0000040B0000}"/>
    <cellStyle name="20% - Énfasis2 6 15" xfId="2821" xr:uid="{00000000-0005-0000-0000-0000050B0000}"/>
    <cellStyle name="20% - Énfasis2 6 15 2" xfId="2822" xr:uid="{00000000-0005-0000-0000-0000060B0000}"/>
    <cellStyle name="20% - Énfasis2 6 16" xfId="2823" xr:uid="{00000000-0005-0000-0000-0000070B0000}"/>
    <cellStyle name="20% - Énfasis2 6 16 2" xfId="2824" xr:uid="{00000000-0005-0000-0000-0000080B0000}"/>
    <cellStyle name="20% - Énfasis2 6 17" xfId="2825" xr:uid="{00000000-0005-0000-0000-0000090B0000}"/>
    <cellStyle name="20% - Énfasis2 6 17 2" xfId="2826" xr:uid="{00000000-0005-0000-0000-00000A0B0000}"/>
    <cellStyle name="20% - Énfasis2 6 18" xfId="2827" xr:uid="{00000000-0005-0000-0000-00000B0B0000}"/>
    <cellStyle name="20% - Énfasis2 6 18 2" xfId="2828" xr:uid="{00000000-0005-0000-0000-00000C0B0000}"/>
    <cellStyle name="20% - Énfasis2 6 19" xfId="2829" xr:uid="{00000000-0005-0000-0000-00000D0B0000}"/>
    <cellStyle name="20% - Énfasis2 6 19 2" xfId="2830" xr:uid="{00000000-0005-0000-0000-00000E0B0000}"/>
    <cellStyle name="20% - Énfasis2 6 2" xfId="2831" xr:uid="{00000000-0005-0000-0000-00000F0B0000}"/>
    <cellStyle name="20% - Énfasis2 6 2 2" xfId="2832" xr:uid="{00000000-0005-0000-0000-0000100B0000}"/>
    <cellStyle name="20% - Énfasis2 6 20" xfId="2833" xr:uid="{00000000-0005-0000-0000-0000110B0000}"/>
    <cellStyle name="20% - Énfasis2 6 21" xfId="2834" xr:uid="{00000000-0005-0000-0000-0000120B0000}"/>
    <cellStyle name="20% - Énfasis2 6 3" xfId="2835" xr:uid="{00000000-0005-0000-0000-0000130B0000}"/>
    <cellStyle name="20% - Énfasis2 6 3 2" xfId="2836" xr:uid="{00000000-0005-0000-0000-0000140B0000}"/>
    <cellStyle name="20% - Énfasis2 6 4" xfId="2837" xr:uid="{00000000-0005-0000-0000-0000150B0000}"/>
    <cellStyle name="20% - Énfasis2 6 4 2" xfId="2838" xr:uid="{00000000-0005-0000-0000-0000160B0000}"/>
    <cellStyle name="20% - Énfasis2 6 5" xfId="2839" xr:uid="{00000000-0005-0000-0000-0000170B0000}"/>
    <cellStyle name="20% - Énfasis2 6 5 2" xfId="2840" xr:uid="{00000000-0005-0000-0000-0000180B0000}"/>
    <cellStyle name="20% - Énfasis2 6 6" xfId="2841" xr:uid="{00000000-0005-0000-0000-0000190B0000}"/>
    <cellStyle name="20% - Énfasis2 6 6 2" xfId="2842" xr:uid="{00000000-0005-0000-0000-00001A0B0000}"/>
    <cellStyle name="20% - Énfasis2 6 7" xfId="2843" xr:uid="{00000000-0005-0000-0000-00001B0B0000}"/>
    <cellStyle name="20% - Énfasis2 6 7 2" xfId="2844" xr:uid="{00000000-0005-0000-0000-00001C0B0000}"/>
    <cellStyle name="20% - Énfasis2 6 8" xfId="2845" xr:uid="{00000000-0005-0000-0000-00001D0B0000}"/>
    <cellStyle name="20% - Énfasis2 6 8 2" xfId="2846" xr:uid="{00000000-0005-0000-0000-00001E0B0000}"/>
    <cellStyle name="20% - Énfasis2 6 9" xfId="2847" xr:uid="{00000000-0005-0000-0000-00001F0B0000}"/>
    <cellStyle name="20% - Énfasis2 6 9 2" xfId="2848" xr:uid="{00000000-0005-0000-0000-0000200B0000}"/>
    <cellStyle name="20% - Énfasis2 60" xfId="2849" xr:uid="{00000000-0005-0000-0000-0000210B0000}"/>
    <cellStyle name="20% - Énfasis2 60 2" xfId="2850" xr:uid="{00000000-0005-0000-0000-0000220B0000}"/>
    <cellStyle name="20% - Énfasis2 61" xfId="2851" xr:uid="{00000000-0005-0000-0000-0000230B0000}"/>
    <cellStyle name="20% - Énfasis2 61 2" xfId="2852" xr:uid="{00000000-0005-0000-0000-0000240B0000}"/>
    <cellStyle name="20% - Énfasis2 62" xfId="2853" xr:uid="{00000000-0005-0000-0000-0000250B0000}"/>
    <cellStyle name="20% - Énfasis2 62 2" xfId="2854" xr:uid="{00000000-0005-0000-0000-0000260B0000}"/>
    <cellStyle name="20% - Énfasis2 63" xfId="2855" xr:uid="{00000000-0005-0000-0000-0000270B0000}"/>
    <cellStyle name="20% - Énfasis2 63 2" xfId="2856" xr:uid="{00000000-0005-0000-0000-0000280B0000}"/>
    <cellStyle name="20% - Énfasis2 64" xfId="2857" xr:uid="{00000000-0005-0000-0000-0000290B0000}"/>
    <cellStyle name="20% - Énfasis2 64 2" xfId="2858" xr:uid="{00000000-0005-0000-0000-00002A0B0000}"/>
    <cellStyle name="20% - Énfasis2 65" xfId="2859" xr:uid="{00000000-0005-0000-0000-00002B0B0000}"/>
    <cellStyle name="20% - Énfasis2 65 2" xfId="2860" xr:uid="{00000000-0005-0000-0000-00002C0B0000}"/>
    <cellStyle name="20% - Énfasis2 66" xfId="2861" xr:uid="{00000000-0005-0000-0000-00002D0B0000}"/>
    <cellStyle name="20% - Énfasis2 66 2" xfId="2862" xr:uid="{00000000-0005-0000-0000-00002E0B0000}"/>
    <cellStyle name="20% - Énfasis2 67" xfId="2863" xr:uid="{00000000-0005-0000-0000-00002F0B0000}"/>
    <cellStyle name="20% - Énfasis2 67 2" xfId="2864" xr:uid="{00000000-0005-0000-0000-0000300B0000}"/>
    <cellStyle name="20% - Énfasis2 68" xfId="2865" xr:uid="{00000000-0005-0000-0000-0000310B0000}"/>
    <cellStyle name="20% - Énfasis2 68 2" xfId="2866" xr:uid="{00000000-0005-0000-0000-0000320B0000}"/>
    <cellStyle name="20% - Énfasis2 69" xfId="2867" xr:uid="{00000000-0005-0000-0000-0000330B0000}"/>
    <cellStyle name="20% - Énfasis2 69 2" xfId="2868" xr:uid="{00000000-0005-0000-0000-0000340B0000}"/>
    <cellStyle name="20% - Énfasis2 7" xfId="2869" xr:uid="{00000000-0005-0000-0000-0000350B0000}"/>
    <cellStyle name="20% - Énfasis2 7 10" xfId="2870" xr:uid="{00000000-0005-0000-0000-0000360B0000}"/>
    <cellStyle name="20% - Énfasis2 7 10 2" xfId="2871" xr:uid="{00000000-0005-0000-0000-0000370B0000}"/>
    <cellStyle name="20% - Énfasis2 7 11" xfId="2872" xr:uid="{00000000-0005-0000-0000-0000380B0000}"/>
    <cellStyle name="20% - Énfasis2 7 11 2" xfId="2873" xr:uid="{00000000-0005-0000-0000-0000390B0000}"/>
    <cellStyle name="20% - Énfasis2 7 12" xfId="2874" xr:uid="{00000000-0005-0000-0000-00003A0B0000}"/>
    <cellStyle name="20% - Énfasis2 7 12 2" xfId="2875" xr:uid="{00000000-0005-0000-0000-00003B0B0000}"/>
    <cellStyle name="20% - Énfasis2 7 13" xfId="2876" xr:uid="{00000000-0005-0000-0000-00003C0B0000}"/>
    <cellStyle name="20% - Énfasis2 7 13 2" xfId="2877" xr:uid="{00000000-0005-0000-0000-00003D0B0000}"/>
    <cellStyle name="20% - Énfasis2 7 14" xfId="2878" xr:uid="{00000000-0005-0000-0000-00003E0B0000}"/>
    <cellStyle name="20% - Énfasis2 7 14 2" xfId="2879" xr:uid="{00000000-0005-0000-0000-00003F0B0000}"/>
    <cellStyle name="20% - Énfasis2 7 15" xfId="2880" xr:uid="{00000000-0005-0000-0000-0000400B0000}"/>
    <cellStyle name="20% - Énfasis2 7 15 2" xfId="2881" xr:uid="{00000000-0005-0000-0000-0000410B0000}"/>
    <cellStyle name="20% - Énfasis2 7 16" xfId="2882" xr:uid="{00000000-0005-0000-0000-0000420B0000}"/>
    <cellStyle name="20% - Énfasis2 7 16 2" xfId="2883" xr:uid="{00000000-0005-0000-0000-0000430B0000}"/>
    <cellStyle name="20% - Énfasis2 7 17" xfId="2884" xr:uid="{00000000-0005-0000-0000-0000440B0000}"/>
    <cellStyle name="20% - Énfasis2 7 17 2" xfId="2885" xr:uid="{00000000-0005-0000-0000-0000450B0000}"/>
    <cellStyle name="20% - Énfasis2 7 18" xfId="2886" xr:uid="{00000000-0005-0000-0000-0000460B0000}"/>
    <cellStyle name="20% - Énfasis2 7 18 2" xfId="2887" xr:uid="{00000000-0005-0000-0000-0000470B0000}"/>
    <cellStyle name="20% - Énfasis2 7 19" xfId="2888" xr:uid="{00000000-0005-0000-0000-0000480B0000}"/>
    <cellStyle name="20% - Énfasis2 7 19 2" xfId="2889" xr:uid="{00000000-0005-0000-0000-0000490B0000}"/>
    <cellStyle name="20% - Énfasis2 7 2" xfId="2890" xr:uid="{00000000-0005-0000-0000-00004A0B0000}"/>
    <cellStyle name="20% - Énfasis2 7 2 2" xfId="2891" xr:uid="{00000000-0005-0000-0000-00004B0B0000}"/>
    <cellStyle name="20% - Énfasis2 7 20" xfId="2892" xr:uid="{00000000-0005-0000-0000-00004C0B0000}"/>
    <cellStyle name="20% - Énfasis2 7 21" xfId="2893" xr:uid="{00000000-0005-0000-0000-00004D0B0000}"/>
    <cellStyle name="20% - Énfasis2 7 3" xfId="2894" xr:uid="{00000000-0005-0000-0000-00004E0B0000}"/>
    <cellStyle name="20% - Énfasis2 7 3 2" xfId="2895" xr:uid="{00000000-0005-0000-0000-00004F0B0000}"/>
    <cellStyle name="20% - Énfasis2 7 4" xfId="2896" xr:uid="{00000000-0005-0000-0000-0000500B0000}"/>
    <cellStyle name="20% - Énfasis2 7 4 2" xfId="2897" xr:uid="{00000000-0005-0000-0000-0000510B0000}"/>
    <cellStyle name="20% - Énfasis2 7 5" xfId="2898" xr:uid="{00000000-0005-0000-0000-0000520B0000}"/>
    <cellStyle name="20% - Énfasis2 7 5 2" xfId="2899" xr:uid="{00000000-0005-0000-0000-0000530B0000}"/>
    <cellStyle name="20% - Énfasis2 7 6" xfId="2900" xr:uid="{00000000-0005-0000-0000-0000540B0000}"/>
    <cellStyle name="20% - Énfasis2 7 6 2" xfId="2901" xr:uid="{00000000-0005-0000-0000-0000550B0000}"/>
    <cellStyle name="20% - Énfasis2 7 7" xfId="2902" xr:uid="{00000000-0005-0000-0000-0000560B0000}"/>
    <cellStyle name="20% - Énfasis2 7 7 2" xfId="2903" xr:uid="{00000000-0005-0000-0000-0000570B0000}"/>
    <cellStyle name="20% - Énfasis2 7 8" xfId="2904" xr:uid="{00000000-0005-0000-0000-0000580B0000}"/>
    <cellStyle name="20% - Énfasis2 7 8 2" xfId="2905" xr:uid="{00000000-0005-0000-0000-0000590B0000}"/>
    <cellStyle name="20% - Énfasis2 7 9" xfId="2906" xr:uid="{00000000-0005-0000-0000-00005A0B0000}"/>
    <cellStyle name="20% - Énfasis2 7 9 2" xfId="2907" xr:uid="{00000000-0005-0000-0000-00005B0B0000}"/>
    <cellStyle name="20% - Énfasis2 70" xfId="2908" xr:uid="{00000000-0005-0000-0000-00005C0B0000}"/>
    <cellStyle name="20% - Énfasis2 70 2" xfId="2909" xr:uid="{00000000-0005-0000-0000-00005D0B0000}"/>
    <cellStyle name="20% - Énfasis2 71" xfId="2910" xr:uid="{00000000-0005-0000-0000-00005E0B0000}"/>
    <cellStyle name="20% - Énfasis2 71 2" xfId="2911" xr:uid="{00000000-0005-0000-0000-00005F0B0000}"/>
    <cellStyle name="20% - Énfasis2 72" xfId="2912" xr:uid="{00000000-0005-0000-0000-0000600B0000}"/>
    <cellStyle name="20% - Énfasis2 72 2" xfId="2913" xr:uid="{00000000-0005-0000-0000-0000610B0000}"/>
    <cellStyle name="20% - Énfasis2 73" xfId="2914" xr:uid="{00000000-0005-0000-0000-0000620B0000}"/>
    <cellStyle name="20% - Énfasis2 73 2" xfId="2915" xr:uid="{00000000-0005-0000-0000-0000630B0000}"/>
    <cellStyle name="20% - Énfasis2 74" xfId="2916" xr:uid="{00000000-0005-0000-0000-0000640B0000}"/>
    <cellStyle name="20% - Énfasis2 74 2" xfId="2917" xr:uid="{00000000-0005-0000-0000-0000650B0000}"/>
    <cellStyle name="20% - Énfasis2 75" xfId="2918" xr:uid="{00000000-0005-0000-0000-0000660B0000}"/>
    <cellStyle name="20% - Énfasis2 75 2" xfId="2919" xr:uid="{00000000-0005-0000-0000-0000670B0000}"/>
    <cellStyle name="20% - Énfasis2 76" xfId="2920" xr:uid="{00000000-0005-0000-0000-0000680B0000}"/>
    <cellStyle name="20% - Énfasis2 76 2" xfId="2921" xr:uid="{00000000-0005-0000-0000-0000690B0000}"/>
    <cellStyle name="20% - Énfasis2 77" xfId="2922" xr:uid="{00000000-0005-0000-0000-00006A0B0000}"/>
    <cellStyle name="20% - Énfasis2 77 2" xfId="2923" xr:uid="{00000000-0005-0000-0000-00006B0B0000}"/>
    <cellStyle name="20% - Énfasis2 78" xfId="2924" xr:uid="{00000000-0005-0000-0000-00006C0B0000}"/>
    <cellStyle name="20% - Énfasis2 78 2" xfId="2925" xr:uid="{00000000-0005-0000-0000-00006D0B0000}"/>
    <cellStyle name="20% - Énfasis2 79" xfId="2926" xr:uid="{00000000-0005-0000-0000-00006E0B0000}"/>
    <cellStyle name="20% - Énfasis2 79 2" xfId="2927" xr:uid="{00000000-0005-0000-0000-00006F0B0000}"/>
    <cellStyle name="20% - Énfasis2 8" xfId="2928" xr:uid="{00000000-0005-0000-0000-0000700B0000}"/>
    <cellStyle name="20% - Énfasis2 8 10" xfId="2929" xr:uid="{00000000-0005-0000-0000-0000710B0000}"/>
    <cellStyle name="20% - Énfasis2 8 10 2" xfId="2930" xr:uid="{00000000-0005-0000-0000-0000720B0000}"/>
    <cellStyle name="20% - Énfasis2 8 11" xfId="2931" xr:uid="{00000000-0005-0000-0000-0000730B0000}"/>
    <cellStyle name="20% - Énfasis2 8 11 2" xfId="2932" xr:uid="{00000000-0005-0000-0000-0000740B0000}"/>
    <cellStyle name="20% - Énfasis2 8 12" xfId="2933" xr:uid="{00000000-0005-0000-0000-0000750B0000}"/>
    <cellStyle name="20% - Énfasis2 8 12 2" xfId="2934" xr:uid="{00000000-0005-0000-0000-0000760B0000}"/>
    <cellStyle name="20% - Énfasis2 8 13" xfId="2935" xr:uid="{00000000-0005-0000-0000-0000770B0000}"/>
    <cellStyle name="20% - Énfasis2 8 13 2" xfId="2936" xr:uid="{00000000-0005-0000-0000-0000780B0000}"/>
    <cellStyle name="20% - Énfasis2 8 14" xfId="2937" xr:uid="{00000000-0005-0000-0000-0000790B0000}"/>
    <cellStyle name="20% - Énfasis2 8 14 2" xfId="2938" xr:uid="{00000000-0005-0000-0000-00007A0B0000}"/>
    <cellStyle name="20% - Énfasis2 8 15" xfId="2939" xr:uid="{00000000-0005-0000-0000-00007B0B0000}"/>
    <cellStyle name="20% - Énfasis2 8 15 2" xfId="2940" xr:uid="{00000000-0005-0000-0000-00007C0B0000}"/>
    <cellStyle name="20% - Énfasis2 8 16" xfId="2941" xr:uid="{00000000-0005-0000-0000-00007D0B0000}"/>
    <cellStyle name="20% - Énfasis2 8 16 2" xfId="2942" xr:uid="{00000000-0005-0000-0000-00007E0B0000}"/>
    <cellStyle name="20% - Énfasis2 8 17" xfId="2943" xr:uid="{00000000-0005-0000-0000-00007F0B0000}"/>
    <cellStyle name="20% - Énfasis2 8 17 2" xfId="2944" xr:uid="{00000000-0005-0000-0000-0000800B0000}"/>
    <cellStyle name="20% - Énfasis2 8 18" xfId="2945" xr:uid="{00000000-0005-0000-0000-0000810B0000}"/>
    <cellStyle name="20% - Énfasis2 8 18 2" xfId="2946" xr:uid="{00000000-0005-0000-0000-0000820B0000}"/>
    <cellStyle name="20% - Énfasis2 8 19" xfId="2947" xr:uid="{00000000-0005-0000-0000-0000830B0000}"/>
    <cellStyle name="20% - Énfasis2 8 19 2" xfId="2948" xr:uid="{00000000-0005-0000-0000-0000840B0000}"/>
    <cellStyle name="20% - Énfasis2 8 2" xfId="2949" xr:uid="{00000000-0005-0000-0000-0000850B0000}"/>
    <cellStyle name="20% - Énfasis2 8 2 2" xfId="2950" xr:uid="{00000000-0005-0000-0000-0000860B0000}"/>
    <cellStyle name="20% - Énfasis2 8 20" xfId="2951" xr:uid="{00000000-0005-0000-0000-0000870B0000}"/>
    <cellStyle name="20% - Énfasis2 8 21" xfId="2952" xr:uid="{00000000-0005-0000-0000-0000880B0000}"/>
    <cellStyle name="20% - Énfasis2 8 3" xfId="2953" xr:uid="{00000000-0005-0000-0000-0000890B0000}"/>
    <cellStyle name="20% - Énfasis2 8 3 2" xfId="2954" xr:uid="{00000000-0005-0000-0000-00008A0B0000}"/>
    <cellStyle name="20% - Énfasis2 8 4" xfId="2955" xr:uid="{00000000-0005-0000-0000-00008B0B0000}"/>
    <cellStyle name="20% - Énfasis2 8 4 2" xfId="2956" xr:uid="{00000000-0005-0000-0000-00008C0B0000}"/>
    <cellStyle name="20% - Énfasis2 8 5" xfId="2957" xr:uid="{00000000-0005-0000-0000-00008D0B0000}"/>
    <cellStyle name="20% - Énfasis2 8 5 2" xfId="2958" xr:uid="{00000000-0005-0000-0000-00008E0B0000}"/>
    <cellStyle name="20% - Énfasis2 8 6" xfId="2959" xr:uid="{00000000-0005-0000-0000-00008F0B0000}"/>
    <cellStyle name="20% - Énfasis2 8 6 2" xfId="2960" xr:uid="{00000000-0005-0000-0000-0000900B0000}"/>
    <cellStyle name="20% - Énfasis2 8 7" xfId="2961" xr:uid="{00000000-0005-0000-0000-0000910B0000}"/>
    <cellStyle name="20% - Énfasis2 8 7 2" xfId="2962" xr:uid="{00000000-0005-0000-0000-0000920B0000}"/>
    <cellStyle name="20% - Énfasis2 8 8" xfId="2963" xr:uid="{00000000-0005-0000-0000-0000930B0000}"/>
    <cellStyle name="20% - Énfasis2 8 8 2" xfId="2964" xr:uid="{00000000-0005-0000-0000-0000940B0000}"/>
    <cellStyle name="20% - Énfasis2 8 9" xfId="2965" xr:uid="{00000000-0005-0000-0000-0000950B0000}"/>
    <cellStyle name="20% - Énfasis2 8 9 2" xfId="2966" xr:uid="{00000000-0005-0000-0000-0000960B0000}"/>
    <cellStyle name="20% - Énfasis2 80" xfId="2967" xr:uid="{00000000-0005-0000-0000-0000970B0000}"/>
    <cellStyle name="20% - Énfasis2 80 2" xfId="2968" xr:uid="{00000000-0005-0000-0000-0000980B0000}"/>
    <cellStyle name="20% - Énfasis2 81" xfId="2969" xr:uid="{00000000-0005-0000-0000-0000990B0000}"/>
    <cellStyle name="20% - Énfasis2 81 2" xfId="2970" xr:uid="{00000000-0005-0000-0000-00009A0B0000}"/>
    <cellStyle name="20% - Énfasis2 82" xfId="2971" xr:uid="{00000000-0005-0000-0000-00009B0B0000}"/>
    <cellStyle name="20% - Énfasis2 82 2" xfId="2972" xr:uid="{00000000-0005-0000-0000-00009C0B0000}"/>
    <cellStyle name="20% - Énfasis2 83" xfId="2973" xr:uid="{00000000-0005-0000-0000-00009D0B0000}"/>
    <cellStyle name="20% - Énfasis2 83 2" xfId="2974" xr:uid="{00000000-0005-0000-0000-00009E0B0000}"/>
    <cellStyle name="20% - Énfasis2 84" xfId="2975" xr:uid="{00000000-0005-0000-0000-00009F0B0000}"/>
    <cellStyle name="20% - Énfasis2 84 2" xfId="2976" xr:uid="{00000000-0005-0000-0000-0000A00B0000}"/>
    <cellStyle name="20% - Énfasis2 85" xfId="2977" xr:uid="{00000000-0005-0000-0000-0000A10B0000}"/>
    <cellStyle name="20% - Énfasis2 85 2" xfId="2978" xr:uid="{00000000-0005-0000-0000-0000A20B0000}"/>
    <cellStyle name="20% - Énfasis2 86" xfId="2979" xr:uid="{00000000-0005-0000-0000-0000A30B0000}"/>
    <cellStyle name="20% - Énfasis2 86 2" xfId="2980" xr:uid="{00000000-0005-0000-0000-0000A40B0000}"/>
    <cellStyle name="20% - Énfasis2 87" xfId="2981" xr:uid="{00000000-0005-0000-0000-0000A50B0000}"/>
    <cellStyle name="20% - Énfasis2 88" xfId="2982" xr:uid="{00000000-0005-0000-0000-0000A60B0000}"/>
    <cellStyle name="20% - Énfasis2 89" xfId="2983" xr:uid="{00000000-0005-0000-0000-0000A70B0000}"/>
    <cellStyle name="20% - Énfasis2 9" xfId="2984" xr:uid="{00000000-0005-0000-0000-0000A80B0000}"/>
    <cellStyle name="20% - Énfasis2 9 10" xfId="2985" xr:uid="{00000000-0005-0000-0000-0000A90B0000}"/>
    <cellStyle name="20% - Énfasis2 9 10 2" xfId="2986" xr:uid="{00000000-0005-0000-0000-0000AA0B0000}"/>
    <cellStyle name="20% - Énfasis2 9 11" xfId="2987" xr:uid="{00000000-0005-0000-0000-0000AB0B0000}"/>
    <cellStyle name="20% - Énfasis2 9 11 2" xfId="2988" xr:uid="{00000000-0005-0000-0000-0000AC0B0000}"/>
    <cellStyle name="20% - Énfasis2 9 12" xfId="2989" xr:uid="{00000000-0005-0000-0000-0000AD0B0000}"/>
    <cellStyle name="20% - Énfasis2 9 12 2" xfId="2990" xr:uid="{00000000-0005-0000-0000-0000AE0B0000}"/>
    <cellStyle name="20% - Énfasis2 9 13" xfId="2991" xr:uid="{00000000-0005-0000-0000-0000AF0B0000}"/>
    <cellStyle name="20% - Énfasis2 9 13 2" xfId="2992" xr:uid="{00000000-0005-0000-0000-0000B00B0000}"/>
    <cellStyle name="20% - Énfasis2 9 14" xfId="2993" xr:uid="{00000000-0005-0000-0000-0000B10B0000}"/>
    <cellStyle name="20% - Énfasis2 9 14 2" xfId="2994" xr:uid="{00000000-0005-0000-0000-0000B20B0000}"/>
    <cellStyle name="20% - Énfasis2 9 15" xfId="2995" xr:uid="{00000000-0005-0000-0000-0000B30B0000}"/>
    <cellStyle name="20% - Énfasis2 9 15 2" xfId="2996" xr:uid="{00000000-0005-0000-0000-0000B40B0000}"/>
    <cellStyle name="20% - Énfasis2 9 16" xfId="2997" xr:uid="{00000000-0005-0000-0000-0000B50B0000}"/>
    <cellStyle name="20% - Énfasis2 9 16 2" xfId="2998" xr:uid="{00000000-0005-0000-0000-0000B60B0000}"/>
    <cellStyle name="20% - Énfasis2 9 17" xfId="2999" xr:uid="{00000000-0005-0000-0000-0000B70B0000}"/>
    <cellStyle name="20% - Énfasis2 9 17 2" xfId="3000" xr:uid="{00000000-0005-0000-0000-0000B80B0000}"/>
    <cellStyle name="20% - Énfasis2 9 18" xfId="3001" xr:uid="{00000000-0005-0000-0000-0000B90B0000}"/>
    <cellStyle name="20% - Énfasis2 9 18 2" xfId="3002" xr:uid="{00000000-0005-0000-0000-0000BA0B0000}"/>
    <cellStyle name="20% - Énfasis2 9 19" xfId="3003" xr:uid="{00000000-0005-0000-0000-0000BB0B0000}"/>
    <cellStyle name="20% - Énfasis2 9 19 2" xfId="3004" xr:uid="{00000000-0005-0000-0000-0000BC0B0000}"/>
    <cellStyle name="20% - Énfasis2 9 2" xfId="3005" xr:uid="{00000000-0005-0000-0000-0000BD0B0000}"/>
    <cellStyle name="20% - Énfasis2 9 2 2" xfId="3006" xr:uid="{00000000-0005-0000-0000-0000BE0B0000}"/>
    <cellStyle name="20% - Énfasis2 9 20" xfId="3007" xr:uid="{00000000-0005-0000-0000-0000BF0B0000}"/>
    <cellStyle name="20% - Énfasis2 9 21" xfId="3008" xr:uid="{00000000-0005-0000-0000-0000C00B0000}"/>
    <cellStyle name="20% - Énfasis2 9 3" xfId="3009" xr:uid="{00000000-0005-0000-0000-0000C10B0000}"/>
    <cellStyle name="20% - Énfasis2 9 3 2" xfId="3010" xr:uid="{00000000-0005-0000-0000-0000C20B0000}"/>
    <cellStyle name="20% - Énfasis2 9 4" xfId="3011" xr:uid="{00000000-0005-0000-0000-0000C30B0000}"/>
    <cellStyle name="20% - Énfasis2 9 4 2" xfId="3012" xr:uid="{00000000-0005-0000-0000-0000C40B0000}"/>
    <cellStyle name="20% - Énfasis2 9 5" xfId="3013" xr:uid="{00000000-0005-0000-0000-0000C50B0000}"/>
    <cellStyle name="20% - Énfasis2 9 5 2" xfId="3014" xr:uid="{00000000-0005-0000-0000-0000C60B0000}"/>
    <cellStyle name="20% - Énfasis2 9 6" xfId="3015" xr:uid="{00000000-0005-0000-0000-0000C70B0000}"/>
    <cellStyle name="20% - Énfasis2 9 6 2" xfId="3016" xr:uid="{00000000-0005-0000-0000-0000C80B0000}"/>
    <cellStyle name="20% - Énfasis2 9 7" xfId="3017" xr:uid="{00000000-0005-0000-0000-0000C90B0000}"/>
    <cellStyle name="20% - Énfasis2 9 7 2" xfId="3018" xr:uid="{00000000-0005-0000-0000-0000CA0B0000}"/>
    <cellStyle name="20% - Énfasis2 9 8" xfId="3019" xr:uid="{00000000-0005-0000-0000-0000CB0B0000}"/>
    <cellStyle name="20% - Énfasis2 9 8 2" xfId="3020" xr:uid="{00000000-0005-0000-0000-0000CC0B0000}"/>
    <cellStyle name="20% - Énfasis2 9 9" xfId="3021" xr:uid="{00000000-0005-0000-0000-0000CD0B0000}"/>
    <cellStyle name="20% - Énfasis2 9 9 2" xfId="3022" xr:uid="{00000000-0005-0000-0000-0000CE0B0000}"/>
    <cellStyle name="20% - Énfasis2 90" xfId="3023" xr:uid="{00000000-0005-0000-0000-0000CF0B0000}"/>
    <cellStyle name="20% - Énfasis2 91" xfId="3024" xr:uid="{00000000-0005-0000-0000-0000D00B0000}"/>
    <cellStyle name="20% - Énfasis2 92" xfId="3025" xr:uid="{00000000-0005-0000-0000-0000D10B0000}"/>
    <cellStyle name="20% - Énfasis2 93" xfId="3026" xr:uid="{00000000-0005-0000-0000-0000D20B0000}"/>
    <cellStyle name="20% - Énfasis2 94" xfId="3027" xr:uid="{00000000-0005-0000-0000-0000D30B0000}"/>
    <cellStyle name="20% - Énfasis2 95" xfId="3028" xr:uid="{00000000-0005-0000-0000-0000D40B0000}"/>
    <cellStyle name="20% - Énfasis2 96" xfId="3029" xr:uid="{00000000-0005-0000-0000-0000D50B0000}"/>
    <cellStyle name="20% - Énfasis2 97" xfId="3030" xr:uid="{00000000-0005-0000-0000-0000D60B0000}"/>
    <cellStyle name="20% - Énfasis2 98" xfId="15627" xr:uid="{00000000-0005-0000-0000-0000D70B0000}"/>
    <cellStyle name="20% - Énfasis3" xfId="3031" builtinId="38" customBuiltin="1"/>
    <cellStyle name="20% - Énfasis3 10" xfId="3032" xr:uid="{00000000-0005-0000-0000-0000D90B0000}"/>
    <cellStyle name="20% - Énfasis3 10 10" xfId="3033" xr:uid="{00000000-0005-0000-0000-0000DA0B0000}"/>
    <cellStyle name="20% - Énfasis3 10 10 2" xfId="3034" xr:uid="{00000000-0005-0000-0000-0000DB0B0000}"/>
    <cellStyle name="20% - Énfasis3 10 11" xfId="3035" xr:uid="{00000000-0005-0000-0000-0000DC0B0000}"/>
    <cellStyle name="20% - Énfasis3 10 11 2" xfId="3036" xr:uid="{00000000-0005-0000-0000-0000DD0B0000}"/>
    <cellStyle name="20% - Énfasis3 10 12" xfId="3037" xr:uid="{00000000-0005-0000-0000-0000DE0B0000}"/>
    <cellStyle name="20% - Énfasis3 10 12 2" xfId="3038" xr:uid="{00000000-0005-0000-0000-0000DF0B0000}"/>
    <cellStyle name="20% - Énfasis3 10 13" xfId="3039" xr:uid="{00000000-0005-0000-0000-0000E00B0000}"/>
    <cellStyle name="20% - Énfasis3 10 13 2" xfId="3040" xr:uid="{00000000-0005-0000-0000-0000E10B0000}"/>
    <cellStyle name="20% - Énfasis3 10 14" xfId="3041" xr:uid="{00000000-0005-0000-0000-0000E20B0000}"/>
    <cellStyle name="20% - Énfasis3 10 14 2" xfId="3042" xr:uid="{00000000-0005-0000-0000-0000E30B0000}"/>
    <cellStyle name="20% - Énfasis3 10 15" xfId="3043" xr:uid="{00000000-0005-0000-0000-0000E40B0000}"/>
    <cellStyle name="20% - Énfasis3 10 15 2" xfId="3044" xr:uid="{00000000-0005-0000-0000-0000E50B0000}"/>
    <cellStyle name="20% - Énfasis3 10 16" xfId="3045" xr:uid="{00000000-0005-0000-0000-0000E60B0000}"/>
    <cellStyle name="20% - Énfasis3 10 16 2" xfId="3046" xr:uid="{00000000-0005-0000-0000-0000E70B0000}"/>
    <cellStyle name="20% - Énfasis3 10 17" xfId="3047" xr:uid="{00000000-0005-0000-0000-0000E80B0000}"/>
    <cellStyle name="20% - Énfasis3 10 17 2" xfId="3048" xr:uid="{00000000-0005-0000-0000-0000E90B0000}"/>
    <cellStyle name="20% - Énfasis3 10 18" xfId="3049" xr:uid="{00000000-0005-0000-0000-0000EA0B0000}"/>
    <cellStyle name="20% - Énfasis3 10 18 2" xfId="3050" xr:uid="{00000000-0005-0000-0000-0000EB0B0000}"/>
    <cellStyle name="20% - Énfasis3 10 19" xfId="3051" xr:uid="{00000000-0005-0000-0000-0000EC0B0000}"/>
    <cellStyle name="20% - Énfasis3 10 19 2" xfId="3052" xr:uid="{00000000-0005-0000-0000-0000ED0B0000}"/>
    <cellStyle name="20% - Énfasis3 10 2" xfId="3053" xr:uid="{00000000-0005-0000-0000-0000EE0B0000}"/>
    <cellStyle name="20% - Énfasis3 10 2 2" xfId="3054" xr:uid="{00000000-0005-0000-0000-0000EF0B0000}"/>
    <cellStyle name="20% - Énfasis3 10 20" xfId="3055" xr:uid="{00000000-0005-0000-0000-0000F00B0000}"/>
    <cellStyle name="20% - Énfasis3 10 21" xfId="3056" xr:uid="{00000000-0005-0000-0000-0000F10B0000}"/>
    <cellStyle name="20% - Énfasis3 10 3" xfId="3057" xr:uid="{00000000-0005-0000-0000-0000F20B0000}"/>
    <cellStyle name="20% - Énfasis3 10 3 2" xfId="3058" xr:uid="{00000000-0005-0000-0000-0000F30B0000}"/>
    <cellStyle name="20% - Énfasis3 10 4" xfId="3059" xr:uid="{00000000-0005-0000-0000-0000F40B0000}"/>
    <cellStyle name="20% - Énfasis3 10 4 2" xfId="3060" xr:uid="{00000000-0005-0000-0000-0000F50B0000}"/>
    <cellStyle name="20% - Énfasis3 10 5" xfId="3061" xr:uid="{00000000-0005-0000-0000-0000F60B0000}"/>
    <cellStyle name="20% - Énfasis3 10 5 2" xfId="3062" xr:uid="{00000000-0005-0000-0000-0000F70B0000}"/>
    <cellStyle name="20% - Énfasis3 10 6" xfId="3063" xr:uid="{00000000-0005-0000-0000-0000F80B0000}"/>
    <cellStyle name="20% - Énfasis3 10 6 2" xfId="3064" xr:uid="{00000000-0005-0000-0000-0000F90B0000}"/>
    <cellStyle name="20% - Énfasis3 10 7" xfId="3065" xr:uid="{00000000-0005-0000-0000-0000FA0B0000}"/>
    <cellStyle name="20% - Énfasis3 10 7 2" xfId="3066" xr:uid="{00000000-0005-0000-0000-0000FB0B0000}"/>
    <cellStyle name="20% - Énfasis3 10 8" xfId="3067" xr:uid="{00000000-0005-0000-0000-0000FC0B0000}"/>
    <cellStyle name="20% - Énfasis3 10 8 2" xfId="3068" xr:uid="{00000000-0005-0000-0000-0000FD0B0000}"/>
    <cellStyle name="20% - Énfasis3 10 9" xfId="3069" xr:uid="{00000000-0005-0000-0000-0000FE0B0000}"/>
    <cellStyle name="20% - Énfasis3 10 9 2" xfId="3070" xr:uid="{00000000-0005-0000-0000-0000FF0B0000}"/>
    <cellStyle name="20% - Énfasis3 11" xfId="3071" xr:uid="{00000000-0005-0000-0000-0000000C0000}"/>
    <cellStyle name="20% - Énfasis3 11 10" xfId="3072" xr:uid="{00000000-0005-0000-0000-0000010C0000}"/>
    <cellStyle name="20% - Énfasis3 11 10 2" xfId="3073" xr:uid="{00000000-0005-0000-0000-0000020C0000}"/>
    <cellStyle name="20% - Énfasis3 11 11" xfId="3074" xr:uid="{00000000-0005-0000-0000-0000030C0000}"/>
    <cellStyle name="20% - Énfasis3 11 11 2" xfId="3075" xr:uid="{00000000-0005-0000-0000-0000040C0000}"/>
    <cellStyle name="20% - Énfasis3 11 12" xfId="3076" xr:uid="{00000000-0005-0000-0000-0000050C0000}"/>
    <cellStyle name="20% - Énfasis3 11 12 2" xfId="3077" xr:uid="{00000000-0005-0000-0000-0000060C0000}"/>
    <cellStyle name="20% - Énfasis3 11 13" xfId="3078" xr:uid="{00000000-0005-0000-0000-0000070C0000}"/>
    <cellStyle name="20% - Énfasis3 11 13 2" xfId="3079" xr:uid="{00000000-0005-0000-0000-0000080C0000}"/>
    <cellStyle name="20% - Énfasis3 11 14" xfId="3080" xr:uid="{00000000-0005-0000-0000-0000090C0000}"/>
    <cellStyle name="20% - Énfasis3 11 14 2" xfId="3081" xr:uid="{00000000-0005-0000-0000-00000A0C0000}"/>
    <cellStyle name="20% - Énfasis3 11 15" xfId="3082" xr:uid="{00000000-0005-0000-0000-00000B0C0000}"/>
    <cellStyle name="20% - Énfasis3 11 15 2" xfId="3083" xr:uid="{00000000-0005-0000-0000-00000C0C0000}"/>
    <cellStyle name="20% - Énfasis3 11 16" xfId="3084" xr:uid="{00000000-0005-0000-0000-00000D0C0000}"/>
    <cellStyle name="20% - Énfasis3 11 16 2" xfId="3085" xr:uid="{00000000-0005-0000-0000-00000E0C0000}"/>
    <cellStyle name="20% - Énfasis3 11 17" xfId="3086" xr:uid="{00000000-0005-0000-0000-00000F0C0000}"/>
    <cellStyle name="20% - Énfasis3 11 17 2" xfId="3087" xr:uid="{00000000-0005-0000-0000-0000100C0000}"/>
    <cellStyle name="20% - Énfasis3 11 18" xfId="3088" xr:uid="{00000000-0005-0000-0000-0000110C0000}"/>
    <cellStyle name="20% - Énfasis3 11 18 2" xfId="3089" xr:uid="{00000000-0005-0000-0000-0000120C0000}"/>
    <cellStyle name="20% - Énfasis3 11 19" xfId="3090" xr:uid="{00000000-0005-0000-0000-0000130C0000}"/>
    <cellStyle name="20% - Énfasis3 11 19 2" xfId="3091" xr:uid="{00000000-0005-0000-0000-0000140C0000}"/>
    <cellStyle name="20% - Énfasis3 11 2" xfId="3092" xr:uid="{00000000-0005-0000-0000-0000150C0000}"/>
    <cellStyle name="20% - Énfasis3 11 2 2" xfId="3093" xr:uid="{00000000-0005-0000-0000-0000160C0000}"/>
    <cellStyle name="20% - Énfasis3 11 20" xfId="3094" xr:uid="{00000000-0005-0000-0000-0000170C0000}"/>
    <cellStyle name="20% - Énfasis3 11 21" xfId="3095" xr:uid="{00000000-0005-0000-0000-0000180C0000}"/>
    <cellStyle name="20% - Énfasis3 11 3" xfId="3096" xr:uid="{00000000-0005-0000-0000-0000190C0000}"/>
    <cellStyle name="20% - Énfasis3 11 3 2" xfId="3097" xr:uid="{00000000-0005-0000-0000-00001A0C0000}"/>
    <cellStyle name="20% - Énfasis3 11 4" xfId="3098" xr:uid="{00000000-0005-0000-0000-00001B0C0000}"/>
    <cellStyle name="20% - Énfasis3 11 4 2" xfId="3099" xr:uid="{00000000-0005-0000-0000-00001C0C0000}"/>
    <cellStyle name="20% - Énfasis3 11 5" xfId="3100" xr:uid="{00000000-0005-0000-0000-00001D0C0000}"/>
    <cellStyle name="20% - Énfasis3 11 5 2" xfId="3101" xr:uid="{00000000-0005-0000-0000-00001E0C0000}"/>
    <cellStyle name="20% - Énfasis3 11 6" xfId="3102" xr:uid="{00000000-0005-0000-0000-00001F0C0000}"/>
    <cellStyle name="20% - Énfasis3 11 6 2" xfId="3103" xr:uid="{00000000-0005-0000-0000-0000200C0000}"/>
    <cellStyle name="20% - Énfasis3 11 7" xfId="3104" xr:uid="{00000000-0005-0000-0000-0000210C0000}"/>
    <cellStyle name="20% - Énfasis3 11 7 2" xfId="3105" xr:uid="{00000000-0005-0000-0000-0000220C0000}"/>
    <cellStyle name="20% - Énfasis3 11 8" xfId="3106" xr:uid="{00000000-0005-0000-0000-0000230C0000}"/>
    <cellStyle name="20% - Énfasis3 11 8 2" xfId="3107" xr:uid="{00000000-0005-0000-0000-0000240C0000}"/>
    <cellStyle name="20% - Énfasis3 11 9" xfId="3108" xr:uid="{00000000-0005-0000-0000-0000250C0000}"/>
    <cellStyle name="20% - Énfasis3 11 9 2" xfId="3109" xr:uid="{00000000-0005-0000-0000-0000260C0000}"/>
    <cellStyle name="20% - Énfasis3 12" xfId="3110" xr:uid="{00000000-0005-0000-0000-0000270C0000}"/>
    <cellStyle name="20% - Énfasis3 12 10" xfId="3111" xr:uid="{00000000-0005-0000-0000-0000280C0000}"/>
    <cellStyle name="20% - Énfasis3 12 10 2" xfId="3112" xr:uid="{00000000-0005-0000-0000-0000290C0000}"/>
    <cellStyle name="20% - Énfasis3 12 11" xfId="3113" xr:uid="{00000000-0005-0000-0000-00002A0C0000}"/>
    <cellStyle name="20% - Énfasis3 12 11 2" xfId="3114" xr:uid="{00000000-0005-0000-0000-00002B0C0000}"/>
    <cellStyle name="20% - Énfasis3 12 12" xfId="3115" xr:uid="{00000000-0005-0000-0000-00002C0C0000}"/>
    <cellStyle name="20% - Énfasis3 12 12 2" xfId="3116" xr:uid="{00000000-0005-0000-0000-00002D0C0000}"/>
    <cellStyle name="20% - Énfasis3 12 13" xfId="3117" xr:uid="{00000000-0005-0000-0000-00002E0C0000}"/>
    <cellStyle name="20% - Énfasis3 12 13 2" xfId="3118" xr:uid="{00000000-0005-0000-0000-00002F0C0000}"/>
    <cellStyle name="20% - Énfasis3 12 14" xfId="3119" xr:uid="{00000000-0005-0000-0000-0000300C0000}"/>
    <cellStyle name="20% - Énfasis3 12 14 2" xfId="3120" xr:uid="{00000000-0005-0000-0000-0000310C0000}"/>
    <cellStyle name="20% - Énfasis3 12 15" xfId="3121" xr:uid="{00000000-0005-0000-0000-0000320C0000}"/>
    <cellStyle name="20% - Énfasis3 12 15 2" xfId="3122" xr:uid="{00000000-0005-0000-0000-0000330C0000}"/>
    <cellStyle name="20% - Énfasis3 12 16" xfId="3123" xr:uid="{00000000-0005-0000-0000-0000340C0000}"/>
    <cellStyle name="20% - Énfasis3 12 16 2" xfId="3124" xr:uid="{00000000-0005-0000-0000-0000350C0000}"/>
    <cellStyle name="20% - Énfasis3 12 17" xfId="3125" xr:uid="{00000000-0005-0000-0000-0000360C0000}"/>
    <cellStyle name="20% - Énfasis3 12 17 2" xfId="3126" xr:uid="{00000000-0005-0000-0000-0000370C0000}"/>
    <cellStyle name="20% - Énfasis3 12 18" xfId="3127" xr:uid="{00000000-0005-0000-0000-0000380C0000}"/>
    <cellStyle name="20% - Énfasis3 12 18 2" xfId="3128" xr:uid="{00000000-0005-0000-0000-0000390C0000}"/>
    <cellStyle name="20% - Énfasis3 12 19" xfId="3129" xr:uid="{00000000-0005-0000-0000-00003A0C0000}"/>
    <cellStyle name="20% - Énfasis3 12 19 2" xfId="3130" xr:uid="{00000000-0005-0000-0000-00003B0C0000}"/>
    <cellStyle name="20% - Énfasis3 12 2" xfId="3131" xr:uid="{00000000-0005-0000-0000-00003C0C0000}"/>
    <cellStyle name="20% - Énfasis3 12 2 2" xfId="3132" xr:uid="{00000000-0005-0000-0000-00003D0C0000}"/>
    <cellStyle name="20% - Énfasis3 12 20" xfId="3133" xr:uid="{00000000-0005-0000-0000-00003E0C0000}"/>
    <cellStyle name="20% - Énfasis3 12 21" xfId="3134" xr:uid="{00000000-0005-0000-0000-00003F0C0000}"/>
    <cellStyle name="20% - Énfasis3 12 3" xfId="3135" xr:uid="{00000000-0005-0000-0000-0000400C0000}"/>
    <cellStyle name="20% - Énfasis3 12 3 2" xfId="3136" xr:uid="{00000000-0005-0000-0000-0000410C0000}"/>
    <cellStyle name="20% - Énfasis3 12 4" xfId="3137" xr:uid="{00000000-0005-0000-0000-0000420C0000}"/>
    <cellStyle name="20% - Énfasis3 12 4 2" xfId="3138" xr:uid="{00000000-0005-0000-0000-0000430C0000}"/>
    <cellStyle name="20% - Énfasis3 12 5" xfId="3139" xr:uid="{00000000-0005-0000-0000-0000440C0000}"/>
    <cellStyle name="20% - Énfasis3 12 5 2" xfId="3140" xr:uid="{00000000-0005-0000-0000-0000450C0000}"/>
    <cellStyle name="20% - Énfasis3 12 6" xfId="3141" xr:uid="{00000000-0005-0000-0000-0000460C0000}"/>
    <cellStyle name="20% - Énfasis3 12 6 2" xfId="3142" xr:uid="{00000000-0005-0000-0000-0000470C0000}"/>
    <cellStyle name="20% - Énfasis3 12 7" xfId="3143" xr:uid="{00000000-0005-0000-0000-0000480C0000}"/>
    <cellStyle name="20% - Énfasis3 12 7 2" xfId="3144" xr:uid="{00000000-0005-0000-0000-0000490C0000}"/>
    <cellStyle name="20% - Énfasis3 12 8" xfId="3145" xr:uid="{00000000-0005-0000-0000-00004A0C0000}"/>
    <cellStyle name="20% - Énfasis3 12 8 2" xfId="3146" xr:uid="{00000000-0005-0000-0000-00004B0C0000}"/>
    <cellStyle name="20% - Énfasis3 12 9" xfId="3147" xr:uid="{00000000-0005-0000-0000-00004C0C0000}"/>
    <cellStyle name="20% - Énfasis3 12 9 2" xfId="3148" xr:uid="{00000000-0005-0000-0000-00004D0C0000}"/>
    <cellStyle name="20% - Énfasis3 13" xfId="3149" xr:uid="{00000000-0005-0000-0000-00004E0C0000}"/>
    <cellStyle name="20% - Énfasis3 13 10" xfId="3150" xr:uid="{00000000-0005-0000-0000-00004F0C0000}"/>
    <cellStyle name="20% - Énfasis3 13 10 2" xfId="3151" xr:uid="{00000000-0005-0000-0000-0000500C0000}"/>
    <cellStyle name="20% - Énfasis3 13 11" xfId="3152" xr:uid="{00000000-0005-0000-0000-0000510C0000}"/>
    <cellStyle name="20% - Énfasis3 13 11 2" xfId="3153" xr:uid="{00000000-0005-0000-0000-0000520C0000}"/>
    <cellStyle name="20% - Énfasis3 13 12" xfId="3154" xr:uid="{00000000-0005-0000-0000-0000530C0000}"/>
    <cellStyle name="20% - Énfasis3 13 12 2" xfId="3155" xr:uid="{00000000-0005-0000-0000-0000540C0000}"/>
    <cellStyle name="20% - Énfasis3 13 13" xfId="3156" xr:uid="{00000000-0005-0000-0000-0000550C0000}"/>
    <cellStyle name="20% - Énfasis3 13 13 2" xfId="3157" xr:uid="{00000000-0005-0000-0000-0000560C0000}"/>
    <cellStyle name="20% - Énfasis3 13 14" xfId="3158" xr:uid="{00000000-0005-0000-0000-0000570C0000}"/>
    <cellStyle name="20% - Énfasis3 13 14 2" xfId="3159" xr:uid="{00000000-0005-0000-0000-0000580C0000}"/>
    <cellStyle name="20% - Énfasis3 13 15" xfId="3160" xr:uid="{00000000-0005-0000-0000-0000590C0000}"/>
    <cellStyle name="20% - Énfasis3 13 15 2" xfId="3161" xr:uid="{00000000-0005-0000-0000-00005A0C0000}"/>
    <cellStyle name="20% - Énfasis3 13 16" xfId="3162" xr:uid="{00000000-0005-0000-0000-00005B0C0000}"/>
    <cellStyle name="20% - Énfasis3 13 16 2" xfId="3163" xr:uid="{00000000-0005-0000-0000-00005C0C0000}"/>
    <cellStyle name="20% - Énfasis3 13 17" xfId="3164" xr:uid="{00000000-0005-0000-0000-00005D0C0000}"/>
    <cellStyle name="20% - Énfasis3 13 17 2" xfId="3165" xr:uid="{00000000-0005-0000-0000-00005E0C0000}"/>
    <cellStyle name="20% - Énfasis3 13 18" xfId="3166" xr:uid="{00000000-0005-0000-0000-00005F0C0000}"/>
    <cellStyle name="20% - Énfasis3 13 18 2" xfId="3167" xr:uid="{00000000-0005-0000-0000-0000600C0000}"/>
    <cellStyle name="20% - Énfasis3 13 19" xfId="3168" xr:uid="{00000000-0005-0000-0000-0000610C0000}"/>
    <cellStyle name="20% - Énfasis3 13 19 2" xfId="3169" xr:uid="{00000000-0005-0000-0000-0000620C0000}"/>
    <cellStyle name="20% - Énfasis3 13 2" xfId="3170" xr:uid="{00000000-0005-0000-0000-0000630C0000}"/>
    <cellStyle name="20% - Énfasis3 13 2 2" xfId="3171" xr:uid="{00000000-0005-0000-0000-0000640C0000}"/>
    <cellStyle name="20% - Énfasis3 13 20" xfId="3172" xr:uid="{00000000-0005-0000-0000-0000650C0000}"/>
    <cellStyle name="20% - Énfasis3 13 21" xfId="3173" xr:uid="{00000000-0005-0000-0000-0000660C0000}"/>
    <cellStyle name="20% - Énfasis3 13 3" xfId="3174" xr:uid="{00000000-0005-0000-0000-0000670C0000}"/>
    <cellStyle name="20% - Énfasis3 13 3 2" xfId="3175" xr:uid="{00000000-0005-0000-0000-0000680C0000}"/>
    <cellStyle name="20% - Énfasis3 13 4" xfId="3176" xr:uid="{00000000-0005-0000-0000-0000690C0000}"/>
    <cellStyle name="20% - Énfasis3 13 4 2" xfId="3177" xr:uid="{00000000-0005-0000-0000-00006A0C0000}"/>
    <cellStyle name="20% - Énfasis3 13 5" xfId="3178" xr:uid="{00000000-0005-0000-0000-00006B0C0000}"/>
    <cellStyle name="20% - Énfasis3 13 5 2" xfId="3179" xr:uid="{00000000-0005-0000-0000-00006C0C0000}"/>
    <cellStyle name="20% - Énfasis3 13 6" xfId="3180" xr:uid="{00000000-0005-0000-0000-00006D0C0000}"/>
    <cellStyle name="20% - Énfasis3 13 6 2" xfId="3181" xr:uid="{00000000-0005-0000-0000-00006E0C0000}"/>
    <cellStyle name="20% - Énfasis3 13 7" xfId="3182" xr:uid="{00000000-0005-0000-0000-00006F0C0000}"/>
    <cellStyle name="20% - Énfasis3 13 7 2" xfId="3183" xr:uid="{00000000-0005-0000-0000-0000700C0000}"/>
    <cellStyle name="20% - Énfasis3 13 8" xfId="3184" xr:uid="{00000000-0005-0000-0000-0000710C0000}"/>
    <cellStyle name="20% - Énfasis3 13 8 2" xfId="3185" xr:uid="{00000000-0005-0000-0000-0000720C0000}"/>
    <cellStyle name="20% - Énfasis3 13 9" xfId="3186" xr:uid="{00000000-0005-0000-0000-0000730C0000}"/>
    <cellStyle name="20% - Énfasis3 13 9 2" xfId="3187" xr:uid="{00000000-0005-0000-0000-0000740C0000}"/>
    <cellStyle name="20% - Énfasis3 14" xfId="3188" xr:uid="{00000000-0005-0000-0000-0000750C0000}"/>
    <cellStyle name="20% - Énfasis3 14 10" xfId="3189" xr:uid="{00000000-0005-0000-0000-0000760C0000}"/>
    <cellStyle name="20% - Énfasis3 14 10 2" xfId="3190" xr:uid="{00000000-0005-0000-0000-0000770C0000}"/>
    <cellStyle name="20% - Énfasis3 14 11" xfId="3191" xr:uid="{00000000-0005-0000-0000-0000780C0000}"/>
    <cellStyle name="20% - Énfasis3 14 11 2" xfId="3192" xr:uid="{00000000-0005-0000-0000-0000790C0000}"/>
    <cellStyle name="20% - Énfasis3 14 12" xfId="3193" xr:uid="{00000000-0005-0000-0000-00007A0C0000}"/>
    <cellStyle name="20% - Énfasis3 14 12 2" xfId="3194" xr:uid="{00000000-0005-0000-0000-00007B0C0000}"/>
    <cellStyle name="20% - Énfasis3 14 13" xfId="3195" xr:uid="{00000000-0005-0000-0000-00007C0C0000}"/>
    <cellStyle name="20% - Énfasis3 14 13 2" xfId="3196" xr:uid="{00000000-0005-0000-0000-00007D0C0000}"/>
    <cellStyle name="20% - Énfasis3 14 14" xfId="3197" xr:uid="{00000000-0005-0000-0000-00007E0C0000}"/>
    <cellStyle name="20% - Énfasis3 14 14 2" xfId="3198" xr:uid="{00000000-0005-0000-0000-00007F0C0000}"/>
    <cellStyle name="20% - Énfasis3 14 15" xfId="3199" xr:uid="{00000000-0005-0000-0000-0000800C0000}"/>
    <cellStyle name="20% - Énfasis3 14 15 2" xfId="3200" xr:uid="{00000000-0005-0000-0000-0000810C0000}"/>
    <cellStyle name="20% - Énfasis3 14 16" xfId="3201" xr:uid="{00000000-0005-0000-0000-0000820C0000}"/>
    <cellStyle name="20% - Énfasis3 14 16 2" xfId="3202" xr:uid="{00000000-0005-0000-0000-0000830C0000}"/>
    <cellStyle name="20% - Énfasis3 14 17" xfId="3203" xr:uid="{00000000-0005-0000-0000-0000840C0000}"/>
    <cellStyle name="20% - Énfasis3 14 17 2" xfId="3204" xr:uid="{00000000-0005-0000-0000-0000850C0000}"/>
    <cellStyle name="20% - Énfasis3 14 18" xfId="3205" xr:uid="{00000000-0005-0000-0000-0000860C0000}"/>
    <cellStyle name="20% - Énfasis3 14 18 2" xfId="3206" xr:uid="{00000000-0005-0000-0000-0000870C0000}"/>
    <cellStyle name="20% - Énfasis3 14 19" xfId="3207" xr:uid="{00000000-0005-0000-0000-0000880C0000}"/>
    <cellStyle name="20% - Énfasis3 14 19 2" xfId="3208" xr:uid="{00000000-0005-0000-0000-0000890C0000}"/>
    <cellStyle name="20% - Énfasis3 14 2" xfId="3209" xr:uid="{00000000-0005-0000-0000-00008A0C0000}"/>
    <cellStyle name="20% - Énfasis3 14 2 2" xfId="3210" xr:uid="{00000000-0005-0000-0000-00008B0C0000}"/>
    <cellStyle name="20% - Énfasis3 14 20" xfId="3211" xr:uid="{00000000-0005-0000-0000-00008C0C0000}"/>
    <cellStyle name="20% - Énfasis3 14 3" xfId="3212" xr:uid="{00000000-0005-0000-0000-00008D0C0000}"/>
    <cellStyle name="20% - Énfasis3 14 3 2" xfId="3213" xr:uid="{00000000-0005-0000-0000-00008E0C0000}"/>
    <cellStyle name="20% - Énfasis3 14 4" xfId="3214" xr:uid="{00000000-0005-0000-0000-00008F0C0000}"/>
    <cellStyle name="20% - Énfasis3 14 4 2" xfId="3215" xr:uid="{00000000-0005-0000-0000-0000900C0000}"/>
    <cellStyle name="20% - Énfasis3 14 5" xfId="3216" xr:uid="{00000000-0005-0000-0000-0000910C0000}"/>
    <cellStyle name="20% - Énfasis3 14 5 2" xfId="3217" xr:uid="{00000000-0005-0000-0000-0000920C0000}"/>
    <cellStyle name="20% - Énfasis3 14 6" xfId="3218" xr:uid="{00000000-0005-0000-0000-0000930C0000}"/>
    <cellStyle name="20% - Énfasis3 14 6 2" xfId="3219" xr:uid="{00000000-0005-0000-0000-0000940C0000}"/>
    <cellStyle name="20% - Énfasis3 14 7" xfId="3220" xr:uid="{00000000-0005-0000-0000-0000950C0000}"/>
    <cellStyle name="20% - Énfasis3 14 7 2" xfId="3221" xr:uid="{00000000-0005-0000-0000-0000960C0000}"/>
    <cellStyle name="20% - Énfasis3 14 8" xfId="3222" xr:uid="{00000000-0005-0000-0000-0000970C0000}"/>
    <cellStyle name="20% - Énfasis3 14 8 2" xfId="3223" xr:uid="{00000000-0005-0000-0000-0000980C0000}"/>
    <cellStyle name="20% - Énfasis3 14 9" xfId="3224" xr:uid="{00000000-0005-0000-0000-0000990C0000}"/>
    <cellStyle name="20% - Énfasis3 14 9 2" xfId="3225" xr:uid="{00000000-0005-0000-0000-00009A0C0000}"/>
    <cellStyle name="20% - Énfasis3 15" xfId="3226" xr:uid="{00000000-0005-0000-0000-00009B0C0000}"/>
    <cellStyle name="20% - Énfasis3 15 10" xfId="3227" xr:uid="{00000000-0005-0000-0000-00009C0C0000}"/>
    <cellStyle name="20% - Énfasis3 15 10 2" xfId="3228" xr:uid="{00000000-0005-0000-0000-00009D0C0000}"/>
    <cellStyle name="20% - Énfasis3 15 11" xfId="3229" xr:uid="{00000000-0005-0000-0000-00009E0C0000}"/>
    <cellStyle name="20% - Énfasis3 15 11 2" xfId="3230" xr:uid="{00000000-0005-0000-0000-00009F0C0000}"/>
    <cellStyle name="20% - Énfasis3 15 12" xfId="3231" xr:uid="{00000000-0005-0000-0000-0000A00C0000}"/>
    <cellStyle name="20% - Énfasis3 15 12 2" xfId="3232" xr:uid="{00000000-0005-0000-0000-0000A10C0000}"/>
    <cellStyle name="20% - Énfasis3 15 13" xfId="3233" xr:uid="{00000000-0005-0000-0000-0000A20C0000}"/>
    <cellStyle name="20% - Énfasis3 15 13 2" xfId="3234" xr:uid="{00000000-0005-0000-0000-0000A30C0000}"/>
    <cellStyle name="20% - Énfasis3 15 14" xfId="3235" xr:uid="{00000000-0005-0000-0000-0000A40C0000}"/>
    <cellStyle name="20% - Énfasis3 15 14 2" xfId="3236" xr:uid="{00000000-0005-0000-0000-0000A50C0000}"/>
    <cellStyle name="20% - Énfasis3 15 15" xfId="3237" xr:uid="{00000000-0005-0000-0000-0000A60C0000}"/>
    <cellStyle name="20% - Énfasis3 15 15 2" xfId="3238" xr:uid="{00000000-0005-0000-0000-0000A70C0000}"/>
    <cellStyle name="20% - Énfasis3 15 16" xfId="3239" xr:uid="{00000000-0005-0000-0000-0000A80C0000}"/>
    <cellStyle name="20% - Énfasis3 15 16 2" xfId="3240" xr:uid="{00000000-0005-0000-0000-0000A90C0000}"/>
    <cellStyle name="20% - Énfasis3 15 17" xfId="3241" xr:uid="{00000000-0005-0000-0000-0000AA0C0000}"/>
    <cellStyle name="20% - Énfasis3 15 17 2" xfId="3242" xr:uid="{00000000-0005-0000-0000-0000AB0C0000}"/>
    <cellStyle name="20% - Énfasis3 15 18" xfId="3243" xr:uid="{00000000-0005-0000-0000-0000AC0C0000}"/>
    <cellStyle name="20% - Énfasis3 15 18 2" xfId="3244" xr:uid="{00000000-0005-0000-0000-0000AD0C0000}"/>
    <cellStyle name="20% - Énfasis3 15 19" xfId="3245" xr:uid="{00000000-0005-0000-0000-0000AE0C0000}"/>
    <cellStyle name="20% - Énfasis3 15 19 2" xfId="3246" xr:uid="{00000000-0005-0000-0000-0000AF0C0000}"/>
    <cellStyle name="20% - Énfasis3 15 2" xfId="3247" xr:uid="{00000000-0005-0000-0000-0000B00C0000}"/>
    <cellStyle name="20% - Énfasis3 15 2 2" xfId="3248" xr:uid="{00000000-0005-0000-0000-0000B10C0000}"/>
    <cellStyle name="20% - Énfasis3 15 20" xfId="3249" xr:uid="{00000000-0005-0000-0000-0000B20C0000}"/>
    <cellStyle name="20% - Énfasis3 15 3" xfId="3250" xr:uid="{00000000-0005-0000-0000-0000B30C0000}"/>
    <cellStyle name="20% - Énfasis3 15 3 2" xfId="3251" xr:uid="{00000000-0005-0000-0000-0000B40C0000}"/>
    <cellStyle name="20% - Énfasis3 15 4" xfId="3252" xr:uid="{00000000-0005-0000-0000-0000B50C0000}"/>
    <cellStyle name="20% - Énfasis3 15 4 2" xfId="3253" xr:uid="{00000000-0005-0000-0000-0000B60C0000}"/>
    <cellStyle name="20% - Énfasis3 15 5" xfId="3254" xr:uid="{00000000-0005-0000-0000-0000B70C0000}"/>
    <cellStyle name="20% - Énfasis3 15 5 2" xfId="3255" xr:uid="{00000000-0005-0000-0000-0000B80C0000}"/>
    <cellStyle name="20% - Énfasis3 15 6" xfId="3256" xr:uid="{00000000-0005-0000-0000-0000B90C0000}"/>
    <cellStyle name="20% - Énfasis3 15 6 2" xfId="3257" xr:uid="{00000000-0005-0000-0000-0000BA0C0000}"/>
    <cellStyle name="20% - Énfasis3 15 7" xfId="3258" xr:uid="{00000000-0005-0000-0000-0000BB0C0000}"/>
    <cellStyle name="20% - Énfasis3 15 7 2" xfId="3259" xr:uid="{00000000-0005-0000-0000-0000BC0C0000}"/>
    <cellStyle name="20% - Énfasis3 15 8" xfId="3260" xr:uid="{00000000-0005-0000-0000-0000BD0C0000}"/>
    <cellStyle name="20% - Énfasis3 15 8 2" xfId="3261" xr:uid="{00000000-0005-0000-0000-0000BE0C0000}"/>
    <cellStyle name="20% - Énfasis3 15 9" xfId="3262" xr:uid="{00000000-0005-0000-0000-0000BF0C0000}"/>
    <cellStyle name="20% - Énfasis3 15 9 2" xfId="3263" xr:uid="{00000000-0005-0000-0000-0000C00C0000}"/>
    <cellStyle name="20% - Énfasis3 16" xfId="3264" xr:uid="{00000000-0005-0000-0000-0000C10C0000}"/>
    <cellStyle name="20% - Énfasis3 16 10" xfId="3265" xr:uid="{00000000-0005-0000-0000-0000C20C0000}"/>
    <cellStyle name="20% - Énfasis3 16 10 2" xfId="3266" xr:uid="{00000000-0005-0000-0000-0000C30C0000}"/>
    <cellStyle name="20% - Énfasis3 16 11" xfId="3267" xr:uid="{00000000-0005-0000-0000-0000C40C0000}"/>
    <cellStyle name="20% - Énfasis3 16 11 2" xfId="3268" xr:uid="{00000000-0005-0000-0000-0000C50C0000}"/>
    <cellStyle name="20% - Énfasis3 16 12" xfId="3269" xr:uid="{00000000-0005-0000-0000-0000C60C0000}"/>
    <cellStyle name="20% - Énfasis3 16 12 2" xfId="3270" xr:uid="{00000000-0005-0000-0000-0000C70C0000}"/>
    <cellStyle name="20% - Énfasis3 16 13" xfId="3271" xr:uid="{00000000-0005-0000-0000-0000C80C0000}"/>
    <cellStyle name="20% - Énfasis3 16 13 2" xfId="3272" xr:uid="{00000000-0005-0000-0000-0000C90C0000}"/>
    <cellStyle name="20% - Énfasis3 16 14" xfId="3273" xr:uid="{00000000-0005-0000-0000-0000CA0C0000}"/>
    <cellStyle name="20% - Énfasis3 16 14 2" xfId="3274" xr:uid="{00000000-0005-0000-0000-0000CB0C0000}"/>
    <cellStyle name="20% - Énfasis3 16 15" xfId="3275" xr:uid="{00000000-0005-0000-0000-0000CC0C0000}"/>
    <cellStyle name="20% - Énfasis3 16 15 2" xfId="3276" xr:uid="{00000000-0005-0000-0000-0000CD0C0000}"/>
    <cellStyle name="20% - Énfasis3 16 16" xfId="3277" xr:uid="{00000000-0005-0000-0000-0000CE0C0000}"/>
    <cellStyle name="20% - Énfasis3 16 16 2" xfId="3278" xr:uid="{00000000-0005-0000-0000-0000CF0C0000}"/>
    <cellStyle name="20% - Énfasis3 16 17" xfId="3279" xr:uid="{00000000-0005-0000-0000-0000D00C0000}"/>
    <cellStyle name="20% - Énfasis3 16 17 2" xfId="3280" xr:uid="{00000000-0005-0000-0000-0000D10C0000}"/>
    <cellStyle name="20% - Énfasis3 16 18" xfId="3281" xr:uid="{00000000-0005-0000-0000-0000D20C0000}"/>
    <cellStyle name="20% - Énfasis3 16 18 2" xfId="3282" xr:uid="{00000000-0005-0000-0000-0000D30C0000}"/>
    <cellStyle name="20% - Énfasis3 16 19" xfId="3283" xr:uid="{00000000-0005-0000-0000-0000D40C0000}"/>
    <cellStyle name="20% - Énfasis3 16 19 2" xfId="3284" xr:uid="{00000000-0005-0000-0000-0000D50C0000}"/>
    <cellStyle name="20% - Énfasis3 16 2" xfId="3285" xr:uid="{00000000-0005-0000-0000-0000D60C0000}"/>
    <cellStyle name="20% - Énfasis3 16 2 2" xfId="3286" xr:uid="{00000000-0005-0000-0000-0000D70C0000}"/>
    <cellStyle name="20% - Énfasis3 16 20" xfId="3287" xr:uid="{00000000-0005-0000-0000-0000D80C0000}"/>
    <cellStyle name="20% - Énfasis3 16 3" xfId="3288" xr:uid="{00000000-0005-0000-0000-0000D90C0000}"/>
    <cellStyle name="20% - Énfasis3 16 3 2" xfId="3289" xr:uid="{00000000-0005-0000-0000-0000DA0C0000}"/>
    <cellStyle name="20% - Énfasis3 16 4" xfId="3290" xr:uid="{00000000-0005-0000-0000-0000DB0C0000}"/>
    <cellStyle name="20% - Énfasis3 16 4 2" xfId="3291" xr:uid="{00000000-0005-0000-0000-0000DC0C0000}"/>
    <cellStyle name="20% - Énfasis3 16 5" xfId="3292" xr:uid="{00000000-0005-0000-0000-0000DD0C0000}"/>
    <cellStyle name="20% - Énfasis3 16 5 2" xfId="3293" xr:uid="{00000000-0005-0000-0000-0000DE0C0000}"/>
    <cellStyle name="20% - Énfasis3 16 6" xfId="3294" xr:uid="{00000000-0005-0000-0000-0000DF0C0000}"/>
    <cellStyle name="20% - Énfasis3 16 6 2" xfId="3295" xr:uid="{00000000-0005-0000-0000-0000E00C0000}"/>
    <cellStyle name="20% - Énfasis3 16 7" xfId="3296" xr:uid="{00000000-0005-0000-0000-0000E10C0000}"/>
    <cellStyle name="20% - Énfasis3 16 7 2" xfId="3297" xr:uid="{00000000-0005-0000-0000-0000E20C0000}"/>
    <cellStyle name="20% - Énfasis3 16 8" xfId="3298" xr:uid="{00000000-0005-0000-0000-0000E30C0000}"/>
    <cellStyle name="20% - Énfasis3 16 8 2" xfId="3299" xr:uid="{00000000-0005-0000-0000-0000E40C0000}"/>
    <cellStyle name="20% - Énfasis3 16 9" xfId="3300" xr:uid="{00000000-0005-0000-0000-0000E50C0000}"/>
    <cellStyle name="20% - Énfasis3 16 9 2" xfId="3301" xr:uid="{00000000-0005-0000-0000-0000E60C0000}"/>
    <cellStyle name="20% - Énfasis3 17" xfId="3302" xr:uid="{00000000-0005-0000-0000-0000E70C0000}"/>
    <cellStyle name="20% - Énfasis3 17 10" xfId="3303" xr:uid="{00000000-0005-0000-0000-0000E80C0000}"/>
    <cellStyle name="20% - Énfasis3 17 10 2" xfId="3304" xr:uid="{00000000-0005-0000-0000-0000E90C0000}"/>
    <cellStyle name="20% - Énfasis3 17 11" xfId="3305" xr:uid="{00000000-0005-0000-0000-0000EA0C0000}"/>
    <cellStyle name="20% - Énfasis3 17 11 2" xfId="3306" xr:uid="{00000000-0005-0000-0000-0000EB0C0000}"/>
    <cellStyle name="20% - Énfasis3 17 12" xfId="3307" xr:uid="{00000000-0005-0000-0000-0000EC0C0000}"/>
    <cellStyle name="20% - Énfasis3 17 12 2" xfId="3308" xr:uid="{00000000-0005-0000-0000-0000ED0C0000}"/>
    <cellStyle name="20% - Énfasis3 17 13" xfId="3309" xr:uid="{00000000-0005-0000-0000-0000EE0C0000}"/>
    <cellStyle name="20% - Énfasis3 17 13 2" xfId="3310" xr:uid="{00000000-0005-0000-0000-0000EF0C0000}"/>
    <cellStyle name="20% - Énfasis3 17 14" xfId="3311" xr:uid="{00000000-0005-0000-0000-0000F00C0000}"/>
    <cellStyle name="20% - Énfasis3 17 14 2" xfId="3312" xr:uid="{00000000-0005-0000-0000-0000F10C0000}"/>
    <cellStyle name="20% - Énfasis3 17 15" xfId="3313" xr:uid="{00000000-0005-0000-0000-0000F20C0000}"/>
    <cellStyle name="20% - Énfasis3 17 15 2" xfId="3314" xr:uid="{00000000-0005-0000-0000-0000F30C0000}"/>
    <cellStyle name="20% - Énfasis3 17 16" xfId="3315" xr:uid="{00000000-0005-0000-0000-0000F40C0000}"/>
    <cellStyle name="20% - Énfasis3 17 16 2" xfId="3316" xr:uid="{00000000-0005-0000-0000-0000F50C0000}"/>
    <cellStyle name="20% - Énfasis3 17 17" xfId="3317" xr:uid="{00000000-0005-0000-0000-0000F60C0000}"/>
    <cellStyle name="20% - Énfasis3 17 17 2" xfId="3318" xr:uid="{00000000-0005-0000-0000-0000F70C0000}"/>
    <cellStyle name="20% - Énfasis3 17 18" xfId="3319" xr:uid="{00000000-0005-0000-0000-0000F80C0000}"/>
    <cellStyle name="20% - Énfasis3 17 18 2" xfId="3320" xr:uid="{00000000-0005-0000-0000-0000F90C0000}"/>
    <cellStyle name="20% - Énfasis3 17 19" xfId="3321" xr:uid="{00000000-0005-0000-0000-0000FA0C0000}"/>
    <cellStyle name="20% - Énfasis3 17 19 2" xfId="3322" xr:uid="{00000000-0005-0000-0000-0000FB0C0000}"/>
    <cellStyle name="20% - Énfasis3 17 2" xfId="3323" xr:uid="{00000000-0005-0000-0000-0000FC0C0000}"/>
    <cellStyle name="20% - Énfasis3 17 2 2" xfId="3324" xr:uid="{00000000-0005-0000-0000-0000FD0C0000}"/>
    <cellStyle name="20% - Énfasis3 17 20" xfId="3325" xr:uid="{00000000-0005-0000-0000-0000FE0C0000}"/>
    <cellStyle name="20% - Énfasis3 17 3" xfId="3326" xr:uid="{00000000-0005-0000-0000-0000FF0C0000}"/>
    <cellStyle name="20% - Énfasis3 17 3 2" xfId="3327" xr:uid="{00000000-0005-0000-0000-0000000D0000}"/>
    <cellStyle name="20% - Énfasis3 17 4" xfId="3328" xr:uid="{00000000-0005-0000-0000-0000010D0000}"/>
    <cellStyle name="20% - Énfasis3 17 4 2" xfId="3329" xr:uid="{00000000-0005-0000-0000-0000020D0000}"/>
    <cellStyle name="20% - Énfasis3 17 5" xfId="3330" xr:uid="{00000000-0005-0000-0000-0000030D0000}"/>
    <cellStyle name="20% - Énfasis3 17 5 2" xfId="3331" xr:uid="{00000000-0005-0000-0000-0000040D0000}"/>
    <cellStyle name="20% - Énfasis3 17 6" xfId="3332" xr:uid="{00000000-0005-0000-0000-0000050D0000}"/>
    <cellStyle name="20% - Énfasis3 17 6 2" xfId="3333" xr:uid="{00000000-0005-0000-0000-0000060D0000}"/>
    <cellStyle name="20% - Énfasis3 17 7" xfId="3334" xr:uid="{00000000-0005-0000-0000-0000070D0000}"/>
    <cellStyle name="20% - Énfasis3 17 7 2" xfId="3335" xr:uid="{00000000-0005-0000-0000-0000080D0000}"/>
    <cellStyle name="20% - Énfasis3 17 8" xfId="3336" xr:uid="{00000000-0005-0000-0000-0000090D0000}"/>
    <cellStyle name="20% - Énfasis3 17 8 2" xfId="3337" xr:uid="{00000000-0005-0000-0000-00000A0D0000}"/>
    <cellStyle name="20% - Énfasis3 17 9" xfId="3338" xr:uid="{00000000-0005-0000-0000-00000B0D0000}"/>
    <cellStyle name="20% - Énfasis3 17 9 2" xfId="3339" xr:uid="{00000000-0005-0000-0000-00000C0D0000}"/>
    <cellStyle name="20% - Énfasis3 18" xfId="3340" xr:uid="{00000000-0005-0000-0000-00000D0D0000}"/>
    <cellStyle name="20% - Énfasis3 18 10" xfId="3341" xr:uid="{00000000-0005-0000-0000-00000E0D0000}"/>
    <cellStyle name="20% - Énfasis3 18 10 2" xfId="3342" xr:uid="{00000000-0005-0000-0000-00000F0D0000}"/>
    <cellStyle name="20% - Énfasis3 18 11" xfId="3343" xr:uid="{00000000-0005-0000-0000-0000100D0000}"/>
    <cellStyle name="20% - Énfasis3 18 11 2" xfId="3344" xr:uid="{00000000-0005-0000-0000-0000110D0000}"/>
    <cellStyle name="20% - Énfasis3 18 12" xfId="3345" xr:uid="{00000000-0005-0000-0000-0000120D0000}"/>
    <cellStyle name="20% - Énfasis3 18 12 2" xfId="3346" xr:uid="{00000000-0005-0000-0000-0000130D0000}"/>
    <cellStyle name="20% - Énfasis3 18 13" xfId="3347" xr:uid="{00000000-0005-0000-0000-0000140D0000}"/>
    <cellStyle name="20% - Énfasis3 18 13 2" xfId="3348" xr:uid="{00000000-0005-0000-0000-0000150D0000}"/>
    <cellStyle name="20% - Énfasis3 18 14" xfId="3349" xr:uid="{00000000-0005-0000-0000-0000160D0000}"/>
    <cellStyle name="20% - Énfasis3 18 14 2" xfId="3350" xr:uid="{00000000-0005-0000-0000-0000170D0000}"/>
    <cellStyle name="20% - Énfasis3 18 15" xfId="3351" xr:uid="{00000000-0005-0000-0000-0000180D0000}"/>
    <cellStyle name="20% - Énfasis3 18 15 2" xfId="3352" xr:uid="{00000000-0005-0000-0000-0000190D0000}"/>
    <cellStyle name="20% - Énfasis3 18 16" xfId="3353" xr:uid="{00000000-0005-0000-0000-00001A0D0000}"/>
    <cellStyle name="20% - Énfasis3 18 16 2" xfId="3354" xr:uid="{00000000-0005-0000-0000-00001B0D0000}"/>
    <cellStyle name="20% - Énfasis3 18 17" xfId="3355" xr:uid="{00000000-0005-0000-0000-00001C0D0000}"/>
    <cellStyle name="20% - Énfasis3 18 17 2" xfId="3356" xr:uid="{00000000-0005-0000-0000-00001D0D0000}"/>
    <cellStyle name="20% - Énfasis3 18 18" xfId="3357" xr:uid="{00000000-0005-0000-0000-00001E0D0000}"/>
    <cellStyle name="20% - Énfasis3 18 18 2" xfId="3358" xr:uid="{00000000-0005-0000-0000-00001F0D0000}"/>
    <cellStyle name="20% - Énfasis3 18 19" xfId="3359" xr:uid="{00000000-0005-0000-0000-0000200D0000}"/>
    <cellStyle name="20% - Énfasis3 18 19 2" xfId="3360" xr:uid="{00000000-0005-0000-0000-0000210D0000}"/>
    <cellStyle name="20% - Énfasis3 18 2" xfId="3361" xr:uid="{00000000-0005-0000-0000-0000220D0000}"/>
    <cellStyle name="20% - Énfasis3 18 2 2" xfId="3362" xr:uid="{00000000-0005-0000-0000-0000230D0000}"/>
    <cellStyle name="20% - Énfasis3 18 20" xfId="3363" xr:uid="{00000000-0005-0000-0000-0000240D0000}"/>
    <cellStyle name="20% - Énfasis3 18 3" xfId="3364" xr:uid="{00000000-0005-0000-0000-0000250D0000}"/>
    <cellStyle name="20% - Énfasis3 18 3 2" xfId="3365" xr:uid="{00000000-0005-0000-0000-0000260D0000}"/>
    <cellStyle name="20% - Énfasis3 18 4" xfId="3366" xr:uid="{00000000-0005-0000-0000-0000270D0000}"/>
    <cellStyle name="20% - Énfasis3 18 4 2" xfId="3367" xr:uid="{00000000-0005-0000-0000-0000280D0000}"/>
    <cellStyle name="20% - Énfasis3 18 5" xfId="3368" xr:uid="{00000000-0005-0000-0000-0000290D0000}"/>
    <cellStyle name="20% - Énfasis3 18 5 2" xfId="3369" xr:uid="{00000000-0005-0000-0000-00002A0D0000}"/>
    <cellStyle name="20% - Énfasis3 18 6" xfId="3370" xr:uid="{00000000-0005-0000-0000-00002B0D0000}"/>
    <cellStyle name="20% - Énfasis3 18 6 2" xfId="3371" xr:uid="{00000000-0005-0000-0000-00002C0D0000}"/>
    <cellStyle name="20% - Énfasis3 18 7" xfId="3372" xr:uid="{00000000-0005-0000-0000-00002D0D0000}"/>
    <cellStyle name="20% - Énfasis3 18 7 2" xfId="3373" xr:uid="{00000000-0005-0000-0000-00002E0D0000}"/>
    <cellStyle name="20% - Énfasis3 18 8" xfId="3374" xr:uid="{00000000-0005-0000-0000-00002F0D0000}"/>
    <cellStyle name="20% - Énfasis3 18 8 2" xfId="3375" xr:uid="{00000000-0005-0000-0000-0000300D0000}"/>
    <cellStyle name="20% - Énfasis3 18 9" xfId="3376" xr:uid="{00000000-0005-0000-0000-0000310D0000}"/>
    <cellStyle name="20% - Énfasis3 18 9 2" xfId="3377" xr:uid="{00000000-0005-0000-0000-0000320D0000}"/>
    <cellStyle name="20% - Énfasis3 19" xfId="3378" xr:uid="{00000000-0005-0000-0000-0000330D0000}"/>
    <cellStyle name="20% - Énfasis3 19 10" xfId="3379" xr:uid="{00000000-0005-0000-0000-0000340D0000}"/>
    <cellStyle name="20% - Énfasis3 19 10 2" xfId="3380" xr:uid="{00000000-0005-0000-0000-0000350D0000}"/>
    <cellStyle name="20% - Énfasis3 19 11" xfId="3381" xr:uid="{00000000-0005-0000-0000-0000360D0000}"/>
    <cellStyle name="20% - Énfasis3 19 11 2" xfId="3382" xr:uid="{00000000-0005-0000-0000-0000370D0000}"/>
    <cellStyle name="20% - Énfasis3 19 12" xfId="3383" xr:uid="{00000000-0005-0000-0000-0000380D0000}"/>
    <cellStyle name="20% - Énfasis3 19 12 2" xfId="3384" xr:uid="{00000000-0005-0000-0000-0000390D0000}"/>
    <cellStyle name="20% - Énfasis3 19 13" xfId="3385" xr:uid="{00000000-0005-0000-0000-00003A0D0000}"/>
    <cellStyle name="20% - Énfasis3 19 13 2" xfId="3386" xr:uid="{00000000-0005-0000-0000-00003B0D0000}"/>
    <cellStyle name="20% - Énfasis3 19 14" xfId="3387" xr:uid="{00000000-0005-0000-0000-00003C0D0000}"/>
    <cellStyle name="20% - Énfasis3 19 14 2" xfId="3388" xr:uid="{00000000-0005-0000-0000-00003D0D0000}"/>
    <cellStyle name="20% - Énfasis3 19 15" xfId="3389" xr:uid="{00000000-0005-0000-0000-00003E0D0000}"/>
    <cellStyle name="20% - Énfasis3 19 15 2" xfId="3390" xr:uid="{00000000-0005-0000-0000-00003F0D0000}"/>
    <cellStyle name="20% - Énfasis3 19 16" xfId="3391" xr:uid="{00000000-0005-0000-0000-0000400D0000}"/>
    <cellStyle name="20% - Énfasis3 19 16 2" xfId="3392" xr:uid="{00000000-0005-0000-0000-0000410D0000}"/>
    <cellStyle name="20% - Énfasis3 19 17" xfId="3393" xr:uid="{00000000-0005-0000-0000-0000420D0000}"/>
    <cellStyle name="20% - Énfasis3 19 17 2" xfId="3394" xr:uid="{00000000-0005-0000-0000-0000430D0000}"/>
    <cellStyle name="20% - Énfasis3 19 18" xfId="3395" xr:uid="{00000000-0005-0000-0000-0000440D0000}"/>
    <cellStyle name="20% - Énfasis3 19 18 2" xfId="3396" xr:uid="{00000000-0005-0000-0000-0000450D0000}"/>
    <cellStyle name="20% - Énfasis3 19 19" xfId="3397" xr:uid="{00000000-0005-0000-0000-0000460D0000}"/>
    <cellStyle name="20% - Énfasis3 19 19 2" xfId="3398" xr:uid="{00000000-0005-0000-0000-0000470D0000}"/>
    <cellStyle name="20% - Énfasis3 19 2" xfId="3399" xr:uid="{00000000-0005-0000-0000-0000480D0000}"/>
    <cellStyle name="20% - Énfasis3 19 2 2" xfId="3400" xr:uid="{00000000-0005-0000-0000-0000490D0000}"/>
    <cellStyle name="20% - Énfasis3 19 20" xfId="3401" xr:uid="{00000000-0005-0000-0000-00004A0D0000}"/>
    <cellStyle name="20% - Énfasis3 19 3" xfId="3402" xr:uid="{00000000-0005-0000-0000-00004B0D0000}"/>
    <cellStyle name="20% - Énfasis3 19 3 2" xfId="3403" xr:uid="{00000000-0005-0000-0000-00004C0D0000}"/>
    <cellStyle name="20% - Énfasis3 19 4" xfId="3404" xr:uid="{00000000-0005-0000-0000-00004D0D0000}"/>
    <cellStyle name="20% - Énfasis3 19 4 2" xfId="3405" xr:uid="{00000000-0005-0000-0000-00004E0D0000}"/>
    <cellStyle name="20% - Énfasis3 19 5" xfId="3406" xr:uid="{00000000-0005-0000-0000-00004F0D0000}"/>
    <cellStyle name="20% - Énfasis3 19 5 2" xfId="3407" xr:uid="{00000000-0005-0000-0000-0000500D0000}"/>
    <cellStyle name="20% - Énfasis3 19 6" xfId="3408" xr:uid="{00000000-0005-0000-0000-0000510D0000}"/>
    <cellStyle name="20% - Énfasis3 19 6 2" xfId="3409" xr:uid="{00000000-0005-0000-0000-0000520D0000}"/>
    <cellStyle name="20% - Énfasis3 19 7" xfId="3410" xr:uid="{00000000-0005-0000-0000-0000530D0000}"/>
    <cellStyle name="20% - Énfasis3 19 7 2" xfId="3411" xr:uid="{00000000-0005-0000-0000-0000540D0000}"/>
    <cellStyle name="20% - Énfasis3 19 8" xfId="3412" xr:uid="{00000000-0005-0000-0000-0000550D0000}"/>
    <cellStyle name="20% - Énfasis3 19 8 2" xfId="3413" xr:uid="{00000000-0005-0000-0000-0000560D0000}"/>
    <cellStyle name="20% - Énfasis3 19 9" xfId="3414" xr:uid="{00000000-0005-0000-0000-0000570D0000}"/>
    <cellStyle name="20% - Énfasis3 19 9 2" xfId="3415" xr:uid="{00000000-0005-0000-0000-0000580D0000}"/>
    <cellStyle name="20% - Énfasis3 2" xfId="3416" xr:uid="{00000000-0005-0000-0000-0000590D0000}"/>
    <cellStyle name="20% - Énfasis3 2 10" xfId="3417" xr:uid="{00000000-0005-0000-0000-00005A0D0000}"/>
    <cellStyle name="20% - Énfasis3 2 10 2" xfId="3418" xr:uid="{00000000-0005-0000-0000-00005B0D0000}"/>
    <cellStyle name="20% - Énfasis3 2 11" xfId="3419" xr:uid="{00000000-0005-0000-0000-00005C0D0000}"/>
    <cellStyle name="20% - Énfasis3 2 11 2" xfId="3420" xr:uid="{00000000-0005-0000-0000-00005D0D0000}"/>
    <cellStyle name="20% - Énfasis3 2 12" xfId="3421" xr:uid="{00000000-0005-0000-0000-00005E0D0000}"/>
    <cellStyle name="20% - Énfasis3 2 12 2" xfId="3422" xr:uid="{00000000-0005-0000-0000-00005F0D0000}"/>
    <cellStyle name="20% - Énfasis3 2 13" xfId="3423" xr:uid="{00000000-0005-0000-0000-0000600D0000}"/>
    <cellStyle name="20% - Énfasis3 2 13 2" xfId="3424" xr:uid="{00000000-0005-0000-0000-0000610D0000}"/>
    <cellStyle name="20% - Énfasis3 2 14" xfId="3425" xr:uid="{00000000-0005-0000-0000-0000620D0000}"/>
    <cellStyle name="20% - Énfasis3 2 14 2" xfId="3426" xr:uid="{00000000-0005-0000-0000-0000630D0000}"/>
    <cellStyle name="20% - Énfasis3 2 15" xfId="3427" xr:uid="{00000000-0005-0000-0000-0000640D0000}"/>
    <cellStyle name="20% - Énfasis3 2 15 2" xfId="3428" xr:uid="{00000000-0005-0000-0000-0000650D0000}"/>
    <cellStyle name="20% - Énfasis3 2 16" xfId="3429" xr:uid="{00000000-0005-0000-0000-0000660D0000}"/>
    <cellStyle name="20% - Énfasis3 2 16 2" xfId="3430" xr:uid="{00000000-0005-0000-0000-0000670D0000}"/>
    <cellStyle name="20% - Énfasis3 2 17" xfId="3431" xr:uid="{00000000-0005-0000-0000-0000680D0000}"/>
    <cellStyle name="20% - Énfasis3 2 17 2" xfId="3432" xr:uid="{00000000-0005-0000-0000-0000690D0000}"/>
    <cellStyle name="20% - Énfasis3 2 18" xfId="3433" xr:uid="{00000000-0005-0000-0000-00006A0D0000}"/>
    <cellStyle name="20% - Énfasis3 2 18 2" xfId="3434" xr:uid="{00000000-0005-0000-0000-00006B0D0000}"/>
    <cellStyle name="20% - Énfasis3 2 19" xfId="3435" xr:uid="{00000000-0005-0000-0000-00006C0D0000}"/>
    <cellStyle name="20% - Énfasis3 2 19 2" xfId="3436" xr:uid="{00000000-0005-0000-0000-00006D0D0000}"/>
    <cellStyle name="20% - Énfasis3 2 2" xfId="3437" xr:uid="{00000000-0005-0000-0000-00006E0D0000}"/>
    <cellStyle name="20% - Énfasis3 2 2 2" xfId="3438" xr:uid="{00000000-0005-0000-0000-00006F0D0000}"/>
    <cellStyle name="20% - Énfasis3 2 20" xfId="3439" xr:uid="{00000000-0005-0000-0000-0000700D0000}"/>
    <cellStyle name="20% - Énfasis3 2 21" xfId="3440" xr:uid="{00000000-0005-0000-0000-0000710D0000}"/>
    <cellStyle name="20% - Énfasis3 2 3" xfId="3441" xr:uid="{00000000-0005-0000-0000-0000720D0000}"/>
    <cellStyle name="20% - Énfasis3 2 3 2" xfId="3442" xr:uid="{00000000-0005-0000-0000-0000730D0000}"/>
    <cellStyle name="20% - Énfasis3 2 4" xfId="3443" xr:uid="{00000000-0005-0000-0000-0000740D0000}"/>
    <cellStyle name="20% - Énfasis3 2 4 2" xfId="3444" xr:uid="{00000000-0005-0000-0000-0000750D0000}"/>
    <cellStyle name="20% - Énfasis3 2 5" xfId="3445" xr:uid="{00000000-0005-0000-0000-0000760D0000}"/>
    <cellStyle name="20% - Énfasis3 2 5 2" xfId="3446" xr:uid="{00000000-0005-0000-0000-0000770D0000}"/>
    <cellStyle name="20% - Énfasis3 2 6" xfId="3447" xr:uid="{00000000-0005-0000-0000-0000780D0000}"/>
    <cellStyle name="20% - Énfasis3 2 6 2" xfId="3448" xr:uid="{00000000-0005-0000-0000-0000790D0000}"/>
    <cellStyle name="20% - Énfasis3 2 7" xfId="3449" xr:uid="{00000000-0005-0000-0000-00007A0D0000}"/>
    <cellStyle name="20% - Énfasis3 2 7 2" xfId="3450" xr:uid="{00000000-0005-0000-0000-00007B0D0000}"/>
    <cellStyle name="20% - Énfasis3 2 8" xfId="3451" xr:uid="{00000000-0005-0000-0000-00007C0D0000}"/>
    <cellStyle name="20% - Énfasis3 2 8 2" xfId="3452" xr:uid="{00000000-0005-0000-0000-00007D0D0000}"/>
    <cellStyle name="20% - Énfasis3 2 9" xfId="3453" xr:uid="{00000000-0005-0000-0000-00007E0D0000}"/>
    <cellStyle name="20% - Énfasis3 2 9 2" xfId="3454" xr:uid="{00000000-0005-0000-0000-00007F0D0000}"/>
    <cellStyle name="20% - Énfasis3 20" xfId="3455" xr:uid="{00000000-0005-0000-0000-0000800D0000}"/>
    <cellStyle name="20% - Énfasis3 20 10" xfId="3456" xr:uid="{00000000-0005-0000-0000-0000810D0000}"/>
    <cellStyle name="20% - Énfasis3 20 10 2" xfId="3457" xr:uid="{00000000-0005-0000-0000-0000820D0000}"/>
    <cellStyle name="20% - Énfasis3 20 11" xfId="3458" xr:uid="{00000000-0005-0000-0000-0000830D0000}"/>
    <cellStyle name="20% - Énfasis3 20 11 2" xfId="3459" xr:uid="{00000000-0005-0000-0000-0000840D0000}"/>
    <cellStyle name="20% - Énfasis3 20 12" xfId="3460" xr:uid="{00000000-0005-0000-0000-0000850D0000}"/>
    <cellStyle name="20% - Énfasis3 20 12 2" xfId="3461" xr:uid="{00000000-0005-0000-0000-0000860D0000}"/>
    <cellStyle name="20% - Énfasis3 20 13" xfId="3462" xr:uid="{00000000-0005-0000-0000-0000870D0000}"/>
    <cellStyle name="20% - Énfasis3 20 13 2" xfId="3463" xr:uid="{00000000-0005-0000-0000-0000880D0000}"/>
    <cellStyle name="20% - Énfasis3 20 14" xfId="3464" xr:uid="{00000000-0005-0000-0000-0000890D0000}"/>
    <cellStyle name="20% - Énfasis3 20 14 2" xfId="3465" xr:uid="{00000000-0005-0000-0000-00008A0D0000}"/>
    <cellStyle name="20% - Énfasis3 20 15" xfId="3466" xr:uid="{00000000-0005-0000-0000-00008B0D0000}"/>
    <cellStyle name="20% - Énfasis3 20 15 2" xfId="3467" xr:uid="{00000000-0005-0000-0000-00008C0D0000}"/>
    <cellStyle name="20% - Énfasis3 20 16" xfId="3468" xr:uid="{00000000-0005-0000-0000-00008D0D0000}"/>
    <cellStyle name="20% - Énfasis3 20 16 2" xfId="3469" xr:uid="{00000000-0005-0000-0000-00008E0D0000}"/>
    <cellStyle name="20% - Énfasis3 20 17" xfId="3470" xr:uid="{00000000-0005-0000-0000-00008F0D0000}"/>
    <cellStyle name="20% - Énfasis3 20 17 2" xfId="3471" xr:uid="{00000000-0005-0000-0000-0000900D0000}"/>
    <cellStyle name="20% - Énfasis3 20 18" xfId="3472" xr:uid="{00000000-0005-0000-0000-0000910D0000}"/>
    <cellStyle name="20% - Énfasis3 20 18 2" xfId="3473" xr:uid="{00000000-0005-0000-0000-0000920D0000}"/>
    <cellStyle name="20% - Énfasis3 20 19" xfId="3474" xr:uid="{00000000-0005-0000-0000-0000930D0000}"/>
    <cellStyle name="20% - Énfasis3 20 19 2" xfId="3475" xr:uid="{00000000-0005-0000-0000-0000940D0000}"/>
    <cellStyle name="20% - Énfasis3 20 2" xfId="3476" xr:uid="{00000000-0005-0000-0000-0000950D0000}"/>
    <cellStyle name="20% - Énfasis3 20 2 2" xfId="3477" xr:uid="{00000000-0005-0000-0000-0000960D0000}"/>
    <cellStyle name="20% - Énfasis3 20 20" xfId="3478" xr:uid="{00000000-0005-0000-0000-0000970D0000}"/>
    <cellStyle name="20% - Énfasis3 20 3" xfId="3479" xr:uid="{00000000-0005-0000-0000-0000980D0000}"/>
    <cellStyle name="20% - Énfasis3 20 3 2" xfId="3480" xr:uid="{00000000-0005-0000-0000-0000990D0000}"/>
    <cellStyle name="20% - Énfasis3 20 4" xfId="3481" xr:uid="{00000000-0005-0000-0000-00009A0D0000}"/>
    <cellStyle name="20% - Énfasis3 20 4 2" xfId="3482" xr:uid="{00000000-0005-0000-0000-00009B0D0000}"/>
    <cellStyle name="20% - Énfasis3 20 5" xfId="3483" xr:uid="{00000000-0005-0000-0000-00009C0D0000}"/>
    <cellStyle name="20% - Énfasis3 20 5 2" xfId="3484" xr:uid="{00000000-0005-0000-0000-00009D0D0000}"/>
    <cellStyle name="20% - Énfasis3 20 6" xfId="3485" xr:uid="{00000000-0005-0000-0000-00009E0D0000}"/>
    <cellStyle name="20% - Énfasis3 20 6 2" xfId="3486" xr:uid="{00000000-0005-0000-0000-00009F0D0000}"/>
    <cellStyle name="20% - Énfasis3 20 7" xfId="3487" xr:uid="{00000000-0005-0000-0000-0000A00D0000}"/>
    <cellStyle name="20% - Énfasis3 20 7 2" xfId="3488" xr:uid="{00000000-0005-0000-0000-0000A10D0000}"/>
    <cellStyle name="20% - Énfasis3 20 8" xfId="3489" xr:uid="{00000000-0005-0000-0000-0000A20D0000}"/>
    <cellStyle name="20% - Énfasis3 20 8 2" xfId="3490" xr:uid="{00000000-0005-0000-0000-0000A30D0000}"/>
    <cellStyle name="20% - Énfasis3 20 9" xfId="3491" xr:uid="{00000000-0005-0000-0000-0000A40D0000}"/>
    <cellStyle name="20% - Énfasis3 20 9 2" xfId="3492" xr:uid="{00000000-0005-0000-0000-0000A50D0000}"/>
    <cellStyle name="20% - Énfasis3 21" xfId="3493" xr:uid="{00000000-0005-0000-0000-0000A60D0000}"/>
    <cellStyle name="20% - Énfasis3 21 10" xfId="3494" xr:uid="{00000000-0005-0000-0000-0000A70D0000}"/>
    <cellStyle name="20% - Énfasis3 21 10 2" xfId="3495" xr:uid="{00000000-0005-0000-0000-0000A80D0000}"/>
    <cellStyle name="20% - Énfasis3 21 11" xfId="3496" xr:uid="{00000000-0005-0000-0000-0000A90D0000}"/>
    <cellStyle name="20% - Énfasis3 21 11 2" xfId="3497" xr:uid="{00000000-0005-0000-0000-0000AA0D0000}"/>
    <cellStyle name="20% - Énfasis3 21 12" xfId="3498" xr:uid="{00000000-0005-0000-0000-0000AB0D0000}"/>
    <cellStyle name="20% - Énfasis3 21 12 2" xfId="3499" xr:uid="{00000000-0005-0000-0000-0000AC0D0000}"/>
    <cellStyle name="20% - Énfasis3 21 13" xfId="3500" xr:uid="{00000000-0005-0000-0000-0000AD0D0000}"/>
    <cellStyle name="20% - Énfasis3 21 13 2" xfId="3501" xr:uid="{00000000-0005-0000-0000-0000AE0D0000}"/>
    <cellStyle name="20% - Énfasis3 21 14" xfId="3502" xr:uid="{00000000-0005-0000-0000-0000AF0D0000}"/>
    <cellStyle name="20% - Énfasis3 21 14 2" xfId="3503" xr:uid="{00000000-0005-0000-0000-0000B00D0000}"/>
    <cellStyle name="20% - Énfasis3 21 15" xfId="3504" xr:uid="{00000000-0005-0000-0000-0000B10D0000}"/>
    <cellStyle name="20% - Énfasis3 21 15 2" xfId="3505" xr:uid="{00000000-0005-0000-0000-0000B20D0000}"/>
    <cellStyle name="20% - Énfasis3 21 16" xfId="3506" xr:uid="{00000000-0005-0000-0000-0000B30D0000}"/>
    <cellStyle name="20% - Énfasis3 21 16 2" xfId="3507" xr:uid="{00000000-0005-0000-0000-0000B40D0000}"/>
    <cellStyle name="20% - Énfasis3 21 17" xfId="3508" xr:uid="{00000000-0005-0000-0000-0000B50D0000}"/>
    <cellStyle name="20% - Énfasis3 21 17 2" xfId="3509" xr:uid="{00000000-0005-0000-0000-0000B60D0000}"/>
    <cellStyle name="20% - Énfasis3 21 18" xfId="3510" xr:uid="{00000000-0005-0000-0000-0000B70D0000}"/>
    <cellStyle name="20% - Énfasis3 21 18 2" xfId="3511" xr:uid="{00000000-0005-0000-0000-0000B80D0000}"/>
    <cellStyle name="20% - Énfasis3 21 19" xfId="3512" xr:uid="{00000000-0005-0000-0000-0000B90D0000}"/>
    <cellStyle name="20% - Énfasis3 21 19 2" xfId="3513" xr:uid="{00000000-0005-0000-0000-0000BA0D0000}"/>
    <cellStyle name="20% - Énfasis3 21 2" xfId="3514" xr:uid="{00000000-0005-0000-0000-0000BB0D0000}"/>
    <cellStyle name="20% - Énfasis3 21 2 2" xfId="3515" xr:uid="{00000000-0005-0000-0000-0000BC0D0000}"/>
    <cellStyle name="20% - Énfasis3 21 20" xfId="3516" xr:uid="{00000000-0005-0000-0000-0000BD0D0000}"/>
    <cellStyle name="20% - Énfasis3 21 3" xfId="3517" xr:uid="{00000000-0005-0000-0000-0000BE0D0000}"/>
    <cellStyle name="20% - Énfasis3 21 3 2" xfId="3518" xr:uid="{00000000-0005-0000-0000-0000BF0D0000}"/>
    <cellStyle name="20% - Énfasis3 21 4" xfId="3519" xr:uid="{00000000-0005-0000-0000-0000C00D0000}"/>
    <cellStyle name="20% - Énfasis3 21 4 2" xfId="3520" xr:uid="{00000000-0005-0000-0000-0000C10D0000}"/>
    <cellStyle name="20% - Énfasis3 21 5" xfId="3521" xr:uid="{00000000-0005-0000-0000-0000C20D0000}"/>
    <cellStyle name="20% - Énfasis3 21 5 2" xfId="3522" xr:uid="{00000000-0005-0000-0000-0000C30D0000}"/>
    <cellStyle name="20% - Énfasis3 21 6" xfId="3523" xr:uid="{00000000-0005-0000-0000-0000C40D0000}"/>
    <cellStyle name="20% - Énfasis3 21 6 2" xfId="3524" xr:uid="{00000000-0005-0000-0000-0000C50D0000}"/>
    <cellStyle name="20% - Énfasis3 21 7" xfId="3525" xr:uid="{00000000-0005-0000-0000-0000C60D0000}"/>
    <cellStyle name="20% - Énfasis3 21 7 2" xfId="3526" xr:uid="{00000000-0005-0000-0000-0000C70D0000}"/>
    <cellStyle name="20% - Énfasis3 21 8" xfId="3527" xr:uid="{00000000-0005-0000-0000-0000C80D0000}"/>
    <cellStyle name="20% - Énfasis3 21 8 2" xfId="3528" xr:uid="{00000000-0005-0000-0000-0000C90D0000}"/>
    <cellStyle name="20% - Énfasis3 21 9" xfId="3529" xr:uid="{00000000-0005-0000-0000-0000CA0D0000}"/>
    <cellStyle name="20% - Énfasis3 21 9 2" xfId="3530" xr:uid="{00000000-0005-0000-0000-0000CB0D0000}"/>
    <cellStyle name="20% - Énfasis3 22" xfId="3531" xr:uid="{00000000-0005-0000-0000-0000CC0D0000}"/>
    <cellStyle name="20% - Énfasis3 22 10" xfId="3532" xr:uid="{00000000-0005-0000-0000-0000CD0D0000}"/>
    <cellStyle name="20% - Énfasis3 22 10 2" xfId="3533" xr:uid="{00000000-0005-0000-0000-0000CE0D0000}"/>
    <cellStyle name="20% - Énfasis3 22 11" xfId="3534" xr:uid="{00000000-0005-0000-0000-0000CF0D0000}"/>
    <cellStyle name="20% - Énfasis3 22 11 2" xfId="3535" xr:uid="{00000000-0005-0000-0000-0000D00D0000}"/>
    <cellStyle name="20% - Énfasis3 22 12" xfId="3536" xr:uid="{00000000-0005-0000-0000-0000D10D0000}"/>
    <cellStyle name="20% - Énfasis3 22 12 2" xfId="3537" xr:uid="{00000000-0005-0000-0000-0000D20D0000}"/>
    <cellStyle name="20% - Énfasis3 22 13" xfId="3538" xr:uid="{00000000-0005-0000-0000-0000D30D0000}"/>
    <cellStyle name="20% - Énfasis3 22 13 2" xfId="3539" xr:uid="{00000000-0005-0000-0000-0000D40D0000}"/>
    <cellStyle name="20% - Énfasis3 22 14" xfId="3540" xr:uid="{00000000-0005-0000-0000-0000D50D0000}"/>
    <cellStyle name="20% - Énfasis3 22 14 2" xfId="3541" xr:uid="{00000000-0005-0000-0000-0000D60D0000}"/>
    <cellStyle name="20% - Énfasis3 22 15" xfId="3542" xr:uid="{00000000-0005-0000-0000-0000D70D0000}"/>
    <cellStyle name="20% - Énfasis3 22 15 2" xfId="3543" xr:uid="{00000000-0005-0000-0000-0000D80D0000}"/>
    <cellStyle name="20% - Énfasis3 22 16" xfId="3544" xr:uid="{00000000-0005-0000-0000-0000D90D0000}"/>
    <cellStyle name="20% - Énfasis3 22 16 2" xfId="3545" xr:uid="{00000000-0005-0000-0000-0000DA0D0000}"/>
    <cellStyle name="20% - Énfasis3 22 17" xfId="3546" xr:uid="{00000000-0005-0000-0000-0000DB0D0000}"/>
    <cellStyle name="20% - Énfasis3 22 17 2" xfId="3547" xr:uid="{00000000-0005-0000-0000-0000DC0D0000}"/>
    <cellStyle name="20% - Énfasis3 22 18" xfId="3548" xr:uid="{00000000-0005-0000-0000-0000DD0D0000}"/>
    <cellStyle name="20% - Énfasis3 22 18 2" xfId="3549" xr:uid="{00000000-0005-0000-0000-0000DE0D0000}"/>
    <cellStyle name="20% - Énfasis3 22 19" xfId="3550" xr:uid="{00000000-0005-0000-0000-0000DF0D0000}"/>
    <cellStyle name="20% - Énfasis3 22 19 2" xfId="3551" xr:uid="{00000000-0005-0000-0000-0000E00D0000}"/>
    <cellStyle name="20% - Énfasis3 22 2" xfId="3552" xr:uid="{00000000-0005-0000-0000-0000E10D0000}"/>
    <cellStyle name="20% - Énfasis3 22 2 2" xfId="3553" xr:uid="{00000000-0005-0000-0000-0000E20D0000}"/>
    <cellStyle name="20% - Énfasis3 22 20" xfId="3554" xr:uid="{00000000-0005-0000-0000-0000E30D0000}"/>
    <cellStyle name="20% - Énfasis3 22 3" xfId="3555" xr:uid="{00000000-0005-0000-0000-0000E40D0000}"/>
    <cellStyle name="20% - Énfasis3 22 3 2" xfId="3556" xr:uid="{00000000-0005-0000-0000-0000E50D0000}"/>
    <cellStyle name="20% - Énfasis3 22 4" xfId="3557" xr:uid="{00000000-0005-0000-0000-0000E60D0000}"/>
    <cellStyle name="20% - Énfasis3 22 4 2" xfId="3558" xr:uid="{00000000-0005-0000-0000-0000E70D0000}"/>
    <cellStyle name="20% - Énfasis3 22 5" xfId="3559" xr:uid="{00000000-0005-0000-0000-0000E80D0000}"/>
    <cellStyle name="20% - Énfasis3 22 5 2" xfId="3560" xr:uid="{00000000-0005-0000-0000-0000E90D0000}"/>
    <cellStyle name="20% - Énfasis3 22 6" xfId="3561" xr:uid="{00000000-0005-0000-0000-0000EA0D0000}"/>
    <cellStyle name="20% - Énfasis3 22 6 2" xfId="3562" xr:uid="{00000000-0005-0000-0000-0000EB0D0000}"/>
    <cellStyle name="20% - Énfasis3 22 7" xfId="3563" xr:uid="{00000000-0005-0000-0000-0000EC0D0000}"/>
    <cellStyle name="20% - Énfasis3 22 7 2" xfId="3564" xr:uid="{00000000-0005-0000-0000-0000ED0D0000}"/>
    <cellStyle name="20% - Énfasis3 22 8" xfId="3565" xr:uid="{00000000-0005-0000-0000-0000EE0D0000}"/>
    <cellStyle name="20% - Énfasis3 22 8 2" xfId="3566" xr:uid="{00000000-0005-0000-0000-0000EF0D0000}"/>
    <cellStyle name="20% - Énfasis3 22 9" xfId="3567" xr:uid="{00000000-0005-0000-0000-0000F00D0000}"/>
    <cellStyle name="20% - Énfasis3 22 9 2" xfId="3568" xr:uid="{00000000-0005-0000-0000-0000F10D0000}"/>
    <cellStyle name="20% - Énfasis3 23" xfId="3569" xr:uid="{00000000-0005-0000-0000-0000F20D0000}"/>
    <cellStyle name="20% - Énfasis3 23 10" xfId="3570" xr:uid="{00000000-0005-0000-0000-0000F30D0000}"/>
    <cellStyle name="20% - Énfasis3 23 10 2" xfId="3571" xr:uid="{00000000-0005-0000-0000-0000F40D0000}"/>
    <cellStyle name="20% - Énfasis3 23 11" xfId="3572" xr:uid="{00000000-0005-0000-0000-0000F50D0000}"/>
    <cellStyle name="20% - Énfasis3 23 11 2" xfId="3573" xr:uid="{00000000-0005-0000-0000-0000F60D0000}"/>
    <cellStyle name="20% - Énfasis3 23 12" xfId="3574" xr:uid="{00000000-0005-0000-0000-0000F70D0000}"/>
    <cellStyle name="20% - Énfasis3 23 12 2" xfId="3575" xr:uid="{00000000-0005-0000-0000-0000F80D0000}"/>
    <cellStyle name="20% - Énfasis3 23 13" xfId="3576" xr:uid="{00000000-0005-0000-0000-0000F90D0000}"/>
    <cellStyle name="20% - Énfasis3 23 13 2" xfId="3577" xr:uid="{00000000-0005-0000-0000-0000FA0D0000}"/>
    <cellStyle name="20% - Énfasis3 23 14" xfId="3578" xr:uid="{00000000-0005-0000-0000-0000FB0D0000}"/>
    <cellStyle name="20% - Énfasis3 23 14 2" xfId="3579" xr:uid="{00000000-0005-0000-0000-0000FC0D0000}"/>
    <cellStyle name="20% - Énfasis3 23 15" xfId="3580" xr:uid="{00000000-0005-0000-0000-0000FD0D0000}"/>
    <cellStyle name="20% - Énfasis3 23 15 2" xfId="3581" xr:uid="{00000000-0005-0000-0000-0000FE0D0000}"/>
    <cellStyle name="20% - Énfasis3 23 16" xfId="3582" xr:uid="{00000000-0005-0000-0000-0000FF0D0000}"/>
    <cellStyle name="20% - Énfasis3 23 16 2" xfId="3583" xr:uid="{00000000-0005-0000-0000-0000000E0000}"/>
    <cellStyle name="20% - Énfasis3 23 17" xfId="3584" xr:uid="{00000000-0005-0000-0000-0000010E0000}"/>
    <cellStyle name="20% - Énfasis3 23 17 2" xfId="3585" xr:uid="{00000000-0005-0000-0000-0000020E0000}"/>
    <cellStyle name="20% - Énfasis3 23 18" xfId="3586" xr:uid="{00000000-0005-0000-0000-0000030E0000}"/>
    <cellStyle name="20% - Énfasis3 23 18 2" xfId="3587" xr:uid="{00000000-0005-0000-0000-0000040E0000}"/>
    <cellStyle name="20% - Énfasis3 23 19" xfId="3588" xr:uid="{00000000-0005-0000-0000-0000050E0000}"/>
    <cellStyle name="20% - Énfasis3 23 19 2" xfId="3589" xr:uid="{00000000-0005-0000-0000-0000060E0000}"/>
    <cellStyle name="20% - Énfasis3 23 2" xfId="3590" xr:uid="{00000000-0005-0000-0000-0000070E0000}"/>
    <cellStyle name="20% - Énfasis3 23 2 2" xfId="3591" xr:uid="{00000000-0005-0000-0000-0000080E0000}"/>
    <cellStyle name="20% - Énfasis3 23 20" xfId="3592" xr:uid="{00000000-0005-0000-0000-0000090E0000}"/>
    <cellStyle name="20% - Énfasis3 23 3" xfId="3593" xr:uid="{00000000-0005-0000-0000-00000A0E0000}"/>
    <cellStyle name="20% - Énfasis3 23 3 2" xfId="3594" xr:uid="{00000000-0005-0000-0000-00000B0E0000}"/>
    <cellStyle name="20% - Énfasis3 23 4" xfId="3595" xr:uid="{00000000-0005-0000-0000-00000C0E0000}"/>
    <cellStyle name="20% - Énfasis3 23 4 2" xfId="3596" xr:uid="{00000000-0005-0000-0000-00000D0E0000}"/>
    <cellStyle name="20% - Énfasis3 23 5" xfId="3597" xr:uid="{00000000-0005-0000-0000-00000E0E0000}"/>
    <cellStyle name="20% - Énfasis3 23 5 2" xfId="3598" xr:uid="{00000000-0005-0000-0000-00000F0E0000}"/>
    <cellStyle name="20% - Énfasis3 23 6" xfId="3599" xr:uid="{00000000-0005-0000-0000-0000100E0000}"/>
    <cellStyle name="20% - Énfasis3 23 6 2" xfId="3600" xr:uid="{00000000-0005-0000-0000-0000110E0000}"/>
    <cellStyle name="20% - Énfasis3 23 7" xfId="3601" xr:uid="{00000000-0005-0000-0000-0000120E0000}"/>
    <cellStyle name="20% - Énfasis3 23 7 2" xfId="3602" xr:uid="{00000000-0005-0000-0000-0000130E0000}"/>
    <cellStyle name="20% - Énfasis3 23 8" xfId="3603" xr:uid="{00000000-0005-0000-0000-0000140E0000}"/>
    <cellStyle name="20% - Énfasis3 23 8 2" xfId="3604" xr:uid="{00000000-0005-0000-0000-0000150E0000}"/>
    <cellStyle name="20% - Énfasis3 23 9" xfId="3605" xr:uid="{00000000-0005-0000-0000-0000160E0000}"/>
    <cellStyle name="20% - Énfasis3 23 9 2" xfId="3606" xr:uid="{00000000-0005-0000-0000-0000170E0000}"/>
    <cellStyle name="20% - Énfasis3 24" xfId="3607" xr:uid="{00000000-0005-0000-0000-0000180E0000}"/>
    <cellStyle name="20% - Énfasis3 24 10" xfId="3608" xr:uid="{00000000-0005-0000-0000-0000190E0000}"/>
    <cellStyle name="20% - Énfasis3 24 10 2" xfId="3609" xr:uid="{00000000-0005-0000-0000-00001A0E0000}"/>
    <cellStyle name="20% - Énfasis3 24 11" xfId="3610" xr:uid="{00000000-0005-0000-0000-00001B0E0000}"/>
    <cellStyle name="20% - Énfasis3 24 11 2" xfId="3611" xr:uid="{00000000-0005-0000-0000-00001C0E0000}"/>
    <cellStyle name="20% - Énfasis3 24 12" xfId="3612" xr:uid="{00000000-0005-0000-0000-00001D0E0000}"/>
    <cellStyle name="20% - Énfasis3 24 12 2" xfId="3613" xr:uid="{00000000-0005-0000-0000-00001E0E0000}"/>
    <cellStyle name="20% - Énfasis3 24 13" xfId="3614" xr:uid="{00000000-0005-0000-0000-00001F0E0000}"/>
    <cellStyle name="20% - Énfasis3 24 13 2" xfId="3615" xr:uid="{00000000-0005-0000-0000-0000200E0000}"/>
    <cellStyle name="20% - Énfasis3 24 14" xfId="3616" xr:uid="{00000000-0005-0000-0000-0000210E0000}"/>
    <cellStyle name="20% - Énfasis3 24 14 2" xfId="3617" xr:uid="{00000000-0005-0000-0000-0000220E0000}"/>
    <cellStyle name="20% - Énfasis3 24 15" xfId="3618" xr:uid="{00000000-0005-0000-0000-0000230E0000}"/>
    <cellStyle name="20% - Énfasis3 24 15 2" xfId="3619" xr:uid="{00000000-0005-0000-0000-0000240E0000}"/>
    <cellStyle name="20% - Énfasis3 24 16" xfId="3620" xr:uid="{00000000-0005-0000-0000-0000250E0000}"/>
    <cellStyle name="20% - Énfasis3 24 16 2" xfId="3621" xr:uid="{00000000-0005-0000-0000-0000260E0000}"/>
    <cellStyle name="20% - Énfasis3 24 17" xfId="3622" xr:uid="{00000000-0005-0000-0000-0000270E0000}"/>
    <cellStyle name="20% - Énfasis3 24 17 2" xfId="3623" xr:uid="{00000000-0005-0000-0000-0000280E0000}"/>
    <cellStyle name="20% - Énfasis3 24 18" xfId="3624" xr:uid="{00000000-0005-0000-0000-0000290E0000}"/>
    <cellStyle name="20% - Énfasis3 24 18 2" xfId="3625" xr:uid="{00000000-0005-0000-0000-00002A0E0000}"/>
    <cellStyle name="20% - Énfasis3 24 19" xfId="3626" xr:uid="{00000000-0005-0000-0000-00002B0E0000}"/>
    <cellStyle name="20% - Énfasis3 24 19 2" xfId="3627" xr:uid="{00000000-0005-0000-0000-00002C0E0000}"/>
    <cellStyle name="20% - Énfasis3 24 2" xfId="3628" xr:uid="{00000000-0005-0000-0000-00002D0E0000}"/>
    <cellStyle name="20% - Énfasis3 24 2 2" xfId="3629" xr:uid="{00000000-0005-0000-0000-00002E0E0000}"/>
    <cellStyle name="20% - Énfasis3 24 20" xfId="3630" xr:uid="{00000000-0005-0000-0000-00002F0E0000}"/>
    <cellStyle name="20% - Énfasis3 24 3" xfId="3631" xr:uid="{00000000-0005-0000-0000-0000300E0000}"/>
    <cellStyle name="20% - Énfasis3 24 3 2" xfId="3632" xr:uid="{00000000-0005-0000-0000-0000310E0000}"/>
    <cellStyle name="20% - Énfasis3 24 4" xfId="3633" xr:uid="{00000000-0005-0000-0000-0000320E0000}"/>
    <cellStyle name="20% - Énfasis3 24 4 2" xfId="3634" xr:uid="{00000000-0005-0000-0000-0000330E0000}"/>
    <cellStyle name="20% - Énfasis3 24 5" xfId="3635" xr:uid="{00000000-0005-0000-0000-0000340E0000}"/>
    <cellStyle name="20% - Énfasis3 24 5 2" xfId="3636" xr:uid="{00000000-0005-0000-0000-0000350E0000}"/>
    <cellStyle name="20% - Énfasis3 24 6" xfId="3637" xr:uid="{00000000-0005-0000-0000-0000360E0000}"/>
    <cellStyle name="20% - Énfasis3 24 6 2" xfId="3638" xr:uid="{00000000-0005-0000-0000-0000370E0000}"/>
    <cellStyle name="20% - Énfasis3 24 7" xfId="3639" xr:uid="{00000000-0005-0000-0000-0000380E0000}"/>
    <cellStyle name="20% - Énfasis3 24 7 2" xfId="3640" xr:uid="{00000000-0005-0000-0000-0000390E0000}"/>
    <cellStyle name="20% - Énfasis3 24 8" xfId="3641" xr:uid="{00000000-0005-0000-0000-00003A0E0000}"/>
    <cellStyle name="20% - Énfasis3 24 8 2" xfId="3642" xr:uid="{00000000-0005-0000-0000-00003B0E0000}"/>
    <cellStyle name="20% - Énfasis3 24 9" xfId="3643" xr:uid="{00000000-0005-0000-0000-00003C0E0000}"/>
    <cellStyle name="20% - Énfasis3 24 9 2" xfId="3644" xr:uid="{00000000-0005-0000-0000-00003D0E0000}"/>
    <cellStyle name="20% - Énfasis3 25" xfId="3645" xr:uid="{00000000-0005-0000-0000-00003E0E0000}"/>
    <cellStyle name="20% - Énfasis3 25 10" xfId="3646" xr:uid="{00000000-0005-0000-0000-00003F0E0000}"/>
    <cellStyle name="20% - Énfasis3 25 10 2" xfId="3647" xr:uid="{00000000-0005-0000-0000-0000400E0000}"/>
    <cellStyle name="20% - Énfasis3 25 11" xfId="3648" xr:uid="{00000000-0005-0000-0000-0000410E0000}"/>
    <cellStyle name="20% - Énfasis3 25 11 2" xfId="3649" xr:uid="{00000000-0005-0000-0000-0000420E0000}"/>
    <cellStyle name="20% - Énfasis3 25 12" xfId="3650" xr:uid="{00000000-0005-0000-0000-0000430E0000}"/>
    <cellStyle name="20% - Énfasis3 25 12 2" xfId="3651" xr:uid="{00000000-0005-0000-0000-0000440E0000}"/>
    <cellStyle name="20% - Énfasis3 25 13" xfId="3652" xr:uid="{00000000-0005-0000-0000-0000450E0000}"/>
    <cellStyle name="20% - Énfasis3 25 13 2" xfId="3653" xr:uid="{00000000-0005-0000-0000-0000460E0000}"/>
    <cellStyle name="20% - Énfasis3 25 14" xfId="3654" xr:uid="{00000000-0005-0000-0000-0000470E0000}"/>
    <cellStyle name="20% - Énfasis3 25 14 2" xfId="3655" xr:uid="{00000000-0005-0000-0000-0000480E0000}"/>
    <cellStyle name="20% - Énfasis3 25 15" xfId="3656" xr:uid="{00000000-0005-0000-0000-0000490E0000}"/>
    <cellStyle name="20% - Énfasis3 25 15 2" xfId="3657" xr:uid="{00000000-0005-0000-0000-00004A0E0000}"/>
    <cellStyle name="20% - Énfasis3 25 16" xfId="3658" xr:uid="{00000000-0005-0000-0000-00004B0E0000}"/>
    <cellStyle name="20% - Énfasis3 25 16 2" xfId="3659" xr:uid="{00000000-0005-0000-0000-00004C0E0000}"/>
    <cellStyle name="20% - Énfasis3 25 17" xfId="3660" xr:uid="{00000000-0005-0000-0000-00004D0E0000}"/>
    <cellStyle name="20% - Énfasis3 25 17 2" xfId="3661" xr:uid="{00000000-0005-0000-0000-00004E0E0000}"/>
    <cellStyle name="20% - Énfasis3 25 18" xfId="3662" xr:uid="{00000000-0005-0000-0000-00004F0E0000}"/>
    <cellStyle name="20% - Énfasis3 25 18 2" xfId="3663" xr:uid="{00000000-0005-0000-0000-0000500E0000}"/>
    <cellStyle name="20% - Énfasis3 25 19" xfId="3664" xr:uid="{00000000-0005-0000-0000-0000510E0000}"/>
    <cellStyle name="20% - Énfasis3 25 19 2" xfId="3665" xr:uid="{00000000-0005-0000-0000-0000520E0000}"/>
    <cellStyle name="20% - Énfasis3 25 2" xfId="3666" xr:uid="{00000000-0005-0000-0000-0000530E0000}"/>
    <cellStyle name="20% - Énfasis3 25 2 2" xfId="3667" xr:uid="{00000000-0005-0000-0000-0000540E0000}"/>
    <cellStyle name="20% - Énfasis3 25 20" xfId="3668" xr:uid="{00000000-0005-0000-0000-0000550E0000}"/>
    <cellStyle name="20% - Énfasis3 25 3" xfId="3669" xr:uid="{00000000-0005-0000-0000-0000560E0000}"/>
    <cellStyle name="20% - Énfasis3 25 3 2" xfId="3670" xr:uid="{00000000-0005-0000-0000-0000570E0000}"/>
    <cellStyle name="20% - Énfasis3 25 4" xfId="3671" xr:uid="{00000000-0005-0000-0000-0000580E0000}"/>
    <cellStyle name="20% - Énfasis3 25 4 2" xfId="3672" xr:uid="{00000000-0005-0000-0000-0000590E0000}"/>
    <cellStyle name="20% - Énfasis3 25 5" xfId="3673" xr:uid="{00000000-0005-0000-0000-00005A0E0000}"/>
    <cellStyle name="20% - Énfasis3 25 5 2" xfId="3674" xr:uid="{00000000-0005-0000-0000-00005B0E0000}"/>
    <cellStyle name="20% - Énfasis3 25 6" xfId="3675" xr:uid="{00000000-0005-0000-0000-00005C0E0000}"/>
    <cellStyle name="20% - Énfasis3 25 6 2" xfId="3676" xr:uid="{00000000-0005-0000-0000-00005D0E0000}"/>
    <cellStyle name="20% - Énfasis3 25 7" xfId="3677" xr:uid="{00000000-0005-0000-0000-00005E0E0000}"/>
    <cellStyle name="20% - Énfasis3 25 7 2" xfId="3678" xr:uid="{00000000-0005-0000-0000-00005F0E0000}"/>
    <cellStyle name="20% - Énfasis3 25 8" xfId="3679" xr:uid="{00000000-0005-0000-0000-0000600E0000}"/>
    <cellStyle name="20% - Énfasis3 25 8 2" xfId="3680" xr:uid="{00000000-0005-0000-0000-0000610E0000}"/>
    <cellStyle name="20% - Énfasis3 25 9" xfId="3681" xr:uid="{00000000-0005-0000-0000-0000620E0000}"/>
    <cellStyle name="20% - Énfasis3 25 9 2" xfId="3682" xr:uid="{00000000-0005-0000-0000-0000630E0000}"/>
    <cellStyle name="20% - Énfasis3 26" xfId="3683" xr:uid="{00000000-0005-0000-0000-0000640E0000}"/>
    <cellStyle name="20% - Énfasis3 26 10" xfId="3684" xr:uid="{00000000-0005-0000-0000-0000650E0000}"/>
    <cellStyle name="20% - Énfasis3 26 10 2" xfId="3685" xr:uid="{00000000-0005-0000-0000-0000660E0000}"/>
    <cellStyle name="20% - Énfasis3 26 11" xfId="3686" xr:uid="{00000000-0005-0000-0000-0000670E0000}"/>
    <cellStyle name="20% - Énfasis3 26 11 2" xfId="3687" xr:uid="{00000000-0005-0000-0000-0000680E0000}"/>
    <cellStyle name="20% - Énfasis3 26 12" xfId="3688" xr:uid="{00000000-0005-0000-0000-0000690E0000}"/>
    <cellStyle name="20% - Énfasis3 26 12 2" xfId="3689" xr:uid="{00000000-0005-0000-0000-00006A0E0000}"/>
    <cellStyle name="20% - Énfasis3 26 13" xfId="3690" xr:uid="{00000000-0005-0000-0000-00006B0E0000}"/>
    <cellStyle name="20% - Énfasis3 26 13 2" xfId="3691" xr:uid="{00000000-0005-0000-0000-00006C0E0000}"/>
    <cellStyle name="20% - Énfasis3 26 14" xfId="3692" xr:uid="{00000000-0005-0000-0000-00006D0E0000}"/>
    <cellStyle name="20% - Énfasis3 26 14 2" xfId="3693" xr:uid="{00000000-0005-0000-0000-00006E0E0000}"/>
    <cellStyle name="20% - Énfasis3 26 15" xfId="3694" xr:uid="{00000000-0005-0000-0000-00006F0E0000}"/>
    <cellStyle name="20% - Énfasis3 26 15 2" xfId="3695" xr:uid="{00000000-0005-0000-0000-0000700E0000}"/>
    <cellStyle name="20% - Énfasis3 26 16" xfId="3696" xr:uid="{00000000-0005-0000-0000-0000710E0000}"/>
    <cellStyle name="20% - Énfasis3 26 16 2" xfId="3697" xr:uid="{00000000-0005-0000-0000-0000720E0000}"/>
    <cellStyle name="20% - Énfasis3 26 17" xfId="3698" xr:uid="{00000000-0005-0000-0000-0000730E0000}"/>
    <cellStyle name="20% - Énfasis3 26 17 2" xfId="3699" xr:uid="{00000000-0005-0000-0000-0000740E0000}"/>
    <cellStyle name="20% - Énfasis3 26 18" xfId="3700" xr:uid="{00000000-0005-0000-0000-0000750E0000}"/>
    <cellStyle name="20% - Énfasis3 26 18 2" xfId="3701" xr:uid="{00000000-0005-0000-0000-0000760E0000}"/>
    <cellStyle name="20% - Énfasis3 26 19" xfId="3702" xr:uid="{00000000-0005-0000-0000-0000770E0000}"/>
    <cellStyle name="20% - Énfasis3 26 19 2" xfId="3703" xr:uid="{00000000-0005-0000-0000-0000780E0000}"/>
    <cellStyle name="20% - Énfasis3 26 2" xfId="3704" xr:uid="{00000000-0005-0000-0000-0000790E0000}"/>
    <cellStyle name="20% - Énfasis3 26 2 2" xfId="3705" xr:uid="{00000000-0005-0000-0000-00007A0E0000}"/>
    <cellStyle name="20% - Énfasis3 26 20" xfId="3706" xr:uid="{00000000-0005-0000-0000-00007B0E0000}"/>
    <cellStyle name="20% - Énfasis3 26 3" xfId="3707" xr:uid="{00000000-0005-0000-0000-00007C0E0000}"/>
    <cellStyle name="20% - Énfasis3 26 3 2" xfId="3708" xr:uid="{00000000-0005-0000-0000-00007D0E0000}"/>
    <cellStyle name="20% - Énfasis3 26 4" xfId="3709" xr:uid="{00000000-0005-0000-0000-00007E0E0000}"/>
    <cellStyle name="20% - Énfasis3 26 4 2" xfId="3710" xr:uid="{00000000-0005-0000-0000-00007F0E0000}"/>
    <cellStyle name="20% - Énfasis3 26 5" xfId="3711" xr:uid="{00000000-0005-0000-0000-0000800E0000}"/>
    <cellStyle name="20% - Énfasis3 26 5 2" xfId="3712" xr:uid="{00000000-0005-0000-0000-0000810E0000}"/>
    <cellStyle name="20% - Énfasis3 26 6" xfId="3713" xr:uid="{00000000-0005-0000-0000-0000820E0000}"/>
    <cellStyle name="20% - Énfasis3 26 6 2" xfId="3714" xr:uid="{00000000-0005-0000-0000-0000830E0000}"/>
    <cellStyle name="20% - Énfasis3 26 7" xfId="3715" xr:uid="{00000000-0005-0000-0000-0000840E0000}"/>
    <cellStyle name="20% - Énfasis3 26 7 2" xfId="3716" xr:uid="{00000000-0005-0000-0000-0000850E0000}"/>
    <cellStyle name="20% - Énfasis3 26 8" xfId="3717" xr:uid="{00000000-0005-0000-0000-0000860E0000}"/>
    <cellStyle name="20% - Énfasis3 26 8 2" xfId="3718" xr:uid="{00000000-0005-0000-0000-0000870E0000}"/>
    <cellStyle name="20% - Énfasis3 26 9" xfId="3719" xr:uid="{00000000-0005-0000-0000-0000880E0000}"/>
    <cellStyle name="20% - Énfasis3 26 9 2" xfId="3720" xr:uid="{00000000-0005-0000-0000-0000890E0000}"/>
    <cellStyle name="20% - Énfasis3 27" xfId="3721" xr:uid="{00000000-0005-0000-0000-00008A0E0000}"/>
    <cellStyle name="20% - Énfasis3 27 10" xfId="3722" xr:uid="{00000000-0005-0000-0000-00008B0E0000}"/>
    <cellStyle name="20% - Énfasis3 27 10 2" xfId="3723" xr:uid="{00000000-0005-0000-0000-00008C0E0000}"/>
    <cellStyle name="20% - Énfasis3 27 11" xfId="3724" xr:uid="{00000000-0005-0000-0000-00008D0E0000}"/>
    <cellStyle name="20% - Énfasis3 27 11 2" xfId="3725" xr:uid="{00000000-0005-0000-0000-00008E0E0000}"/>
    <cellStyle name="20% - Énfasis3 27 12" xfId="3726" xr:uid="{00000000-0005-0000-0000-00008F0E0000}"/>
    <cellStyle name="20% - Énfasis3 27 12 2" xfId="3727" xr:uid="{00000000-0005-0000-0000-0000900E0000}"/>
    <cellStyle name="20% - Énfasis3 27 13" xfId="3728" xr:uid="{00000000-0005-0000-0000-0000910E0000}"/>
    <cellStyle name="20% - Énfasis3 27 13 2" xfId="3729" xr:uid="{00000000-0005-0000-0000-0000920E0000}"/>
    <cellStyle name="20% - Énfasis3 27 14" xfId="3730" xr:uid="{00000000-0005-0000-0000-0000930E0000}"/>
    <cellStyle name="20% - Énfasis3 27 14 2" xfId="3731" xr:uid="{00000000-0005-0000-0000-0000940E0000}"/>
    <cellStyle name="20% - Énfasis3 27 15" xfId="3732" xr:uid="{00000000-0005-0000-0000-0000950E0000}"/>
    <cellStyle name="20% - Énfasis3 27 15 2" xfId="3733" xr:uid="{00000000-0005-0000-0000-0000960E0000}"/>
    <cellStyle name="20% - Énfasis3 27 16" xfId="3734" xr:uid="{00000000-0005-0000-0000-0000970E0000}"/>
    <cellStyle name="20% - Énfasis3 27 16 2" xfId="3735" xr:uid="{00000000-0005-0000-0000-0000980E0000}"/>
    <cellStyle name="20% - Énfasis3 27 17" xfId="3736" xr:uid="{00000000-0005-0000-0000-0000990E0000}"/>
    <cellStyle name="20% - Énfasis3 27 17 2" xfId="3737" xr:uid="{00000000-0005-0000-0000-00009A0E0000}"/>
    <cellStyle name="20% - Énfasis3 27 18" xfId="3738" xr:uid="{00000000-0005-0000-0000-00009B0E0000}"/>
    <cellStyle name="20% - Énfasis3 27 18 2" xfId="3739" xr:uid="{00000000-0005-0000-0000-00009C0E0000}"/>
    <cellStyle name="20% - Énfasis3 27 19" xfId="3740" xr:uid="{00000000-0005-0000-0000-00009D0E0000}"/>
    <cellStyle name="20% - Énfasis3 27 19 2" xfId="3741" xr:uid="{00000000-0005-0000-0000-00009E0E0000}"/>
    <cellStyle name="20% - Énfasis3 27 2" xfId="3742" xr:uid="{00000000-0005-0000-0000-00009F0E0000}"/>
    <cellStyle name="20% - Énfasis3 27 2 2" xfId="3743" xr:uid="{00000000-0005-0000-0000-0000A00E0000}"/>
    <cellStyle name="20% - Énfasis3 27 20" xfId="3744" xr:uid="{00000000-0005-0000-0000-0000A10E0000}"/>
    <cellStyle name="20% - Énfasis3 27 3" xfId="3745" xr:uid="{00000000-0005-0000-0000-0000A20E0000}"/>
    <cellStyle name="20% - Énfasis3 27 3 2" xfId="3746" xr:uid="{00000000-0005-0000-0000-0000A30E0000}"/>
    <cellStyle name="20% - Énfasis3 27 4" xfId="3747" xr:uid="{00000000-0005-0000-0000-0000A40E0000}"/>
    <cellStyle name="20% - Énfasis3 27 4 2" xfId="3748" xr:uid="{00000000-0005-0000-0000-0000A50E0000}"/>
    <cellStyle name="20% - Énfasis3 27 5" xfId="3749" xr:uid="{00000000-0005-0000-0000-0000A60E0000}"/>
    <cellStyle name="20% - Énfasis3 27 5 2" xfId="3750" xr:uid="{00000000-0005-0000-0000-0000A70E0000}"/>
    <cellStyle name="20% - Énfasis3 27 6" xfId="3751" xr:uid="{00000000-0005-0000-0000-0000A80E0000}"/>
    <cellStyle name="20% - Énfasis3 27 6 2" xfId="3752" xr:uid="{00000000-0005-0000-0000-0000A90E0000}"/>
    <cellStyle name="20% - Énfasis3 27 7" xfId="3753" xr:uid="{00000000-0005-0000-0000-0000AA0E0000}"/>
    <cellStyle name="20% - Énfasis3 27 7 2" xfId="3754" xr:uid="{00000000-0005-0000-0000-0000AB0E0000}"/>
    <cellStyle name="20% - Énfasis3 27 8" xfId="3755" xr:uid="{00000000-0005-0000-0000-0000AC0E0000}"/>
    <cellStyle name="20% - Énfasis3 27 8 2" xfId="3756" xr:uid="{00000000-0005-0000-0000-0000AD0E0000}"/>
    <cellStyle name="20% - Énfasis3 27 9" xfId="3757" xr:uid="{00000000-0005-0000-0000-0000AE0E0000}"/>
    <cellStyle name="20% - Énfasis3 27 9 2" xfId="3758" xr:uid="{00000000-0005-0000-0000-0000AF0E0000}"/>
    <cellStyle name="20% - Énfasis3 28" xfId="3759" xr:uid="{00000000-0005-0000-0000-0000B00E0000}"/>
    <cellStyle name="20% - Énfasis3 28 10" xfId="3760" xr:uid="{00000000-0005-0000-0000-0000B10E0000}"/>
    <cellStyle name="20% - Énfasis3 28 10 2" xfId="3761" xr:uid="{00000000-0005-0000-0000-0000B20E0000}"/>
    <cellStyle name="20% - Énfasis3 28 11" xfId="3762" xr:uid="{00000000-0005-0000-0000-0000B30E0000}"/>
    <cellStyle name="20% - Énfasis3 28 11 2" xfId="3763" xr:uid="{00000000-0005-0000-0000-0000B40E0000}"/>
    <cellStyle name="20% - Énfasis3 28 12" xfId="3764" xr:uid="{00000000-0005-0000-0000-0000B50E0000}"/>
    <cellStyle name="20% - Énfasis3 28 12 2" xfId="3765" xr:uid="{00000000-0005-0000-0000-0000B60E0000}"/>
    <cellStyle name="20% - Énfasis3 28 13" xfId="3766" xr:uid="{00000000-0005-0000-0000-0000B70E0000}"/>
    <cellStyle name="20% - Énfasis3 28 13 2" xfId="3767" xr:uid="{00000000-0005-0000-0000-0000B80E0000}"/>
    <cellStyle name="20% - Énfasis3 28 14" xfId="3768" xr:uid="{00000000-0005-0000-0000-0000B90E0000}"/>
    <cellStyle name="20% - Énfasis3 28 14 2" xfId="3769" xr:uid="{00000000-0005-0000-0000-0000BA0E0000}"/>
    <cellStyle name="20% - Énfasis3 28 15" xfId="3770" xr:uid="{00000000-0005-0000-0000-0000BB0E0000}"/>
    <cellStyle name="20% - Énfasis3 28 15 2" xfId="3771" xr:uid="{00000000-0005-0000-0000-0000BC0E0000}"/>
    <cellStyle name="20% - Énfasis3 28 16" xfId="3772" xr:uid="{00000000-0005-0000-0000-0000BD0E0000}"/>
    <cellStyle name="20% - Énfasis3 28 16 2" xfId="3773" xr:uid="{00000000-0005-0000-0000-0000BE0E0000}"/>
    <cellStyle name="20% - Énfasis3 28 17" xfId="3774" xr:uid="{00000000-0005-0000-0000-0000BF0E0000}"/>
    <cellStyle name="20% - Énfasis3 28 17 2" xfId="3775" xr:uid="{00000000-0005-0000-0000-0000C00E0000}"/>
    <cellStyle name="20% - Énfasis3 28 18" xfId="3776" xr:uid="{00000000-0005-0000-0000-0000C10E0000}"/>
    <cellStyle name="20% - Énfasis3 28 18 2" xfId="3777" xr:uid="{00000000-0005-0000-0000-0000C20E0000}"/>
    <cellStyle name="20% - Énfasis3 28 19" xfId="3778" xr:uid="{00000000-0005-0000-0000-0000C30E0000}"/>
    <cellStyle name="20% - Énfasis3 28 19 2" xfId="3779" xr:uid="{00000000-0005-0000-0000-0000C40E0000}"/>
    <cellStyle name="20% - Énfasis3 28 2" xfId="3780" xr:uid="{00000000-0005-0000-0000-0000C50E0000}"/>
    <cellStyle name="20% - Énfasis3 28 2 2" xfId="3781" xr:uid="{00000000-0005-0000-0000-0000C60E0000}"/>
    <cellStyle name="20% - Énfasis3 28 20" xfId="3782" xr:uid="{00000000-0005-0000-0000-0000C70E0000}"/>
    <cellStyle name="20% - Énfasis3 28 3" xfId="3783" xr:uid="{00000000-0005-0000-0000-0000C80E0000}"/>
    <cellStyle name="20% - Énfasis3 28 3 2" xfId="3784" xr:uid="{00000000-0005-0000-0000-0000C90E0000}"/>
    <cellStyle name="20% - Énfasis3 28 4" xfId="3785" xr:uid="{00000000-0005-0000-0000-0000CA0E0000}"/>
    <cellStyle name="20% - Énfasis3 28 4 2" xfId="3786" xr:uid="{00000000-0005-0000-0000-0000CB0E0000}"/>
    <cellStyle name="20% - Énfasis3 28 5" xfId="3787" xr:uid="{00000000-0005-0000-0000-0000CC0E0000}"/>
    <cellStyle name="20% - Énfasis3 28 5 2" xfId="3788" xr:uid="{00000000-0005-0000-0000-0000CD0E0000}"/>
    <cellStyle name="20% - Énfasis3 28 6" xfId="3789" xr:uid="{00000000-0005-0000-0000-0000CE0E0000}"/>
    <cellStyle name="20% - Énfasis3 28 6 2" xfId="3790" xr:uid="{00000000-0005-0000-0000-0000CF0E0000}"/>
    <cellStyle name="20% - Énfasis3 28 7" xfId="3791" xr:uid="{00000000-0005-0000-0000-0000D00E0000}"/>
    <cellStyle name="20% - Énfasis3 28 7 2" xfId="3792" xr:uid="{00000000-0005-0000-0000-0000D10E0000}"/>
    <cellStyle name="20% - Énfasis3 28 8" xfId="3793" xr:uid="{00000000-0005-0000-0000-0000D20E0000}"/>
    <cellStyle name="20% - Énfasis3 28 8 2" xfId="3794" xr:uid="{00000000-0005-0000-0000-0000D30E0000}"/>
    <cellStyle name="20% - Énfasis3 28 9" xfId="3795" xr:uid="{00000000-0005-0000-0000-0000D40E0000}"/>
    <cellStyle name="20% - Énfasis3 28 9 2" xfId="3796" xr:uid="{00000000-0005-0000-0000-0000D50E0000}"/>
    <cellStyle name="20% - Énfasis3 29" xfId="3797" xr:uid="{00000000-0005-0000-0000-0000D60E0000}"/>
    <cellStyle name="20% - Énfasis3 29 10" xfId="3798" xr:uid="{00000000-0005-0000-0000-0000D70E0000}"/>
    <cellStyle name="20% - Énfasis3 29 10 2" xfId="3799" xr:uid="{00000000-0005-0000-0000-0000D80E0000}"/>
    <cellStyle name="20% - Énfasis3 29 11" xfId="3800" xr:uid="{00000000-0005-0000-0000-0000D90E0000}"/>
    <cellStyle name="20% - Énfasis3 29 11 2" xfId="3801" xr:uid="{00000000-0005-0000-0000-0000DA0E0000}"/>
    <cellStyle name="20% - Énfasis3 29 12" xfId="3802" xr:uid="{00000000-0005-0000-0000-0000DB0E0000}"/>
    <cellStyle name="20% - Énfasis3 29 12 2" xfId="3803" xr:uid="{00000000-0005-0000-0000-0000DC0E0000}"/>
    <cellStyle name="20% - Énfasis3 29 13" xfId="3804" xr:uid="{00000000-0005-0000-0000-0000DD0E0000}"/>
    <cellStyle name="20% - Énfasis3 29 13 2" xfId="3805" xr:uid="{00000000-0005-0000-0000-0000DE0E0000}"/>
    <cellStyle name="20% - Énfasis3 29 14" xfId="3806" xr:uid="{00000000-0005-0000-0000-0000DF0E0000}"/>
    <cellStyle name="20% - Énfasis3 29 14 2" xfId="3807" xr:uid="{00000000-0005-0000-0000-0000E00E0000}"/>
    <cellStyle name="20% - Énfasis3 29 15" xfId="3808" xr:uid="{00000000-0005-0000-0000-0000E10E0000}"/>
    <cellStyle name="20% - Énfasis3 29 15 2" xfId="3809" xr:uid="{00000000-0005-0000-0000-0000E20E0000}"/>
    <cellStyle name="20% - Énfasis3 29 16" xfId="3810" xr:uid="{00000000-0005-0000-0000-0000E30E0000}"/>
    <cellStyle name="20% - Énfasis3 29 16 2" xfId="3811" xr:uid="{00000000-0005-0000-0000-0000E40E0000}"/>
    <cellStyle name="20% - Énfasis3 29 17" xfId="3812" xr:uid="{00000000-0005-0000-0000-0000E50E0000}"/>
    <cellStyle name="20% - Énfasis3 29 17 2" xfId="3813" xr:uid="{00000000-0005-0000-0000-0000E60E0000}"/>
    <cellStyle name="20% - Énfasis3 29 18" xfId="3814" xr:uid="{00000000-0005-0000-0000-0000E70E0000}"/>
    <cellStyle name="20% - Énfasis3 29 18 2" xfId="3815" xr:uid="{00000000-0005-0000-0000-0000E80E0000}"/>
    <cellStyle name="20% - Énfasis3 29 19" xfId="3816" xr:uid="{00000000-0005-0000-0000-0000E90E0000}"/>
    <cellStyle name="20% - Énfasis3 29 19 2" xfId="3817" xr:uid="{00000000-0005-0000-0000-0000EA0E0000}"/>
    <cellStyle name="20% - Énfasis3 29 2" xfId="3818" xr:uid="{00000000-0005-0000-0000-0000EB0E0000}"/>
    <cellStyle name="20% - Énfasis3 29 2 2" xfId="3819" xr:uid="{00000000-0005-0000-0000-0000EC0E0000}"/>
    <cellStyle name="20% - Énfasis3 29 20" xfId="3820" xr:uid="{00000000-0005-0000-0000-0000ED0E0000}"/>
    <cellStyle name="20% - Énfasis3 29 3" xfId="3821" xr:uid="{00000000-0005-0000-0000-0000EE0E0000}"/>
    <cellStyle name="20% - Énfasis3 29 3 2" xfId="3822" xr:uid="{00000000-0005-0000-0000-0000EF0E0000}"/>
    <cellStyle name="20% - Énfasis3 29 4" xfId="3823" xr:uid="{00000000-0005-0000-0000-0000F00E0000}"/>
    <cellStyle name="20% - Énfasis3 29 4 2" xfId="3824" xr:uid="{00000000-0005-0000-0000-0000F10E0000}"/>
    <cellStyle name="20% - Énfasis3 29 5" xfId="3825" xr:uid="{00000000-0005-0000-0000-0000F20E0000}"/>
    <cellStyle name="20% - Énfasis3 29 5 2" xfId="3826" xr:uid="{00000000-0005-0000-0000-0000F30E0000}"/>
    <cellStyle name="20% - Énfasis3 29 6" xfId="3827" xr:uid="{00000000-0005-0000-0000-0000F40E0000}"/>
    <cellStyle name="20% - Énfasis3 29 6 2" xfId="3828" xr:uid="{00000000-0005-0000-0000-0000F50E0000}"/>
    <cellStyle name="20% - Énfasis3 29 7" xfId="3829" xr:uid="{00000000-0005-0000-0000-0000F60E0000}"/>
    <cellStyle name="20% - Énfasis3 29 7 2" xfId="3830" xr:uid="{00000000-0005-0000-0000-0000F70E0000}"/>
    <cellStyle name="20% - Énfasis3 29 8" xfId="3831" xr:uid="{00000000-0005-0000-0000-0000F80E0000}"/>
    <cellStyle name="20% - Énfasis3 29 8 2" xfId="3832" xr:uid="{00000000-0005-0000-0000-0000F90E0000}"/>
    <cellStyle name="20% - Énfasis3 29 9" xfId="3833" xr:uid="{00000000-0005-0000-0000-0000FA0E0000}"/>
    <cellStyle name="20% - Énfasis3 29 9 2" xfId="3834" xr:uid="{00000000-0005-0000-0000-0000FB0E0000}"/>
    <cellStyle name="20% - Énfasis3 3" xfId="3835" xr:uid="{00000000-0005-0000-0000-0000FC0E0000}"/>
    <cellStyle name="20% - Énfasis3 3 10" xfId="3836" xr:uid="{00000000-0005-0000-0000-0000FD0E0000}"/>
    <cellStyle name="20% - Énfasis3 3 10 2" xfId="3837" xr:uid="{00000000-0005-0000-0000-0000FE0E0000}"/>
    <cellStyle name="20% - Énfasis3 3 11" xfId="3838" xr:uid="{00000000-0005-0000-0000-0000FF0E0000}"/>
    <cellStyle name="20% - Énfasis3 3 11 2" xfId="3839" xr:uid="{00000000-0005-0000-0000-0000000F0000}"/>
    <cellStyle name="20% - Énfasis3 3 12" xfId="3840" xr:uid="{00000000-0005-0000-0000-0000010F0000}"/>
    <cellStyle name="20% - Énfasis3 3 12 2" xfId="3841" xr:uid="{00000000-0005-0000-0000-0000020F0000}"/>
    <cellStyle name="20% - Énfasis3 3 13" xfId="3842" xr:uid="{00000000-0005-0000-0000-0000030F0000}"/>
    <cellStyle name="20% - Énfasis3 3 13 2" xfId="3843" xr:uid="{00000000-0005-0000-0000-0000040F0000}"/>
    <cellStyle name="20% - Énfasis3 3 14" xfId="3844" xr:uid="{00000000-0005-0000-0000-0000050F0000}"/>
    <cellStyle name="20% - Énfasis3 3 14 2" xfId="3845" xr:uid="{00000000-0005-0000-0000-0000060F0000}"/>
    <cellStyle name="20% - Énfasis3 3 15" xfId="3846" xr:uid="{00000000-0005-0000-0000-0000070F0000}"/>
    <cellStyle name="20% - Énfasis3 3 15 2" xfId="3847" xr:uid="{00000000-0005-0000-0000-0000080F0000}"/>
    <cellStyle name="20% - Énfasis3 3 16" xfId="3848" xr:uid="{00000000-0005-0000-0000-0000090F0000}"/>
    <cellStyle name="20% - Énfasis3 3 16 2" xfId="3849" xr:uid="{00000000-0005-0000-0000-00000A0F0000}"/>
    <cellStyle name="20% - Énfasis3 3 17" xfId="3850" xr:uid="{00000000-0005-0000-0000-00000B0F0000}"/>
    <cellStyle name="20% - Énfasis3 3 17 2" xfId="3851" xr:uid="{00000000-0005-0000-0000-00000C0F0000}"/>
    <cellStyle name="20% - Énfasis3 3 18" xfId="3852" xr:uid="{00000000-0005-0000-0000-00000D0F0000}"/>
    <cellStyle name="20% - Énfasis3 3 18 2" xfId="3853" xr:uid="{00000000-0005-0000-0000-00000E0F0000}"/>
    <cellStyle name="20% - Énfasis3 3 19" xfId="3854" xr:uid="{00000000-0005-0000-0000-00000F0F0000}"/>
    <cellStyle name="20% - Énfasis3 3 19 2" xfId="3855" xr:uid="{00000000-0005-0000-0000-0000100F0000}"/>
    <cellStyle name="20% - Énfasis3 3 2" xfId="3856" xr:uid="{00000000-0005-0000-0000-0000110F0000}"/>
    <cellStyle name="20% - Énfasis3 3 2 2" xfId="3857" xr:uid="{00000000-0005-0000-0000-0000120F0000}"/>
    <cellStyle name="20% - Énfasis3 3 20" xfId="3858" xr:uid="{00000000-0005-0000-0000-0000130F0000}"/>
    <cellStyle name="20% - Énfasis3 3 21" xfId="3859" xr:uid="{00000000-0005-0000-0000-0000140F0000}"/>
    <cellStyle name="20% - Énfasis3 3 3" xfId="3860" xr:uid="{00000000-0005-0000-0000-0000150F0000}"/>
    <cellStyle name="20% - Énfasis3 3 3 2" xfId="3861" xr:uid="{00000000-0005-0000-0000-0000160F0000}"/>
    <cellStyle name="20% - Énfasis3 3 4" xfId="3862" xr:uid="{00000000-0005-0000-0000-0000170F0000}"/>
    <cellStyle name="20% - Énfasis3 3 4 2" xfId="3863" xr:uid="{00000000-0005-0000-0000-0000180F0000}"/>
    <cellStyle name="20% - Énfasis3 3 5" xfId="3864" xr:uid="{00000000-0005-0000-0000-0000190F0000}"/>
    <cellStyle name="20% - Énfasis3 3 5 2" xfId="3865" xr:uid="{00000000-0005-0000-0000-00001A0F0000}"/>
    <cellStyle name="20% - Énfasis3 3 6" xfId="3866" xr:uid="{00000000-0005-0000-0000-00001B0F0000}"/>
    <cellStyle name="20% - Énfasis3 3 6 2" xfId="3867" xr:uid="{00000000-0005-0000-0000-00001C0F0000}"/>
    <cellStyle name="20% - Énfasis3 3 7" xfId="3868" xr:uid="{00000000-0005-0000-0000-00001D0F0000}"/>
    <cellStyle name="20% - Énfasis3 3 7 2" xfId="3869" xr:uid="{00000000-0005-0000-0000-00001E0F0000}"/>
    <cellStyle name="20% - Énfasis3 3 8" xfId="3870" xr:uid="{00000000-0005-0000-0000-00001F0F0000}"/>
    <cellStyle name="20% - Énfasis3 3 8 2" xfId="3871" xr:uid="{00000000-0005-0000-0000-0000200F0000}"/>
    <cellStyle name="20% - Énfasis3 3 9" xfId="3872" xr:uid="{00000000-0005-0000-0000-0000210F0000}"/>
    <cellStyle name="20% - Énfasis3 3 9 2" xfId="3873" xr:uid="{00000000-0005-0000-0000-0000220F0000}"/>
    <cellStyle name="20% - Énfasis3 30" xfId="3874" xr:uid="{00000000-0005-0000-0000-0000230F0000}"/>
    <cellStyle name="20% - Énfasis3 30 10" xfId="3875" xr:uid="{00000000-0005-0000-0000-0000240F0000}"/>
    <cellStyle name="20% - Énfasis3 30 10 2" xfId="3876" xr:uid="{00000000-0005-0000-0000-0000250F0000}"/>
    <cellStyle name="20% - Énfasis3 30 11" xfId="3877" xr:uid="{00000000-0005-0000-0000-0000260F0000}"/>
    <cellStyle name="20% - Énfasis3 30 11 2" xfId="3878" xr:uid="{00000000-0005-0000-0000-0000270F0000}"/>
    <cellStyle name="20% - Énfasis3 30 12" xfId="3879" xr:uid="{00000000-0005-0000-0000-0000280F0000}"/>
    <cellStyle name="20% - Énfasis3 30 12 2" xfId="3880" xr:uid="{00000000-0005-0000-0000-0000290F0000}"/>
    <cellStyle name="20% - Énfasis3 30 13" xfId="3881" xr:uid="{00000000-0005-0000-0000-00002A0F0000}"/>
    <cellStyle name="20% - Énfasis3 30 13 2" xfId="3882" xr:uid="{00000000-0005-0000-0000-00002B0F0000}"/>
    <cellStyle name="20% - Énfasis3 30 14" xfId="3883" xr:uid="{00000000-0005-0000-0000-00002C0F0000}"/>
    <cellStyle name="20% - Énfasis3 30 14 2" xfId="3884" xr:uid="{00000000-0005-0000-0000-00002D0F0000}"/>
    <cellStyle name="20% - Énfasis3 30 15" xfId="3885" xr:uid="{00000000-0005-0000-0000-00002E0F0000}"/>
    <cellStyle name="20% - Énfasis3 30 15 2" xfId="3886" xr:uid="{00000000-0005-0000-0000-00002F0F0000}"/>
    <cellStyle name="20% - Énfasis3 30 16" xfId="3887" xr:uid="{00000000-0005-0000-0000-0000300F0000}"/>
    <cellStyle name="20% - Énfasis3 30 16 2" xfId="3888" xr:uid="{00000000-0005-0000-0000-0000310F0000}"/>
    <cellStyle name="20% - Énfasis3 30 17" xfId="3889" xr:uid="{00000000-0005-0000-0000-0000320F0000}"/>
    <cellStyle name="20% - Énfasis3 30 17 2" xfId="3890" xr:uid="{00000000-0005-0000-0000-0000330F0000}"/>
    <cellStyle name="20% - Énfasis3 30 18" xfId="3891" xr:uid="{00000000-0005-0000-0000-0000340F0000}"/>
    <cellStyle name="20% - Énfasis3 30 18 2" xfId="3892" xr:uid="{00000000-0005-0000-0000-0000350F0000}"/>
    <cellStyle name="20% - Énfasis3 30 19" xfId="3893" xr:uid="{00000000-0005-0000-0000-0000360F0000}"/>
    <cellStyle name="20% - Énfasis3 30 19 2" xfId="3894" xr:uid="{00000000-0005-0000-0000-0000370F0000}"/>
    <cellStyle name="20% - Énfasis3 30 2" xfId="3895" xr:uid="{00000000-0005-0000-0000-0000380F0000}"/>
    <cellStyle name="20% - Énfasis3 30 2 2" xfId="3896" xr:uid="{00000000-0005-0000-0000-0000390F0000}"/>
    <cellStyle name="20% - Énfasis3 30 20" xfId="3897" xr:uid="{00000000-0005-0000-0000-00003A0F0000}"/>
    <cellStyle name="20% - Énfasis3 30 3" xfId="3898" xr:uid="{00000000-0005-0000-0000-00003B0F0000}"/>
    <cellStyle name="20% - Énfasis3 30 3 2" xfId="3899" xr:uid="{00000000-0005-0000-0000-00003C0F0000}"/>
    <cellStyle name="20% - Énfasis3 30 4" xfId="3900" xr:uid="{00000000-0005-0000-0000-00003D0F0000}"/>
    <cellStyle name="20% - Énfasis3 30 4 2" xfId="3901" xr:uid="{00000000-0005-0000-0000-00003E0F0000}"/>
    <cellStyle name="20% - Énfasis3 30 5" xfId="3902" xr:uid="{00000000-0005-0000-0000-00003F0F0000}"/>
    <cellStyle name="20% - Énfasis3 30 5 2" xfId="3903" xr:uid="{00000000-0005-0000-0000-0000400F0000}"/>
    <cellStyle name="20% - Énfasis3 30 6" xfId="3904" xr:uid="{00000000-0005-0000-0000-0000410F0000}"/>
    <cellStyle name="20% - Énfasis3 30 6 2" xfId="3905" xr:uid="{00000000-0005-0000-0000-0000420F0000}"/>
    <cellStyle name="20% - Énfasis3 30 7" xfId="3906" xr:uid="{00000000-0005-0000-0000-0000430F0000}"/>
    <cellStyle name="20% - Énfasis3 30 7 2" xfId="3907" xr:uid="{00000000-0005-0000-0000-0000440F0000}"/>
    <cellStyle name="20% - Énfasis3 30 8" xfId="3908" xr:uid="{00000000-0005-0000-0000-0000450F0000}"/>
    <cellStyle name="20% - Énfasis3 30 8 2" xfId="3909" xr:uid="{00000000-0005-0000-0000-0000460F0000}"/>
    <cellStyle name="20% - Énfasis3 30 9" xfId="3910" xr:uid="{00000000-0005-0000-0000-0000470F0000}"/>
    <cellStyle name="20% - Énfasis3 30 9 2" xfId="3911" xr:uid="{00000000-0005-0000-0000-0000480F0000}"/>
    <cellStyle name="20% - Énfasis3 31" xfId="3912" xr:uid="{00000000-0005-0000-0000-0000490F0000}"/>
    <cellStyle name="20% - Énfasis3 31 10" xfId="3913" xr:uid="{00000000-0005-0000-0000-00004A0F0000}"/>
    <cellStyle name="20% - Énfasis3 31 10 2" xfId="3914" xr:uid="{00000000-0005-0000-0000-00004B0F0000}"/>
    <cellStyle name="20% - Énfasis3 31 11" xfId="3915" xr:uid="{00000000-0005-0000-0000-00004C0F0000}"/>
    <cellStyle name="20% - Énfasis3 31 11 2" xfId="3916" xr:uid="{00000000-0005-0000-0000-00004D0F0000}"/>
    <cellStyle name="20% - Énfasis3 31 12" xfId="3917" xr:uid="{00000000-0005-0000-0000-00004E0F0000}"/>
    <cellStyle name="20% - Énfasis3 31 12 2" xfId="3918" xr:uid="{00000000-0005-0000-0000-00004F0F0000}"/>
    <cellStyle name="20% - Énfasis3 31 13" xfId="3919" xr:uid="{00000000-0005-0000-0000-0000500F0000}"/>
    <cellStyle name="20% - Énfasis3 31 13 2" xfId="3920" xr:uid="{00000000-0005-0000-0000-0000510F0000}"/>
    <cellStyle name="20% - Énfasis3 31 14" xfId="3921" xr:uid="{00000000-0005-0000-0000-0000520F0000}"/>
    <cellStyle name="20% - Énfasis3 31 14 2" xfId="3922" xr:uid="{00000000-0005-0000-0000-0000530F0000}"/>
    <cellStyle name="20% - Énfasis3 31 15" xfId="3923" xr:uid="{00000000-0005-0000-0000-0000540F0000}"/>
    <cellStyle name="20% - Énfasis3 31 15 2" xfId="3924" xr:uid="{00000000-0005-0000-0000-0000550F0000}"/>
    <cellStyle name="20% - Énfasis3 31 16" xfId="3925" xr:uid="{00000000-0005-0000-0000-0000560F0000}"/>
    <cellStyle name="20% - Énfasis3 31 16 2" xfId="3926" xr:uid="{00000000-0005-0000-0000-0000570F0000}"/>
    <cellStyle name="20% - Énfasis3 31 17" xfId="3927" xr:uid="{00000000-0005-0000-0000-0000580F0000}"/>
    <cellStyle name="20% - Énfasis3 31 17 2" xfId="3928" xr:uid="{00000000-0005-0000-0000-0000590F0000}"/>
    <cellStyle name="20% - Énfasis3 31 18" xfId="3929" xr:uid="{00000000-0005-0000-0000-00005A0F0000}"/>
    <cellStyle name="20% - Énfasis3 31 18 2" xfId="3930" xr:uid="{00000000-0005-0000-0000-00005B0F0000}"/>
    <cellStyle name="20% - Énfasis3 31 19" xfId="3931" xr:uid="{00000000-0005-0000-0000-00005C0F0000}"/>
    <cellStyle name="20% - Énfasis3 31 19 2" xfId="3932" xr:uid="{00000000-0005-0000-0000-00005D0F0000}"/>
    <cellStyle name="20% - Énfasis3 31 2" xfId="3933" xr:uid="{00000000-0005-0000-0000-00005E0F0000}"/>
    <cellStyle name="20% - Énfasis3 31 2 2" xfId="3934" xr:uid="{00000000-0005-0000-0000-00005F0F0000}"/>
    <cellStyle name="20% - Énfasis3 31 20" xfId="3935" xr:uid="{00000000-0005-0000-0000-0000600F0000}"/>
    <cellStyle name="20% - Énfasis3 31 3" xfId="3936" xr:uid="{00000000-0005-0000-0000-0000610F0000}"/>
    <cellStyle name="20% - Énfasis3 31 3 2" xfId="3937" xr:uid="{00000000-0005-0000-0000-0000620F0000}"/>
    <cellStyle name="20% - Énfasis3 31 4" xfId="3938" xr:uid="{00000000-0005-0000-0000-0000630F0000}"/>
    <cellStyle name="20% - Énfasis3 31 4 2" xfId="3939" xr:uid="{00000000-0005-0000-0000-0000640F0000}"/>
    <cellStyle name="20% - Énfasis3 31 5" xfId="3940" xr:uid="{00000000-0005-0000-0000-0000650F0000}"/>
    <cellStyle name="20% - Énfasis3 31 5 2" xfId="3941" xr:uid="{00000000-0005-0000-0000-0000660F0000}"/>
    <cellStyle name="20% - Énfasis3 31 6" xfId="3942" xr:uid="{00000000-0005-0000-0000-0000670F0000}"/>
    <cellStyle name="20% - Énfasis3 31 6 2" xfId="3943" xr:uid="{00000000-0005-0000-0000-0000680F0000}"/>
    <cellStyle name="20% - Énfasis3 31 7" xfId="3944" xr:uid="{00000000-0005-0000-0000-0000690F0000}"/>
    <cellStyle name="20% - Énfasis3 31 7 2" xfId="3945" xr:uid="{00000000-0005-0000-0000-00006A0F0000}"/>
    <cellStyle name="20% - Énfasis3 31 8" xfId="3946" xr:uid="{00000000-0005-0000-0000-00006B0F0000}"/>
    <cellStyle name="20% - Énfasis3 31 8 2" xfId="3947" xr:uid="{00000000-0005-0000-0000-00006C0F0000}"/>
    <cellStyle name="20% - Énfasis3 31 9" xfId="3948" xr:uid="{00000000-0005-0000-0000-00006D0F0000}"/>
    <cellStyle name="20% - Énfasis3 31 9 2" xfId="3949" xr:uid="{00000000-0005-0000-0000-00006E0F0000}"/>
    <cellStyle name="20% - Énfasis3 32" xfId="3950" xr:uid="{00000000-0005-0000-0000-00006F0F0000}"/>
    <cellStyle name="20% - Énfasis3 32 10" xfId="3951" xr:uid="{00000000-0005-0000-0000-0000700F0000}"/>
    <cellStyle name="20% - Énfasis3 32 10 2" xfId="3952" xr:uid="{00000000-0005-0000-0000-0000710F0000}"/>
    <cellStyle name="20% - Énfasis3 32 11" xfId="3953" xr:uid="{00000000-0005-0000-0000-0000720F0000}"/>
    <cellStyle name="20% - Énfasis3 32 11 2" xfId="3954" xr:uid="{00000000-0005-0000-0000-0000730F0000}"/>
    <cellStyle name="20% - Énfasis3 32 12" xfId="3955" xr:uid="{00000000-0005-0000-0000-0000740F0000}"/>
    <cellStyle name="20% - Énfasis3 32 12 2" xfId="3956" xr:uid="{00000000-0005-0000-0000-0000750F0000}"/>
    <cellStyle name="20% - Énfasis3 32 13" xfId="3957" xr:uid="{00000000-0005-0000-0000-0000760F0000}"/>
    <cellStyle name="20% - Énfasis3 32 13 2" xfId="3958" xr:uid="{00000000-0005-0000-0000-0000770F0000}"/>
    <cellStyle name="20% - Énfasis3 32 14" xfId="3959" xr:uid="{00000000-0005-0000-0000-0000780F0000}"/>
    <cellStyle name="20% - Énfasis3 32 14 2" xfId="3960" xr:uid="{00000000-0005-0000-0000-0000790F0000}"/>
    <cellStyle name="20% - Énfasis3 32 15" xfId="3961" xr:uid="{00000000-0005-0000-0000-00007A0F0000}"/>
    <cellStyle name="20% - Énfasis3 32 15 2" xfId="3962" xr:uid="{00000000-0005-0000-0000-00007B0F0000}"/>
    <cellStyle name="20% - Énfasis3 32 16" xfId="3963" xr:uid="{00000000-0005-0000-0000-00007C0F0000}"/>
    <cellStyle name="20% - Énfasis3 32 16 2" xfId="3964" xr:uid="{00000000-0005-0000-0000-00007D0F0000}"/>
    <cellStyle name="20% - Énfasis3 32 17" xfId="3965" xr:uid="{00000000-0005-0000-0000-00007E0F0000}"/>
    <cellStyle name="20% - Énfasis3 32 17 2" xfId="3966" xr:uid="{00000000-0005-0000-0000-00007F0F0000}"/>
    <cellStyle name="20% - Énfasis3 32 18" xfId="3967" xr:uid="{00000000-0005-0000-0000-0000800F0000}"/>
    <cellStyle name="20% - Énfasis3 32 18 2" xfId="3968" xr:uid="{00000000-0005-0000-0000-0000810F0000}"/>
    <cellStyle name="20% - Énfasis3 32 19" xfId="3969" xr:uid="{00000000-0005-0000-0000-0000820F0000}"/>
    <cellStyle name="20% - Énfasis3 32 19 2" xfId="3970" xr:uid="{00000000-0005-0000-0000-0000830F0000}"/>
    <cellStyle name="20% - Énfasis3 32 2" xfId="3971" xr:uid="{00000000-0005-0000-0000-0000840F0000}"/>
    <cellStyle name="20% - Énfasis3 32 2 2" xfId="3972" xr:uid="{00000000-0005-0000-0000-0000850F0000}"/>
    <cellStyle name="20% - Énfasis3 32 20" xfId="3973" xr:uid="{00000000-0005-0000-0000-0000860F0000}"/>
    <cellStyle name="20% - Énfasis3 32 3" xfId="3974" xr:uid="{00000000-0005-0000-0000-0000870F0000}"/>
    <cellStyle name="20% - Énfasis3 32 3 2" xfId="3975" xr:uid="{00000000-0005-0000-0000-0000880F0000}"/>
    <cellStyle name="20% - Énfasis3 32 4" xfId="3976" xr:uid="{00000000-0005-0000-0000-0000890F0000}"/>
    <cellStyle name="20% - Énfasis3 32 4 2" xfId="3977" xr:uid="{00000000-0005-0000-0000-00008A0F0000}"/>
    <cellStyle name="20% - Énfasis3 32 5" xfId="3978" xr:uid="{00000000-0005-0000-0000-00008B0F0000}"/>
    <cellStyle name="20% - Énfasis3 32 5 2" xfId="3979" xr:uid="{00000000-0005-0000-0000-00008C0F0000}"/>
    <cellStyle name="20% - Énfasis3 32 6" xfId="3980" xr:uid="{00000000-0005-0000-0000-00008D0F0000}"/>
    <cellStyle name="20% - Énfasis3 32 6 2" xfId="3981" xr:uid="{00000000-0005-0000-0000-00008E0F0000}"/>
    <cellStyle name="20% - Énfasis3 32 7" xfId="3982" xr:uid="{00000000-0005-0000-0000-00008F0F0000}"/>
    <cellStyle name="20% - Énfasis3 32 7 2" xfId="3983" xr:uid="{00000000-0005-0000-0000-0000900F0000}"/>
    <cellStyle name="20% - Énfasis3 32 8" xfId="3984" xr:uid="{00000000-0005-0000-0000-0000910F0000}"/>
    <cellStyle name="20% - Énfasis3 32 8 2" xfId="3985" xr:uid="{00000000-0005-0000-0000-0000920F0000}"/>
    <cellStyle name="20% - Énfasis3 32 9" xfId="3986" xr:uid="{00000000-0005-0000-0000-0000930F0000}"/>
    <cellStyle name="20% - Énfasis3 32 9 2" xfId="3987" xr:uid="{00000000-0005-0000-0000-0000940F0000}"/>
    <cellStyle name="20% - Énfasis3 33" xfId="3988" xr:uid="{00000000-0005-0000-0000-0000950F0000}"/>
    <cellStyle name="20% - Énfasis3 33 10" xfId="3989" xr:uid="{00000000-0005-0000-0000-0000960F0000}"/>
    <cellStyle name="20% - Énfasis3 33 10 2" xfId="3990" xr:uid="{00000000-0005-0000-0000-0000970F0000}"/>
    <cellStyle name="20% - Énfasis3 33 11" xfId="3991" xr:uid="{00000000-0005-0000-0000-0000980F0000}"/>
    <cellStyle name="20% - Énfasis3 33 11 2" xfId="3992" xr:uid="{00000000-0005-0000-0000-0000990F0000}"/>
    <cellStyle name="20% - Énfasis3 33 12" xfId="3993" xr:uid="{00000000-0005-0000-0000-00009A0F0000}"/>
    <cellStyle name="20% - Énfasis3 33 12 2" xfId="3994" xr:uid="{00000000-0005-0000-0000-00009B0F0000}"/>
    <cellStyle name="20% - Énfasis3 33 13" xfId="3995" xr:uid="{00000000-0005-0000-0000-00009C0F0000}"/>
    <cellStyle name="20% - Énfasis3 33 13 2" xfId="3996" xr:uid="{00000000-0005-0000-0000-00009D0F0000}"/>
    <cellStyle name="20% - Énfasis3 33 14" xfId="3997" xr:uid="{00000000-0005-0000-0000-00009E0F0000}"/>
    <cellStyle name="20% - Énfasis3 33 14 2" xfId="3998" xr:uid="{00000000-0005-0000-0000-00009F0F0000}"/>
    <cellStyle name="20% - Énfasis3 33 15" xfId="3999" xr:uid="{00000000-0005-0000-0000-0000A00F0000}"/>
    <cellStyle name="20% - Énfasis3 33 15 2" xfId="4000" xr:uid="{00000000-0005-0000-0000-0000A10F0000}"/>
    <cellStyle name="20% - Énfasis3 33 16" xfId="4001" xr:uid="{00000000-0005-0000-0000-0000A20F0000}"/>
    <cellStyle name="20% - Énfasis3 33 16 2" xfId="4002" xr:uid="{00000000-0005-0000-0000-0000A30F0000}"/>
    <cellStyle name="20% - Énfasis3 33 17" xfId="4003" xr:uid="{00000000-0005-0000-0000-0000A40F0000}"/>
    <cellStyle name="20% - Énfasis3 33 17 2" xfId="4004" xr:uid="{00000000-0005-0000-0000-0000A50F0000}"/>
    <cellStyle name="20% - Énfasis3 33 18" xfId="4005" xr:uid="{00000000-0005-0000-0000-0000A60F0000}"/>
    <cellStyle name="20% - Énfasis3 33 18 2" xfId="4006" xr:uid="{00000000-0005-0000-0000-0000A70F0000}"/>
    <cellStyle name="20% - Énfasis3 33 19" xfId="4007" xr:uid="{00000000-0005-0000-0000-0000A80F0000}"/>
    <cellStyle name="20% - Énfasis3 33 19 2" xfId="4008" xr:uid="{00000000-0005-0000-0000-0000A90F0000}"/>
    <cellStyle name="20% - Énfasis3 33 2" xfId="4009" xr:uid="{00000000-0005-0000-0000-0000AA0F0000}"/>
    <cellStyle name="20% - Énfasis3 33 2 2" xfId="4010" xr:uid="{00000000-0005-0000-0000-0000AB0F0000}"/>
    <cellStyle name="20% - Énfasis3 33 20" xfId="4011" xr:uid="{00000000-0005-0000-0000-0000AC0F0000}"/>
    <cellStyle name="20% - Énfasis3 33 3" xfId="4012" xr:uid="{00000000-0005-0000-0000-0000AD0F0000}"/>
    <cellStyle name="20% - Énfasis3 33 3 2" xfId="4013" xr:uid="{00000000-0005-0000-0000-0000AE0F0000}"/>
    <cellStyle name="20% - Énfasis3 33 4" xfId="4014" xr:uid="{00000000-0005-0000-0000-0000AF0F0000}"/>
    <cellStyle name="20% - Énfasis3 33 4 2" xfId="4015" xr:uid="{00000000-0005-0000-0000-0000B00F0000}"/>
    <cellStyle name="20% - Énfasis3 33 5" xfId="4016" xr:uid="{00000000-0005-0000-0000-0000B10F0000}"/>
    <cellStyle name="20% - Énfasis3 33 5 2" xfId="4017" xr:uid="{00000000-0005-0000-0000-0000B20F0000}"/>
    <cellStyle name="20% - Énfasis3 33 6" xfId="4018" xr:uid="{00000000-0005-0000-0000-0000B30F0000}"/>
    <cellStyle name="20% - Énfasis3 33 6 2" xfId="4019" xr:uid="{00000000-0005-0000-0000-0000B40F0000}"/>
    <cellStyle name="20% - Énfasis3 33 7" xfId="4020" xr:uid="{00000000-0005-0000-0000-0000B50F0000}"/>
    <cellStyle name="20% - Énfasis3 33 7 2" xfId="4021" xr:uid="{00000000-0005-0000-0000-0000B60F0000}"/>
    <cellStyle name="20% - Énfasis3 33 8" xfId="4022" xr:uid="{00000000-0005-0000-0000-0000B70F0000}"/>
    <cellStyle name="20% - Énfasis3 33 8 2" xfId="4023" xr:uid="{00000000-0005-0000-0000-0000B80F0000}"/>
    <cellStyle name="20% - Énfasis3 33 9" xfId="4024" xr:uid="{00000000-0005-0000-0000-0000B90F0000}"/>
    <cellStyle name="20% - Énfasis3 33 9 2" xfId="4025" xr:uid="{00000000-0005-0000-0000-0000BA0F0000}"/>
    <cellStyle name="20% - Énfasis3 34" xfId="4026" xr:uid="{00000000-0005-0000-0000-0000BB0F0000}"/>
    <cellStyle name="20% - Énfasis3 34 10" xfId="4027" xr:uid="{00000000-0005-0000-0000-0000BC0F0000}"/>
    <cellStyle name="20% - Énfasis3 34 10 2" xfId="4028" xr:uid="{00000000-0005-0000-0000-0000BD0F0000}"/>
    <cellStyle name="20% - Énfasis3 34 11" xfId="4029" xr:uid="{00000000-0005-0000-0000-0000BE0F0000}"/>
    <cellStyle name="20% - Énfasis3 34 11 2" xfId="4030" xr:uid="{00000000-0005-0000-0000-0000BF0F0000}"/>
    <cellStyle name="20% - Énfasis3 34 12" xfId="4031" xr:uid="{00000000-0005-0000-0000-0000C00F0000}"/>
    <cellStyle name="20% - Énfasis3 34 12 2" xfId="4032" xr:uid="{00000000-0005-0000-0000-0000C10F0000}"/>
    <cellStyle name="20% - Énfasis3 34 13" xfId="4033" xr:uid="{00000000-0005-0000-0000-0000C20F0000}"/>
    <cellStyle name="20% - Énfasis3 34 13 2" xfId="4034" xr:uid="{00000000-0005-0000-0000-0000C30F0000}"/>
    <cellStyle name="20% - Énfasis3 34 14" xfId="4035" xr:uid="{00000000-0005-0000-0000-0000C40F0000}"/>
    <cellStyle name="20% - Énfasis3 34 14 2" xfId="4036" xr:uid="{00000000-0005-0000-0000-0000C50F0000}"/>
    <cellStyle name="20% - Énfasis3 34 15" xfId="4037" xr:uid="{00000000-0005-0000-0000-0000C60F0000}"/>
    <cellStyle name="20% - Énfasis3 34 15 2" xfId="4038" xr:uid="{00000000-0005-0000-0000-0000C70F0000}"/>
    <cellStyle name="20% - Énfasis3 34 16" xfId="4039" xr:uid="{00000000-0005-0000-0000-0000C80F0000}"/>
    <cellStyle name="20% - Énfasis3 34 16 2" xfId="4040" xr:uid="{00000000-0005-0000-0000-0000C90F0000}"/>
    <cellStyle name="20% - Énfasis3 34 17" xfId="4041" xr:uid="{00000000-0005-0000-0000-0000CA0F0000}"/>
    <cellStyle name="20% - Énfasis3 34 17 2" xfId="4042" xr:uid="{00000000-0005-0000-0000-0000CB0F0000}"/>
    <cellStyle name="20% - Énfasis3 34 18" xfId="4043" xr:uid="{00000000-0005-0000-0000-0000CC0F0000}"/>
    <cellStyle name="20% - Énfasis3 34 18 2" xfId="4044" xr:uid="{00000000-0005-0000-0000-0000CD0F0000}"/>
    <cellStyle name="20% - Énfasis3 34 19" xfId="4045" xr:uid="{00000000-0005-0000-0000-0000CE0F0000}"/>
    <cellStyle name="20% - Énfasis3 34 19 2" xfId="4046" xr:uid="{00000000-0005-0000-0000-0000CF0F0000}"/>
    <cellStyle name="20% - Énfasis3 34 2" xfId="4047" xr:uid="{00000000-0005-0000-0000-0000D00F0000}"/>
    <cellStyle name="20% - Énfasis3 34 2 2" xfId="4048" xr:uid="{00000000-0005-0000-0000-0000D10F0000}"/>
    <cellStyle name="20% - Énfasis3 34 20" xfId="4049" xr:uid="{00000000-0005-0000-0000-0000D20F0000}"/>
    <cellStyle name="20% - Énfasis3 34 3" xfId="4050" xr:uid="{00000000-0005-0000-0000-0000D30F0000}"/>
    <cellStyle name="20% - Énfasis3 34 3 2" xfId="4051" xr:uid="{00000000-0005-0000-0000-0000D40F0000}"/>
    <cellStyle name="20% - Énfasis3 34 4" xfId="4052" xr:uid="{00000000-0005-0000-0000-0000D50F0000}"/>
    <cellStyle name="20% - Énfasis3 34 4 2" xfId="4053" xr:uid="{00000000-0005-0000-0000-0000D60F0000}"/>
    <cellStyle name="20% - Énfasis3 34 5" xfId="4054" xr:uid="{00000000-0005-0000-0000-0000D70F0000}"/>
    <cellStyle name="20% - Énfasis3 34 5 2" xfId="4055" xr:uid="{00000000-0005-0000-0000-0000D80F0000}"/>
    <cellStyle name="20% - Énfasis3 34 6" xfId="4056" xr:uid="{00000000-0005-0000-0000-0000D90F0000}"/>
    <cellStyle name="20% - Énfasis3 34 6 2" xfId="4057" xr:uid="{00000000-0005-0000-0000-0000DA0F0000}"/>
    <cellStyle name="20% - Énfasis3 34 7" xfId="4058" xr:uid="{00000000-0005-0000-0000-0000DB0F0000}"/>
    <cellStyle name="20% - Énfasis3 34 7 2" xfId="4059" xr:uid="{00000000-0005-0000-0000-0000DC0F0000}"/>
    <cellStyle name="20% - Énfasis3 34 8" xfId="4060" xr:uid="{00000000-0005-0000-0000-0000DD0F0000}"/>
    <cellStyle name="20% - Énfasis3 34 8 2" xfId="4061" xr:uid="{00000000-0005-0000-0000-0000DE0F0000}"/>
    <cellStyle name="20% - Énfasis3 34 9" xfId="4062" xr:uid="{00000000-0005-0000-0000-0000DF0F0000}"/>
    <cellStyle name="20% - Énfasis3 34 9 2" xfId="4063" xr:uid="{00000000-0005-0000-0000-0000E00F0000}"/>
    <cellStyle name="20% - Énfasis3 35" xfId="4064" xr:uid="{00000000-0005-0000-0000-0000E10F0000}"/>
    <cellStyle name="20% - Énfasis3 35 10" xfId="4065" xr:uid="{00000000-0005-0000-0000-0000E20F0000}"/>
    <cellStyle name="20% - Énfasis3 35 10 2" xfId="4066" xr:uid="{00000000-0005-0000-0000-0000E30F0000}"/>
    <cellStyle name="20% - Énfasis3 35 11" xfId="4067" xr:uid="{00000000-0005-0000-0000-0000E40F0000}"/>
    <cellStyle name="20% - Énfasis3 35 11 2" xfId="4068" xr:uid="{00000000-0005-0000-0000-0000E50F0000}"/>
    <cellStyle name="20% - Énfasis3 35 12" xfId="4069" xr:uid="{00000000-0005-0000-0000-0000E60F0000}"/>
    <cellStyle name="20% - Énfasis3 35 12 2" xfId="4070" xr:uid="{00000000-0005-0000-0000-0000E70F0000}"/>
    <cellStyle name="20% - Énfasis3 35 13" xfId="4071" xr:uid="{00000000-0005-0000-0000-0000E80F0000}"/>
    <cellStyle name="20% - Énfasis3 35 13 2" xfId="4072" xr:uid="{00000000-0005-0000-0000-0000E90F0000}"/>
    <cellStyle name="20% - Énfasis3 35 14" xfId="4073" xr:uid="{00000000-0005-0000-0000-0000EA0F0000}"/>
    <cellStyle name="20% - Énfasis3 35 14 2" xfId="4074" xr:uid="{00000000-0005-0000-0000-0000EB0F0000}"/>
    <cellStyle name="20% - Énfasis3 35 15" xfId="4075" xr:uid="{00000000-0005-0000-0000-0000EC0F0000}"/>
    <cellStyle name="20% - Énfasis3 35 15 2" xfId="4076" xr:uid="{00000000-0005-0000-0000-0000ED0F0000}"/>
    <cellStyle name="20% - Énfasis3 35 16" xfId="4077" xr:uid="{00000000-0005-0000-0000-0000EE0F0000}"/>
    <cellStyle name="20% - Énfasis3 35 16 2" xfId="4078" xr:uid="{00000000-0005-0000-0000-0000EF0F0000}"/>
    <cellStyle name="20% - Énfasis3 35 17" xfId="4079" xr:uid="{00000000-0005-0000-0000-0000F00F0000}"/>
    <cellStyle name="20% - Énfasis3 35 17 2" xfId="4080" xr:uid="{00000000-0005-0000-0000-0000F10F0000}"/>
    <cellStyle name="20% - Énfasis3 35 18" xfId="4081" xr:uid="{00000000-0005-0000-0000-0000F20F0000}"/>
    <cellStyle name="20% - Énfasis3 35 18 2" xfId="4082" xr:uid="{00000000-0005-0000-0000-0000F30F0000}"/>
    <cellStyle name="20% - Énfasis3 35 19" xfId="4083" xr:uid="{00000000-0005-0000-0000-0000F40F0000}"/>
    <cellStyle name="20% - Énfasis3 35 19 2" xfId="4084" xr:uid="{00000000-0005-0000-0000-0000F50F0000}"/>
    <cellStyle name="20% - Énfasis3 35 2" xfId="4085" xr:uid="{00000000-0005-0000-0000-0000F60F0000}"/>
    <cellStyle name="20% - Énfasis3 35 2 2" xfId="4086" xr:uid="{00000000-0005-0000-0000-0000F70F0000}"/>
    <cellStyle name="20% - Énfasis3 35 20" xfId="4087" xr:uid="{00000000-0005-0000-0000-0000F80F0000}"/>
    <cellStyle name="20% - Énfasis3 35 3" xfId="4088" xr:uid="{00000000-0005-0000-0000-0000F90F0000}"/>
    <cellStyle name="20% - Énfasis3 35 3 2" xfId="4089" xr:uid="{00000000-0005-0000-0000-0000FA0F0000}"/>
    <cellStyle name="20% - Énfasis3 35 4" xfId="4090" xr:uid="{00000000-0005-0000-0000-0000FB0F0000}"/>
    <cellStyle name="20% - Énfasis3 35 4 2" xfId="4091" xr:uid="{00000000-0005-0000-0000-0000FC0F0000}"/>
    <cellStyle name="20% - Énfasis3 35 5" xfId="4092" xr:uid="{00000000-0005-0000-0000-0000FD0F0000}"/>
    <cellStyle name="20% - Énfasis3 35 5 2" xfId="4093" xr:uid="{00000000-0005-0000-0000-0000FE0F0000}"/>
    <cellStyle name="20% - Énfasis3 35 6" xfId="4094" xr:uid="{00000000-0005-0000-0000-0000FF0F0000}"/>
    <cellStyle name="20% - Énfasis3 35 6 2" xfId="4095" xr:uid="{00000000-0005-0000-0000-000000100000}"/>
    <cellStyle name="20% - Énfasis3 35 7" xfId="4096" xr:uid="{00000000-0005-0000-0000-000001100000}"/>
    <cellStyle name="20% - Énfasis3 35 7 2" xfId="4097" xr:uid="{00000000-0005-0000-0000-000002100000}"/>
    <cellStyle name="20% - Énfasis3 35 8" xfId="4098" xr:uid="{00000000-0005-0000-0000-000003100000}"/>
    <cellStyle name="20% - Énfasis3 35 8 2" xfId="4099" xr:uid="{00000000-0005-0000-0000-000004100000}"/>
    <cellStyle name="20% - Énfasis3 35 9" xfId="4100" xr:uid="{00000000-0005-0000-0000-000005100000}"/>
    <cellStyle name="20% - Énfasis3 35 9 2" xfId="4101" xr:uid="{00000000-0005-0000-0000-000006100000}"/>
    <cellStyle name="20% - Énfasis3 36" xfId="4102" xr:uid="{00000000-0005-0000-0000-000007100000}"/>
    <cellStyle name="20% - Énfasis3 36 10" xfId="4103" xr:uid="{00000000-0005-0000-0000-000008100000}"/>
    <cellStyle name="20% - Énfasis3 36 10 2" xfId="4104" xr:uid="{00000000-0005-0000-0000-000009100000}"/>
    <cellStyle name="20% - Énfasis3 36 11" xfId="4105" xr:uid="{00000000-0005-0000-0000-00000A100000}"/>
    <cellStyle name="20% - Énfasis3 36 11 2" xfId="4106" xr:uid="{00000000-0005-0000-0000-00000B100000}"/>
    <cellStyle name="20% - Énfasis3 36 12" xfId="4107" xr:uid="{00000000-0005-0000-0000-00000C100000}"/>
    <cellStyle name="20% - Énfasis3 36 12 2" xfId="4108" xr:uid="{00000000-0005-0000-0000-00000D100000}"/>
    <cellStyle name="20% - Énfasis3 36 13" xfId="4109" xr:uid="{00000000-0005-0000-0000-00000E100000}"/>
    <cellStyle name="20% - Énfasis3 36 13 2" xfId="4110" xr:uid="{00000000-0005-0000-0000-00000F100000}"/>
    <cellStyle name="20% - Énfasis3 36 14" xfId="4111" xr:uid="{00000000-0005-0000-0000-000010100000}"/>
    <cellStyle name="20% - Énfasis3 36 14 2" xfId="4112" xr:uid="{00000000-0005-0000-0000-000011100000}"/>
    <cellStyle name="20% - Énfasis3 36 15" xfId="4113" xr:uid="{00000000-0005-0000-0000-000012100000}"/>
    <cellStyle name="20% - Énfasis3 36 15 2" xfId="4114" xr:uid="{00000000-0005-0000-0000-000013100000}"/>
    <cellStyle name="20% - Énfasis3 36 16" xfId="4115" xr:uid="{00000000-0005-0000-0000-000014100000}"/>
    <cellStyle name="20% - Énfasis3 36 16 2" xfId="4116" xr:uid="{00000000-0005-0000-0000-000015100000}"/>
    <cellStyle name="20% - Énfasis3 36 17" xfId="4117" xr:uid="{00000000-0005-0000-0000-000016100000}"/>
    <cellStyle name="20% - Énfasis3 36 17 2" xfId="4118" xr:uid="{00000000-0005-0000-0000-000017100000}"/>
    <cellStyle name="20% - Énfasis3 36 18" xfId="4119" xr:uid="{00000000-0005-0000-0000-000018100000}"/>
    <cellStyle name="20% - Énfasis3 36 18 2" xfId="4120" xr:uid="{00000000-0005-0000-0000-000019100000}"/>
    <cellStyle name="20% - Énfasis3 36 19" xfId="4121" xr:uid="{00000000-0005-0000-0000-00001A100000}"/>
    <cellStyle name="20% - Énfasis3 36 19 2" xfId="4122" xr:uid="{00000000-0005-0000-0000-00001B100000}"/>
    <cellStyle name="20% - Énfasis3 36 2" xfId="4123" xr:uid="{00000000-0005-0000-0000-00001C100000}"/>
    <cellStyle name="20% - Énfasis3 36 2 2" xfId="4124" xr:uid="{00000000-0005-0000-0000-00001D100000}"/>
    <cellStyle name="20% - Énfasis3 36 20" xfId="4125" xr:uid="{00000000-0005-0000-0000-00001E100000}"/>
    <cellStyle name="20% - Énfasis3 36 3" xfId="4126" xr:uid="{00000000-0005-0000-0000-00001F100000}"/>
    <cellStyle name="20% - Énfasis3 36 3 2" xfId="4127" xr:uid="{00000000-0005-0000-0000-000020100000}"/>
    <cellStyle name="20% - Énfasis3 36 4" xfId="4128" xr:uid="{00000000-0005-0000-0000-000021100000}"/>
    <cellStyle name="20% - Énfasis3 36 4 2" xfId="4129" xr:uid="{00000000-0005-0000-0000-000022100000}"/>
    <cellStyle name="20% - Énfasis3 36 5" xfId="4130" xr:uid="{00000000-0005-0000-0000-000023100000}"/>
    <cellStyle name="20% - Énfasis3 36 5 2" xfId="4131" xr:uid="{00000000-0005-0000-0000-000024100000}"/>
    <cellStyle name="20% - Énfasis3 36 6" xfId="4132" xr:uid="{00000000-0005-0000-0000-000025100000}"/>
    <cellStyle name="20% - Énfasis3 36 6 2" xfId="4133" xr:uid="{00000000-0005-0000-0000-000026100000}"/>
    <cellStyle name="20% - Énfasis3 36 7" xfId="4134" xr:uid="{00000000-0005-0000-0000-000027100000}"/>
    <cellStyle name="20% - Énfasis3 36 7 2" xfId="4135" xr:uid="{00000000-0005-0000-0000-000028100000}"/>
    <cellStyle name="20% - Énfasis3 36 8" xfId="4136" xr:uid="{00000000-0005-0000-0000-000029100000}"/>
    <cellStyle name="20% - Énfasis3 36 8 2" xfId="4137" xr:uid="{00000000-0005-0000-0000-00002A100000}"/>
    <cellStyle name="20% - Énfasis3 36 9" xfId="4138" xr:uid="{00000000-0005-0000-0000-00002B100000}"/>
    <cellStyle name="20% - Énfasis3 36 9 2" xfId="4139" xr:uid="{00000000-0005-0000-0000-00002C100000}"/>
    <cellStyle name="20% - Énfasis3 37" xfId="4140" xr:uid="{00000000-0005-0000-0000-00002D100000}"/>
    <cellStyle name="20% - Énfasis3 37 2" xfId="4141" xr:uid="{00000000-0005-0000-0000-00002E100000}"/>
    <cellStyle name="20% - Énfasis3 38" xfId="4142" xr:uid="{00000000-0005-0000-0000-00002F100000}"/>
    <cellStyle name="20% - Énfasis3 38 2" xfId="4143" xr:uid="{00000000-0005-0000-0000-000030100000}"/>
    <cellStyle name="20% - Énfasis3 39" xfId="4144" xr:uid="{00000000-0005-0000-0000-000031100000}"/>
    <cellStyle name="20% - Énfasis3 39 2" xfId="4145" xr:uid="{00000000-0005-0000-0000-000032100000}"/>
    <cellStyle name="20% - Énfasis3 4" xfId="4146" xr:uid="{00000000-0005-0000-0000-000033100000}"/>
    <cellStyle name="20% - Énfasis3 4 10" xfId="4147" xr:uid="{00000000-0005-0000-0000-000034100000}"/>
    <cellStyle name="20% - Énfasis3 4 10 2" xfId="4148" xr:uid="{00000000-0005-0000-0000-000035100000}"/>
    <cellStyle name="20% - Énfasis3 4 11" xfId="4149" xr:uid="{00000000-0005-0000-0000-000036100000}"/>
    <cellStyle name="20% - Énfasis3 4 11 2" xfId="4150" xr:uid="{00000000-0005-0000-0000-000037100000}"/>
    <cellStyle name="20% - Énfasis3 4 12" xfId="4151" xr:uid="{00000000-0005-0000-0000-000038100000}"/>
    <cellStyle name="20% - Énfasis3 4 12 2" xfId="4152" xr:uid="{00000000-0005-0000-0000-000039100000}"/>
    <cellStyle name="20% - Énfasis3 4 13" xfId="4153" xr:uid="{00000000-0005-0000-0000-00003A100000}"/>
    <cellStyle name="20% - Énfasis3 4 13 2" xfId="4154" xr:uid="{00000000-0005-0000-0000-00003B100000}"/>
    <cellStyle name="20% - Énfasis3 4 14" xfId="4155" xr:uid="{00000000-0005-0000-0000-00003C100000}"/>
    <cellStyle name="20% - Énfasis3 4 14 2" xfId="4156" xr:uid="{00000000-0005-0000-0000-00003D100000}"/>
    <cellStyle name="20% - Énfasis3 4 15" xfId="4157" xr:uid="{00000000-0005-0000-0000-00003E100000}"/>
    <cellStyle name="20% - Énfasis3 4 15 2" xfId="4158" xr:uid="{00000000-0005-0000-0000-00003F100000}"/>
    <cellStyle name="20% - Énfasis3 4 16" xfId="4159" xr:uid="{00000000-0005-0000-0000-000040100000}"/>
    <cellStyle name="20% - Énfasis3 4 16 2" xfId="4160" xr:uid="{00000000-0005-0000-0000-000041100000}"/>
    <cellStyle name="20% - Énfasis3 4 17" xfId="4161" xr:uid="{00000000-0005-0000-0000-000042100000}"/>
    <cellStyle name="20% - Énfasis3 4 17 2" xfId="4162" xr:uid="{00000000-0005-0000-0000-000043100000}"/>
    <cellStyle name="20% - Énfasis3 4 18" xfId="4163" xr:uid="{00000000-0005-0000-0000-000044100000}"/>
    <cellStyle name="20% - Énfasis3 4 18 2" xfId="4164" xr:uid="{00000000-0005-0000-0000-000045100000}"/>
    <cellStyle name="20% - Énfasis3 4 19" xfId="4165" xr:uid="{00000000-0005-0000-0000-000046100000}"/>
    <cellStyle name="20% - Énfasis3 4 19 2" xfId="4166" xr:uid="{00000000-0005-0000-0000-000047100000}"/>
    <cellStyle name="20% - Énfasis3 4 2" xfId="4167" xr:uid="{00000000-0005-0000-0000-000048100000}"/>
    <cellStyle name="20% - Énfasis3 4 2 2" xfId="4168" xr:uid="{00000000-0005-0000-0000-000049100000}"/>
    <cellStyle name="20% - Énfasis3 4 20" xfId="4169" xr:uid="{00000000-0005-0000-0000-00004A100000}"/>
    <cellStyle name="20% - Énfasis3 4 21" xfId="4170" xr:uid="{00000000-0005-0000-0000-00004B100000}"/>
    <cellStyle name="20% - Énfasis3 4 3" xfId="4171" xr:uid="{00000000-0005-0000-0000-00004C100000}"/>
    <cellStyle name="20% - Énfasis3 4 3 2" xfId="4172" xr:uid="{00000000-0005-0000-0000-00004D100000}"/>
    <cellStyle name="20% - Énfasis3 4 4" xfId="4173" xr:uid="{00000000-0005-0000-0000-00004E100000}"/>
    <cellStyle name="20% - Énfasis3 4 4 2" xfId="4174" xr:uid="{00000000-0005-0000-0000-00004F100000}"/>
    <cellStyle name="20% - Énfasis3 4 5" xfId="4175" xr:uid="{00000000-0005-0000-0000-000050100000}"/>
    <cellStyle name="20% - Énfasis3 4 5 2" xfId="4176" xr:uid="{00000000-0005-0000-0000-000051100000}"/>
    <cellStyle name="20% - Énfasis3 4 6" xfId="4177" xr:uid="{00000000-0005-0000-0000-000052100000}"/>
    <cellStyle name="20% - Énfasis3 4 6 2" xfId="4178" xr:uid="{00000000-0005-0000-0000-000053100000}"/>
    <cellStyle name="20% - Énfasis3 4 7" xfId="4179" xr:uid="{00000000-0005-0000-0000-000054100000}"/>
    <cellStyle name="20% - Énfasis3 4 7 2" xfId="4180" xr:uid="{00000000-0005-0000-0000-000055100000}"/>
    <cellStyle name="20% - Énfasis3 4 8" xfId="4181" xr:uid="{00000000-0005-0000-0000-000056100000}"/>
    <cellStyle name="20% - Énfasis3 4 8 2" xfId="4182" xr:uid="{00000000-0005-0000-0000-000057100000}"/>
    <cellStyle name="20% - Énfasis3 4 9" xfId="4183" xr:uid="{00000000-0005-0000-0000-000058100000}"/>
    <cellStyle name="20% - Énfasis3 4 9 2" xfId="4184" xr:uid="{00000000-0005-0000-0000-000059100000}"/>
    <cellStyle name="20% - Énfasis3 40" xfId="4185" xr:uid="{00000000-0005-0000-0000-00005A100000}"/>
    <cellStyle name="20% - Énfasis3 40 2" xfId="4186" xr:uid="{00000000-0005-0000-0000-00005B100000}"/>
    <cellStyle name="20% - Énfasis3 41" xfId="4187" xr:uid="{00000000-0005-0000-0000-00005C100000}"/>
    <cellStyle name="20% - Énfasis3 41 2" xfId="4188" xr:uid="{00000000-0005-0000-0000-00005D100000}"/>
    <cellStyle name="20% - Énfasis3 42" xfId="4189" xr:uid="{00000000-0005-0000-0000-00005E100000}"/>
    <cellStyle name="20% - Énfasis3 42 2" xfId="4190" xr:uid="{00000000-0005-0000-0000-00005F100000}"/>
    <cellStyle name="20% - Énfasis3 43" xfId="4191" xr:uid="{00000000-0005-0000-0000-000060100000}"/>
    <cellStyle name="20% - Énfasis3 43 2" xfId="4192" xr:uid="{00000000-0005-0000-0000-000061100000}"/>
    <cellStyle name="20% - Énfasis3 44" xfId="4193" xr:uid="{00000000-0005-0000-0000-000062100000}"/>
    <cellStyle name="20% - Énfasis3 44 2" xfId="4194" xr:uid="{00000000-0005-0000-0000-000063100000}"/>
    <cellStyle name="20% - Énfasis3 45" xfId="4195" xr:uid="{00000000-0005-0000-0000-000064100000}"/>
    <cellStyle name="20% - Énfasis3 45 2" xfId="4196" xr:uid="{00000000-0005-0000-0000-000065100000}"/>
    <cellStyle name="20% - Énfasis3 46" xfId="4197" xr:uid="{00000000-0005-0000-0000-000066100000}"/>
    <cellStyle name="20% - Énfasis3 46 2" xfId="4198" xr:uid="{00000000-0005-0000-0000-000067100000}"/>
    <cellStyle name="20% - Énfasis3 47" xfId="4199" xr:uid="{00000000-0005-0000-0000-000068100000}"/>
    <cellStyle name="20% - Énfasis3 47 2" xfId="4200" xr:uid="{00000000-0005-0000-0000-000069100000}"/>
    <cellStyle name="20% - Énfasis3 48" xfId="4201" xr:uid="{00000000-0005-0000-0000-00006A100000}"/>
    <cellStyle name="20% - Énfasis3 48 2" xfId="4202" xr:uid="{00000000-0005-0000-0000-00006B100000}"/>
    <cellStyle name="20% - Énfasis3 49" xfId="4203" xr:uid="{00000000-0005-0000-0000-00006C100000}"/>
    <cellStyle name="20% - Énfasis3 49 2" xfId="4204" xr:uid="{00000000-0005-0000-0000-00006D100000}"/>
    <cellStyle name="20% - Énfasis3 5" xfId="4205" xr:uid="{00000000-0005-0000-0000-00006E100000}"/>
    <cellStyle name="20% - Énfasis3 5 10" xfId="4206" xr:uid="{00000000-0005-0000-0000-00006F100000}"/>
    <cellStyle name="20% - Énfasis3 5 10 2" xfId="4207" xr:uid="{00000000-0005-0000-0000-000070100000}"/>
    <cellStyle name="20% - Énfasis3 5 11" xfId="4208" xr:uid="{00000000-0005-0000-0000-000071100000}"/>
    <cellStyle name="20% - Énfasis3 5 11 2" xfId="4209" xr:uid="{00000000-0005-0000-0000-000072100000}"/>
    <cellStyle name="20% - Énfasis3 5 12" xfId="4210" xr:uid="{00000000-0005-0000-0000-000073100000}"/>
    <cellStyle name="20% - Énfasis3 5 12 2" xfId="4211" xr:uid="{00000000-0005-0000-0000-000074100000}"/>
    <cellStyle name="20% - Énfasis3 5 13" xfId="4212" xr:uid="{00000000-0005-0000-0000-000075100000}"/>
    <cellStyle name="20% - Énfasis3 5 13 2" xfId="4213" xr:uid="{00000000-0005-0000-0000-000076100000}"/>
    <cellStyle name="20% - Énfasis3 5 14" xfId="4214" xr:uid="{00000000-0005-0000-0000-000077100000}"/>
    <cellStyle name="20% - Énfasis3 5 14 2" xfId="4215" xr:uid="{00000000-0005-0000-0000-000078100000}"/>
    <cellStyle name="20% - Énfasis3 5 15" xfId="4216" xr:uid="{00000000-0005-0000-0000-000079100000}"/>
    <cellStyle name="20% - Énfasis3 5 15 2" xfId="4217" xr:uid="{00000000-0005-0000-0000-00007A100000}"/>
    <cellStyle name="20% - Énfasis3 5 16" xfId="4218" xr:uid="{00000000-0005-0000-0000-00007B100000}"/>
    <cellStyle name="20% - Énfasis3 5 16 2" xfId="4219" xr:uid="{00000000-0005-0000-0000-00007C100000}"/>
    <cellStyle name="20% - Énfasis3 5 17" xfId="4220" xr:uid="{00000000-0005-0000-0000-00007D100000}"/>
    <cellStyle name="20% - Énfasis3 5 17 2" xfId="4221" xr:uid="{00000000-0005-0000-0000-00007E100000}"/>
    <cellStyle name="20% - Énfasis3 5 18" xfId="4222" xr:uid="{00000000-0005-0000-0000-00007F100000}"/>
    <cellStyle name="20% - Énfasis3 5 18 2" xfId="4223" xr:uid="{00000000-0005-0000-0000-000080100000}"/>
    <cellStyle name="20% - Énfasis3 5 19" xfId="4224" xr:uid="{00000000-0005-0000-0000-000081100000}"/>
    <cellStyle name="20% - Énfasis3 5 19 2" xfId="4225" xr:uid="{00000000-0005-0000-0000-000082100000}"/>
    <cellStyle name="20% - Énfasis3 5 2" xfId="4226" xr:uid="{00000000-0005-0000-0000-000083100000}"/>
    <cellStyle name="20% - Énfasis3 5 2 2" xfId="4227" xr:uid="{00000000-0005-0000-0000-000084100000}"/>
    <cellStyle name="20% - Énfasis3 5 20" xfId="4228" xr:uid="{00000000-0005-0000-0000-000085100000}"/>
    <cellStyle name="20% - Énfasis3 5 21" xfId="4229" xr:uid="{00000000-0005-0000-0000-000086100000}"/>
    <cellStyle name="20% - Énfasis3 5 3" xfId="4230" xr:uid="{00000000-0005-0000-0000-000087100000}"/>
    <cellStyle name="20% - Énfasis3 5 3 2" xfId="4231" xr:uid="{00000000-0005-0000-0000-000088100000}"/>
    <cellStyle name="20% - Énfasis3 5 4" xfId="4232" xr:uid="{00000000-0005-0000-0000-000089100000}"/>
    <cellStyle name="20% - Énfasis3 5 4 2" xfId="4233" xr:uid="{00000000-0005-0000-0000-00008A100000}"/>
    <cellStyle name="20% - Énfasis3 5 5" xfId="4234" xr:uid="{00000000-0005-0000-0000-00008B100000}"/>
    <cellStyle name="20% - Énfasis3 5 5 2" xfId="4235" xr:uid="{00000000-0005-0000-0000-00008C100000}"/>
    <cellStyle name="20% - Énfasis3 5 6" xfId="4236" xr:uid="{00000000-0005-0000-0000-00008D100000}"/>
    <cellStyle name="20% - Énfasis3 5 6 2" xfId="4237" xr:uid="{00000000-0005-0000-0000-00008E100000}"/>
    <cellStyle name="20% - Énfasis3 5 7" xfId="4238" xr:uid="{00000000-0005-0000-0000-00008F100000}"/>
    <cellStyle name="20% - Énfasis3 5 7 2" xfId="4239" xr:uid="{00000000-0005-0000-0000-000090100000}"/>
    <cellStyle name="20% - Énfasis3 5 8" xfId="4240" xr:uid="{00000000-0005-0000-0000-000091100000}"/>
    <cellStyle name="20% - Énfasis3 5 8 2" xfId="4241" xr:uid="{00000000-0005-0000-0000-000092100000}"/>
    <cellStyle name="20% - Énfasis3 5 9" xfId="4242" xr:uid="{00000000-0005-0000-0000-000093100000}"/>
    <cellStyle name="20% - Énfasis3 5 9 2" xfId="4243" xr:uid="{00000000-0005-0000-0000-000094100000}"/>
    <cellStyle name="20% - Énfasis3 50" xfId="4244" xr:uid="{00000000-0005-0000-0000-000095100000}"/>
    <cellStyle name="20% - Énfasis3 50 2" xfId="4245" xr:uid="{00000000-0005-0000-0000-000096100000}"/>
    <cellStyle name="20% - Énfasis3 51" xfId="4246" xr:uid="{00000000-0005-0000-0000-000097100000}"/>
    <cellStyle name="20% - Énfasis3 51 2" xfId="4247" xr:uid="{00000000-0005-0000-0000-000098100000}"/>
    <cellStyle name="20% - Énfasis3 52" xfId="4248" xr:uid="{00000000-0005-0000-0000-000099100000}"/>
    <cellStyle name="20% - Énfasis3 52 2" xfId="4249" xr:uid="{00000000-0005-0000-0000-00009A100000}"/>
    <cellStyle name="20% - Énfasis3 53" xfId="4250" xr:uid="{00000000-0005-0000-0000-00009B100000}"/>
    <cellStyle name="20% - Énfasis3 53 2" xfId="4251" xr:uid="{00000000-0005-0000-0000-00009C100000}"/>
    <cellStyle name="20% - Énfasis3 54" xfId="4252" xr:uid="{00000000-0005-0000-0000-00009D100000}"/>
    <cellStyle name="20% - Énfasis3 54 2" xfId="4253" xr:uid="{00000000-0005-0000-0000-00009E100000}"/>
    <cellStyle name="20% - Énfasis3 55" xfId="4254" xr:uid="{00000000-0005-0000-0000-00009F100000}"/>
    <cellStyle name="20% - Énfasis3 55 2" xfId="4255" xr:uid="{00000000-0005-0000-0000-0000A0100000}"/>
    <cellStyle name="20% - Énfasis3 56" xfId="4256" xr:uid="{00000000-0005-0000-0000-0000A1100000}"/>
    <cellStyle name="20% - Énfasis3 56 2" xfId="4257" xr:uid="{00000000-0005-0000-0000-0000A2100000}"/>
    <cellStyle name="20% - Énfasis3 57" xfId="4258" xr:uid="{00000000-0005-0000-0000-0000A3100000}"/>
    <cellStyle name="20% - Énfasis3 57 2" xfId="4259" xr:uid="{00000000-0005-0000-0000-0000A4100000}"/>
    <cellStyle name="20% - Énfasis3 58" xfId="4260" xr:uid="{00000000-0005-0000-0000-0000A5100000}"/>
    <cellStyle name="20% - Énfasis3 58 2" xfId="4261" xr:uid="{00000000-0005-0000-0000-0000A6100000}"/>
    <cellStyle name="20% - Énfasis3 59" xfId="4262" xr:uid="{00000000-0005-0000-0000-0000A7100000}"/>
    <cellStyle name="20% - Énfasis3 59 2" xfId="4263" xr:uid="{00000000-0005-0000-0000-0000A8100000}"/>
    <cellStyle name="20% - Énfasis3 6" xfId="4264" xr:uid="{00000000-0005-0000-0000-0000A9100000}"/>
    <cellStyle name="20% - Énfasis3 6 10" xfId="4265" xr:uid="{00000000-0005-0000-0000-0000AA100000}"/>
    <cellStyle name="20% - Énfasis3 6 10 2" xfId="4266" xr:uid="{00000000-0005-0000-0000-0000AB100000}"/>
    <cellStyle name="20% - Énfasis3 6 11" xfId="4267" xr:uid="{00000000-0005-0000-0000-0000AC100000}"/>
    <cellStyle name="20% - Énfasis3 6 11 2" xfId="4268" xr:uid="{00000000-0005-0000-0000-0000AD100000}"/>
    <cellStyle name="20% - Énfasis3 6 12" xfId="4269" xr:uid="{00000000-0005-0000-0000-0000AE100000}"/>
    <cellStyle name="20% - Énfasis3 6 12 2" xfId="4270" xr:uid="{00000000-0005-0000-0000-0000AF100000}"/>
    <cellStyle name="20% - Énfasis3 6 13" xfId="4271" xr:uid="{00000000-0005-0000-0000-0000B0100000}"/>
    <cellStyle name="20% - Énfasis3 6 13 2" xfId="4272" xr:uid="{00000000-0005-0000-0000-0000B1100000}"/>
    <cellStyle name="20% - Énfasis3 6 14" xfId="4273" xr:uid="{00000000-0005-0000-0000-0000B2100000}"/>
    <cellStyle name="20% - Énfasis3 6 14 2" xfId="4274" xr:uid="{00000000-0005-0000-0000-0000B3100000}"/>
    <cellStyle name="20% - Énfasis3 6 15" xfId="4275" xr:uid="{00000000-0005-0000-0000-0000B4100000}"/>
    <cellStyle name="20% - Énfasis3 6 15 2" xfId="4276" xr:uid="{00000000-0005-0000-0000-0000B5100000}"/>
    <cellStyle name="20% - Énfasis3 6 16" xfId="4277" xr:uid="{00000000-0005-0000-0000-0000B6100000}"/>
    <cellStyle name="20% - Énfasis3 6 16 2" xfId="4278" xr:uid="{00000000-0005-0000-0000-0000B7100000}"/>
    <cellStyle name="20% - Énfasis3 6 17" xfId="4279" xr:uid="{00000000-0005-0000-0000-0000B8100000}"/>
    <cellStyle name="20% - Énfasis3 6 17 2" xfId="4280" xr:uid="{00000000-0005-0000-0000-0000B9100000}"/>
    <cellStyle name="20% - Énfasis3 6 18" xfId="4281" xr:uid="{00000000-0005-0000-0000-0000BA100000}"/>
    <cellStyle name="20% - Énfasis3 6 18 2" xfId="4282" xr:uid="{00000000-0005-0000-0000-0000BB100000}"/>
    <cellStyle name="20% - Énfasis3 6 19" xfId="4283" xr:uid="{00000000-0005-0000-0000-0000BC100000}"/>
    <cellStyle name="20% - Énfasis3 6 19 2" xfId="4284" xr:uid="{00000000-0005-0000-0000-0000BD100000}"/>
    <cellStyle name="20% - Énfasis3 6 2" xfId="4285" xr:uid="{00000000-0005-0000-0000-0000BE100000}"/>
    <cellStyle name="20% - Énfasis3 6 2 2" xfId="4286" xr:uid="{00000000-0005-0000-0000-0000BF100000}"/>
    <cellStyle name="20% - Énfasis3 6 20" xfId="4287" xr:uid="{00000000-0005-0000-0000-0000C0100000}"/>
    <cellStyle name="20% - Énfasis3 6 21" xfId="4288" xr:uid="{00000000-0005-0000-0000-0000C1100000}"/>
    <cellStyle name="20% - Énfasis3 6 3" xfId="4289" xr:uid="{00000000-0005-0000-0000-0000C2100000}"/>
    <cellStyle name="20% - Énfasis3 6 3 2" xfId="4290" xr:uid="{00000000-0005-0000-0000-0000C3100000}"/>
    <cellStyle name="20% - Énfasis3 6 4" xfId="4291" xr:uid="{00000000-0005-0000-0000-0000C4100000}"/>
    <cellStyle name="20% - Énfasis3 6 4 2" xfId="4292" xr:uid="{00000000-0005-0000-0000-0000C5100000}"/>
    <cellStyle name="20% - Énfasis3 6 5" xfId="4293" xr:uid="{00000000-0005-0000-0000-0000C6100000}"/>
    <cellStyle name="20% - Énfasis3 6 5 2" xfId="4294" xr:uid="{00000000-0005-0000-0000-0000C7100000}"/>
    <cellStyle name="20% - Énfasis3 6 6" xfId="4295" xr:uid="{00000000-0005-0000-0000-0000C8100000}"/>
    <cellStyle name="20% - Énfasis3 6 6 2" xfId="4296" xr:uid="{00000000-0005-0000-0000-0000C9100000}"/>
    <cellStyle name="20% - Énfasis3 6 7" xfId="4297" xr:uid="{00000000-0005-0000-0000-0000CA100000}"/>
    <cellStyle name="20% - Énfasis3 6 7 2" xfId="4298" xr:uid="{00000000-0005-0000-0000-0000CB100000}"/>
    <cellStyle name="20% - Énfasis3 6 8" xfId="4299" xr:uid="{00000000-0005-0000-0000-0000CC100000}"/>
    <cellStyle name="20% - Énfasis3 6 8 2" xfId="4300" xr:uid="{00000000-0005-0000-0000-0000CD100000}"/>
    <cellStyle name="20% - Énfasis3 6 9" xfId="4301" xr:uid="{00000000-0005-0000-0000-0000CE100000}"/>
    <cellStyle name="20% - Énfasis3 6 9 2" xfId="4302" xr:uid="{00000000-0005-0000-0000-0000CF100000}"/>
    <cellStyle name="20% - Énfasis3 60" xfId="4303" xr:uid="{00000000-0005-0000-0000-0000D0100000}"/>
    <cellStyle name="20% - Énfasis3 60 2" xfId="4304" xr:uid="{00000000-0005-0000-0000-0000D1100000}"/>
    <cellStyle name="20% - Énfasis3 61" xfId="4305" xr:uid="{00000000-0005-0000-0000-0000D2100000}"/>
    <cellStyle name="20% - Énfasis3 61 2" xfId="4306" xr:uid="{00000000-0005-0000-0000-0000D3100000}"/>
    <cellStyle name="20% - Énfasis3 62" xfId="4307" xr:uid="{00000000-0005-0000-0000-0000D4100000}"/>
    <cellStyle name="20% - Énfasis3 62 2" xfId="4308" xr:uid="{00000000-0005-0000-0000-0000D5100000}"/>
    <cellStyle name="20% - Énfasis3 63" xfId="4309" xr:uid="{00000000-0005-0000-0000-0000D6100000}"/>
    <cellStyle name="20% - Énfasis3 63 2" xfId="4310" xr:uid="{00000000-0005-0000-0000-0000D7100000}"/>
    <cellStyle name="20% - Énfasis3 64" xfId="4311" xr:uid="{00000000-0005-0000-0000-0000D8100000}"/>
    <cellStyle name="20% - Énfasis3 64 2" xfId="4312" xr:uid="{00000000-0005-0000-0000-0000D9100000}"/>
    <cellStyle name="20% - Énfasis3 65" xfId="4313" xr:uid="{00000000-0005-0000-0000-0000DA100000}"/>
    <cellStyle name="20% - Énfasis3 65 2" xfId="4314" xr:uid="{00000000-0005-0000-0000-0000DB100000}"/>
    <cellStyle name="20% - Énfasis3 66" xfId="4315" xr:uid="{00000000-0005-0000-0000-0000DC100000}"/>
    <cellStyle name="20% - Énfasis3 66 2" xfId="4316" xr:uid="{00000000-0005-0000-0000-0000DD100000}"/>
    <cellStyle name="20% - Énfasis3 67" xfId="4317" xr:uid="{00000000-0005-0000-0000-0000DE100000}"/>
    <cellStyle name="20% - Énfasis3 67 2" xfId="4318" xr:uid="{00000000-0005-0000-0000-0000DF100000}"/>
    <cellStyle name="20% - Énfasis3 68" xfId="4319" xr:uid="{00000000-0005-0000-0000-0000E0100000}"/>
    <cellStyle name="20% - Énfasis3 68 2" xfId="4320" xr:uid="{00000000-0005-0000-0000-0000E1100000}"/>
    <cellStyle name="20% - Énfasis3 69" xfId="4321" xr:uid="{00000000-0005-0000-0000-0000E2100000}"/>
    <cellStyle name="20% - Énfasis3 69 2" xfId="4322" xr:uid="{00000000-0005-0000-0000-0000E3100000}"/>
    <cellStyle name="20% - Énfasis3 7" xfId="4323" xr:uid="{00000000-0005-0000-0000-0000E4100000}"/>
    <cellStyle name="20% - Énfasis3 7 10" xfId="4324" xr:uid="{00000000-0005-0000-0000-0000E5100000}"/>
    <cellStyle name="20% - Énfasis3 7 10 2" xfId="4325" xr:uid="{00000000-0005-0000-0000-0000E6100000}"/>
    <cellStyle name="20% - Énfasis3 7 11" xfId="4326" xr:uid="{00000000-0005-0000-0000-0000E7100000}"/>
    <cellStyle name="20% - Énfasis3 7 11 2" xfId="4327" xr:uid="{00000000-0005-0000-0000-0000E8100000}"/>
    <cellStyle name="20% - Énfasis3 7 12" xfId="4328" xr:uid="{00000000-0005-0000-0000-0000E9100000}"/>
    <cellStyle name="20% - Énfasis3 7 12 2" xfId="4329" xr:uid="{00000000-0005-0000-0000-0000EA100000}"/>
    <cellStyle name="20% - Énfasis3 7 13" xfId="4330" xr:uid="{00000000-0005-0000-0000-0000EB100000}"/>
    <cellStyle name="20% - Énfasis3 7 13 2" xfId="4331" xr:uid="{00000000-0005-0000-0000-0000EC100000}"/>
    <cellStyle name="20% - Énfasis3 7 14" xfId="4332" xr:uid="{00000000-0005-0000-0000-0000ED100000}"/>
    <cellStyle name="20% - Énfasis3 7 14 2" xfId="4333" xr:uid="{00000000-0005-0000-0000-0000EE100000}"/>
    <cellStyle name="20% - Énfasis3 7 15" xfId="4334" xr:uid="{00000000-0005-0000-0000-0000EF100000}"/>
    <cellStyle name="20% - Énfasis3 7 15 2" xfId="4335" xr:uid="{00000000-0005-0000-0000-0000F0100000}"/>
    <cellStyle name="20% - Énfasis3 7 16" xfId="4336" xr:uid="{00000000-0005-0000-0000-0000F1100000}"/>
    <cellStyle name="20% - Énfasis3 7 16 2" xfId="4337" xr:uid="{00000000-0005-0000-0000-0000F2100000}"/>
    <cellStyle name="20% - Énfasis3 7 17" xfId="4338" xr:uid="{00000000-0005-0000-0000-0000F3100000}"/>
    <cellStyle name="20% - Énfasis3 7 17 2" xfId="4339" xr:uid="{00000000-0005-0000-0000-0000F4100000}"/>
    <cellStyle name="20% - Énfasis3 7 18" xfId="4340" xr:uid="{00000000-0005-0000-0000-0000F5100000}"/>
    <cellStyle name="20% - Énfasis3 7 18 2" xfId="4341" xr:uid="{00000000-0005-0000-0000-0000F6100000}"/>
    <cellStyle name="20% - Énfasis3 7 19" xfId="4342" xr:uid="{00000000-0005-0000-0000-0000F7100000}"/>
    <cellStyle name="20% - Énfasis3 7 19 2" xfId="4343" xr:uid="{00000000-0005-0000-0000-0000F8100000}"/>
    <cellStyle name="20% - Énfasis3 7 2" xfId="4344" xr:uid="{00000000-0005-0000-0000-0000F9100000}"/>
    <cellStyle name="20% - Énfasis3 7 2 2" xfId="4345" xr:uid="{00000000-0005-0000-0000-0000FA100000}"/>
    <cellStyle name="20% - Énfasis3 7 20" xfId="4346" xr:uid="{00000000-0005-0000-0000-0000FB100000}"/>
    <cellStyle name="20% - Énfasis3 7 21" xfId="4347" xr:uid="{00000000-0005-0000-0000-0000FC100000}"/>
    <cellStyle name="20% - Énfasis3 7 3" xfId="4348" xr:uid="{00000000-0005-0000-0000-0000FD100000}"/>
    <cellStyle name="20% - Énfasis3 7 3 2" xfId="4349" xr:uid="{00000000-0005-0000-0000-0000FE100000}"/>
    <cellStyle name="20% - Énfasis3 7 4" xfId="4350" xr:uid="{00000000-0005-0000-0000-0000FF100000}"/>
    <cellStyle name="20% - Énfasis3 7 4 2" xfId="4351" xr:uid="{00000000-0005-0000-0000-000000110000}"/>
    <cellStyle name="20% - Énfasis3 7 5" xfId="4352" xr:uid="{00000000-0005-0000-0000-000001110000}"/>
    <cellStyle name="20% - Énfasis3 7 5 2" xfId="4353" xr:uid="{00000000-0005-0000-0000-000002110000}"/>
    <cellStyle name="20% - Énfasis3 7 6" xfId="4354" xr:uid="{00000000-0005-0000-0000-000003110000}"/>
    <cellStyle name="20% - Énfasis3 7 6 2" xfId="4355" xr:uid="{00000000-0005-0000-0000-000004110000}"/>
    <cellStyle name="20% - Énfasis3 7 7" xfId="4356" xr:uid="{00000000-0005-0000-0000-000005110000}"/>
    <cellStyle name="20% - Énfasis3 7 7 2" xfId="4357" xr:uid="{00000000-0005-0000-0000-000006110000}"/>
    <cellStyle name="20% - Énfasis3 7 8" xfId="4358" xr:uid="{00000000-0005-0000-0000-000007110000}"/>
    <cellStyle name="20% - Énfasis3 7 8 2" xfId="4359" xr:uid="{00000000-0005-0000-0000-000008110000}"/>
    <cellStyle name="20% - Énfasis3 7 9" xfId="4360" xr:uid="{00000000-0005-0000-0000-000009110000}"/>
    <cellStyle name="20% - Énfasis3 7 9 2" xfId="4361" xr:uid="{00000000-0005-0000-0000-00000A110000}"/>
    <cellStyle name="20% - Énfasis3 70" xfId="4362" xr:uid="{00000000-0005-0000-0000-00000B110000}"/>
    <cellStyle name="20% - Énfasis3 70 2" xfId="4363" xr:uid="{00000000-0005-0000-0000-00000C110000}"/>
    <cellStyle name="20% - Énfasis3 71" xfId="4364" xr:uid="{00000000-0005-0000-0000-00000D110000}"/>
    <cellStyle name="20% - Énfasis3 71 2" xfId="4365" xr:uid="{00000000-0005-0000-0000-00000E110000}"/>
    <cellStyle name="20% - Énfasis3 72" xfId="4366" xr:uid="{00000000-0005-0000-0000-00000F110000}"/>
    <cellStyle name="20% - Énfasis3 72 2" xfId="4367" xr:uid="{00000000-0005-0000-0000-000010110000}"/>
    <cellStyle name="20% - Énfasis3 73" xfId="4368" xr:uid="{00000000-0005-0000-0000-000011110000}"/>
    <cellStyle name="20% - Énfasis3 73 2" xfId="4369" xr:uid="{00000000-0005-0000-0000-000012110000}"/>
    <cellStyle name="20% - Énfasis3 74" xfId="4370" xr:uid="{00000000-0005-0000-0000-000013110000}"/>
    <cellStyle name="20% - Énfasis3 74 2" xfId="4371" xr:uid="{00000000-0005-0000-0000-000014110000}"/>
    <cellStyle name="20% - Énfasis3 75" xfId="4372" xr:uid="{00000000-0005-0000-0000-000015110000}"/>
    <cellStyle name="20% - Énfasis3 75 2" xfId="4373" xr:uid="{00000000-0005-0000-0000-000016110000}"/>
    <cellStyle name="20% - Énfasis3 76" xfId="4374" xr:uid="{00000000-0005-0000-0000-000017110000}"/>
    <cellStyle name="20% - Énfasis3 76 2" xfId="4375" xr:uid="{00000000-0005-0000-0000-000018110000}"/>
    <cellStyle name="20% - Énfasis3 77" xfId="4376" xr:uid="{00000000-0005-0000-0000-000019110000}"/>
    <cellStyle name="20% - Énfasis3 77 2" xfId="4377" xr:uid="{00000000-0005-0000-0000-00001A110000}"/>
    <cellStyle name="20% - Énfasis3 78" xfId="4378" xr:uid="{00000000-0005-0000-0000-00001B110000}"/>
    <cellStyle name="20% - Énfasis3 78 2" xfId="4379" xr:uid="{00000000-0005-0000-0000-00001C110000}"/>
    <cellStyle name="20% - Énfasis3 79" xfId="4380" xr:uid="{00000000-0005-0000-0000-00001D110000}"/>
    <cellStyle name="20% - Énfasis3 79 2" xfId="4381" xr:uid="{00000000-0005-0000-0000-00001E110000}"/>
    <cellStyle name="20% - Énfasis3 8" xfId="4382" xr:uid="{00000000-0005-0000-0000-00001F110000}"/>
    <cellStyle name="20% - Énfasis3 8 10" xfId="4383" xr:uid="{00000000-0005-0000-0000-000020110000}"/>
    <cellStyle name="20% - Énfasis3 8 10 2" xfId="4384" xr:uid="{00000000-0005-0000-0000-000021110000}"/>
    <cellStyle name="20% - Énfasis3 8 11" xfId="4385" xr:uid="{00000000-0005-0000-0000-000022110000}"/>
    <cellStyle name="20% - Énfasis3 8 11 2" xfId="4386" xr:uid="{00000000-0005-0000-0000-000023110000}"/>
    <cellStyle name="20% - Énfasis3 8 12" xfId="4387" xr:uid="{00000000-0005-0000-0000-000024110000}"/>
    <cellStyle name="20% - Énfasis3 8 12 2" xfId="4388" xr:uid="{00000000-0005-0000-0000-000025110000}"/>
    <cellStyle name="20% - Énfasis3 8 13" xfId="4389" xr:uid="{00000000-0005-0000-0000-000026110000}"/>
    <cellStyle name="20% - Énfasis3 8 13 2" xfId="4390" xr:uid="{00000000-0005-0000-0000-000027110000}"/>
    <cellStyle name="20% - Énfasis3 8 14" xfId="4391" xr:uid="{00000000-0005-0000-0000-000028110000}"/>
    <cellStyle name="20% - Énfasis3 8 14 2" xfId="4392" xr:uid="{00000000-0005-0000-0000-000029110000}"/>
    <cellStyle name="20% - Énfasis3 8 15" xfId="4393" xr:uid="{00000000-0005-0000-0000-00002A110000}"/>
    <cellStyle name="20% - Énfasis3 8 15 2" xfId="4394" xr:uid="{00000000-0005-0000-0000-00002B110000}"/>
    <cellStyle name="20% - Énfasis3 8 16" xfId="4395" xr:uid="{00000000-0005-0000-0000-00002C110000}"/>
    <cellStyle name="20% - Énfasis3 8 16 2" xfId="4396" xr:uid="{00000000-0005-0000-0000-00002D110000}"/>
    <cellStyle name="20% - Énfasis3 8 17" xfId="4397" xr:uid="{00000000-0005-0000-0000-00002E110000}"/>
    <cellStyle name="20% - Énfasis3 8 17 2" xfId="4398" xr:uid="{00000000-0005-0000-0000-00002F110000}"/>
    <cellStyle name="20% - Énfasis3 8 18" xfId="4399" xr:uid="{00000000-0005-0000-0000-000030110000}"/>
    <cellStyle name="20% - Énfasis3 8 18 2" xfId="4400" xr:uid="{00000000-0005-0000-0000-000031110000}"/>
    <cellStyle name="20% - Énfasis3 8 19" xfId="4401" xr:uid="{00000000-0005-0000-0000-000032110000}"/>
    <cellStyle name="20% - Énfasis3 8 19 2" xfId="4402" xr:uid="{00000000-0005-0000-0000-000033110000}"/>
    <cellStyle name="20% - Énfasis3 8 2" xfId="4403" xr:uid="{00000000-0005-0000-0000-000034110000}"/>
    <cellStyle name="20% - Énfasis3 8 2 2" xfId="4404" xr:uid="{00000000-0005-0000-0000-000035110000}"/>
    <cellStyle name="20% - Énfasis3 8 20" xfId="4405" xr:uid="{00000000-0005-0000-0000-000036110000}"/>
    <cellStyle name="20% - Énfasis3 8 21" xfId="4406" xr:uid="{00000000-0005-0000-0000-000037110000}"/>
    <cellStyle name="20% - Énfasis3 8 3" xfId="4407" xr:uid="{00000000-0005-0000-0000-000038110000}"/>
    <cellStyle name="20% - Énfasis3 8 3 2" xfId="4408" xr:uid="{00000000-0005-0000-0000-000039110000}"/>
    <cellStyle name="20% - Énfasis3 8 4" xfId="4409" xr:uid="{00000000-0005-0000-0000-00003A110000}"/>
    <cellStyle name="20% - Énfasis3 8 4 2" xfId="4410" xr:uid="{00000000-0005-0000-0000-00003B110000}"/>
    <cellStyle name="20% - Énfasis3 8 5" xfId="4411" xr:uid="{00000000-0005-0000-0000-00003C110000}"/>
    <cellStyle name="20% - Énfasis3 8 5 2" xfId="4412" xr:uid="{00000000-0005-0000-0000-00003D110000}"/>
    <cellStyle name="20% - Énfasis3 8 6" xfId="4413" xr:uid="{00000000-0005-0000-0000-00003E110000}"/>
    <cellStyle name="20% - Énfasis3 8 6 2" xfId="4414" xr:uid="{00000000-0005-0000-0000-00003F110000}"/>
    <cellStyle name="20% - Énfasis3 8 7" xfId="4415" xr:uid="{00000000-0005-0000-0000-000040110000}"/>
    <cellStyle name="20% - Énfasis3 8 7 2" xfId="4416" xr:uid="{00000000-0005-0000-0000-000041110000}"/>
    <cellStyle name="20% - Énfasis3 8 8" xfId="4417" xr:uid="{00000000-0005-0000-0000-000042110000}"/>
    <cellStyle name="20% - Énfasis3 8 8 2" xfId="4418" xr:uid="{00000000-0005-0000-0000-000043110000}"/>
    <cellStyle name="20% - Énfasis3 8 9" xfId="4419" xr:uid="{00000000-0005-0000-0000-000044110000}"/>
    <cellStyle name="20% - Énfasis3 8 9 2" xfId="4420" xr:uid="{00000000-0005-0000-0000-000045110000}"/>
    <cellStyle name="20% - Énfasis3 80" xfId="4421" xr:uid="{00000000-0005-0000-0000-000046110000}"/>
    <cellStyle name="20% - Énfasis3 80 2" xfId="4422" xr:uid="{00000000-0005-0000-0000-000047110000}"/>
    <cellStyle name="20% - Énfasis3 81" xfId="4423" xr:uid="{00000000-0005-0000-0000-000048110000}"/>
    <cellStyle name="20% - Énfasis3 81 2" xfId="4424" xr:uid="{00000000-0005-0000-0000-000049110000}"/>
    <cellStyle name="20% - Énfasis3 82" xfId="4425" xr:uid="{00000000-0005-0000-0000-00004A110000}"/>
    <cellStyle name="20% - Énfasis3 82 2" xfId="4426" xr:uid="{00000000-0005-0000-0000-00004B110000}"/>
    <cellStyle name="20% - Énfasis3 83" xfId="4427" xr:uid="{00000000-0005-0000-0000-00004C110000}"/>
    <cellStyle name="20% - Énfasis3 83 2" xfId="4428" xr:uid="{00000000-0005-0000-0000-00004D110000}"/>
    <cellStyle name="20% - Énfasis3 84" xfId="4429" xr:uid="{00000000-0005-0000-0000-00004E110000}"/>
    <cellStyle name="20% - Énfasis3 84 2" xfId="4430" xr:uid="{00000000-0005-0000-0000-00004F110000}"/>
    <cellStyle name="20% - Énfasis3 85" xfId="4431" xr:uid="{00000000-0005-0000-0000-000050110000}"/>
    <cellStyle name="20% - Énfasis3 85 2" xfId="4432" xr:uid="{00000000-0005-0000-0000-000051110000}"/>
    <cellStyle name="20% - Énfasis3 86" xfId="4433" xr:uid="{00000000-0005-0000-0000-000052110000}"/>
    <cellStyle name="20% - Énfasis3 86 2" xfId="4434" xr:uid="{00000000-0005-0000-0000-000053110000}"/>
    <cellStyle name="20% - Énfasis3 87" xfId="4435" xr:uid="{00000000-0005-0000-0000-000054110000}"/>
    <cellStyle name="20% - Énfasis3 88" xfId="4436" xr:uid="{00000000-0005-0000-0000-000055110000}"/>
    <cellStyle name="20% - Énfasis3 89" xfId="4437" xr:uid="{00000000-0005-0000-0000-000056110000}"/>
    <cellStyle name="20% - Énfasis3 9" xfId="4438" xr:uid="{00000000-0005-0000-0000-000057110000}"/>
    <cellStyle name="20% - Énfasis3 9 10" xfId="4439" xr:uid="{00000000-0005-0000-0000-000058110000}"/>
    <cellStyle name="20% - Énfasis3 9 10 2" xfId="4440" xr:uid="{00000000-0005-0000-0000-000059110000}"/>
    <cellStyle name="20% - Énfasis3 9 11" xfId="4441" xr:uid="{00000000-0005-0000-0000-00005A110000}"/>
    <cellStyle name="20% - Énfasis3 9 11 2" xfId="4442" xr:uid="{00000000-0005-0000-0000-00005B110000}"/>
    <cellStyle name="20% - Énfasis3 9 12" xfId="4443" xr:uid="{00000000-0005-0000-0000-00005C110000}"/>
    <cellStyle name="20% - Énfasis3 9 12 2" xfId="4444" xr:uid="{00000000-0005-0000-0000-00005D110000}"/>
    <cellStyle name="20% - Énfasis3 9 13" xfId="4445" xr:uid="{00000000-0005-0000-0000-00005E110000}"/>
    <cellStyle name="20% - Énfasis3 9 13 2" xfId="4446" xr:uid="{00000000-0005-0000-0000-00005F110000}"/>
    <cellStyle name="20% - Énfasis3 9 14" xfId="4447" xr:uid="{00000000-0005-0000-0000-000060110000}"/>
    <cellStyle name="20% - Énfasis3 9 14 2" xfId="4448" xr:uid="{00000000-0005-0000-0000-000061110000}"/>
    <cellStyle name="20% - Énfasis3 9 15" xfId="4449" xr:uid="{00000000-0005-0000-0000-000062110000}"/>
    <cellStyle name="20% - Énfasis3 9 15 2" xfId="4450" xr:uid="{00000000-0005-0000-0000-000063110000}"/>
    <cellStyle name="20% - Énfasis3 9 16" xfId="4451" xr:uid="{00000000-0005-0000-0000-000064110000}"/>
    <cellStyle name="20% - Énfasis3 9 16 2" xfId="4452" xr:uid="{00000000-0005-0000-0000-000065110000}"/>
    <cellStyle name="20% - Énfasis3 9 17" xfId="4453" xr:uid="{00000000-0005-0000-0000-000066110000}"/>
    <cellStyle name="20% - Énfasis3 9 17 2" xfId="4454" xr:uid="{00000000-0005-0000-0000-000067110000}"/>
    <cellStyle name="20% - Énfasis3 9 18" xfId="4455" xr:uid="{00000000-0005-0000-0000-000068110000}"/>
    <cellStyle name="20% - Énfasis3 9 18 2" xfId="4456" xr:uid="{00000000-0005-0000-0000-000069110000}"/>
    <cellStyle name="20% - Énfasis3 9 19" xfId="4457" xr:uid="{00000000-0005-0000-0000-00006A110000}"/>
    <cellStyle name="20% - Énfasis3 9 19 2" xfId="4458" xr:uid="{00000000-0005-0000-0000-00006B110000}"/>
    <cellStyle name="20% - Énfasis3 9 2" xfId="4459" xr:uid="{00000000-0005-0000-0000-00006C110000}"/>
    <cellStyle name="20% - Énfasis3 9 2 2" xfId="4460" xr:uid="{00000000-0005-0000-0000-00006D110000}"/>
    <cellStyle name="20% - Énfasis3 9 20" xfId="4461" xr:uid="{00000000-0005-0000-0000-00006E110000}"/>
    <cellStyle name="20% - Énfasis3 9 21" xfId="4462" xr:uid="{00000000-0005-0000-0000-00006F110000}"/>
    <cellStyle name="20% - Énfasis3 9 3" xfId="4463" xr:uid="{00000000-0005-0000-0000-000070110000}"/>
    <cellStyle name="20% - Énfasis3 9 3 2" xfId="4464" xr:uid="{00000000-0005-0000-0000-000071110000}"/>
    <cellStyle name="20% - Énfasis3 9 4" xfId="4465" xr:uid="{00000000-0005-0000-0000-000072110000}"/>
    <cellStyle name="20% - Énfasis3 9 4 2" xfId="4466" xr:uid="{00000000-0005-0000-0000-000073110000}"/>
    <cellStyle name="20% - Énfasis3 9 5" xfId="4467" xr:uid="{00000000-0005-0000-0000-000074110000}"/>
    <cellStyle name="20% - Énfasis3 9 5 2" xfId="4468" xr:uid="{00000000-0005-0000-0000-000075110000}"/>
    <cellStyle name="20% - Énfasis3 9 6" xfId="4469" xr:uid="{00000000-0005-0000-0000-000076110000}"/>
    <cellStyle name="20% - Énfasis3 9 6 2" xfId="4470" xr:uid="{00000000-0005-0000-0000-000077110000}"/>
    <cellStyle name="20% - Énfasis3 9 7" xfId="4471" xr:uid="{00000000-0005-0000-0000-000078110000}"/>
    <cellStyle name="20% - Énfasis3 9 7 2" xfId="4472" xr:uid="{00000000-0005-0000-0000-000079110000}"/>
    <cellStyle name="20% - Énfasis3 9 8" xfId="4473" xr:uid="{00000000-0005-0000-0000-00007A110000}"/>
    <cellStyle name="20% - Énfasis3 9 8 2" xfId="4474" xr:uid="{00000000-0005-0000-0000-00007B110000}"/>
    <cellStyle name="20% - Énfasis3 9 9" xfId="4475" xr:uid="{00000000-0005-0000-0000-00007C110000}"/>
    <cellStyle name="20% - Énfasis3 9 9 2" xfId="4476" xr:uid="{00000000-0005-0000-0000-00007D110000}"/>
    <cellStyle name="20% - Énfasis3 90" xfId="4477" xr:uid="{00000000-0005-0000-0000-00007E110000}"/>
    <cellStyle name="20% - Énfasis3 91" xfId="4478" xr:uid="{00000000-0005-0000-0000-00007F110000}"/>
    <cellStyle name="20% - Énfasis3 92" xfId="4479" xr:uid="{00000000-0005-0000-0000-000080110000}"/>
    <cellStyle name="20% - Énfasis3 93" xfId="4480" xr:uid="{00000000-0005-0000-0000-000081110000}"/>
    <cellStyle name="20% - Énfasis3 94" xfId="4481" xr:uid="{00000000-0005-0000-0000-000082110000}"/>
    <cellStyle name="20% - Énfasis3 95" xfId="4482" xr:uid="{00000000-0005-0000-0000-000083110000}"/>
    <cellStyle name="20% - Énfasis3 96" xfId="4483" xr:uid="{00000000-0005-0000-0000-000084110000}"/>
    <cellStyle name="20% - Énfasis3 97" xfId="4484" xr:uid="{00000000-0005-0000-0000-000085110000}"/>
    <cellStyle name="20% - Énfasis3 98" xfId="15631" xr:uid="{00000000-0005-0000-0000-000086110000}"/>
    <cellStyle name="20% - Énfasis4" xfId="4485" builtinId="42" customBuiltin="1"/>
    <cellStyle name="20% - Énfasis4 10" xfId="4486" xr:uid="{00000000-0005-0000-0000-000088110000}"/>
    <cellStyle name="20% - Énfasis4 10 10" xfId="4487" xr:uid="{00000000-0005-0000-0000-000089110000}"/>
    <cellStyle name="20% - Énfasis4 10 10 2" xfId="4488" xr:uid="{00000000-0005-0000-0000-00008A110000}"/>
    <cellStyle name="20% - Énfasis4 10 11" xfId="4489" xr:uid="{00000000-0005-0000-0000-00008B110000}"/>
    <cellStyle name="20% - Énfasis4 10 11 2" xfId="4490" xr:uid="{00000000-0005-0000-0000-00008C110000}"/>
    <cellStyle name="20% - Énfasis4 10 12" xfId="4491" xr:uid="{00000000-0005-0000-0000-00008D110000}"/>
    <cellStyle name="20% - Énfasis4 10 12 2" xfId="4492" xr:uid="{00000000-0005-0000-0000-00008E110000}"/>
    <cellStyle name="20% - Énfasis4 10 13" xfId="4493" xr:uid="{00000000-0005-0000-0000-00008F110000}"/>
    <cellStyle name="20% - Énfasis4 10 13 2" xfId="4494" xr:uid="{00000000-0005-0000-0000-000090110000}"/>
    <cellStyle name="20% - Énfasis4 10 14" xfId="4495" xr:uid="{00000000-0005-0000-0000-000091110000}"/>
    <cellStyle name="20% - Énfasis4 10 14 2" xfId="4496" xr:uid="{00000000-0005-0000-0000-000092110000}"/>
    <cellStyle name="20% - Énfasis4 10 15" xfId="4497" xr:uid="{00000000-0005-0000-0000-000093110000}"/>
    <cellStyle name="20% - Énfasis4 10 15 2" xfId="4498" xr:uid="{00000000-0005-0000-0000-000094110000}"/>
    <cellStyle name="20% - Énfasis4 10 16" xfId="4499" xr:uid="{00000000-0005-0000-0000-000095110000}"/>
    <cellStyle name="20% - Énfasis4 10 16 2" xfId="4500" xr:uid="{00000000-0005-0000-0000-000096110000}"/>
    <cellStyle name="20% - Énfasis4 10 17" xfId="4501" xr:uid="{00000000-0005-0000-0000-000097110000}"/>
    <cellStyle name="20% - Énfasis4 10 17 2" xfId="4502" xr:uid="{00000000-0005-0000-0000-000098110000}"/>
    <cellStyle name="20% - Énfasis4 10 18" xfId="4503" xr:uid="{00000000-0005-0000-0000-000099110000}"/>
    <cellStyle name="20% - Énfasis4 10 18 2" xfId="4504" xr:uid="{00000000-0005-0000-0000-00009A110000}"/>
    <cellStyle name="20% - Énfasis4 10 19" xfId="4505" xr:uid="{00000000-0005-0000-0000-00009B110000}"/>
    <cellStyle name="20% - Énfasis4 10 19 2" xfId="4506" xr:uid="{00000000-0005-0000-0000-00009C110000}"/>
    <cellStyle name="20% - Énfasis4 10 2" xfId="4507" xr:uid="{00000000-0005-0000-0000-00009D110000}"/>
    <cellStyle name="20% - Énfasis4 10 2 2" xfId="4508" xr:uid="{00000000-0005-0000-0000-00009E110000}"/>
    <cellStyle name="20% - Énfasis4 10 20" xfId="4509" xr:uid="{00000000-0005-0000-0000-00009F110000}"/>
    <cellStyle name="20% - Énfasis4 10 21" xfId="4510" xr:uid="{00000000-0005-0000-0000-0000A0110000}"/>
    <cellStyle name="20% - Énfasis4 10 3" xfId="4511" xr:uid="{00000000-0005-0000-0000-0000A1110000}"/>
    <cellStyle name="20% - Énfasis4 10 3 2" xfId="4512" xr:uid="{00000000-0005-0000-0000-0000A2110000}"/>
    <cellStyle name="20% - Énfasis4 10 4" xfId="4513" xr:uid="{00000000-0005-0000-0000-0000A3110000}"/>
    <cellStyle name="20% - Énfasis4 10 4 2" xfId="4514" xr:uid="{00000000-0005-0000-0000-0000A4110000}"/>
    <cellStyle name="20% - Énfasis4 10 5" xfId="4515" xr:uid="{00000000-0005-0000-0000-0000A5110000}"/>
    <cellStyle name="20% - Énfasis4 10 5 2" xfId="4516" xr:uid="{00000000-0005-0000-0000-0000A6110000}"/>
    <cellStyle name="20% - Énfasis4 10 6" xfId="4517" xr:uid="{00000000-0005-0000-0000-0000A7110000}"/>
    <cellStyle name="20% - Énfasis4 10 6 2" xfId="4518" xr:uid="{00000000-0005-0000-0000-0000A8110000}"/>
    <cellStyle name="20% - Énfasis4 10 7" xfId="4519" xr:uid="{00000000-0005-0000-0000-0000A9110000}"/>
    <cellStyle name="20% - Énfasis4 10 7 2" xfId="4520" xr:uid="{00000000-0005-0000-0000-0000AA110000}"/>
    <cellStyle name="20% - Énfasis4 10 8" xfId="4521" xr:uid="{00000000-0005-0000-0000-0000AB110000}"/>
    <cellStyle name="20% - Énfasis4 10 8 2" xfId="4522" xr:uid="{00000000-0005-0000-0000-0000AC110000}"/>
    <cellStyle name="20% - Énfasis4 10 9" xfId="4523" xr:uid="{00000000-0005-0000-0000-0000AD110000}"/>
    <cellStyle name="20% - Énfasis4 10 9 2" xfId="4524" xr:uid="{00000000-0005-0000-0000-0000AE110000}"/>
    <cellStyle name="20% - Énfasis4 11" xfId="4525" xr:uid="{00000000-0005-0000-0000-0000AF110000}"/>
    <cellStyle name="20% - Énfasis4 11 10" xfId="4526" xr:uid="{00000000-0005-0000-0000-0000B0110000}"/>
    <cellStyle name="20% - Énfasis4 11 10 2" xfId="4527" xr:uid="{00000000-0005-0000-0000-0000B1110000}"/>
    <cellStyle name="20% - Énfasis4 11 11" xfId="4528" xr:uid="{00000000-0005-0000-0000-0000B2110000}"/>
    <cellStyle name="20% - Énfasis4 11 11 2" xfId="4529" xr:uid="{00000000-0005-0000-0000-0000B3110000}"/>
    <cellStyle name="20% - Énfasis4 11 12" xfId="4530" xr:uid="{00000000-0005-0000-0000-0000B4110000}"/>
    <cellStyle name="20% - Énfasis4 11 12 2" xfId="4531" xr:uid="{00000000-0005-0000-0000-0000B5110000}"/>
    <cellStyle name="20% - Énfasis4 11 13" xfId="4532" xr:uid="{00000000-0005-0000-0000-0000B6110000}"/>
    <cellStyle name="20% - Énfasis4 11 13 2" xfId="4533" xr:uid="{00000000-0005-0000-0000-0000B7110000}"/>
    <cellStyle name="20% - Énfasis4 11 14" xfId="4534" xr:uid="{00000000-0005-0000-0000-0000B8110000}"/>
    <cellStyle name="20% - Énfasis4 11 14 2" xfId="4535" xr:uid="{00000000-0005-0000-0000-0000B9110000}"/>
    <cellStyle name="20% - Énfasis4 11 15" xfId="4536" xr:uid="{00000000-0005-0000-0000-0000BA110000}"/>
    <cellStyle name="20% - Énfasis4 11 15 2" xfId="4537" xr:uid="{00000000-0005-0000-0000-0000BB110000}"/>
    <cellStyle name="20% - Énfasis4 11 16" xfId="4538" xr:uid="{00000000-0005-0000-0000-0000BC110000}"/>
    <cellStyle name="20% - Énfasis4 11 16 2" xfId="4539" xr:uid="{00000000-0005-0000-0000-0000BD110000}"/>
    <cellStyle name="20% - Énfasis4 11 17" xfId="4540" xr:uid="{00000000-0005-0000-0000-0000BE110000}"/>
    <cellStyle name="20% - Énfasis4 11 17 2" xfId="4541" xr:uid="{00000000-0005-0000-0000-0000BF110000}"/>
    <cellStyle name="20% - Énfasis4 11 18" xfId="4542" xr:uid="{00000000-0005-0000-0000-0000C0110000}"/>
    <cellStyle name="20% - Énfasis4 11 18 2" xfId="4543" xr:uid="{00000000-0005-0000-0000-0000C1110000}"/>
    <cellStyle name="20% - Énfasis4 11 19" xfId="4544" xr:uid="{00000000-0005-0000-0000-0000C2110000}"/>
    <cellStyle name="20% - Énfasis4 11 19 2" xfId="4545" xr:uid="{00000000-0005-0000-0000-0000C3110000}"/>
    <cellStyle name="20% - Énfasis4 11 2" xfId="4546" xr:uid="{00000000-0005-0000-0000-0000C4110000}"/>
    <cellStyle name="20% - Énfasis4 11 2 2" xfId="4547" xr:uid="{00000000-0005-0000-0000-0000C5110000}"/>
    <cellStyle name="20% - Énfasis4 11 20" xfId="4548" xr:uid="{00000000-0005-0000-0000-0000C6110000}"/>
    <cellStyle name="20% - Énfasis4 11 21" xfId="4549" xr:uid="{00000000-0005-0000-0000-0000C7110000}"/>
    <cellStyle name="20% - Énfasis4 11 3" xfId="4550" xr:uid="{00000000-0005-0000-0000-0000C8110000}"/>
    <cellStyle name="20% - Énfasis4 11 3 2" xfId="4551" xr:uid="{00000000-0005-0000-0000-0000C9110000}"/>
    <cellStyle name="20% - Énfasis4 11 4" xfId="4552" xr:uid="{00000000-0005-0000-0000-0000CA110000}"/>
    <cellStyle name="20% - Énfasis4 11 4 2" xfId="4553" xr:uid="{00000000-0005-0000-0000-0000CB110000}"/>
    <cellStyle name="20% - Énfasis4 11 5" xfId="4554" xr:uid="{00000000-0005-0000-0000-0000CC110000}"/>
    <cellStyle name="20% - Énfasis4 11 5 2" xfId="4555" xr:uid="{00000000-0005-0000-0000-0000CD110000}"/>
    <cellStyle name="20% - Énfasis4 11 6" xfId="4556" xr:uid="{00000000-0005-0000-0000-0000CE110000}"/>
    <cellStyle name="20% - Énfasis4 11 6 2" xfId="4557" xr:uid="{00000000-0005-0000-0000-0000CF110000}"/>
    <cellStyle name="20% - Énfasis4 11 7" xfId="4558" xr:uid="{00000000-0005-0000-0000-0000D0110000}"/>
    <cellStyle name="20% - Énfasis4 11 7 2" xfId="4559" xr:uid="{00000000-0005-0000-0000-0000D1110000}"/>
    <cellStyle name="20% - Énfasis4 11 8" xfId="4560" xr:uid="{00000000-0005-0000-0000-0000D2110000}"/>
    <cellStyle name="20% - Énfasis4 11 8 2" xfId="4561" xr:uid="{00000000-0005-0000-0000-0000D3110000}"/>
    <cellStyle name="20% - Énfasis4 11 9" xfId="4562" xr:uid="{00000000-0005-0000-0000-0000D4110000}"/>
    <cellStyle name="20% - Énfasis4 11 9 2" xfId="4563" xr:uid="{00000000-0005-0000-0000-0000D5110000}"/>
    <cellStyle name="20% - Énfasis4 12" xfId="4564" xr:uid="{00000000-0005-0000-0000-0000D6110000}"/>
    <cellStyle name="20% - Énfasis4 12 10" xfId="4565" xr:uid="{00000000-0005-0000-0000-0000D7110000}"/>
    <cellStyle name="20% - Énfasis4 12 10 2" xfId="4566" xr:uid="{00000000-0005-0000-0000-0000D8110000}"/>
    <cellStyle name="20% - Énfasis4 12 11" xfId="4567" xr:uid="{00000000-0005-0000-0000-0000D9110000}"/>
    <cellStyle name="20% - Énfasis4 12 11 2" xfId="4568" xr:uid="{00000000-0005-0000-0000-0000DA110000}"/>
    <cellStyle name="20% - Énfasis4 12 12" xfId="4569" xr:uid="{00000000-0005-0000-0000-0000DB110000}"/>
    <cellStyle name="20% - Énfasis4 12 12 2" xfId="4570" xr:uid="{00000000-0005-0000-0000-0000DC110000}"/>
    <cellStyle name="20% - Énfasis4 12 13" xfId="4571" xr:uid="{00000000-0005-0000-0000-0000DD110000}"/>
    <cellStyle name="20% - Énfasis4 12 13 2" xfId="4572" xr:uid="{00000000-0005-0000-0000-0000DE110000}"/>
    <cellStyle name="20% - Énfasis4 12 14" xfId="4573" xr:uid="{00000000-0005-0000-0000-0000DF110000}"/>
    <cellStyle name="20% - Énfasis4 12 14 2" xfId="4574" xr:uid="{00000000-0005-0000-0000-0000E0110000}"/>
    <cellStyle name="20% - Énfasis4 12 15" xfId="4575" xr:uid="{00000000-0005-0000-0000-0000E1110000}"/>
    <cellStyle name="20% - Énfasis4 12 15 2" xfId="4576" xr:uid="{00000000-0005-0000-0000-0000E2110000}"/>
    <cellStyle name="20% - Énfasis4 12 16" xfId="4577" xr:uid="{00000000-0005-0000-0000-0000E3110000}"/>
    <cellStyle name="20% - Énfasis4 12 16 2" xfId="4578" xr:uid="{00000000-0005-0000-0000-0000E4110000}"/>
    <cellStyle name="20% - Énfasis4 12 17" xfId="4579" xr:uid="{00000000-0005-0000-0000-0000E5110000}"/>
    <cellStyle name="20% - Énfasis4 12 17 2" xfId="4580" xr:uid="{00000000-0005-0000-0000-0000E6110000}"/>
    <cellStyle name="20% - Énfasis4 12 18" xfId="4581" xr:uid="{00000000-0005-0000-0000-0000E7110000}"/>
    <cellStyle name="20% - Énfasis4 12 18 2" xfId="4582" xr:uid="{00000000-0005-0000-0000-0000E8110000}"/>
    <cellStyle name="20% - Énfasis4 12 19" xfId="4583" xr:uid="{00000000-0005-0000-0000-0000E9110000}"/>
    <cellStyle name="20% - Énfasis4 12 19 2" xfId="4584" xr:uid="{00000000-0005-0000-0000-0000EA110000}"/>
    <cellStyle name="20% - Énfasis4 12 2" xfId="4585" xr:uid="{00000000-0005-0000-0000-0000EB110000}"/>
    <cellStyle name="20% - Énfasis4 12 2 2" xfId="4586" xr:uid="{00000000-0005-0000-0000-0000EC110000}"/>
    <cellStyle name="20% - Énfasis4 12 20" xfId="4587" xr:uid="{00000000-0005-0000-0000-0000ED110000}"/>
    <cellStyle name="20% - Énfasis4 12 21" xfId="4588" xr:uid="{00000000-0005-0000-0000-0000EE110000}"/>
    <cellStyle name="20% - Énfasis4 12 3" xfId="4589" xr:uid="{00000000-0005-0000-0000-0000EF110000}"/>
    <cellStyle name="20% - Énfasis4 12 3 2" xfId="4590" xr:uid="{00000000-0005-0000-0000-0000F0110000}"/>
    <cellStyle name="20% - Énfasis4 12 4" xfId="4591" xr:uid="{00000000-0005-0000-0000-0000F1110000}"/>
    <cellStyle name="20% - Énfasis4 12 4 2" xfId="4592" xr:uid="{00000000-0005-0000-0000-0000F2110000}"/>
    <cellStyle name="20% - Énfasis4 12 5" xfId="4593" xr:uid="{00000000-0005-0000-0000-0000F3110000}"/>
    <cellStyle name="20% - Énfasis4 12 5 2" xfId="4594" xr:uid="{00000000-0005-0000-0000-0000F4110000}"/>
    <cellStyle name="20% - Énfasis4 12 6" xfId="4595" xr:uid="{00000000-0005-0000-0000-0000F5110000}"/>
    <cellStyle name="20% - Énfasis4 12 6 2" xfId="4596" xr:uid="{00000000-0005-0000-0000-0000F6110000}"/>
    <cellStyle name="20% - Énfasis4 12 7" xfId="4597" xr:uid="{00000000-0005-0000-0000-0000F7110000}"/>
    <cellStyle name="20% - Énfasis4 12 7 2" xfId="4598" xr:uid="{00000000-0005-0000-0000-0000F8110000}"/>
    <cellStyle name="20% - Énfasis4 12 8" xfId="4599" xr:uid="{00000000-0005-0000-0000-0000F9110000}"/>
    <cellStyle name="20% - Énfasis4 12 8 2" xfId="4600" xr:uid="{00000000-0005-0000-0000-0000FA110000}"/>
    <cellStyle name="20% - Énfasis4 12 9" xfId="4601" xr:uid="{00000000-0005-0000-0000-0000FB110000}"/>
    <cellStyle name="20% - Énfasis4 12 9 2" xfId="4602" xr:uid="{00000000-0005-0000-0000-0000FC110000}"/>
    <cellStyle name="20% - Énfasis4 13" xfId="4603" xr:uid="{00000000-0005-0000-0000-0000FD110000}"/>
    <cellStyle name="20% - Énfasis4 13 10" xfId="4604" xr:uid="{00000000-0005-0000-0000-0000FE110000}"/>
    <cellStyle name="20% - Énfasis4 13 10 2" xfId="4605" xr:uid="{00000000-0005-0000-0000-0000FF110000}"/>
    <cellStyle name="20% - Énfasis4 13 11" xfId="4606" xr:uid="{00000000-0005-0000-0000-000000120000}"/>
    <cellStyle name="20% - Énfasis4 13 11 2" xfId="4607" xr:uid="{00000000-0005-0000-0000-000001120000}"/>
    <cellStyle name="20% - Énfasis4 13 12" xfId="4608" xr:uid="{00000000-0005-0000-0000-000002120000}"/>
    <cellStyle name="20% - Énfasis4 13 12 2" xfId="4609" xr:uid="{00000000-0005-0000-0000-000003120000}"/>
    <cellStyle name="20% - Énfasis4 13 13" xfId="4610" xr:uid="{00000000-0005-0000-0000-000004120000}"/>
    <cellStyle name="20% - Énfasis4 13 13 2" xfId="4611" xr:uid="{00000000-0005-0000-0000-000005120000}"/>
    <cellStyle name="20% - Énfasis4 13 14" xfId="4612" xr:uid="{00000000-0005-0000-0000-000006120000}"/>
    <cellStyle name="20% - Énfasis4 13 14 2" xfId="4613" xr:uid="{00000000-0005-0000-0000-000007120000}"/>
    <cellStyle name="20% - Énfasis4 13 15" xfId="4614" xr:uid="{00000000-0005-0000-0000-000008120000}"/>
    <cellStyle name="20% - Énfasis4 13 15 2" xfId="4615" xr:uid="{00000000-0005-0000-0000-000009120000}"/>
    <cellStyle name="20% - Énfasis4 13 16" xfId="4616" xr:uid="{00000000-0005-0000-0000-00000A120000}"/>
    <cellStyle name="20% - Énfasis4 13 16 2" xfId="4617" xr:uid="{00000000-0005-0000-0000-00000B120000}"/>
    <cellStyle name="20% - Énfasis4 13 17" xfId="4618" xr:uid="{00000000-0005-0000-0000-00000C120000}"/>
    <cellStyle name="20% - Énfasis4 13 17 2" xfId="4619" xr:uid="{00000000-0005-0000-0000-00000D120000}"/>
    <cellStyle name="20% - Énfasis4 13 18" xfId="4620" xr:uid="{00000000-0005-0000-0000-00000E120000}"/>
    <cellStyle name="20% - Énfasis4 13 18 2" xfId="4621" xr:uid="{00000000-0005-0000-0000-00000F120000}"/>
    <cellStyle name="20% - Énfasis4 13 19" xfId="4622" xr:uid="{00000000-0005-0000-0000-000010120000}"/>
    <cellStyle name="20% - Énfasis4 13 19 2" xfId="4623" xr:uid="{00000000-0005-0000-0000-000011120000}"/>
    <cellStyle name="20% - Énfasis4 13 2" xfId="4624" xr:uid="{00000000-0005-0000-0000-000012120000}"/>
    <cellStyle name="20% - Énfasis4 13 2 2" xfId="4625" xr:uid="{00000000-0005-0000-0000-000013120000}"/>
    <cellStyle name="20% - Énfasis4 13 20" xfId="4626" xr:uid="{00000000-0005-0000-0000-000014120000}"/>
    <cellStyle name="20% - Énfasis4 13 21" xfId="4627" xr:uid="{00000000-0005-0000-0000-000015120000}"/>
    <cellStyle name="20% - Énfasis4 13 3" xfId="4628" xr:uid="{00000000-0005-0000-0000-000016120000}"/>
    <cellStyle name="20% - Énfasis4 13 3 2" xfId="4629" xr:uid="{00000000-0005-0000-0000-000017120000}"/>
    <cellStyle name="20% - Énfasis4 13 4" xfId="4630" xr:uid="{00000000-0005-0000-0000-000018120000}"/>
    <cellStyle name="20% - Énfasis4 13 4 2" xfId="4631" xr:uid="{00000000-0005-0000-0000-000019120000}"/>
    <cellStyle name="20% - Énfasis4 13 5" xfId="4632" xr:uid="{00000000-0005-0000-0000-00001A120000}"/>
    <cellStyle name="20% - Énfasis4 13 5 2" xfId="4633" xr:uid="{00000000-0005-0000-0000-00001B120000}"/>
    <cellStyle name="20% - Énfasis4 13 6" xfId="4634" xr:uid="{00000000-0005-0000-0000-00001C120000}"/>
    <cellStyle name="20% - Énfasis4 13 6 2" xfId="4635" xr:uid="{00000000-0005-0000-0000-00001D120000}"/>
    <cellStyle name="20% - Énfasis4 13 7" xfId="4636" xr:uid="{00000000-0005-0000-0000-00001E120000}"/>
    <cellStyle name="20% - Énfasis4 13 7 2" xfId="4637" xr:uid="{00000000-0005-0000-0000-00001F120000}"/>
    <cellStyle name="20% - Énfasis4 13 8" xfId="4638" xr:uid="{00000000-0005-0000-0000-000020120000}"/>
    <cellStyle name="20% - Énfasis4 13 8 2" xfId="4639" xr:uid="{00000000-0005-0000-0000-000021120000}"/>
    <cellStyle name="20% - Énfasis4 13 9" xfId="4640" xr:uid="{00000000-0005-0000-0000-000022120000}"/>
    <cellStyle name="20% - Énfasis4 13 9 2" xfId="4641" xr:uid="{00000000-0005-0000-0000-000023120000}"/>
    <cellStyle name="20% - Énfasis4 14" xfId="4642" xr:uid="{00000000-0005-0000-0000-000024120000}"/>
    <cellStyle name="20% - Énfasis4 14 10" xfId="4643" xr:uid="{00000000-0005-0000-0000-000025120000}"/>
    <cellStyle name="20% - Énfasis4 14 10 2" xfId="4644" xr:uid="{00000000-0005-0000-0000-000026120000}"/>
    <cellStyle name="20% - Énfasis4 14 11" xfId="4645" xr:uid="{00000000-0005-0000-0000-000027120000}"/>
    <cellStyle name="20% - Énfasis4 14 11 2" xfId="4646" xr:uid="{00000000-0005-0000-0000-000028120000}"/>
    <cellStyle name="20% - Énfasis4 14 12" xfId="4647" xr:uid="{00000000-0005-0000-0000-000029120000}"/>
    <cellStyle name="20% - Énfasis4 14 12 2" xfId="4648" xr:uid="{00000000-0005-0000-0000-00002A120000}"/>
    <cellStyle name="20% - Énfasis4 14 13" xfId="4649" xr:uid="{00000000-0005-0000-0000-00002B120000}"/>
    <cellStyle name="20% - Énfasis4 14 13 2" xfId="4650" xr:uid="{00000000-0005-0000-0000-00002C120000}"/>
    <cellStyle name="20% - Énfasis4 14 14" xfId="4651" xr:uid="{00000000-0005-0000-0000-00002D120000}"/>
    <cellStyle name="20% - Énfasis4 14 14 2" xfId="4652" xr:uid="{00000000-0005-0000-0000-00002E120000}"/>
    <cellStyle name="20% - Énfasis4 14 15" xfId="4653" xr:uid="{00000000-0005-0000-0000-00002F120000}"/>
    <cellStyle name="20% - Énfasis4 14 15 2" xfId="4654" xr:uid="{00000000-0005-0000-0000-000030120000}"/>
    <cellStyle name="20% - Énfasis4 14 16" xfId="4655" xr:uid="{00000000-0005-0000-0000-000031120000}"/>
    <cellStyle name="20% - Énfasis4 14 16 2" xfId="4656" xr:uid="{00000000-0005-0000-0000-000032120000}"/>
    <cellStyle name="20% - Énfasis4 14 17" xfId="4657" xr:uid="{00000000-0005-0000-0000-000033120000}"/>
    <cellStyle name="20% - Énfasis4 14 17 2" xfId="4658" xr:uid="{00000000-0005-0000-0000-000034120000}"/>
    <cellStyle name="20% - Énfasis4 14 18" xfId="4659" xr:uid="{00000000-0005-0000-0000-000035120000}"/>
    <cellStyle name="20% - Énfasis4 14 18 2" xfId="4660" xr:uid="{00000000-0005-0000-0000-000036120000}"/>
    <cellStyle name="20% - Énfasis4 14 19" xfId="4661" xr:uid="{00000000-0005-0000-0000-000037120000}"/>
    <cellStyle name="20% - Énfasis4 14 19 2" xfId="4662" xr:uid="{00000000-0005-0000-0000-000038120000}"/>
    <cellStyle name="20% - Énfasis4 14 2" xfId="4663" xr:uid="{00000000-0005-0000-0000-000039120000}"/>
    <cellStyle name="20% - Énfasis4 14 2 2" xfId="4664" xr:uid="{00000000-0005-0000-0000-00003A120000}"/>
    <cellStyle name="20% - Énfasis4 14 20" xfId="4665" xr:uid="{00000000-0005-0000-0000-00003B120000}"/>
    <cellStyle name="20% - Énfasis4 14 3" xfId="4666" xr:uid="{00000000-0005-0000-0000-00003C120000}"/>
    <cellStyle name="20% - Énfasis4 14 3 2" xfId="4667" xr:uid="{00000000-0005-0000-0000-00003D120000}"/>
    <cellStyle name="20% - Énfasis4 14 4" xfId="4668" xr:uid="{00000000-0005-0000-0000-00003E120000}"/>
    <cellStyle name="20% - Énfasis4 14 4 2" xfId="4669" xr:uid="{00000000-0005-0000-0000-00003F120000}"/>
    <cellStyle name="20% - Énfasis4 14 5" xfId="4670" xr:uid="{00000000-0005-0000-0000-000040120000}"/>
    <cellStyle name="20% - Énfasis4 14 5 2" xfId="4671" xr:uid="{00000000-0005-0000-0000-000041120000}"/>
    <cellStyle name="20% - Énfasis4 14 6" xfId="4672" xr:uid="{00000000-0005-0000-0000-000042120000}"/>
    <cellStyle name="20% - Énfasis4 14 6 2" xfId="4673" xr:uid="{00000000-0005-0000-0000-000043120000}"/>
    <cellStyle name="20% - Énfasis4 14 7" xfId="4674" xr:uid="{00000000-0005-0000-0000-000044120000}"/>
    <cellStyle name="20% - Énfasis4 14 7 2" xfId="4675" xr:uid="{00000000-0005-0000-0000-000045120000}"/>
    <cellStyle name="20% - Énfasis4 14 8" xfId="4676" xr:uid="{00000000-0005-0000-0000-000046120000}"/>
    <cellStyle name="20% - Énfasis4 14 8 2" xfId="4677" xr:uid="{00000000-0005-0000-0000-000047120000}"/>
    <cellStyle name="20% - Énfasis4 14 9" xfId="4678" xr:uid="{00000000-0005-0000-0000-000048120000}"/>
    <cellStyle name="20% - Énfasis4 14 9 2" xfId="4679" xr:uid="{00000000-0005-0000-0000-000049120000}"/>
    <cellStyle name="20% - Énfasis4 15" xfId="4680" xr:uid="{00000000-0005-0000-0000-00004A120000}"/>
    <cellStyle name="20% - Énfasis4 15 10" xfId="4681" xr:uid="{00000000-0005-0000-0000-00004B120000}"/>
    <cellStyle name="20% - Énfasis4 15 10 2" xfId="4682" xr:uid="{00000000-0005-0000-0000-00004C120000}"/>
    <cellStyle name="20% - Énfasis4 15 11" xfId="4683" xr:uid="{00000000-0005-0000-0000-00004D120000}"/>
    <cellStyle name="20% - Énfasis4 15 11 2" xfId="4684" xr:uid="{00000000-0005-0000-0000-00004E120000}"/>
    <cellStyle name="20% - Énfasis4 15 12" xfId="4685" xr:uid="{00000000-0005-0000-0000-00004F120000}"/>
    <cellStyle name="20% - Énfasis4 15 12 2" xfId="4686" xr:uid="{00000000-0005-0000-0000-000050120000}"/>
    <cellStyle name="20% - Énfasis4 15 13" xfId="4687" xr:uid="{00000000-0005-0000-0000-000051120000}"/>
    <cellStyle name="20% - Énfasis4 15 13 2" xfId="4688" xr:uid="{00000000-0005-0000-0000-000052120000}"/>
    <cellStyle name="20% - Énfasis4 15 14" xfId="4689" xr:uid="{00000000-0005-0000-0000-000053120000}"/>
    <cellStyle name="20% - Énfasis4 15 14 2" xfId="4690" xr:uid="{00000000-0005-0000-0000-000054120000}"/>
    <cellStyle name="20% - Énfasis4 15 15" xfId="4691" xr:uid="{00000000-0005-0000-0000-000055120000}"/>
    <cellStyle name="20% - Énfasis4 15 15 2" xfId="4692" xr:uid="{00000000-0005-0000-0000-000056120000}"/>
    <cellStyle name="20% - Énfasis4 15 16" xfId="4693" xr:uid="{00000000-0005-0000-0000-000057120000}"/>
    <cellStyle name="20% - Énfasis4 15 16 2" xfId="4694" xr:uid="{00000000-0005-0000-0000-000058120000}"/>
    <cellStyle name="20% - Énfasis4 15 17" xfId="4695" xr:uid="{00000000-0005-0000-0000-000059120000}"/>
    <cellStyle name="20% - Énfasis4 15 17 2" xfId="4696" xr:uid="{00000000-0005-0000-0000-00005A120000}"/>
    <cellStyle name="20% - Énfasis4 15 18" xfId="4697" xr:uid="{00000000-0005-0000-0000-00005B120000}"/>
    <cellStyle name="20% - Énfasis4 15 18 2" xfId="4698" xr:uid="{00000000-0005-0000-0000-00005C120000}"/>
    <cellStyle name="20% - Énfasis4 15 19" xfId="4699" xr:uid="{00000000-0005-0000-0000-00005D120000}"/>
    <cellStyle name="20% - Énfasis4 15 19 2" xfId="4700" xr:uid="{00000000-0005-0000-0000-00005E120000}"/>
    <cellStyle name="20% - Énfasis4 15 2" xfId="4701" xr:uid="{00000000-0005-0000-0000-00005F120000}"/>
    <cellStyle name="20% - Énfasis4 15 2 2" xfId="4702" xr:uid="{00000000-0005-0000-0000-000060120000}"/>
    <cellStyle name="20% - Énfasis4 15 20" xfId="4703" xr:uid="{00000000-0005-0000-0000-000061120000}"/>
    <cellStyle name="20% - Énfasis4 15 3" xfId="4704" xr:uid="{00000000-0005-0000-0000-000062120000}"/>
    <cellStyle name="20% - Énfasis4 15 3 2" xfId="4705" xr:uid="{00000000-0005-0000-0000-000063120000}"/>
    <cellStyle name="20% - Énfasis4 15 4" xfId="4706" xr:uid="{00000000-0005-0000-0000-000064120000}"/>
    <cellStyle name="20% - Énfasis4 15 4 2" xfId="4707" xr:uid="{00000000-0005-0000-0000-000065120000}"/>
    <cellStyle name="20% - Énfasis4 15 5" xfId="4708" xr:uid="{00000000-0005-0000-0000-000066120000}"/>
    <cellStyle name="20% - Énfasis4 15 5 2" xfId="4709" xr:uid="{00000000-0005-0000-0000-000067120000}"/>
    <cellStyle name="20% - Énfasis4 15 6" xfId="4710" xr:uid="{00000000-0005-0000-0000-000068120000}"/>
    <cellStyle name="20% - Énfasis4 15 6 2" xfId="4711" xr:uid="{00000000-0005-0000-0000-000069120000}"/>
    <cellStyle name="20% - Énfasis4 15 7" xfId="4712" xr:uid="{00000000-0005-0000-0000-00006A120000}"/>
    <cellStyle name="20% - Énfasis4 15 7 2" xfId="4713" xr:uid="{00000000-0005-0000-0000-00006B120000}"/>
    <cellStyle name="20% - Énfasis4 15 8" xfId="4714" xr:uid="{00000000-0005-0000-0000-00006C120000}"/>
    <cellStyle name="20% - Énfasis4 15 8 2" xfId="4715" xr:uid="{00000000-0005-0000-0000-00006D120000}"/>
    <cellStyle name="20% - Énfasis4 15 9" xfId="4716" xr:uid="{00000000-0005-0000-0000-00006E120000}"/>
    <cellStyle name="20% - Énfasis4 15 9 2" xfId="4717" xr:uid="{00000000-0005-0000-0000-00006F120000}"/>
    <cellStyle name="20% - Énfasis4 16" xfId="4718" xr:uid="{00000000-0005-0000-0000-000070120000}"/>
    <cellStyle name="20% - Énfasis4 16 10" xfId="4719" xr:uid="{00000000-0005-0000-0000-000071120000}"/>
    <cellStyle name="20% - Énfasis4 16 10 2" xfId="4720" xr:uid="{00000000-0005-0000-0000-000072120000}"/>
    <cellStyle name="20% - Énfasis4 16 11" xfId="4721" xr:uid="{00000000-0005-0000-0000-000073120000}"/>
    <cellStyle name="20% - Énfasis4 16 11 2" xfId="4722" xr:uid="{00000000-0005-0000-0000-000074120000}"/>
    <cellStyle name="20% - Énfasis4 16 12" xfId="4723" xr:uid="{00000000-0005-0000-0000-000075120000}"/>
    <cellStyle name="20% - Énfasis4 16 12 2" xfId="4724" xr:uid="{00000000-0005-0000-0000-000076120000}"/>
    <cellStyle name="20% - Énfasis4 16 13" xfId="4725" xr:uid="{00000000-0005-0000-0000-000077120000}"/>
    <cellStyle name="20% - Énfasis4 16 13 2" xfId="4726" xr:uid="{00000000-0005-0000-0000-000078120000}"/>
    <cellStyle name="20% - Énfasis4 16 14" xfId="4727" xr:uid="{00000000-0005-0000-0000-000079120000}"/>
    <cellStyle name="20% - Énfasis4 16 14 2" xfId="4728" xr:uid="{00000000-0005-0000-0000-00007A120000}"/>
    <cellStyle name="20% - Énfasis4 16 15" xfId="4729" xr:uid="{00000000-0005-0000-0000-00007B120000}"/>
    <cellStyle name="20% - Énfasis4 16 15 2" xfId="4730" xr:uid="{00000000-0005-0000-0000-00007C120000}"/>
    <cellStyle name="20% - Énfasis4 16 16" xfId="4731" xr:uid="{00000000-0005-0000-0000-00007D120000}"/>
    <cellStyle name="20% - Énfasis4 16 16 2" xfId="4732" xr:uid="{00000000-0005-0000-0000-00007E120000}"/>
    <cellStyle name="20% - Énfasis4 16 17" xfId="4733" xr:uid="{00000000-0005-0000-0000-00007F120000}"/>
    <cellStyle name="20% - Énfasis4 16 17 2" xfId="4734" xr:uid="{00000000-0005-0000-0000-000080120000}"/>
    <cellStyle name="20% - Énfasis4 16 18" xfId="4735" xr:uid="{00000000-0005-0000-0000-000081120000}"/>
    <cellStyle name="20% - Énfasis4 16 18 2" xfId="4736" xr:uid="{00000000-0005-0000-0000-000082120000}"/>
    <cellStyle name="20% - Énfasis4 16 19" xfId="4737" xr:uid="{00000000-0005-0000-0000-000083120000}"/>
    <cellStyle name="20% - Énfasis4 16 19 2" xfId="4738" xr:uid="{00000000-0005-0000-0000-000084120000}"/>
    <cellStyle name="20% - Énfasis4 16 2" xfId="4739" xr:uid="{00000000-0005-0000-0000-000085120000}"/>
    <cellStyle name="20% - Énfasis4 16 2 2" xfId="4740" xr:uid="{00000000-0005-0000-0000-000086120000}"/>
    <cellStyle name="20% - Énfasis4 16 20" xfId="4741" xr:uid="{00000000-0005-0000-0000-000087120000}"/>
    <cellStyle name="20% - Énfasis4 16 3" xfId="4742" xr:uid="{00000000-0005-0000-0000-000088120000}"/>
    <cellStyle name="20% - Énfasis4 16 3 2" xfId="4743" xr:uid="{00000000-0005-0000-0000-000089120000}"/>
    <cellStyle name="20% - Énfasis4 16 4" xfId="4744" xr:uid="{00000000-0005-0000-0000-00008A120000}"/>
    <cellStyle name="20% - Énfasis4 16 4 2" xfId="4745" xr:uid="{00000000-0005-0000-0000-00008B120000}"/>
    <cellStyle name="20% - Énfasis4 16 5" xfId="4746" xr:uid="{00000000-0005-0000-0000-00008C120000}"/>
    <cellStyle name="20% - Énfasis4 16 5 2" xfId="4747" xr:uid="{00000000-0005-0000-0000-00008D120000}"/>
    <cellStyle name="20% - Énfasis4 16 6" xfId="4748" xr:uid="{00000000-0005-0000-0000-00008E120000}"/>
    <cellStyle name="20% - Énfasis4 16 6 2" xfId="4749" xr:uid="{00000000-0005-0000-0000-00008F120000}"/>
    <cellStyle name="20% - Énfasis4 16 7" xfId="4750" xr:uid="{00000000-0005-0000-0000-000090120000}"/>
    <cellStyle name="20% - Énfasis4 16 7 2" xfId="4751" xr:uid="{00000000-0005-0000-0000-000091120000}"/>
    <cellStyle name="20% - Énfasis4 16 8" xfId="4752" xr:uid="{00000000-0005-0000-0000-000092120000}"/>
    <cellStyle name="20% - Énfasis4 16 8 2" xfId="4753" xr:uid="{00000000-0005-0000-0000-000093120000}"/>
    <cellStyle name="20% - Énfasis4 16 9" xfId="4754" xr:uid="{00000000-0005-0000-0000-000094120000}"/>
    <cellStyle name="20% - Énfasis4 16 9 2" xfId="4755" xr:uid="{00000000-0005-0000-0000-000095120000}"/>
    <cellStyle name="20% - Énfasis4 17" xfId="4756" xr:uid="{00000000-0005-0000-0000-000096120000}"/>
    <cellStyle name="20% - Énfasis4 17 10" xfId="4757" xr:uid="{00000000-0005-0000-0000-000097120000}"/>
    <cellStyle name="20% - Énfasis4 17 10 2" xfId="4758" xr:uid="{00000000-0005-0000-0000-000098120000}"/>
    <cellStyle name="20% - Énfasis4 17 11" xfId="4759" xr:uid="{00000000-0005-0000-0000-000099120000}"/>
    <cellStyle name="20% - Énfasis4 17 11 2" xfId="4760" xr:uid="{00000000-0005-0000-0000-00009A120000}"/>
    <cellStyle name="20% - Énfasis4 17 12" xfId="4761" xr:uid="{00000000-0005-0000-0000-00009B120000}"/>
    <cellStyle name="20% - Énfasis4 17 12 2" xfId="4762" xr:uid="{00000000-0005-0000-0000-00009C120000}"/>
    <cellStyle name="20% - Énfasis4 17 13" xfId="4763" xr:uid="{00000000-0005-0000-0000-00009D120000}"/>
    <cellStyle name="20% - Énfasis4 17 13 2" xfId="4764" xr:uid="{00000000-0005-0000-0000-00009E120000}"/>
    <cellStyle name="20% - Énfasis4 17 14" xfId="4765" xr:uid="{00000000-0005-0000-0000-00009F120000}"/>
    <cellStyle name="20% - Énfasis4 17 14 2" xfId="4766" xr:uid="{00000000-0005-0000-0000-0000A0120000}"/>
    <cellStyle name="20% - Énfasis4 17 15" xfId="4767" xr:uid="{00000000-0005-0000-0000-0000A1120000}"/>
    <cellStyle name="20% - Énfasis4 17 15 2" xfId="4768" xr:uid="{00000000-0005-0000-0000-0000A2120000}"/>
    <cellStyle name="20% - Énfasis4 17 16" xfId="4769" xr:uid="{00000000-0005-0000-0000-0000A3120000}"/>
    <cellStyle name="20% - Énfasis4 17 16 2" xfId="4770" xr:uid="{00000000-0005-0000-0000-0000A4120000}"/>
    <cellStyle name="20% - Énfasis4 17 17" xfId="4771" xr:uid="{00000000-0005-0000-0000-0000A5120000}"/>
    <cellStyle name="20% - Énfasis4 17 17 2" xfId="4772" xr:uid="{00000000-0005-0000-0000-0000A6120000}"/>
    <cellStyle name="20% - Énfasis4 17 18" xfId="4773" xr:uid="{00000000-0005-0000-0000-0000A7120000}"/>
    <cellStyle name="20% - Énfasis4 17 18 2" xfId="4774" xr:uid="{00000000-0005-0000-0000-0000A8120000}"/>
    <cellStyle name="20% - Énfasis4 17 19" xfId="4775" xr:uid="{00000000-0005-0000-0000-0000A9120000}"/>
    <cellStyle name="20% - Énfasis4 17 19 2" xfId="4776" xr:uid="{00000000-0005-0000-0000-0000AA120000}"/>
    <cellStyle name="20% - Énfasis4 17 2" xfId="4777" xr:uid="{00000000-0005-0000-0000-0000AB120000}"/>
    <cellStyle name="20% - Énfasis4 17 2 2" xfId="4778" xr:uid="{00000000-0005-0000-0000-0000AC120000}"/>
    <cellStyle name="20% - Énfasis4 17 20" xfId="4779" xr:uid="{00000000-0005-0000-0000-0000AD120000}"/>
    <cellStyle name="20% - Énfasis4 17 3" xfId="4780" xr:uid="{00000000-0005-0000-0000-0000AE120000}"/>
    <cellStyle name="20% - Énfasis4 17 3 2" xfId="4781" xr:uid="{00000000-0005-0000-0000-0000AF120000}"/>
    <cellStyle name="20% - Énfasis4 17 4" xfId="4782" xr:uid="{00000000-0005-0000-0000-0000B0120000}"/>
    <cellStyle name="20% - Énfasis4 17 4 2" xfId="4783" xr:uid="{00000000-0005-0000-0000-0000B1120000}"/>
    <cellStyle name="20% - Énfasis4 17 5" xfId="4784" xr:uid="{00000000-0005-0000-0000-0000B2120000}"/>
    <cellStyle name="20% - Énfasis4 17 5 2" xfId="4785" xr:uid="{00000000-0005-0000-0000-0000B3120000}"/>
    <cellStyle name="20% - Énfasis4 17 6" xfId="4786" xr:uid="{00000000-0005-0000-0000-0000B4120000}"/>
    <cellStyle name="20% - Énfasis4 17 6 2" xfId="4787" xr:uid="{00000000-0005-0000-0000-0000B5120000}"/>
    <cellStyle name="20% - Énfasis4 17 7" xfId="4788" xr:uid="{00000000-0005-0000-0000-0000B6120000}"/>
    <cellStyle name="20% - Énfasis4 17 7 2" xfId="4789" xr:uid="{00000000-0005-0000-0000-0000B7120000}"/>
    <cellStyle name="20% - Énfasis4 17 8" xfId="4790" xr:uid="{00000000-0005-0000-0000-0000B8120000}"/>
    <cellStyle name="20% - Énfasis4 17 8 2" xfId="4791" xr:uid="{00000000-0005-0000-0000-0000B9120000}"/>
    <cellStyle name="20% - Énfasis4 17 9" xfId="4792" xr:uid="{00000000-0005-0000-0000-0000BA120000}"/>
    <cellStyle name="20% - Énfasis4 17 9 2" xfId="4793" xr:uid="{00000000-0005-0000-0000-0000BB120000}"/>
    <cellStyle name="20% - Énfasis4 18" xfId="4794" xr:uid="{00000000-0005-0000-0000-0000BC120000}"/>
    <cellStyle name="20% - Énfasis4 18 10" xfId="4795" xr:uid="{00000000-0005-0000-0000-0000BD120000}"/>
    <cellStyle name="20% - Énfasis4 18 10 2" xfId="4796" xr:uid="{00000000-0005-0000-0000-0000BE120000}"/>
    <cellStyle name="20% - Énfasis4 18 11" xfId="4797" xr:uid="{00000000-0005-0000-0000-0000BF120000}"/>
    <cellStyle name="20% - Énfasis4 18 11 2" xfId="4798" xr:uid="{00000000-0005-0000-0000-0000C0120000}"/>
    <cellStyle name="20% - Énfasis4 18 12" xfId="4799" xr:uid="{00000000-0005-0000-0000-0000C1120000}"/>
    <cellStyle name="20% - Énfasis4 18 12 2" xfId="4800" xr:uid="{00000000-0005-0000-0000-0000C2120000}"/>
    <cellStyle name="20% - Énfasis4 18 13" xfId="4801" xr:uid="{00000000-0005-0000-0000-0000C3120000}"/>
    <cellStyle name="20% - Énfasis4 18 13 2" xfId="4802" xr:uid="{00000000-0005-0000-0000-0000C4120000}"/>
    <cellStyle name="20% - Énfasis4 18 14" xfId="4803" xr:uid="{00000000-0005-0000-0000-0000C5120000}"/>
    <cellStyle name="20% - Énfasis4 18 14 2" xfId="4804" xr:uid="{00000000-0005-0000-0000-0000C6120000}"/>
    <cellStyle name="20% - Énfasis4 18 15" xfId="4805" xr:uid="{00000000-0005-0000-0000-0000C7120000}"/>
    <cellStyle name="20% - Énfasis4 18 15 2" xfId="4806" xr:uid="{00000000-0005-0000-0000-0000C8120000}"/>
    <cellStyle name="20% - Énfasis4 18 16" xfId="4807" xr:uid="{00000000-0005-0000-0000-0000C9120000}"/>
    <cellStyle name="20% - Énfasis4 18 16 2" xfId="4808" xr:uid="{00000000-0005-0000-0000-0000CA120000}"/>
    <cellStyle name="20% - Énfasis4 18 17" xfId="4809" xr:uid="{00000000-0005-0000-0000-0000CB120000}"/>
    <cellStyle name="20% - Énfasis4 18 17 2" xfId="4810" xr:uid="{00000000-0005-0000-0000-0000CC120000}"/>
    <cellStyle name="20% - Énfasis4 18 18" xfId="4811" xr:uid="{00000000-0005-0000-0000-0000CD120000}"/>
    <cellStyle name="20% - Énfasis4 18 18 2" xfId="4812" xr:uid="{00000000-0005-0000-0000-0000CE120000}"/>
    <cellStyle name="20% - Énfasis4 18 19" xfId="4813" xr:uid="{00000000-0005-0000-0000-0000CF120000}"/>
    <cellStyle name="20% - Énfasis4 18 19 2" xfId="4814" xr:uid="{00000000-0005-0000-0000-0000D0120000}"/>
    <cellStyle name="20% - Énfasis4 18 2" xfId="4815" xr:uid="{00000000-0005-0000-0000-0000D1120000}"/>
    <cellStyle name="20% - Énfasis4 18 2 2" xfId="4816" xr:uid="{00000000-0005-0000-0000-0000D2120000}"/>
    <cellStyle name="20% - Énfasis4 18 20" xfId="4817" xr:uid="{00000000-0005-0000-0000-0000D3120000}"/>
    <cellStyle name="20% - Énfasis4 18 3" xfId="4818" xr:uid="{00000000-0005-0000-0000-0000D4120000}"/>
    <cellStyle name="20% - Énfasis4 18 3 2" xfId="4819" xr:uid="{00000000-0005-0000-0000-0000D5120000}"/>
    <cellStyle name="20% - Énfasis4 18 4" xfId="4820" xr:uid="{00000000-0005-0000-0000-0000D6120000}"/>
    <cellStyle name="20% - Énfasis4 18 4 2" xfId="4821" xr:uid="{00000000-0005-0000-0000-0000D7120000}"/>
    <cellStyle name="20% - Énfasis4 18 5" xfId="4822" xr:uid="{00000000-0005-0000-0000-0000D8120000}"/>
    <cellStyle name="20% - Énfasis4 18 5 2" xfId="4823" xr:uid="{00000000-0005-0000-0000-0000D9120000}"/>
    <cellStyle name="20% - Énfasis4 18 6" xfId="4824" xr:uid="{00000000-0005-0000-0000-0000DA120000}"/>
    <cellStyle name="20% - Énfasis4 18 6 2" xfId="4825" xr:uid="{00000000-0005-0000-0000-0000DB120000}"/>
    <cellStyle name="20% - Énfasis4 18 7" xfId="4826" xr:uid="{00000000-0005-0000-0000-0000DC120000}"/>
    <cellStyle name="20% - Énfasis4 18 7 2" xfId="4827" xr:uid="{00000000-0005-0000-0000-0000DD120000}"/>
    <cellStyle name="20% - Énfasis4 18 8" xfId="4828" xr:uid="{00000000-0005-0000-0000-0000DE120000}"/>
    <cellStyle name="20% - Énfasis4 18 8 2" xfId="4829" xr:uid="{00000000-0005-0000-0000-0000DF120000}"/>
    <cellStyle name="20% - Énfasis4 18 9" xfId="4830" xr:uid="{00000000-0005-0000-0000-0000E0120000}"/>
    <cellStyle name="20% - Énfasis4 18 9 2" xfId="4831" xr:uid="{00000000-0005-0000-0000-0000E1120000}"/>
    <cellStyle name="20% - Énfasis4 19" xfId="4832" xr:uid="{00000000-0005-0000-0000-0000E2120000}"/>
    <cellStyle name="20% - Énfasis4 19 10" xfId="4833" xr:uid="{00000000-0005-0000-0000-0000E3120000}"/>
    <cellStyle name="20% - Énfasis4 19 10 2" xfId="4834" xr:uid="{00000000-0005-0000-0000-0000E4120000}"/>
    <cellStyle name="20% - Énfasis4 19 11" xfId="4835" xr:uid="{00000000-0005-0000-0000-0000E5120000}"/>
    <cellStyle name="20% - Énfasis4 19 11 2" xfId="4836" xr:uid="{00000000-0005-0000-0000-0000E6120000}"/>
    <cellStyle name="20% - Énfasis4 19 12" xfId="4837" xr:uid="{00000000-0005-0000-0000-0000E7120000}"/>
    <cellStyle name="20% - Énfasis4 19 12 2" xfId="4838" xr:uid="{00000000-0005-0000-0000-0000E8120000}"/>
    <cellStyle name="20% - Énfasis4 19 13" xfId="4839" xr:uid="{00000000-0005-0000-0000-0000E9120000}"/>
    <cellStyle name="20% - Énfasis4 19 13 2" xfId="4840" xr:uid="{00000000-0005-0000-0000-0000EA120000}"/>
    <cellStyle name="20% - Énfasis4 19 14" xfId="4841" xr:uid="{00000000-0005-0000-0000-0000EB120000}"/>
    <cellStyle name="20% - Énfasis4 19 14 2" xfId="4842" xr:uid="{00000000-0005-0000-0000-0000EC120000}"/>
    <cellStyle name="20% - Énfasis4 19 15" xfId="4843" xr:uid="{00000000-0005-0000-0000-0000ED120000}"/>
    <cellStyle name="20% - Énfasis4 19 15 2" xfId="4844" xr:uid="{00000000-0005-0000-0000-0000EE120000}"/>
    <cellStyle name="20% - Énfasis4 19 16" xfId="4845" xr:uid="{00000000-0005-0000-0000-0000EF120000}"/>
    <cellStyle name="20% - Énfasis4 19 16 2" xfId="4846" xr:uid="{00000000-0005-0000-0000-0000F0120000}"/>
    <cellStyle name="20% - Énfasis4 19 17" xfId="4847" xr:uid="{00000000-0005-0000-0000-0000F1120000}"/>
    <cellStyle name="20% - Énfasis4 19 17 2" xfId="4848" xr:uid="{00000000-0005-0000-0000-0000F2120000}"/>
    <cellStyle name="20% - Énfasis4 19 18" xfId="4849" xr:uid="{00000000-0005-0000-0000-0000F3120000}"/>
    <cellStyle name="20% - Énfasis4 19 18 2" xfId="4850" xr:uid="{00000000-0005-0000-0000-0000F4120000}"/>
    <cellStyle name="20% - Énfasis4 19 19" xfId="4851" xr:uid="{00000000-0005-0000-0000-0000F5120000}"/>
    <cellStyle name="20% - Énfasis4 19 19 2" xfId="4852" xr:uid="{00000000-0005-0000-0000-0000F6120000}"/>
    <cellStyle name="20% - Énfasis4 19 2" xfId="4853" xr:uid="{00000000-0005-0000-0000-0000F7120000}"/>
    <cellStyle name="20% - Énfasis4 19 2 2" xfId="4854" xr:uid="{00000000-0005-0000-0000-0000F8120000}"/>
    <cellStyle name="20% - Énfasis4 19 20" xfId="4855" xr:uid="{00000000-0005-0000-0000-0000F9120000}"/>
    <cellStyle name="20% - Énfasis4 19 3" xfId="4856" xr:uid="{00000000-0005-0000-0000-0000FA120000}"/>
    <cellStyle name="20% - Énfasis4 19 3 2" xfId="4857" xr:uid="{00000000-0005-0000-0000-0000FB120000}"/>
    <cellStyle name="20% - Énfasis4 19 4" xfId="4858" xr:uid="{00000000-0005-0000-0000-0000FC120000}"/>
    <cellStyle name="20% - Énfasis4 19 4 2" xfId="4859" xr:uid="{00000000-0005-0000-0000-0000FD120000}"/>
    <cellStyle name="20% - Énfasis4 19 5" xfId="4860" xr:uid="{00000000-0005-0000-0000-0000FE120000}"/>
    <cellStyle name="20% - Énfasis4 19 5 2" xfId="4861" xr:uid="{00000000-0005-0000-0000-0000FF120000}"/>
    <cellStyle name="20% - Énfasis4 19 6" xfId="4862" xr:uid="{00000000-0005-0000-0000-000000130000}"/>
    <cellStyle name="20% - Énfasis4 19 6 2" xfId="4863" xr:uid="{00000000-0005-0000-0000-000001130000}"/>
    <cellStyle name="20% - Énfasis4 19 7" xfId="4864" xr:uid="{00000000-0005-0000-0000-000002130000}"/>
    <cellStyle name="20% - Énfasis4 19 7 2" xfId="4865" xr:uid="{00000000-0005-0000-0000-000003130000}"/>
    <cellStyle name="20% - Énfasis4 19 8" xfId="4866" xr:uid="{00000000-0005-0000-0000-000004130000}"/>
    <cellStyle name="20% - Énfasis4 19 8 2" xfId="4867" xr:uid="{00000000-0005-0000-0000-000005130000}"/>
    <cellStyle name="20% - Énfasis4 19 9" xfId="4868" xr:uid="{00000000-0005-0000-0000-000006130000}"/>
    <cellStyle name="20% - Énfasis4 19 9 2" xfId="4869" xr:uid="{00000000-0005-0000-0000-000007130000}"/>
    <cellStyle name="20% - Énfasis4 2" xfId="4870" xr:uid="{00000000-0005-0000-0000-000008130000}"/>
    <cellStyle name="20% - Énfasis4 2 10" xfId="4871" xr:uid="{00000000-0005-0000-0000-000009130000}"/>
    <cellStyle name="20% - Énfasis4 2 10 2" xfId="4872" xr:uid="{00000000-0005-0000-0000-00000A130000}"/>
    <cellStyle name="20% - Énfasis4 2 11" xfId="4873" xr:uid="{00000000-0005-0000-0000-00000B130000}"/>
    <cellStyle name="20% - Énfasis4 2 11 2" xfId="4874" xr:uid="{00000000-0005-0000-0000-00000C130000}"/>
    <cellStyle name="20% - Énfasis4 2 12" xfId="4875" xr:uid="{00000000-0005-0000-0000-00000D130000}"/>
    <cellStyle name="20% - Énfasis4 2 12 2" xfId="4876" xr:uid="{00000000-0005-0000-0000-00000E130000}"/>
    <cellStyle name="20% - Énfasis4 2 13" xfId="4877" xr:uid="{00000000-0005-0000-0000-00000F130000}"/>
    <cellStyle name="20% - Énfasis4 2 13 2" xfId="4878" xr:uid="{00000000-0005-0000-0000-000010130000}"/>
    <cellStyle name="20% - Énfasis4 2 14" xfId="4879" xr:uid="{00000000-0005-0000-0000-000011130000}"/>
    <cellStyle name="20% - Énfasis4 2 14 2" xfId="4880" xr:uid="{00000000-0005-0000-0000-000012130000}"/>
    <cellStyle name="20% - Énfasis4 2 15" xfId="4881" xr:uid="{00000000-0005-0000-0000-000013130000}"/>
    <cellStyle name="20% - Énfasis4 2 15 2" xfId="4882" xr:uid="{00000000-0005-0000-0000-000014130000}"/>
    <cellStyle name="20% - Énfasis4 2 16" xfId="4883" xr:uid="{00000000-0005-0000-0000-000015130000}"/>
    <cellStyle name="20% - Énfasis4 2 16 2" xfId="4884" xr:uid="{00000000-0005-0000-0000-000016130000}"/>
    <cellStyle name="20% - Énfasis4 2 17" xfId="4885" xr:uid="{00000000-0005-0000-0000-000017130000}"/>
    <cellStyle name="20% - Énfasis4 2 17 2" xfId="4886" xr:uid="{00000000-0005-0000-0000-000018130000}"/>
    <cellStyle name="20% - Énfasis4 2 18" xfId="4887" xr:uid="{00000000-0005-0000-0000-000019130000}"/>
    <cellStyle name="20% - Énfasis4 2 18 2" xfId="4888" xr:uid="{00000000-0005-0000-0000-00001A130000}"/>
    <cellStyle name="20% - Énfasis4 2 19" xfId="4889" xr:uid="{00000000-0005-0000-0000-00001B130000}"/>
    <cellStyle name="20% - Énfasis4 2 19 2" xfId="4890" xr:uid="{00000000-0005-0000-0000-00001C130000}"/>
    <cellStyle name="20% - Énfasis4 2 2" xfId="4891" xr:uid="{00000000-0005-0000-0000-00001D130000}"/>
    <cellStyle name="20% - Énfasis4 2 2 2" xfId="4892" xr:uid="{00000000-0005-0000-0000-00001E130000}"/>
    <cellStyle name="20% - Énfasis4 2 20" xfId="4893" xr:uid="{00000000-0005-0000-0000-00001F130000}"/>
    <cellStyle name="20% - Énfasis4 2 21" xfId="4894" xr:uid="{00000000-0005-0000-0000-000020130000}"/>
    <cellStyle name="20% - Énfasis4 2 3" xfId="4895" xr:uid="{00000000-0005-0000-0000-000021130000}"/>
    <cellStyle name="20% - Énfasis4 2 3 2" xfId="4896" xr:uid="{00000000-0005-0000-0000-000022130000}"/>
    <cellStyle name="20% - Énfasis4 2 4" xfId="4897" xr:uid="{00000000-0005-0000-0000-000023130000}"/>
    <cellStyle name="20% - Énfasis4 2 4 2" xfId="4898" xr:uid="{00000000-0005-0000-0000-000024130000}"/>
    <cellStyle name="20% - Énfasis4 2 5" xfId="4899" xr:uid="{00000000-0005-0000-0000-000025130000}"/>
    <cellStyle name="20% - Énfasis4 2 5 2" xfId="4900" xr:uid="{00000000-0005-0000-0000-000026130000}"/>
    <cellStyle name="20% - Énfasis4 2 6" xfId="4901" xr:uid="{00000000-0005-0000-0000-000027130000}"/>
    <cellStyle name="20% - Énfasis4 2 6 2" xfId="4902" xr:uid="{00000000-0005-0000-0000-000028130000}"/>
    <cellStyle name="20% - Énfasis4 2 7" xfId="4903" xr:uid="{00000000-0005-0000-0000-000029130000}"/>
    <cellStyle name="20% - Énfasis4 2 7 2" xfId="4904" xr:uid="{00000000-0005-0000-0000-00002A130000}"/>
    <cellStyle name="20% - Énfasis4 2 8" xfId="4905" xr:uid="{00000000-0005-0000-0000-00002B130000}"/>
    <cellStyle name="20% - Énfasis4 2 8 2" xfId="4906" xr:uid="{00000000-0005-0000-0000-00002C130000}"/>
    <cellStyle name="20% - Énfasis4 2 9" xfId="4907" xr:uid="{00000000-0005-0000-0000-00002D130000}"/>
    <cellStyle name="20% - Énfasis4 2 9 2" xfId="4908" xr:uid="{00000000-0005-0000-0000-00002E130000}"/>
    <cellStyle name="20% - Énfasis4 20" xfId="4909" xr:uid="{00000000-0005-0000-0000-00002F130000}"/>
    <cellStyle name="20% - Énfasis4 20 10" xfId="4910" xr:uid="{00000000-0005-0000-0000-000030130000}"/>
    <cellStyle name="20% - Énfasis4 20 10 2" xfId="4911" xr:uid="{00000000-0005-0000-0000-000031130000}"/>
    <cellStyle name="20% - Énfasis4 20 11" xfId="4912" xr:uid="{00000000-0005-0000-0000-000032130000}"/>
    <cellStyle name="20% - Énfasis4 20 11 2" xfId="4913" xr:uid="{00000000-0005-0000-0000-000033130000}"/>
    <cellStyle name="20% - Énfasis4 20 12" xfId="4914" xr:uid="{00000000-0005-0000-0000-000034130000}"/>
    <cellStyle name="20% - Énfasis4 20 12 2" xfId="4915" xr:uid="{00000000-0005-0000-0000-000035130000}"/>
    <cellStyle name="20% - Énfasis4 20 13" xfId="4916" xr:uid="{00000000-0005-0000-0000-000036130000}"/>
    <cellStyle name="20% - Énfasis4 20 13 2" xfId="4917" xr:uid="{00000000-0005-0000-0000-000037130000}"/>
    <cellStyle name="20% - Énfasis4 20 14" xfId="4918" xr:uid="{00000000-0005-0000-0000-000038130000}"/>
    <cellStyle name="20% - Énfasis4 20 14 2" xfId="4919" xr:uid="{00000000-0005-0000-0000-000039130000}"/>
    <cellStyle name="20% - Énfasis4 20 15" xfId="4920" xr:uid="{00000000-0005-0000-0000-00003A130000}"/>
    <cellStyle name="20% - Énfasis4 20 15 2" xfId="4921" xr:uid="{00000000-0005-0000-0000-00003B130000}"/>
    <cellStyle name="20% - Énfasis4 20 16" xfId="4922" xr:uid="{00000000-0005-0000-0000-00003C130000}"/>
    <cellStyle name="20% - Énfasis4 20 16 2" xfId="4923" xr:uid="{00000000-0005-0000-0000-00003D130000}"/>
    <cellStyle name="20% - Énfasis4 20 17" xfId="4924" xr:uid="{00000000-0005-0000-0000-00003E130000}"/>
    <cellStyle name="20% - Énfasis4 20 17 2" xfId="4925" xr:uid="{00000000-0005-0000-0000-00003F130000}"/>
    <cellStyle name="20% - Énfasis4 20 18" xfId="4926" xr:uid="{00000000-0005-0000-0000-000040130000}"/>
    <cellStyle name="20% - Énfasis4 20 18 2" xfId="4927" xr:uid="{00000000-0005-0000-0000-000041130000}"/>
    <cellStyle name="20% - Énfasis4 20 19" xfId="4928" xr:uid="{00000000-0005-0000-0000-000042130000}"/>
    <cellStyle name="20% - Énfasis4 20 19 2" xfId="4929" xr:uid="{00000000-0005-0000-0000-000043130000}"/>
    <cellStyle name="20% - Énfasis4 20 2" xfId="4930" xr:uid="{00000000-0005-0000-0000-000044130000}"/>
    <cellStyle name="20% - Énfasis4 20 2 2" xfId="4931" xr:uid="{00000000-0005-0000-0000-000045130000}"/>
    <cellStyle name="20% - Énfasis4 20 20" xfId="4932" xr:uid="{00000000-0005-0000-0000-000046130000}"/>
    <cellStyle name="20% - Énfasis4 20 3" xfId="4933" xr:uid="{00000000-0005-0000-0000-000047130000}"/>
    <cellStyle name="20% - Énfasis4 20 3 2" xfId="4934" xr:uid="{00000000-0005-0000-0000-000048130000}"/>
    <cellStyle name="20% - Énfasis4 20 4" xfId="4935" xr:uid="{00000000-0005-0000-0000-000049130000}"/>
    <cellStyle name="20% - Énfasis4 20 4 2" xfId="4936" xr:uid="{00000000-0005-0000-0000-00004A130000}"/>
    <cellStyle name="20% - Énfasis4 20 5" xfId="4937" xr:uid="{00000000-0005-0000-0000-00004B130000}"/>
    <cellStyle name="20% - Énfasis4 20 5 2" xfId="4938" xr:uid="{00000000-0005-0000-0000-00004C130000}"/>
    <cellStyle name="20% - Énfasis4 20 6" xfId="4939" xr:uid="{00000000-0005-0000-0000-00004D130000}"/>
    <cellStyle name="20% - Énfasis4 20 6 2" xfId="4940" xr:uid="{00000000-0005-0000-0000-00004E130000}"/>
    <cellStyle name="20% - Énfasis4 20 7" xfId="4941" xr:uid="{00000000-0005-0000-0000-00004F130000}"/>
    <cellStyle name="20% - Énfasis4 20 7 2" xfId="4942" xr:uid="{00000000-0005-0000-0000-000050130000}"/>
    <cellStyle name="20% - Énfasis4 20 8" xfId="4943" xr:uid="{00000000-0005-0000-0000-000051130000}"/>
    <cellStyle name="20% - Énfasis4 20 8 2" xfId="4944" xr:uid="{00000000-0005-0000-0000-000052130000}"/>
    <cellStyle name="20% - Énfasis4 20 9" xfId="4945" xr:uid="{00000000-0005-0000-0000-000053130000}"/>
    <cellStyle name="20% - Énfasis4 20 9 2" xfId="4946" xr:uid="{00000000-0005-0000-0000-000054130000}"/>
    <cellStyle name="20% - Énfasis4 21" xfId="4947" xr:uid="{00000000-0005-0000-0000-000055130000}"/>
    <cellStyle name="20% - Énfasis4 21 10" xfId="4948" xr:uid="{00000000-0005-0000-0000-000056130000}"/>
    <cellStyle name="20% - Énfasis4 21 10 2" xfId="4949" xr:uid="{00000000-0005-0000-0000-000057130000}"/>
    <cellStyle name="20% - Énfasis4 21 11" xfId="4950" xr:uid="{00000000-0005-0000-0000-000058130000}"/>
    <cellStyle name="20% - Énfasis4 21 11 2" xfId="4951" xr:uid="{00000000-0005-0000-0000-000059130000}"/>
    <cellStyle name="20% - Énfasis4 21 12" xfId="4952" xr:uid="{00000000-0005-0000-0000-00005A130000}"/>
    <cellStyle name="20% - Énfasis4 21 12 2" xfId="4953" xr:uid="{00000000-0005-0000-0000-00005B130000}"/>
    <cellStyle name="20% - Énfasis4 21 13" xfId="4954" xr:uid="{00000000-0005-0000-0000-00005C130000}"/>
    <cellStyle name="20% - Énfasis4 21 13 2" xfId="4955" xr:uid="{00000000-0005-0000-0000-00005D130000}"/>
    <cellStyle name="20% - Énfasis4 21 14" xfId="4956" xr:uid="{00000000-0005-0000-0000-00005E130000}"/>
    <cellStyle name="20% - Énfasis4 21 14 2" xfId="4957" xr:uid="{00000000-0005-0000-0000-00005F130000}"/>
    <cellStyle name="20% - Énfasis4 21 15" xfId="4958" xr:uid="{00000000-0005-0000-0000-000060130000}"/>
    <cellStyle name="20% - Énfasis4 21 15 2" xfId="4959" xr:uid="{00000000-0005-0000-0000-000061130000}"/>
    <cellStyle name="20% - Énfasis4 21 16" xfId="4960" xr:uid="{00000000-0005-0000-0000-000062130000}"/>
    <cellStyle name="20% - Énfasis4 21 16 2" xfId="4961" xr:uid="{00000000-0005-0000-0000-000063130000}"/>
    <cellStyle name="20% - Énfasis4 21 17" xfId="4962" xr:uid="{00000000-0005-0000-0000-000064130000}"/>
    <cellStyle name="20% - Énfasis4 21 17 2" xfId="4963" xr:uid="{00000000-0005-0000-0000-000065130000}"/>
    <cellStyle name="20% - Énfasis4 21 18" xfId="4964" xr:uid="{00000000-0005-0000-0000-000066130000}"/>
    <cellStyle name="20% - Énfasis4 21 18 2" xfId="4965" xr:uid="{00000000-0005-0000-0000-000067130000}"/>
    <cellStyle name="20% - Énfasis4 21 19" xfId="4966" xr:uid="{00000000-0005-0000-0000-000068130000}"/>
    <cellStyle name="20% - Énfasis4 21 19 2" xfId="4967" xr:uid="{00000000-0005-0000-0000-000069130000}"/>
    <cellStyle name="20% - Énfasis4 21 2" xfId="4968" xr:uid="{00000000-0005-0000-0000-00006A130000}"/>
    <cellStyle name="20% - Énfasis4 21 2 2" xfId="4969" xr:uid="{00000000-0005-0000-0000-00006B130000}"/>
    <cellStyle name="20% - Énfasis4 21 20" xfId="4970" xr:uid="{00000000-0005-0000-0000-00006C130000}"/>
    <cellStyle name="20% - Énfasis4 21 3" xfId="4971" xr:uid="{00000000-0005-0000-0000-00006D130000}"/>
    <cellStyle name="20% - Énfasis4 21 3 2" xfId="4972" xr:uid="{00000000-0005-0000-0000-00006E130000}"/>
    <cellStyle name="20% - Énfasis4 21 4" xfId="4973" xr:uid="{00000000-0005-0000-0000-00006F130000}"/>
    <cellStyle name="20% - Énfasis4 21 4 2" xfId="4974" xr:uid="{00000000-0005-0000-0000-000070130000}"/>
    <cellStyle name="20% - Énfasis4 21 5" xfId="4975" xr:uid="{00000000-0005-0000-0000-000071130000}"/>
    <cellStyle name="20% - Énfasis4 21 5 2" xfId="4976" xr:uid="{00000000-0005-0000-0000-000072130000}"/>
    <cellStyle name="20% - Énfasis4 21 6" xfId="4977" xr:uid="{00000000-0005-0000-0000-000073130000}"/>
    <cellStyle name="20% - Énfasis4 21 6 2" xfId="4978" xr:uid="{00000000-0005-0000-0000-000074130000}"/>
    <cellStyle name="20% - Énfasis4 21 7" xfId="4979" xr:uid="{00000000-0005-0000-0000-000075130000}"/>
    <cellStyle name="20% - Énfasis4 21 7 2" xfId="4980" xr:uid="{00000000-0005-0000-0000-000076130000}"/>
    <cellStyle name="20% - Énfasis4 21 8" xfId="4981" xr:uid="{00000000-0005-0000-0000-000077130000}"/>
    <cellStyle name="20% - Énfasis4 21 8 2" xfId="4982" xr:uid="{00000000-0005-0000-0000-000078130000}"/>
    <cellStyle name="20% - Énfasis4 21 9" xfId="4983" xr:uid="{00000000-0005-0000-0000-000079130000}"/>
    <cellStyle name="20% - Énfasis4 21 9 2" xfId="4984" xr:uid="{00000000-0005-0000-0000-00007A130000}"/>
    <cellStyle name="20% - Énfasis4 22" xfId="4985" xr:uid="{00000000-0005-0000-0000-00007B130000}"/>
    <cellStyle name="20% - Énfasis4 22 10" xfId="4986" xr:uid="{00000000-0005-0000-0000-00007C130000}"/>
    <cellStyle name="20% - Énfasis4 22 10 2" xfId="4987" xr:uid="{00000000-0005-0000-0000-00007D130000}"/>
    <cellStyle name="20% - Énfasis4 22 11" xfId="4988" xr:uid="{00000000-0005-0000-0000-00007E130000}"/>
    <cellStyle name="20% - Énfasis4 22 11 2" xfId="4989" xr:uid="{00000000-0005-0000-0000-00007F130000}"/>
    <cellStyle name="20% - Énfasis4 22 12" xfId="4990" xr:uid="{00000000-0005-0000-0000-000080130000}"/>
    <cellStyle name="20% - Énfasis4 22 12 2" xfId="4991" xr:uid="{00000000-0005-0000-0000-000081130000}"/>
    <cellStyle name="20% - Énfasis4 22 13" xfId="4992" xr:uid="{00000000-0005-0000-0000-000082130000}"/>
    <cellStyle name="20% - Énfasis4 22 13 2" xfId="4993" xr:uid="{00000000-0005-0000-0000-000083130000}"/>
    <cellStyle name="20% - Énfasis4 22 14" xfId="4994" xr:uid="{00000000-0005-0000-0000-000084130000}"/>
    <cellStyle name="20% - Énfasis4 22 14 2" xfId="4995" xr:uid="{00000000-0005-0000-0000-000085130000}"/>
    <cellStyle name="20% - Énfasis4 22 15" xfId="4996" xr:uid="{00000000-0005-0000-0000-000086130000}"/>
    <cellStyle name="20% - Énfasis4 22 15 2" xfId="4997" xr:uid="{00000000-0005-0000-0000-000087130000}"/>
    <cellStyle name="20% - Énfasis4 22 16" xfId="4998" xr:uid="{00000000-0005-0000-0000-000088130000}"/>
    <cellStyle name="20% - Énfasis4 22 16 2" xfId="4999" xr:uid="{00000000-0005-0000-0000-000089130000}"/>
    <cellStyle name="20% - Énfasis4 22 17" xfId="5000" xr:uid="{00000000-0005-0000-0000-00008A130000}"/>
    <cellStyle name="20% - Énfasis4 22 17 2" xfId="5001" xr:uid="{00000000-0005-0000-0000-00008B130000}"/>
    <cellStyle name="20% - Énfasis4 22 18" xfId="5002" xr:uid="{00000000-0005-0000-0000-00008C130000}"/>
    <cellStyle name="20% - Énfasis4 22 18 2" xfId="5003" xr:uid="{00000000-0005-0000-0000-00008D130000}"/>
    <cellStyle name="20% - Énfasis4 22 19" xfId="5004" xr:uid="{00000000-0005-0000-0000-00008E130000}"/>
    <cellStyle name="20% - Énfasis4 22 19 2" xfId="5005" xr:uid="{00000000-0005-0000-0000-00008F130000}"/>
    <cellStyle name="20% - Énfasis4 22 2" xfId="5006" xr:uid="{00000000-0005-0000-0000-000090130000}"/>
    <cellStyle name="20% - Énfasis4 22 2 2" xfId="5007" xr:uid="{00000000-0005-0000-0000-000091130000}"/>
    <cellStyle name="20% - Énfasis4 22 20" xfId="5008" xr:uid="{00000000-0005-0000-0000-000092130000}"/>
    <cellStyle name="20% - Énfasis4 22 3" xfId="5009" xr:uid="{00000000-0005-0000-0000-000093130000}"/>
    <cellStyle name="20% - Énfasis4 22 3 2" xfId="5010" xr:uid="{00000000-0005-0000-0000-000094130000}"/>
    <cellStyle name="20% - Énfasis4 22 4" xfId="5011" xr:uid="{00000000-0005-0000-0000-000095130000}"/>
    <cellStyle name="20% - Énfasis4 22 4 2" xfId="5012" xr:uid="{00000000-0005-0000-0000-000096130000}"/>
    <cellStyle name="20% - Énfasis4 22 5" xfId="5013" xr:uid="{00000000-0005-0000-0000-000097130000}"/>
    <cellStyle name="20% - Énfasis4 22 5 2" xfId="5014" xr:uid="{00000000-0005-0000-0000-000098130000}"/>
    <cellStyle name="20% - Énfasis4 22 6" xfId="5015" xr:uid="{00000000-0005-0000-0000-000099130000}"/>
    <cellStyle name="20% - Énfasis4 22 6 2" xfId="5016" xr:uid="{00000000-0005-0000-0000-00009A130000}"/>
    <cellStyle name="20% - Énfasis4 22 7" xfId="5017" xr:uid="{00000000-0005-0000-0000-00009B130000}"/>
    <cellStyle name="20% - Énfasis4 22 7 2" xfId="5018" xr:uid="{00000000-0005-0000-0000-00009C130000}"/>
    <cellStyle name="20% - Énfasis4 22 8" xfId="5019" xr:uid="{00000000-0005-0000-0000-00009D130000}"/>
    <cellStyle name="20% - Énfasis4 22 8 2" xfId="5020" xr:uid="{00000000-0005-0000-0000-00009E130000}"/>
    <cellStyle name="20% - Énfasis4 22 9" xfId="5021" xr:uid="{00000000-0005-0000-0000-00009F130000}"/>
    <cellStyle name="20% - Énfasis4 22 9 2" xfId="5022" xr:uid="{00000000-0005-0000-0000-0000A0130000}"/>
    <cellStyle name="20% - Énfasis4 23" xfId="5023" xr:uid="{00000000-0005-0000-0000-0000A1130000}"/>
    <cellStyle name="20% - Énfasis4 23 10" xfId="5024" xr:uid="{00000000-0005-0000-0000-0000A2130000}"/>
    <cellStyle name="20% - Énfasis4 23 10 2" xfId="5025" xr:uid="{00000000-0005-0000-0000-0000A3130000}"/>
    <cellStyle name="20% - Énfasis4 23 11" xfId="5026" xr:uid="{00000000-0005-0000-0000-0000A4130000}"/>
    <cellStyle name="20% - Énfasis4 23 11 2" xfId="5027" xr:uid="{00000000-0005-0000-0000-0000A5130000}"/>
    <cellStyle name="20% - Énfasis4 23 12" xfId="5028" xr:uid="{00000000-0005-0000-0000-0000A6130000}"/>
    <cellStyle name="20% - Énfasis4 23 12 2" xfId="5029" xr:uid="{00000000-0005-0000-0000-0000A7130000}"/>
    <cellStyle name="20% - Énfasis4 23 13" xfId="5030" xr:uid="{00000000-0005-0000-0000-0000A8130000}"/>
    <cellStyle name="20% - Énfasis4 23 13 2" xfId="5031" xr:uid="{00000000-0005-0000-0000-0000A9130000}"/>
    <cellStyle name="20% - Énfasis4 23 14" xfId="5032" xr:uid="{00000000-0005-0000-0000-0000AA130000}"/>
    <cellStyle name="20% - Énfasis4 23 14 2" xfId="5033" xr:uid="{00000000-0005-0000-0000-0000AB130000}"/>
    <cellStyle name="20% - Énfasis4 23 15" xfId="5034" xr:uid="{00000000-0005-0000-0000-0000AC130000}"/>
    <cellStyle name="20% - Énfasis4 23 15 2" xfId="5035" xr:uid="{00000000-0005-0000-0000-0000AD130000}"/>
    <cellStyle name="20% - Énfasis4 23 16" xfId="5036" xr:uid="{00000000-0005-0000-0000-0000AE130000}"/>
    <cellStyle name="20% - Énfasis4 23 16 2" xfId="5037" xr:uid="{00000000-0005-0000-0000-0000AF130000}"/>
    <cellStyle name="20% - Énfasis4 23 17" xfId="5038" xr:uid="{00000000-0005-0000-0000-0000B0130000}"/>
    <cellStyle name="20% - Énfasis4 23 17 2" xfId="5039" xr:uid="{00000000-0005-0000-0000-0000B1130000}"/>
    <cellStyle name="20% - Énfasis4 23 18" xfId="5040" xr:uid="{00000000-0005-0000-0000-0000B2130000}"/>
    <cellStyle name="20% - Énfasis4 23 18 2" xfId="5041" xr:uid="{00000000-0005-0000-0000-0000B3130000}"/>
    <cellStyle name="20% - Énfasis4 23 19" xfId="5042" xr:uid="{00000000-0005-0000-0000-0000B4130000}"/>
    <cellStyle name="20% - Énfasis4 23 19 2" xfId="5043" xr:uid="{00000000-0005-0000-0000-0000B5130000}"/>
    <cellStyle name="20% - Énfasis4 23 2" xfId="5044" xr:uid="{00000000-0005-0000-0000-0000B6130000}"/>
    <cellStyle name="20% - Énfasis4 23 2 2" xfId="5045" xr:uid="{00000000-0005-0000-0000-0000B7130000}"/>
    <cellStyle name="20% - Énfasis4 23 20" xfId="5046" xr:uid="{00000000-0005-0000-0000-0000B8130000}"/>
    <cellStyle name="20% - Énfasis4 23 3" xfId="5047" xr:uid="{00000000-0005-0000-0000-0000B9130000}"/>
    <cellStyle name="20% - Énfasis4 23 3 2" xfId="5048" xr:uid="{00000000-0005-0000-0000-0000BA130000}"/>
    <cellStyle name="20% - Énfasis4 23 4" xfId="5049" xr:uid="{00000000-0005-0000-0000-0000BB130000}"/>
    <cellStyle name="20% - Énfasis4 23 4 2" xfId="5050" xr:uid="{00000000-0005-0000-0000-0000BC130000}"/>
    <cellStyle name="20% - Énfasis4 23 5" xfId="5051" xr:uid="{00000000-0005-0000-0000-0000BD130000}"/>
    <cellStyle name="20% - Énfasis4 23 5 2" xfId="5052" xr:uid="{00000000-0005-0000-0000-0000BE130000}"/>
    <cellStyle name="20% - Énfasis4 23 6" xfId="5053" xr:uid="{00000000-0005-0000-0000-0000BF130000}"/>
    <cellStyle name="20% - Énfasis4 23 6 2" xfId="5054" xr:uid="{00000000-0005-0000-0000-0000C0130000}"/>
    <cellStyle name="20% - Énfasis4 23 7" xfId="5055" xr:uid="{00000000-0005-0000-0000-0000C1130000}"/>
    <cellStyle name="20% - Énfasis4 23 7 2" xfId="5056" xr:uid="{00000000-0005-0000-0000-0000C2130000}"/>
    <cellStyle name="20% - Énfasis4 23 8" xfId="5057" xr:uid="{00000000-0005-0000-0000-0000C3130000}"/>
    <cellStyle name="20% - Énfasis4 23 8 2" xfId="5058" xr:uid="{00000000-0005-0000-0000-0000C4130000}"/>
    <cellStyle name="20% - Énfasis4 23 9" xfId="5059" xr:uid="{00000000-0005-0000-0000-0000C5130000}"/>
    <cellStyle name="20% - Énfasis4 23 9 2" xfId="5060" xr:uid="{00000000-0005-0000-0000-0000C6130000}"/>
    <cellStyle name="20% - Énfasis4 24" xfId="5061" xr:uid="{00000000-0005-0000-0000-0000C7130000}"/>
    <cellStyle name="20% - Énfasis4 24 10" xfId="5062" xr:uid="{00000000-0005-0000-0000-0000C8130000}"/>
    <cellStyle name="20% - Énfasis4 24 10 2" xfId="5063" xr:uid="{00000000-0005-0000-0000-0000C9130000}"/>
    <cellStyle name="20% - Énfasis4 24 11" xfId="5064" xr:uid="{00000000-0005-0000-0000-0000CA130000}"/>
    <cellStyle name="20% - Énfasis4 24 11 2" xfId="5065" xr:uid="{00000000-0005-0000-0000-0000CB130000}"/>
    <cellStyle name="20% - Énfasis4 24 12" xfId="5066" xr:uid="{00000000-0005-0000-0000-0000CC130000}"/>
    <cellStyle name="20% - Énfasis4 24 12 2" xfId="5067" xr:uid="{00000000-0005-0000-0000-0000CD130000}"/>
    <cellStyle name="20% - Énfasis4 24 13" xfId="5068" xr:uid="{00000000-0005-0000-0000-0000CE130000}"/>
    <cellStyle name="20% - Énfasis4 24 13 2" xfId="5069" xr:uid="{00000000-0005-0000-0000-0000CF130000}"/>
    <cellStyle name="20% - Énfasis4 24 14" xfId="5070" xr:uid="{00000000-0005-0000-0000-0000D0130000}"/>
    <cellStyle name="20% - Énfasis4 24 14 2" xfId="5071" xr:uid="{00000000-0005-0000-0000-0000D1130000}"/>
    <cellStyle name="20% - Énfasis4 24 15" xfId="5072" xr:uid="{00000000-0005-0000-0000-0000D2130000}"/>
    <cellStyle name="20% - Énfasis4 24 15 2" xfId="5073" xr:uid="{00000000-0005-0000-0000-0000D3130000}"/>
    <cellStyle name="20% - Énfasis4 24 16" xfId="5074" xr:uid="{00000000-0005-0000-0000-0000D4130000}"/>
    <cellStyle name="20% - Énfasis4 24 16 2" xfId="5075" xr:uid="{00000000-0005-0000-0000-0000D5130000}"/>
    <cellStyle name="20% - Énfasis4 24 17" xfId="5076" xr:uid="{00000000-0005-0000-0000-0000D6130000}"/>
    <cellStyle name="20% - Énfasis4 24 17 2" xfId="5077" xr:uid="{00000000-0005-0000-0000-0000D7130000}"/>
    <cellStyle name="20% - Énfasis4 24 18" xfId="5078" xr:uid="{00000000-0005-0000-0000-0000D8130000}"/>
    <cellStyle name="20% - Énfasis4 24 18 2" xfId="5079" xr:uid="{00000000-0005-0000-0000-0000D9130000}"/>
    <cellStyle name="20% - Énfasis4 24 19" xfId="5080" xr:uid="{00000000-0005-0000-0000-0000DA130000}"/>
    <cellStyle name="20% - Énfasis4 24 19 2" xfId="5081" xr:uid="{00000000-0005-0000-0000-0000DB130000}"/>
    <cellStyle name="20% - Énfasis4 24 2" xfId="5082" xr:uid="{00000000-0005-0000-0000-0000DC130000}"/>
    <cellStyle name="20% - Énfasis4 24 2 2" xfId="5083" xr:uid="{00000000-0005-0000-0000-0000DD130000}"/>
    <cellStyle name="20% - Énfasis4 24 20" xfId="5084" xr:uid="{00000000-0005-0000-0000-0000DE130000}"/>
    <cellStyle name="20% - Énfasis4 24 3" xfId="5085" xr:uid="{00000000-0005-0000-0000-0000DF130000}"/>
    <cellStyle name="20% - Énfasis4 24 3 2" xfId="5086" xr:uid="{00000000-0005-0000-0000-0000E0130000}"/>
    <cellStyle name="20% - Énfasis4 24 4" xfId="5087" xr:uid="{00000000-0005-0000-0000-0000E1130000}"/>
    <cellStyle name="20% - Énfasis4 24 4 2" xfId="5088" xr:uid="{00000000-0005-0000-0000-0000E2130000}"/>
    <cellStyle name="20% - Énfasis4 24 5" xfId="5089" xr:uid="{00000000-0005-0000-0000-0000E3130000}"/>
    <cellStyle name="20% - Énfasis4 24 5 2" xfId="5090" xr:uid="{00000000-0005-0000-0000-0000E4130000}"/>
    <cellStyle name="20% - Énfasis4 24 6" xfId="5091" xr:uid="{00000000-0005-0000-0000-0000E5130000}"/>
    <cellStyle name="20% - Énfasis4 24 6 2" xfId="5092" xr:uid="{00000000-0005-0000-0000-0000E6130000}"/>
    <cellStyle name="20% - Énfasis4 24 7" xfId="5093" xr:uid="{00000000-0005-0000-0000-0000E7130000}"/>
    <cellStyle name="20% - Énfasis4 24 7 2" xfId="5094" xr:uid="{00000000-0005-0000-0000-0000E8130000}"/>
    <cellStyle name="20% - Énfasis4 24 8" xfId="5095" xr:uid="{00000000-0005-0000-0000-0000E9130000}"/>
    <cellStyle name="20% - Énfasis4 24 8 2" xfId="5096" xr:uid="{00000000-0005-0000-0000-0000EA130000}"/>
    <cellStyle name="20% - Énfasis4 24 9" xfId="5097" xr:uid="{00000000-0005-0000-0000-0000EB130000}"/>
    <cellStyle name="20% - Énfasis4 24 9 2" xfId="5098" xr:uid="{00000000-0005-0000-0000-0000EC130000}"/>
    <cellStyle name="20% - Énfasis4 25" xfId="5099" xr:uid="{00000000-0005-0000-0000-0000ED130000}"/>
    <cellStyle name="20% - Énfasis4 25 10" xfId="5100" xr:uid="{00000000-0005-0000-0000-0000EE130000}"/>
    <cellStyle name="20% - Énfasis4 25 10 2" xfId="5101" xr:uid="{00000000-0005-0000-0000-0000EF130000}"/>
    <cellStyle name="20% - Énfasis4 25 11" xfId="5102" xr:uid="{00000000-0005-0000-0000-0000F0130000}"/>
    <cellStyle name="20% - Énfasis4 25 11 2" xfId="5103" xr:uid="{00000000-0005-0000-0000-0000F1130000}"/>
    <cellStyle name="20% - Énfasis4 25 12" xfId="5104" xr:uid="{00000000-0005-0000-0000-0000F2130000}"/>
    <cellStyle name="20% - Énfasis4 25 12 2" xfId="5105" xr:uid="{00000000-0005-0000-0000-0000F3130000}"/>
    <cellStyle name="20% - Énfasis4 25 13" xfId="5106" xr:uid="{00000000-0005-0000-0000-0000F4130000}"/>
    <cellStyle name="20% - Énfasis4 25 13 2" xfId="5107" xr:uid="{00000000-0005-0000-0000-0000F5130000}"/>
    <cellStyle name="20% - Énfasis4 25 14" xfId="5108" xr:uid="{00000000-0005-0000-0000-0000F6130000}"/>
    <cellStyle name="20% - Énfasis4 25 14 2" xfId="5109" xr:uid="{00000000-0005-0000-0000-0000F7130000}"/>
    <cellStyle name="20% - Énfasis4 25 15" xfId="5110" xr:uid="{00000000-0005-0000-0000-0000F8130000}"/>
    <cellStyle name="20% - Énfasis4 25 15 2" xfId="5111" xr:uid="{00000000-0005-0000-0000-0000F9130000}"/>
    <cellStyle name="20% - Énfasis4 25 16" xfId="5112" xr:uid="{00000000-0005-0000-0000-0000FA130000}"/>
    <cellStyle name="20% - Énfasis4 25 16 2" xfId="5113" xr:uid="{00000000-0005-0000-0000-0000FB130000}"/>
    <cellStyle name="20% - Énfasis4 25 17" xfId="5114" xr:uid="{00000000-0005-0000-0000-0000FC130000}"/>
    <cellStyle name="20% - Énfasis4 25 17 2" xfId="5115" xr:uid="{00000000-0005-0000-0000-0000FD130000}"/>
    <cellStyle name="20% - Énfasis4 25 18" xfId="5116" xr:uid="{00000000-0005-0000-0000-0000FE130000}"/>
    <cellStyle name="20% - Énfasis4 25 18 2" xfId="5117" xr:uid="{00000000-0005-0000-0000-0000FF130000}"/>
    <cellStyle name="20% - Énfasis4 25 19" xfId="5118" xr:uid="{00000000-0005-0000-0000-000000140000}"/>
    <cellStyle name="20% - Énfasis4 25 19 2" xfId="5119" xr:uid="{00000000-0005-0000-0000-000001140000}"/>
    <cellStyle name="20% - Énfasis4 25 2" xfId="5120" xr:uid="{00000000-0005-0000-0000-000002140000}"/>
    <cellStyle name="20% - Énfasis4 25 2 2" xfId="5121" xr:uid="{00000000-0005-0000-0000-000003140000}"/>
    <cellStyle name="20% - Énfasis4 25 20" xfId="5122" xr:uid="{00000000-0005-0000-0000-000004140000}"/>
    <cellStyle name="20% - Énfasis4 25 3" xfId="5123" xr:uid="{00000000-0005-0000-0000-000005140000}"/>
    <cellStyle name="20% - Énfasis4 25 3 2" xfId="5124" xr:uid="{00000000-0005-0000-0000-000006140000}"/>
    <cellStyle name="20% - Énfasis4 25 4" xfId="5125" xr:uid="{00000000-0005-0000-0000-000007140000}"/>
    <cellStyle name="20% - Énfasis4 25 4 2" xfId="5126" xr:uid="{00000000-0005-0000-0000-000008140000}"/>
    <cellStyle name="20% - Énfasis4 25 5" xfId="5127" xr:uid="{00000000-0005-0000-0000-000009140000}"/>
    <cellStyle name="20% - Énfasis4 25 5 2" xfId="5128" xr:uid="{00000000-0005-0000-0000-00000A140000}"/>
    <cellStyle name="20% - Énfasis4 25 6" xfId="5129" xr:uid="{00000000-0005-0000-0000-00000B140000}"/>
    <cellStyle name="20% - Énfasis4 25 6 2" xfId="5130" xr:uid="{00000000-0005-0000-0000-00000C140000}"/>
    <cellStyle name="20% - Énfasis4 25 7" xfId="5131" xr:uid="{00000000-0005-0000-0000-00000D140000}"/>
    <cellStyle name="20% - Énfasis4 25 7 2" xfId="5132" xr:uid="{00000000-0005-0000-0000-00000E140000}"/>
    <cellStyle name="20% - Énfasis4 25 8" xfId="5133" xr:uid="{00000000-0005-0000-0000-00000F140000}"/>
    <cellStyle name="20% - Énfasis4 25 8 2" xfId="5134" xr:uid="{00000000-0005-0000-0000-000010140000}"/>
    <cellStyle name="20% - Énfasis4 25 9" xfId="5135" xr:uid="{00000000-0005-0000-0000-000011140000}"/>
    <cellStyle name="20% - Énfasis4 25 9 2" xfId="5136" xr:uid="{00000000-0005-0000-0000-000012140000}"/>
    <cellStyle name="20% - Énfasis4 26" xfId="5137" xr:uid="{00000000-0005-0000-0000-000013140000}"/>
    <cellStyle name="20% - Énfasis4 26 10" xfId="5138" xr:uid="{00000000-0005-0000-0000-000014140000}"/>
    <cellStyle name="20% - Énfasis4 26 10 2" xfId="5139" xr:uid="{00000000-0005-0000-0000-000015140000}"/>
    <cellStyle name="20% - Énfasis4 26 11" xfId="5140" xr:uid="{00000000-0005-0000-0000-000016140000}"/>
    <cellStyle name="20% - Énfasis4 26 11 2" xfId="5141" xr:uid="{00000000-0005-0000-0000-000017140000}"/>
    <cellStyle name="20% - Énfasis4 26 12" xfId="5142" xr:uid="{00000000-0005-0000-0000-000018140000}"/>
    <cellStyle name="20% - Énfasis4 26 12 2" xfId="5143" xr:uid="{00000000-0005-0000-0000-000019140000}"/>
    <cellStyle name="20% - Énfasis4 26 13" xfId="5144" xr:uid="{00000000-0005-0000-0000-00001A140000}"/>
    <cellStyle name="20% - Énfasis4 26 13 2" xfId="5145" xr:uid="{00000000-0005-0000-0000-00001B140000}"/>
    <cellStyle name="20% - Énfasis4 26 14" xfId="5146" xr:uid="{00000000-0005-0000-0000-00001C140000}"/>
    <cellStyle name="20% - Énfasis4 26 14 2" xfId="5147" xr:uid="{00000000-0005-0000-0000-00001D140000}"/>
    <cellStyle name="20% - Énfasis4 26 15" xfId="5148" xr:uid="{00000000-0005-0000-0000-00001E140000}"/>
    <cellStyle name="20% - Énfasis4 26 15 2" xfId="5149" xr:uid="{00000000-0005-0000-0000-00001F140000}"/>
    <cellStyle name="20% - Énfasis4 26 16" xfId="5150" xr:uid="{00000000-0005-0000-0000-000020140000}"/>
    <cellStyle name="20% - Énfasis4 26 16 2" xfId="5151" xr:uid="{00000000-0005-0000-0000-000021140000}"/>
    <cellStyle name="20% - Énfasis4 26 17" xfId="5152" xr:uid="{00000000-0005-0000-0000-000022140000}"/>
    <cellStyle name="20% - Énfasis4 26 17 2" xfId="5153" xr:uid="{00000000-0005-0000-0000-000023140000}"/>
    <cellStyle name="20% - Énfasis4 26 18" xfId="5154" xr:uid="{00000000-0005-0000-0000-000024140000}"/>
    <cellStyle name="20% - Énfasis4 26 18 2" xfId="5155" xr:uid="{00000000-0005-0000-0000-000025140000}"/>
    <cellStyle name="20% - Énfasis4 26 19" xfId="5156" xr:uid="{00000000-0005-0000-0000-000026140000}"/>
    <cellStyle name="20% - Énfasis4 26 19 2" xfId="5157" xr:uid="{00000000-0005-0000-0000-000027140000}"/>
    <cellStyle name="20% - Énfasis4 26 2" xfId="5158" xr:uid="{00000000-0005-0000-0000-000028140000}"/>
    <cellStyle name="20% - Énfasis4 26 2 2" xfId="5159" xr:uid="{00000000-0005-0000-0000-000029140000}"/>
    <cellStyle name="20% - Énfasis4 26 20" xfId="5160" xr:uid="{00000000-0005-0000-0000-00002A140000}"/>
    <cellStyle name="20% - Énfasis4 26 3" xfId="5161" xr:uid="{00000000-0005-0000-0000-00002B140000}"/>
    <cellStyle name="20% - Énfasis4 26 3 2" xfId="5162" xr:uid="{00000000-0005-0000-0000-00002C140000}"/>
    <cellStyle name="20% - Énfasis4 26 4" xfId="5163" xr:uid="{00000000-0005-0000-0000-00002D140000}"/>
    <cellStyle name="20% - Énfasis4 26 4 2" xfId="5164" xr:uid="{00000000-0005-0000-0000-00002E140000}"/>
    <cellStyle name="20% - Énfasis4 26 5" xfId="5165" xr:uid="{00000000-0005-0000-0000-00002F140000}"/>
    <cellStyle name="20% - Énfasis4 26 5 2" xfId="5166" xr:uid="{00000000-0005-0000-0000-000030140000}"/>
    <cellStyle name="20% - Énfasis4 26 6" xfId="5167" xr:uid="{00000000-0005-0000-0000-000031140000}"/>
    <cellStyle name="20% - Énfasis4 26 6 2" xfId="5168" xr:uid="{00000000-0005-0000-0000-000032140000}"/>
    <cellStyle name="20% - Énfasis4 26 7" xfId="5169" xr:uid="{00000000-0005-0000-0000-000033140000}"/>
    <cellStyle name="20% - Énfasis4 26 7 2" xfId="5170" xr:uid="{00000000-0005-0000-0000-000034140000}"/>
    <cellStyle name="20% - Énfasis4 26 8" xfId="5171" xr:uid="{00000000-0005-0000-0000-000035140000}"/>
    <cellStyle name="20% - Énfasis4 26 8 2" xfId="5172" xr:uid="{00000000-0005-0000-0000-000036140000}"/>
    <cellStyle name="20% - Énfasis4 26 9" xfId="5173" xr:uid="{00000000-0005-0000-0000-000037140000}"/>
    <cellStyle name="20% - Énfasis4 26 9 2" xfId="5174" xr:uid="{00000000-0005-0000-0000-000038140000}"/>
    <cellStyle name="20% - Énfasis4 27" xfId="5175" xr:uid="{00000000-0005-0000-0000-000039140000}"/>
    <cellStyle name="20% - Énfasis4 27 10" xfId="5176" xr:uid="{00000000-0005-0000-0000-00003A140000}"/>
    <cellStyle name="20% - Énfasis4 27 10 2" xfId="5177" xr:uid="{00000000-0005-0000-0000-00003B140000}"/>
    <cellStyle name="20% - Énfasis4 27 11" xfId="5178" xr:uid="{00000000-0005-0000-0000-00003C140000}"/>
    <cellStyle name="20% - Énfasis4 27 11 2" xfId="5179" xr:uid="{00000000-0005-0000-0000-00003D140000}"/>
    <cellStyle name="20% - Énfasis4 27 12" xfId="5180" xr:uid="{00000000-0005-0000-0000-00003E140000}"/>
    <cellStyle name="20% - Énfasis4 27 12 2" xfId="5181" xr:uid="{00000000-0005-0000-0000-00003F140000}"/>
    <cellStyle name="20% - Énfasis4 27 13" xfId="5182" xr:uid="{00000000-0005-0000-0000-000040140000}"/>
    <cellStyle name="20% - Énfasis4 27 13 2" xfId="5183" xr:uid="{00000000-0005-0000-0000-000041140000}"/>
    <cellStyle name="20% - Énfasis4 27 14" xfId="5184" xr:uid="{00000000-0005-0000-0000-000042140000}"/>
    <cellStyle name="20% - Énfasis4 27 14 2" xfId="5185" xr:uid="{00000000-0005-0000-0000-000043140000}"/>
    <cellStyle name="20% - Énfasis4 27 15" xfId="5186" xr:uid="{00000000-0005-0000-0000-000044140000}"/>
    <cellStyle name="20% - Énfasis4 27 15 2" xfId="5187" xr:uid="{00000000-0005-0000-0000-000045140000}"/>
    <cellStyle name="20% - Énfasis4 27 16" xfId="5188" xr:uid="{00000000-0005-0000-0000-000046140000}"/>
    <cellStyle name="20% - Énfasis4 27 16 2" xfId="5189" xr:uid="{00000000-0005-0000-0000-000047140000}"/>
    <cellStyle name="20% - Énfasis4 27 17" xfId="5190" xr:uid="{00000000-0005-0000-0000-000048140000}"/>
    <cellStyle name="20% - Énfasis4 27 17 2" xfId="5191" xr:uid="{00000000-0005-0000-0000-000049140000}"/>
    <cellStyle name="20% - Énfasis4 27 18" xfId="5192" xr:uid="{00000000-0005-0000-0000-00004A140000}"/>
    <cellStyle name="20% - Énfasis4 27 18 2" xfId="5193" xr:uid="{00000000-0005-0000-0000-00004B140000}"/>
    <cellStyle name="20% - Énfasis4 27 19" xfId="5194" xr:uid="{00000000-0005-0000-0000-00004C140000}"/>
    <cellStyle name="20% - Énfasis4 27 19 2" xfId="5195" xr:uid="{00000000-0005-0000-0000-00004D140000}"/>
    <cellStyle name="20% - Énfasis4 27 2" xfId="5196" xr:uid="{00000000-0005-0000-0000-00004E140000}"/>
    <cellStyle name="20% - Énfasis4 27 2 2" xfId="5197" xr:uid="{00000000-0005-0000-0000-00004F140000}"/>
    <cellStyle name="20% - Énfasis4 27 20" xfId="5198" xr:uid="{00000000-0005-0000-0000-000050140000}"/>
    <cellStyle name="20% - Énfasis4 27 3" xfId="5199" xr:uid="{00000000-0005-0000-0000-000051140000}"/>
    <cellStyle name="20% - Énfasis4 27 3 2" xfId="5200" xr:uid="{00000000-0005-0000-0000-000052140000}"/>
    <cellStyle name="20% - Énfasis4 27 4" xfId="5201" xr:uid="{00000000-0005-0000-0000-000053140000}"/>
    <cellStyle name="20% - Énfasis4 27 4 2" xfId="5202" xr:uid="{00000000-0005-0000-0000-000054140000}"/>
    <cellStyle name="20% - Énfasis4 27 5" xfId="5203" xr:uid="{00000000-0005-0000-0000-000055140000}"/>
    <cellStyle name="20% - Énfasis4 27 5 2" xfId="5204" xr:uid="{00000000-0005-0000-0000-000056140000}"/>
    <cellStyle name="20% - Énfasis4 27 6" xfId="5205" xr:uid="{00000000-0005-0000-0000-000057140000}"/>
    <cellStyle name="20% - Énfasis4 27 6 2" xfId="5206" xr:uid="{00000000-0005-0000-0000-000058140000}"/>
    <cellStyle name="20% - Énfasis4 27 7" xfId="5207" xr:uid="{00000000-0005-0000-0000-000059140000}"/>
    <cellStyle name="20% - Énfasis4 27 7 2" xfId="5208" xr:uid="{00000000-0005-0000-0000-00005A140000}"/>
    <cellStyle name="20% - Énfasis4 27 8" xfId="5209" xr:uid="{00000000-0005-0000-0000-00005B140000}"/>
    <cellStyle name="20% - Énfasis4 27 8 2" xfId="5210" xr:uid="{00000000-0005-0000-0000-00005C140000}"/>
    <cellStyle name="20% - Énfasis4 27 9" xfId="5211" xr:uid="{00000000-0005-0000-0000-00005D140000}"/>
    <cellStyle name="20% - Énfasis4 27 9 2" xfId="5212" xr:uid="{00000000-0005-0000-0000-00005E140000}"/>
    <cellStyle name="20% - Énfasis4 28" xfId="5213" xr:uid="{00000000-0005-0000-0000-00005F140000}"/>
    <cellStyle name="20% - Énfasis4 28 10" xfId="5214" xr:uid="{00000000-0005-0000-0000-000060140000}"/>
    <cellStyle name="20% - Énfasis4 28 10 2" xfId="5215" xr:uid="{00000000-0005-0000-0000-000061140000}"/>
    <cellStyle name="20% - Énfasis4 28 11" xfId="5216" xr:uid="{00000000-0005-0000-0000-000062140000}"/>
    <cellStyle name="20% - Énfasis4 28 11 2" xfId="5217" xr:uid="{00000000-0005-0000-0000-000063140000}"/>
    <cellStyle name="20% - Énfasis4 28 12" xfId="5218" xr:uid="{00000000-0005-0000-0000-000064140000}"/>
    <cellStyle name="20% - Énfasis4 28 12 2" xfId="5219" xr:uid="{00000000-0005-0000-0000-000065140000}"/>
    <cellStyle name="20% - Énfasis4 28 13" xfId="5220" xr:uid="{00000000-0005-0000-0000-000066140000}"/>
    <cellStyle name="20% - Énfasis4 28 13 2" xfId="5221" xr:uid="{00000000-0005-0000-0000-000067140000}"/>
    <cellStyle name="20% - Énfasis4 28 14" xfId="5222" xr:uid="{00000000-0005-0000-0000-000068140000}"/>
    <cellStyle name="20% - Énfasis4 28 14 2" xfId="5223" xr:uid="{00000000-0005-0000-0000-000069140000}"/>
    <cellStyle name="20% - Énfasis4 28 15" xfId="5224" xr:uid="{00000000-0005-0000-0000-00006A140000}"/>
    <cellStyle name="20% - Énfasis4 28 15 2" xfId="5225" xr:uid="{00000000-0005-0000-0000-00006B140000}"/>
    <cellStyle name="20% - Énfasis4 28 16" xfId="5226" xr:uid="{00000000-0005-0000-0000-00006C140000}"/>
    <cellStyle name="20% - Énfasis4 28 16 2" xfId="5227" xr:uid="{00000000-0005-0000-0000-00006D140000}"/>
    <cellStyle name="20% - Énfasis4 28 17" xfId="5228" xr:uid="{00000000-0005-0000-0000-00006E140000}"/>
    <cellStyle name="20% - Énfasis4 28 17 2" xfId="5229" xr:uid="{00000000-0005-0000-0000-00006F140000}"/>
    <cellStyle name="20% - Énfasis4 28 18" xfId="5230" xr:uid="{00000000-0005-0000-0000-000070140000}"/>
    <cellStyle name="20% - Énfasis4 28 18 2" xfId="5231" xr:uid="{00000000-0005-0000-0000-000071140000}"/>
    <cellStyle name="20% - Énfasis4 28 19" xfId="5232" xr:uid="{00000000-0005-0000-0000-000072140000}"/>
    <cellStyle name="20% - Énfasis4 28 19 2" xfId="5233" xr:uid="{00000000-0005-0000-0000-000073140000}"/>
    <cellStyle name="20% - Énfasis4 28 2" xfId="5234" xr:uid="{00000000-0005-0000-0000-000074140000}"/>
    <cellStyle name="20% - Énfasis4 28 2 2" xfId="5235" xr:uid="{00000000-0005-0000-0000-000075140000}"/>
    <cellStyle name="20% - Énfasis4 28 20" xfId="5236" xr:uid="{00000000-0005-0000-0000-000076140000}"/>
    <cellStyle name="20% - Énfasis4 28 3" xfId="5237" xr:uid="{00000000-0005-0000-0000-000077140000}"/>
    <cellStyle name="20% - Énfasis4 28 3 2" xfId="5238" xr:uid="{00000000-0005-0000-0000-000078140000}"/>
    <cellStyle name="20% - Énfasis4 28 4" xfId="5239" xr:uid="{00000000-0005-0000-0000-000079140000}"/>
    <cellStyle name="20% - Énfasis4 28 4 2" xfId="5240" xr:uid="{00000000-0005-0000-0000-00007A140000}"/>
    <cellStyle name="20% - Énfasis4 28 5" xfId="5241" xr:uid="{00000000-0005-0000-0000-00007B140000}"/>
    <cellStyle name="20% - Énfasis4 28 5 2" xfId="5242" xr:uid="{00000000-0005-0000-0000-00007C140000}"/>
    <cellStyle name="20% - Énfasis4 28 6" xfId="5243" xr:uid="{00000000-0005-0000-0000-00007D140000}"/>
    <cellStyle name="20% - Énfasis4 28 6 2" xfId="5244" xr:uid="{00000000-0005-0000-0000-00007E140000}"/>
    <cellStyle name="20% - Énfasis4 28 7" xfId="5245" xr:uid="{00000000-0005-0000-0000-00007F140000}"/>
    <cellStyle name="20% - Énfasis4 28 7 2" xfId="5246" xr:uid="{00000000-0005-0000-0000-000080140000}"/>
    <cellStyle name="20% - Énfasis4 28 8" xfId="5247" xr:uid="{00000000-0005-0000-0000-000081140000}"/>
    <cellStyle name="20% - Énfasis4 28 8 2" xfId="5248" xr:uid="{00000000-0005-0000-0000-000082140000}"/>
    <cellStyle name="20% - Énfasis4 28 9" xfId="5249" xr:uid="{00000000-0005-0000-0000-000083140000}"/>
    <cellStyle name="20% - Énfasis4 28 9 2" xfId="5250" xr:uid="{00000000-0005-0000-0000-000084140000}"/>
    <cellStyle name="20% - Énfasis4 29" xfId="5251" xr:uid="{00000000-0005-0000-0000-000085140000}"/>
    <cellStyle name="20% - Énfasis4 29 10" xfId="5252" xr:uid="{00000000-0005-0000-0000-000086140000}"/>
    <cellStyle name="20% - Énfasis4 29 10 2" xfId="5253" xr:uid="{00000000-0005-0000-0000-000087140000}"/>
    <cellStyle name="20% - Énfasis4 29 11" xfId="5254" xr:uid="{00000000-0005-0000-0000-000088140000}"/>
    <cellStyle name="20% - Énfasis4 29 11 2" xfId="5255" xr:uid="{00000000-0005-0000-0000-000089140000}"/>
    <cellStyle name="20% - Énfasis4 29 12" xfId="5256" xr:uid="{00000000-0005-0000-0000-00008A140000}"/>
    <cellStyle name="20% - Énfasis4 29 12 2" xfId="5257" xr:uid="{00000000-0005-0000-0000-00008B140000}"/>
    <cellStyle name="20% - Énfasis4 29 13" xfId="5258" xr:uid="{00000000-0005-0000-0000-00008C140000}"/>
    <cellStyle name="20% - Énfasis4 29 13 2" xfId="5259" xr:uid="{00000000-0005-0000-0000-00008D140000}"/>
    <cellStyle name="20% - Énfasis4 29 14" xfId="5260" xr:uid="{00000000-0005-0000-0000-00008E140000}"/>
    <cellStyle name="20% - Énfasis4 29 14 2" xfId="5261" xr:uid="{00000000-0005-0000-0000-00008F140000}"/>
    <cellStyle name="20% - Énfasis4 29 15" xfId="5262" xr:uid="{00000000-0005-0000-0000-000090140000}"/>
    <cellStyle name="20% - Énfasis4 29 15 2" xfId="5263" xr:uid="{00000000-0005-0000-0000-000091140000}"/>
    <cellStyle name="20% - Énfasis4 29 16" xfId="5264" xr:uid="{00000000-0005-0000-0000-000092140000}"/>
    <cellStyle name="20% - Énfasis4 29 16 2" xfId="5265" xr:uid="{00000000-0005-0000-0000-000093140000}"/>
    <cellStyle name="20% - Énfasis4 29 17" xfId="5266" xr:uid="{00000000-0005-0000-0000-000094140000}"/>
    <cellStyle name="20% - Énfasis4 29 17 2" xfId="5267" xr:uid="{00000000-0005-0000-0000-000095140000}"/>
    <cellStyle name="20% - Énfasis4 29 18" xfId="5268" xr:uid="{00000000-0005-0000-0000-000096140000}"/>
    <cellStyle name="20% - Énfasis4 29 18 2" xfId="5269" xr:uid="{00000000-0005-0000-0000-000097140000}"/>
    <cellStyle name="20% - Énfasis4 29 19" xfId="5270" xr:uid="{00000000-0005-0000-0000-000098140000}"/>
    <cellStyle name="20% - Énfasis4 29 19 2" xfId="5271" xr:uid="{00000000-0005-0000-0000-000099140000}"/>
    <cellStyle name="20% - Énfasis4 29 2" xfId="5272" xr:uid="{00000000-0005-0000-0000-00009A140000}"/>
    <cellStyle name="20% - Énfasis4 29 2 2" xfId="5273" xr:uid="{00000000-0005-0000-0000-00009B140000}"/>
    <cellStyle name="20% - Énfasis4 29 20" xfId="5274" xr:uid="{00000000-0005-0000-0000-00009C140000}"/>
    <cellStyle name="20% - Énfasis4 29 3" xfId="5275" xr:uid="{00000000-0005-0000-0000-00009D140000}"/>
    <cellStyle name="20% - Énfasis4 29 3 2" xfId="5276" xr:uid="{00000000-0005-0000-0000-00009E140000}"/>
    <cellStyle name="20% - Énfasis4 29 4" xfId="5277" xr:uid="{00000000-0005-0000-0000-00009F140000}"/>
    <cellStyle name="20% - Énfasis4 29 4 2" xfId="5278" xr:uid="{00000000-0005-0000-0000-0000A0140000}"/>
    <cellStyle name="20% - Énfasis4 29 5" xfId="5279" xr:uid="{00000000-0005-0000-0000-0000A1140000}"/>
    <cellStyle name="20% - Énfasis4 29 5 2" xfId="5280" xr:uid="{00000000-0005-0000-0000-0000A2140000}"/>
    <cellStyle name="20% - Énfasis4 29 6" xfId="5281" xr:uid="{00000000-0005-0000-0000-0000A3140000}"/>
    <cellStyle name="20% - Énfasis4 29 6 2" xfId="5282" xr:uid="{00000000-0005-0000-0000-0000A4140000}"/>
    <cellStyle name="20% - Énfasis4 29 7" xfId="5283" xr:uid="{00000000-0005-0000-0000-0000A5140000}"/>
    <cellStyle name="20% - Énfasis4 29 7 2" xfId="5284" xr:uid="{00000000-0005-0000-0000-0000A6140000}"/>
    <cellStyle name="20% - Énfasis4 29 8" xfId="5285" xr:uid="{00000000-0005-0000-0000-0000A7140000}"/>
    <cellStyle name="20% - Énfasis4 29 8 2" xfId="5286" xr:uid="{00000000-0005-0000-0000-0000A8140000}"/>
    <cellStyle name="20% - Énfasis4 29 9" xfId="5287" xr:uid="{00000000-0005-0000-0000-0000A9140000}"/>
    <cellStyle name="20% - Énfasis4 29 9 2" xfId="5288" xr:uid="{00000000-0005-0000-0000-0000AA140000}"/>
    <cellStyle name="20% - Énfasis4 3" xfId="5289" xr:uid="{00000000-0005-0000-0000-0000AB140000}"/>
    <cellStyle name="20% - Énfasis4 3 10" xfId="5290" xr:uid="{00000000-0005-0000-0000-0000AC140000}"/>
    <cellStyle name="20% - Énfasis4 3 10 2" xfId="5291" xr:uid="{00000000-0005-0000-0000-0000AD140000}"/>
    <cellStyle name="20% - Énfasis4 3 11" xfId="5292" xr:uid="{00000000-0005-0000-0000-0000AE140000}"/>
    <cellStyle name="20% - Énfasis4 3 11 2" xfId="5293" xr:uid="{00000000-0005-0000-0000-0000AF140000}"/>
    <cellStyle name="20% - Énfasis4 3 12" xfId="5294" xr:uid="{00000000-0005-0000-0000-0000B0140000}"/>
    <cellStyle name="20% - Énfasis4 3 12 2" xfId="5295" xr:uid="{00000000-0005-0000-0000-0000B1140000}"/>
    <cellStyle name="20% - Énfasis4 3 13" xfId="5296" xr:uid="{00000000-0005-0000-0000-0000B2140000}"/>
    <cellStyle name="20% - Énfasis4 3 13 2" xfId="5297" xr:uid="{00000000-0005-0000-0000-0000B3140000}"/>
    <cellStyle name="20% - Énfasis4 3 14" xfId="5298" xr:uid="{00000000-0005-0000-0000-0000B4140000}"/>
    <cellStyle name="20% - Énfasis4 3 14 2" xfId="5299" xr:uid="{00000000-0005-0000-0000-0000B5140000}"/>
    <cellStyle name="20% - Énfasis4 3 15" xfId="5300" xr:uid="{00000000-0005-0000-0000-0000B6140000}"/>
    <cellStyle name="20% - Énfasis4 3 15 2" xfId="5301" xr:uid="{00000000-0005-0000-0000-0000B7140000}"/>
    <cellStyle name="20% - Énfasis4 3 16" xfId="5302" xr:uid="{00000000-0005-0000-0000-0000B8140000}"/>
    <cellStyle name="20% - Énfasis4 3 16 2" xfId="5303" xr:uid="{00000000-0005-0000-0000-0000B9140000}"/>
    <cellStyle name="20% - Énfasis4 3 17" xfId="5304" xr:uid="{00000000-0005-0000-0000-0000BA140000}"/>
    <cellStyle name="20% - Énfasis4 3 17 2" xfId="5305" xr:uid="{00000000-0005-0000-0000-0000BB140000}"/>
    <cellStyle name="20% - Énfasis4 3 18" xfId="5306" xr:uid="{00000000-0005-0000-0000-0000BC140000}"/>
    <cellStyle name="20% - Énfasis4 3 18 2" xfId="5307" xr:uid="{00000000-0005-0000-0000-0000BD140000}"/>
    <cellStyle name="20% - Énfasis4 3 19" xfId="5308" xr:uid="{00000000-0005-0000-0000-0000BE140000}"/>
    <cellStyle name="20% - Énfasis4 3 19 2" xfId="5309" xr:uid="{00000000-0005-0000-0000-0000BF140000}"/>
    <cellStyle name="20% - Énfasis4 3 2" xfId="5310" xr:uid="{00000000-0005-0000-0000-0000C0140000}"/>
    <cellStyle name="20% - Énfasis4 3 2 2" xfId="5311" xr:uid="{00000000-0005-0000-0000-0000C1140000}"/>
    <cellStyle name="20% - Énfasis4 3 20" xfId="5312" xr:uid="{00000000-0005-0000-0000-0000C2140000}"/>
    <cellStyle name="20% - Énfasis4 3 21" xfId="5313" xr:uid="{00000000-0005-0000-0000-0000C3140000}"/>
    <cellStyle name="20% - Énfasis4 3 3" xfId="5314" xr:uid="{00000000-0005-0000-0000-0000C4140000}"/>
    <cellStyle name="20% - Énfasis4 3 3 2" xfId="5315" xr:uid="{00000000-0005-0000-0000-0000C5140000}"/>
    <cellStyle name="20% - Énfasis4 3 4" xfId="5316" xr:uid="{00000000-0005-0000-0000-0000C6140000}"/>
    <cellStyle name="20% - Énfasis4 3 4 2" xfId="5317" xr:uid="{00000000-0005-0000-0000-0000C7140000}"/>
    <cellStyle name="20% - Énfasis4 3 5" xfId="5318" xr:uid="{00000000-0005-0000-0000-0000C8140000}"/>
    <cellStyle name="20% - Énfasis4 3 5 2" xfId="5319" xr:uid="{00000000-0005-0000-0000-0000C9140000}"/>
    <cellStyle name="20% - Énfasis4 3 6" xfId="5320" xr:uid="{00000000-0005-0000-0000-0000CA140000}"/>
    <cellStyle name="20% - Énfasis4 3 6 2" xfId="5321" xr:uid="{00000000-0005-0000-0000-0000CB140000}"/>
    <cellStyle name="20% - Énfasis4 3 7" xfId="5322" xr:uid="{00000000-0005-0000-0000-0000CC140000}"/>
    <cellStyle name="20% - Énfasis4 3 7 2" xfId="5323" xr:uid="{00000000-0005-0000-0000-0000CD140000}"/>
    <cellStyle name="20% - Énfasis4 3 8" xfId="5324" xr:uid="{00000000-0005-0000-0000-0000CE140000}"/>
    <cellStyle name="20% - Énfasis4 3 8 2" xfId="5325" xr:uid="{00000000-0005-0000-0000-0000CF140000}"/>
    <cellStyle name="20% - Énfasis4 3 9" xfId="5326" xr:uid="{00000000-0005-0000-0000-0000D0140000}"/>
    <cellStyle name="20% - Énfasis4 3 9 2" xfId="5327" xr:uid="{00000000-0005-0000-0000-0000D1140000}"/>
    <cellStyle name="20% - Énfasis4 30" xfId="5328" xr:uid="{00000000-0005-0000-0000-0000D2140000}"/>
    <cellStyle name="20% - Énfasis4 30 10" xfId="5329" xr:uid="{00000000-0005-0000-0000-0000D3140000}"/>
    <cellStyle name="20% - Énfasis4 30 10 2" xfId="5330" xr:uid="{00000000-0005-0000-0000-0000D4140000}"/>
    <cellStyle name="20% - Énfasis4 30 11" xfId="5331" xr:uid="{00000000-0005-0000-0000-0000D5140000}"/>
    <cellStyle name="20% - Énfasis4 30 11 2" xfId="5332" xr:uid="{00000000-0005-0000-0000-0000D6140000}"/>
    <cellStyle name="20% - Énfasis4 30 12" xfId="5333" xr:uid="{00000000-0005-0000-0000-0000D7140000}"/>
    <cellStyle name="20% - Énfasis4 30 12 2" xfId="5334" xr:uid="{00000000-0005-0000-0000-0000D8140000}"/>
    <cellStyle name="20% - Énfasis4 30 13" xfId="5335" xr:uid="{00000000-0005-0000-0000-0000D9140000}"/>
    <cellStyle name="20% - Énfasis4 30 13 2" xfId="5336" xr:uid="{00000000-0005-0000-0000-0000DA140000}"/>
    <cellStyle name="20% - Énfasis4 30 14" xfId="5337" xr:uid="{00000000-0005-0000-0000-0000DB140000}"/>
    <cellStyle name="20% - Énfasis4 30 14 2" xfId="5338" xr:uid="{00000000-0005-0000-0000-0000DC140000}"/>
    <cellStyle name="20% - Énfasis4 30 15" xfId="5339" xr:uid="{00000000-0005-0000-0000-0000DD140000}"/>
    <cellStyle name="20% - Énfasis4 30 15 2" xfId="5340" xr:uid="{00000000-0005-0000-0000-0000DE140000}"/>
    <cellStyle name="20% - Énfasis4 30 16" xfId="5341" xr:uid="{00000000-0005-0000-0000-0000DF140000}"/>
    <cellStyle name="20% - Énfasis4 30 16 2" xfId="5342" xr:uid="{00000000-0005-0000-0000-0000E0140000}"/>
    <cellStyle name="20% - Énfasis4 30 17" xfId="5343" xr:uid="{00000000-0005-0000-0000-0000E1140000}"/>
    <cellStyle name="20% - Énfasis4 30 17 2" xfId="5344" xr:uid="{00000000-0005-0000-0000-0000E2140000}"/>
    <cellStyle name="20% - Énfasis4 30 18" xfId="5345" xr:uid="{00000000-0005-0000-0000-0000E3140000}"/>
    <cellStyle name="20% - Énfasis4 30 18 2" xfId="5346" xr:uid="{00000000-0005-0000-0000-0000E4140000}"/>
    <cellStyle name="20% - Énfasis4 30 19" xfId="5347" xr:uid="{00000000-0005-0000-0000-0000E5140000}"/>
    <cellStyle name="20% - Énfasis4 30 19 2" xfId="5348" xr:uid="{00000000-0005-0000-0000-0000E6140000}"/>
    <cellStyle name="20% - Énfasis4 30 2" xfId="5349" xr:uid="{00000000-0005-0000-0000-0000E7140000}"/>
    <cellStyle name="20% - Énfasis4 30 2 2" xfId="5350" xr:uid="{00000000-0005-0000-0000-0000E8140000}"/>
    <cellStyle name="20% - Énfasis4 30 20" xfId="5351" xr:uid="{00000000-0005-0000-0000-0000E9140000}"/>
    <cellStyle name="20% - Énfasis4 30 3" xfId="5352" xr:uid="{00000000-0005-0000-0000-0000EA140000}"/>
    <cellStyle name="20% - Énfasis4 30 3 2" xfId="5353" xr:uid="{00000000-0005-0000-0000-0000EB140000}"/>
    <cellStyle name="20% - Énfasis4 30 4" xfId="5354" xr:uid="{00000000-0005-0000-0000-0000EC140000}"/>
    <cellStyle name="20% - Énfasis4 30 4 2" xfId="5355" xr:uid="{00000000-0005-0000-0000-0000ED140000}"/>
    <cellStyle name="20% - Énfasis4 30 5" xfId="5356" xr:uid="{00000000-0005-0000-0000-0000EE140000}"/>
    <cellStyle name="20% - Énfasis4 30 5 2" xfId="5357" xr:uid="{00000000-0005-0000-0000-0000EF140000}"/>
    <cellStyle name="20% - Énfasis4 30 6" xfId="5358" xr:uid="{00000000-0005-0000-0000-0000F0140000}"/>
    <cellStyle name="20% - Énfasis4 30 6 2" xfId="5359" xr:uid="{00000000-0005-0000-0000-0000F1140000}"/>
    <cellStyle name="20% - Énfasis4 30 7" xfId="5360" xr:uid="{00000000-0005-0000-0000-0000F2140000}"/>
    <cellStyle name="20% - Énfasis4 30 7 2" xfId="5361" xr:uid="{00000000-0005-0000-0000-0000F3140000}"/>
    <cellStyle name="20% - Énfasis4 30 8" xfId="5362" xr:uid="{00000000-0005-0000-0000-0000F4140000}"/>
    <cellStyle name="20% - Énfasis4 30 8 2" xfId="5363" xr:uid="{00000000-0005-0000-0000-0000F5140000}"/>
    <cellStyle name="20% - Énfasis4 30 9" xfId="5364" xr:uid="{00000000-0005-0000-0000-0000F6140000}"/>
    <cellStyle name="20% - Énfasis4 30 9 2" xfId="5365" xr:uid="{00000000-0005-0000-0000-0000F7140000}"/>
    <cellStyle name="20% - Énfasis4 31" xfId="5366" xr:uid="{00000000-0005-0000-0000-0000F8140000}"/>
    <cellStyle name="20% - Énfasis4 31 10" xfId="5367" xr:uid="{00000000-0005-0000-0000-0000F9140000}"/>
    <cellStyle name="20% - Énfasis4 31 10 2" xfId="5368" xr:uid="{00000000-0005-0000-0000-0000FA140000}"/>
    <cellStyle name="20% - Énfasis4 31 11" xfId="5369" xr:uid="{00000000-0005-0000-0000-0000FB140000}"/>
    <cellStyle name="20% - Énfasis4 31 11 2" xfId="5370" xr:uid="{00000000-0005-0000-0000-0000FC140000}"/>
    <cellStyle name="20% - Énfasis4 31 12" xfId="5371" xr:uid="{00000000-0005-0000-0000-0000FD140000}"/>
    <cellStyle name="20% - Énfasis4 31 12 2" xfId="5372" xr:uid="{00000000-0005-0000-0000-0000FE140000}"/>
    <cellStyle name="20% - Énfasis4 31 13" xfId="5373" xr:uid="{00000000-0005-0000-0000-0000FF140000}"/>
    <cellStyle name="20% - Énfasis4 31 13 2" xfId="5374" xr:uid="{00000000-0005-0000-0000-000000150000}"/>
    <cellStyle name="20% - Énfasis4 31 14" xfId="5375" xr:uid="{00000000-0005-0000-0000-000001150000}"/>
    <cellStyle name="20% - Énfasis4 31 14 2" xfId="5376" xr:uid="{00000000-0005-0000-0000-000002150000}"/>
    <cellStyle name="20% - Énfasis4 31 15" xfId="5377" xr:uid="{00000000-0005-0000-0000-000003150000}"/>
    <cellStyle name="20% - Énfasis4 31 15 2" xfId="5378" xr:uid="{00000000-0005-0000-0000-000004150000}"/>
    <cellStyle name="20% - Énfasis4 31 16" xfId="5379" xr:uid="{00000000-0005-0000-0000-000005150000}"/>
    <cellStyle name="20% - Énfasis4 31 16 2" xfId="5380" xr:uid="{00000000-0005-0000-0000-000006150000}"/>
    <cellStyle name="20% - Énfasis4 31 17" xfId="5381" xr:uid="{00000000-0005-0000-0000-000007150000}"/>
    <cellStyle name="20% - Énfasis4 31 17 2" xfId="5382" xr:uid="{00000000-0005-0000-0000-000008150000}"/>
    <cellStyle name="20% - Énfasis4 31 18" xfId="5383" xr:uid="{00000000-0005-0000-0000-000009150000}"/>
    <cellStyle name="20% - Énfasis4 31 18 2" xfId="5384" xr:uid="{00000000-0005-0000-0000-00000A150000}"/>
    <cellStyle name="20% - Énfasis4 31 19" xfId="5385" xr:uid="{00000000-0005-0000-0000-00000B150000}"/>
    <cellStyle name="20% - Énfasis4 31 19 2" xfId="5386" xr:uid="{00000000-0005-0000-0000-00000C150000}"/>
    <cellStyle name="20% - Énfasis4 31 2" xfId="5387" xr:uid="{00000000-0005-0000-0000-00000D150000}"/>
    <cellStyle name="20% - Énfasis4 31 2 2" xfId="5388" xr:uid="{00000000-0005-0000-0000-00000E150000}"/>
    <cellStyle name="20% - Énfasis4 31 20" xfId="5389" xr:uid="{00000000-0005-0000-0000-00000F150000}"/>
    <cellStyle name="20% - Énfasis4 31 3" xfId="5390" xr:uid="{00000000-0005-0000-0000-000010150000}"/>
    <cellStyle name="20% - Énfasis4 31 3 2" xfId="5391" xr:uid="{00000000-0005-0000-0000-000011150000}"/>
    <cellStyle name="20% - Énfasis4 31 4" xfId="5392" xr:uid="{00000000-0005-0000-0000-000012150000}"/>
    <cellStyle name="20% - Énfasis4 31 4 2" xfId="5393" xr:uid="{00000000-0005-0000-0000-000013150000}"/>
    <cellStyle name="20% - Énfasis4 31 5" xfId="5394" xr:uid="{00000000-0005-0000-0000-000014150000}"/>
    <cellStyle name="20% - Énfasis4 31 5 2" xfId="5395" xr:uid="{00000000-0005-0000-0000-000015150000}"/>
    <cellStyle name="20% - Énfasis4 31 6" xfId="5396" xr:uid="{00000000-0005-0000-0000-000016150000}"/>
    <cellStyle name="20% - Énfasis4 31 6 2" xfId="5397" xr:uid="{00000000-0005-0000-0000-000017150000}"/>
    <cellStyle name="20% - Énfasis4 31 7" xfId="5398" xr:uid="{00000000-0005-0000-0000-000018150000}"/>
    <cellStyle name="20% - Énfasis4 31 7 2" xfId="5399" xr:uid="{00000000-0005-0000-0000-000019150000}"/>
    <cellStyle name="20% - Énfasis4 31 8" xfId="5400" xr:uid="{00000000-0005-0000-0000-00001A150000}"/>
    <cellStyle name="20% - Énfasis4 31 8 2" xfId="5401" xr:uid="{00000000-0005-0000-0000-00001B150000}"/>
    <cellStyle name="20% - Énfasis4 31 9" xfId="5402" xr:uid="{00000000-0005-0000-0000-00001C150000}"/>
    <cellStyle name="20% - Énfasis4 31 9 2" xfId="5403" xr:uid="{00000000-0005-0000-0000-00001D150000}"/>
    <cellStyle name="20% - Énfasis4 32" xfId="5404" xr:uid="{00000000-0005-0000-0000-00001E150000}"/>
    <cellStyle name="20% - Énfasis4 32 10" xfId="5405" xr:uid="{00000000-0005-0000-0000-00001F150000}"/>
    <cellStyle name="20% - Énfasis4 32 10 2" xfId="5406" xr:uid="{00000000-0005-0000-0000-000020150000}"/>
    <cellStyle name="20% - Énfasis4 32 11" xfId="5407" xr:uid="{00000000-0005-0000-0000-000021150000}"/>
    <cellStyle name="20% - Énfasis4 32 11 2" xfId="5408" xr:uid="{00000000-0005-0000-0000-000022150000}"/>
    <cellStyle name="20% - Énfasis4 32 12" xfId="5409" xr:uid="{00000000-0005-0000-0000-000023150000}"/>
    <cellStyle name="20% - Énfasis4 32 12 2" xfId="5410" xr:uid="{00000000-0005-0000-0000-000024150000}"/>
    <cellStyle name="20% - Énfasis4 32 13" xfId="5411" xr:uid="{00000000-0005-0000-0000-000025150000}"/>
    <cellStyle name="20% - Énfasis4 32 13 2" xfId="5412" xr:uid="{00000000-0005-0000-0000-000026150000}"/>
    <cellStyle name="20% - Énfasis4 32 14" xfId="5413" xr:uid="{00000000-0005-0000-0000-000027150000}"/>
    <cellStyle name="20% - Énfasis4 32 14 2" xfId="5414" xr:uid="{00000000-0005-0000-0000-000028150000}"/>
    <cellStyle name="20% - Énfasis4 32 15" xfId="5415" xr:uid="{00000000-0005-0000-0000-000029150000}"/>
    <cellStyle name="20% - Énfasis4 32 15 2" xfId="5416" xr:uid="{00000000-0005-0000-0000-00002A150000}"/>
    <cellStyle name="20% - Énfasis4 32 16" xfId="5417" xr:uid="{00000000-0005-0000-0000-00002B150000}"/>
    <cellStyle name="20% - Énfasis4 32 16 2" xfId="5418" xr:uid="{00000000-0005-0000-0000-00002C150000}"/>
    <cellStyle name="20% - Énfasis4 32 17" xfId="5419" xr:uid="{00000000-0005-0000-0000-00002D150000}"/>
    <cellStyle name="20% - Énfasis4 32 17 2" xfId="5420" xr:uid="{00000000-0005-0000-0000-00002E150000}"/>
    <cellStyle name="20% - Énfasis4 32 18" xfId="5421" xr:uid="{00000000-0005-0000-0000-00002F150000}"/>
    <cellStyle name="20% - Énfasis4 32 18 2" xfId="5422" xr:uid="{00000000-0005-0000-0000-000030150000}"/>
    <cellStyle name="20% - Énfasis4 32 19" xfId="5423" xr:uid="{00000000-0005-0000-0000-000031150000}"/>
    <cellStyle name="20% - Énfasis4 32 19 2" xfId="5424" xr:uid="{00000000-0005-0000-0000-000032150000}"/>
    <cellStyle name="20% - Énfasis4 32 2" xfId="5425" xr:uid="{00000000-0005-0000-0000-000033150000}"/>
    <cellStyle name="20% - Énfasis4 32 2 2" xfId="5426" xr:uid="{00000000-0005-0000-0000-000034150000}"/>
    <cellStyle name="20% - Énfasis4 32 20" xfId="5427" xr:uid="{00000000-0005-0000-0000-000035150000}"/>
    <cellStyle name="20% - Énfasis4 32 3" xfId="5428" xr:uid="{00000000-0005-0000-0000-000036150000}"/>
    <cellStyle name="20% - Énfasis4 32 3 2" xfId="5429" xr:uid="{00000000-0005-0000-0000-000037150000}"/>
    <cellStyle name="20% - Énfasis4 32 4" xfId="5430" xr:uid="{00000000-0005-0000-0000-000038150000}"/>
    <cellStyle name="20% - Énfasis4 32 4 2" xfId="5431" xr:uid="{00000000-0005-0000-0000-000039150000}"/>
    <cellStyle name="20% - Énfasis4 32 5" xfId="5432" xr:uid="{00000000-0005-0000-0000-00003A150000}"/>
    <cellStyle name="20% - Énfasis4 32 5 2" xfId="5433" xr:uid="{00000000-0005-0000-0000-00003B150000}"/>
    <cellStyle name="20% - Énfasis4 32 6" xfId="5434" xr:uid="{00000000-0005-0000-0000-00003C150000}"/>
    <cellStyle name="20% - Énfasis4 32 6 2" xfId="5435" xr:uid="{00000000-0005-0000-0000-00003D150000}"/>
    <cellStyle name="20% - Énfasis4 32 7" xfId="5436" xr:uid="{00000000-0005-0000-0000-00003E150000}"/>
    <cellStyle name="20% - Énfasis4 32 7 2" xfId="5437" xr:uid="{00000000-0005-0000-0000-00003F150000}"/>
    <cellStyle name="20% - Énfasis4 32 8" xfId="5438" xr:uid="{00000000-0005-0000-0000-000040150000}"/>
    <cellStyle name="20% - Énfasis4 32 8 2" xfId="5439" xr:uid="{00000000-0005-0000-0000-000041150000}"/>
    <cellStyle name="20% - Énfasis4 32 9" xfId="5440" xr:uid="{00000000-0005-0000-0000-000042150000}"/>
    <cellStyle name="20% - Énfasis4 32 9 2" xfId="5441" xr:uid="{00000000-0005-0000-0000-000043150000}"/>
    <cellStyle name="20% - Énfasis4 33" xfId="5442" xr:uid="{00000000-0005-0000-0000-000044150000}"/>
    <cellStyle name="20% - Énfasis4 33 10" xfId="5443" xr:uid="{00000000-0005-0000-0000-000045150000}"/>
    <cellStyle name="20% - Énfasis4 33 10 2" xfId="5444" xr:uid="{00000000-0005-0000-0000-000046150000}"/>
    <cellStyle name="20% - Énfasis4 33 11" xfId="5445" xr:uid="{00000000-0005-0000-0000-000047150000}"/>
    <cellStyle name="20% - Énfasis4 33 11 2" xfId="5446" xr:uid="{00000000-0005-0000-0000-000048150000}"/>
    <cellStyle name="20% - Énfasis4 33 12" xfId="5447" xr:uid="{00000000-0005-0000-0000-000049150000}"/>
    <cellStyle name="20% - Énfasis4 33 12 2" xfId="5448" xr:uid="{00000000-0005-0000-0000-00004A150000}"/>
    <cellStyle name="20% - Énfasis4 33 13" xfId="5449" xr:uid="{00000000-0005-0000-0000-00004B150000}"/>
    <cellStyle name="20% - Énfasis4 33 13 2" xfId="5450" xr:uid="{00000000-0005-0000-0000-00004C150000}"/>
    <cellStyle name="20% - Énfasis4 33 14" xfId="5451" xr:uid="{00000000-0005-0000-0000-00004D150000}"/>
    <cellStyle name="20% - Énfasis4 33 14 2" xfId="5452" xr:uid="{00000000-0005-0000-0000-00004E150000}"/>
    <cellStyle name="20% - Énfasis4 33 15" xfId="5453" xr:uid="{00000000-0005-0000-0000-00004F150000}"/>
    <cellStyle name="20% - Énfasis4 33 15 2" xfId="5454" xr:uid="{00000000-0005-0000-0000-000050150000}"/>
    <cellStyle name="20% - Énfasis4 33 16" xfId="5455" xr:uid="{00000000-0005-0000-0000-000051150000}"/>
    <cellStyle name="20% - Énfasis4 33 16 2" xfId="5456" xr:uid="{00000000-0005-0000-0000-000052150000}"/>
    <cellStyle name="20% - Énfasis4 33 17" xfId="5457" xr:uid="{00000000-0005-0000-0000-000053150000}"/>
    <cellStyle name="20% - Énfasis4 33 17 2" xfId="5458" xr:uid="{00000000-0005-0000-0000-000054150000}"/>
    <cellStyle name="20% - Énfasis4 33 18" xfId="5459" xr:uid="{00000000-0005-0000-0000-000055150000}"/>
    <cellStyle name="20% - Énfasis4 33 18 2" xfId="5460" xr:uid="{00000000-0005-0000-0000-000056150000}"/>
    <cellStyle name="20% - Énfasis4 33 19" xfId="5461" xr:uid="{00000000-0005-0000-0000-000057150000}"/>
    <cellStyle name="20% - Énfasis4 33 19 2" xfId="5462" xr:uid="{00000000-0005-0000-0000-000058150000}"/>
    <cellStyle name="20% - Énfasis4 33 2" xfId="5463" xr:uid="{00000000-0005-0000-0000-000059150000}"/>
    <cellStyle name="20% - Énfasis4 33 2 2" xfId="5464" xr:uid="{00000000-0005-0000-0000-00005A150000}"/>
    <cellStyle name="20% - Énfasis4 33 20" xfId="5465" xr:uid="{00000000-0005-0000-0000-00005B150000}"/>
    <cellStyle name="20% - Énfasis4 33 3" xfId="5466" xr:uid="{00000000-0005-0000-0000-00005C150000}"/>
    <cellStyle name="20% - Énfasis4 33 3 2" xfId="5467" xr:uid="{00000000-0005-0000-0000-00005D150000}"/>
    <cellStyle name="20% - Énfasis4 33 4" xfId="5468" xr:uid="{00000000-0005-0000-0000-00005E150000}"/>
    <cellStyle name="20% - Énfasis4 33 4 2" xfId="5469" xr:uid="{00000000-0005-0000-0000-00005F150000}"/>
    <cellStyle name="20% - Énfasis4 33 5" xfId="5470" xr:uid="{00000000-0005-0000-0000-000060150000}"/>
    <cellStyle name="20% - Énfasis4 33 5 2" xfId="5471" xr:uid="{00000000-0005-0000-0000-000061150000}"/>
    <cellStyle name="20% - Énfasis4 33 6" xfId="5472" xr:uid="{00000000-0005-0000-0000-000062150000}"/>
    <cellStyle name="20% - Énfasis4 33 6 2" xfId="5473" xr:uid="{00000000-0005-0000-0000-000063150000}"/>
    <cellStyle name="20% - Énfasis4 33 7" xfId="5474" xr:uid="{00000000-0005-0000-0000-000064150000}"/>
    <cellStyle name="20% - Énfasis4 33 7 2" xfId="5475" xr:uid="{00000000-0005-0000-0000-000065150000}"/>
    <cellStyle name="20% - Énfasis4 33 8" xfId="5476" xr:uid="{00000000-0005-0000-0000-000066150000}"/>
    <cellStyle name="20% - Énfasis4 33 8 2" xfId="5477" xr:uid="{00000000-0005-0000-0000-000067150000}"/>
    <cellStyle name="20% - Énfasis4 33 9" xfId="5478" xr:uid="{00000000-0005-0000-0000-000068150000}"/>
    <cellStyle name="20% - Énfasis4 33 9 2" xfId="5479" xr:uid="{00000000-0005-0000-0000-000069150000}"/>
    <cellStyle name="20% - Énfasis4 34" xfId="5480" xr:uid="{00000000-0005-0000-0000-00006A150000}"/>
    <cellStyle name="20% - Énfasis4 34 10" xfId="5481" xr:uid="{00000000-0005-0000-0000-00006B150000}"/>
    <cellStyle name="20% - Énfasis4 34 10 2" xfId="5482" xr:uid="{00000000-0005-0000-0000-00006C150000}"/>
    <cellStyle name="20% - Énfasis4 34 11" xfId="5483" xr:uid="{00000000-0005-0000-0000-00006D150000}"/>
    <cellStyle name="20% - Énfasis4 34 11 2" xfId="5484" xr:uid="{00000000-0005-0000-0000-00006E150000}"/>
    <cellStyle name="20% - Énfasis4 34 12" xfId="5485" xr:uid="{00000000-0005-0000-0000-00006F150000}"/>
    <cellStyle name="20% - Énfasis4 34 12 2" xfId="5486" xr:uid="{00000000-0005-0000-0000-000070150000}"/>
    <cellStyle name="20% - Énfasis4 34 13" xfId="5487" xr:uid="{00000000-0005-0000-0000-000071150000}"/>
    <cellStyle name="20% - Énfasis4 34 13 2" xfId="5488" xr:uid="{00000000-0005-0000-0000-000072150000}"/>
    <cellStyle name="20% - Énfasis4 34 14" xfId="5489" xr:uid="{00000000-0005-0000-0000-000073150000}"/>
    <cellStyle name="20% - Énfasis4 34 14 2" xfId="5490" xr:uid="{00000000-0005-0000-0000-000074150000}"/>
    <cellStyle name="20% - Énfasis4 34 15" xfId="5491" xr:uid="{00000000-0005-0000-0000-000075150000}"/>
    <cellStyle name="20% - Énfasis4 34 15 2" xfId="5492" xr:uid="{00000000-0005-0000-0000-000076150000}"/>
    <cellStyle name="20% - Énfasis4 34 16" xfId="5493" xr:uid="{00000000-0005-0000-0000-000077150000}"/>
    <cellStyle name="20% - Énfasis4 34 16 2" xfId="5494" xr:uid="{00000000-0005-0000-0000-000078150000}"/>
    <cellStyle name="20% - Énfasis4 34 17" xfId="5495" xr:uid="{00000000-0005-0000-0000-000079150000}"/>
    <cellStyle name="20% - Énfasis4 34 17 2" xfId="5496" xr:uid="{00000000-0005-0000-0000-00007A150000}"/>
    <cellStyle name="20% - Énfasis4 34 18" xfId="5497" xr:uid="{00000000-0005-0000-0000-00007B150000}"/>
    <cellStyle name="20% - Énfasis4 34 18 2" xfId="5498" xr:uid="{00000000-0005-0000-0000-00007C150000}"/>
    <cellStyle name="20% - Énfasis4 34 19" xfId="5499" xr:uid="{00000000-0005-0000-0000-00007D150000}"/>
    <cellStyle name="20% - Énfasis4 34 19 2" xfId="5500" xr:uid="{00000000-0005-0000-0000-00007E150000}"/>
    <cellStyle name="20% - Énfasis4 34 2" xfId="5501" xr:uid="{00000000-0005-0000-0000-00007F150000}"/>
    <cellStyle name="20% - Énfasis4 34 2 2" xfId="5502" xr:uid="{00000000-0005-0000-0000-000080150000}"/>
    <cellStyle name="20% - Énfasis4 34 20" xfId="5503" xr:uid="{00000000-0005-0000-0000-000081150000}"/>
    <cellStyle name="20% - Énfasis4 34 3" xfId="5504" xr:uid="{00000000-0005-0000-0000-000082150000}"/>
    <cellStyle name="20% - Énfasis4 34 3 2" xfId="5505" xr:uid="{00000000-0005-0000-0000-000083150000}"/>
    <cellStyle name="20% - Énfasis4 34 4" xfId="5506" xr:uid="{00000000-0005-0000-0000-000084150000}"/>
    <cellStyle name="20% - Énfasis4 34 4 2" xfId="5507" xr:uid="{00000000-0005-0000-0000-000085150000}"/>
    <cellStyle name="20% - Énfasis4 34 5" xfId="5508" xr:uid="{00000000-0005-0000-0000-000086150000}"/>
    <cellStyle name="20% - Énfasis4 34 5 2" xfId="5509" xr:uid="{00000000-0005-0000-0000-000087150000}"/>
    <cellStyle name="20% - Énfasis4 34 6" xfId="5510" xr:uid="{00000000-0005-0000-0000-000088150000}"/>
    <cellStyle name="20% - Énfasis4 34 6 2" xfId="5511" xr:uid="{00000000-0005-0000-0000-000089150000}"/>
    <cellStyle name="20% - Énfasis4 34 7" xfId="5512" xr:uid="{00000000-0005-0000-0000-00008A150000}"/>
    <cellStyle name="20% - Énfasis4 34 7 2" xfId="5513" xr:uid="{00000000-0005-0000-0000-00008B150000}"/>
    <cellStyle name="20% - Énfasis4 34 8" xfId="5514" xr:uid="{00000000-0005-0000-0000-00008C150000}"/>
    <cellStyle name="20% - Énfasis4 34 8 2" xfId="5515" xr:uid="{00000000-0005-0000-0000-00008D150000}"/>
    <cellStyle name="20% - Énfasis4 34 9" xfId="5516" xr:uid="{00000000-0005-0000-0000-00008E150000}"/>
    <cellStyle name="20% - Énfasis4 34 9 2" xfId="5517" xr:uid="{00000000-0005-0000-0000-00008F150000}"/>
    <cellStyle name="20% - Énfasis4 35" xfId="5518" xr:uid="{00000000-0005-0000-0000-000090150000}"/>
    <cellStyle name="20% - Énfasis4 35 10" xfId="5519" xr:uid="{00000000-0005-0000-0000-000091150000}"/>
    <cellStyle name="20% - Énfasis4 35 10 2" xfId="5520" xr:uid="{00000000-0005-0000-0000-000092150000}"/>
    <cellStyle name="20% - Énfasis4 35 11" xfId="5521" xr:uid="{00000000-0005-0000-0000-000093150000}"/>
    <cellStyle name="20% - Énfasis4 35 11 2" xfId="5522" xr:uid="{00000000-0005-0000-0000-000094150000}"/>
    <cellStyle name="20% - Énfasis4 35 12" xfId="5523" xr:uid="{00000000-0005-0000-0000-000095150000}"/>
    <cellStyle name="20% - Énfasis4 35 12 2" xfId="5524" xr:uid="{00000000-0005-0000-0000-000096150000}"/>
    <cellStyle name="20% - Énfasis4 35 13" xfId="5525" xr:uid="{00000000-0005-0000-0000-000097150000}"/>
    <cellStyle name="20% - Énfasis4 35 13 2" xfId="5526" xr:uid="{00000000-0005-0000-0000-000098150000}"/>
    <cellStyle name="20% - Énfasis4 35 14" xfId="5527" xr:uid="{00000000-0005-0000-0000-000099150000}"/>
    <cellStyle name="20% - Énfasis4 35 14 2" xfId="5528" xr:uid="{00000000-0005-0000-0000-00009A150000}"/>
    <cellStyle name="20% - Énfasis4 35 15" xfId="5529" xr:uid="{00000000-0005-0000-0000-00009B150000}"/>
    <cellStyle name="20% - Énfasis4 35 15 2" xfId="5530" xr:uid="{00000000-0005-0000-0000-00009C150000}"/>
    <cellStyle name="20% - Énfasis4 35 16" xfId="5531" xr:uid="{00000000-0005-0000-0000-00009D150000}"/>
    <cellStyle name="20% - Énfasis4 35 16 2" xfId="5532" xr:uid="{00000000-0005-0000-0000-00009E150000}"/>
    <cellStyle name="20% - Énfasis4 35 17" xfId="5533" xr:uid="{00000000-0005-0000-0000-00009F150000}"/>
    <cellStyle name="20% - Énfasis4 35 17 2" xfId="5534" xr:uid="{00000000-0005-0000-0000-0000A0150000}"/>
    <cellStyle name="20% - Énfasis4 35 18" xfId="5535" xr:uid="{00000000-0005-0000-0000-0000A1150000}"/>
    <cellStyle name="20% - Énfasis4 35 18 2" xfId="5536" xr:uid="{00000000-0005-0000-0000-0000A2150000}"/>
    <cellStyle name="20% - Énfasis4 35 19" xfId="5537" xr:uid="{00000000-0005-0000-0000-0000A3150000}"/>
    <cellStyle name="20% - Énfasis4 35 19 2" xfId="5538" xr:uid="{00000000-0005-0000-0000-0000A4150000}"/>
    <cellStyle name="20% - Énfasis4 35 2" xfId="5539" xr:uid="{00000000-0005-0000-0000-0000A5150000}"/>
    <cellStyle name="20% - Énfasis4 35 2 2" xfId="5540" xr:uid="{00000000-0005-0000-0000-0000A6150000}"/>
    <cellStyle name="20% - Énfasis4 35 20" xfId="5541" xr:uid="{00000000-0005-0000-0000-0000A7150000}"/>
    <cellStyle name="20% - Énfasis4 35 3" xfId="5542" xr:uid="{00000000-0005-0000-0000-0000A8150000}"/>
    <cellStyle name="20% - Énfasis4 35 3 2" xfId="5543" xr:uid="{00000000-0005-0000-0000-0000A9150000}"/>
    <cellStyle name="20% - Énfasis4 35 4" xfId="5544" xr:uid="{00000000-0005-0000-0000-0000AA150000}"/>
    <cellStyle name="20% - Énfasis4 35 4 2" xfId="5545" xr:uid="{00000000-0005-0000-0000-0000AB150000}"/>
    <cellStyle name="20% - Énfasis4 35 5" xfId="5546" xr:uid="{00000000-0005-0000-0000-0000AC150000}"/>
    <cellStyle name="20% - Énfasis4 35 5 2" xfId="5547" xr:uid="{00000000-0005-0000-0000-0000AD150000}"/>
    <cellStyle name="20% - Énfasis4 35 6" xfId="5548" xr:uid="{00000000-0005-0000-0000-0000AE150000}"/>
    <cellStyle name="20% - Énfasis4 35 6 2" xfId="5549" xr:uid="{00000000-0005-0000-0000-0000AF150000}"/>
    <cellStyle name="20% - Énfasis4 35 7" xfId="5550" xr:uid="{00000000-0005-0000-0000-0000B0150000}"/>
    <cellStyle name="20% - Énfasis4 35 7 2" xfId="5551" xr:uid="{00000000-0005-0000-0000-0000B1150000}"/>
    <cellStyle name="20% - Énfasis4 35 8" xfId="5552" xr:uid="{00000000-0005-0000-0000-0000B2150000}"/>
    <cellStyle name="20% - Énfasis4 35 8 2" xfId="5553" xr:uid="{00000000-0005-0000-0000-0000B3150000}"/>
    <cellStyle name="20% - Énfasis4 35 9" xfId="5554" xr:uid="{00000000-0005-0000-0000-0000B4150000}"/>
    <cellStyle name="20% - Énfasis4 35 9 2" xfId="5555" xr:uid="{00000000-0005-0000-0000-0000B5150000}"/>
    <cellStyle name="20% - Énfasis4 36" xfId="5556" xr:uid="{00000000-0005-0000-0000-0000B6150000}"/>
    <cellStyle name="20% - Énfasis4 36 10" xfId="5557" xr:uid="{00000000-0005-0000-0000-0000B7150000}"/>
    <cellStyle name="20% - Énfasis4 36 10 2" xfId="5558" xr:uid="{00000000-0005-0000-0000-0000B8150000}"/>
    <cellStyle name="20% - Énfasis4 36 11" xfId="5559" xr:uid="{00000000-0005-0000-0000-0000B9150000}"/>
    <cellStyle name="20% - Énfasis4 36 11 2" xfId="5560" xr:uid="{00000000-0005-0000-0000-0000BA150000}"/>
    <cellStyle name="20% - Énfasis4 36 12" xfId="5561" xr:uid="{00000000-0005-0000-0000-0000BB150000}"/>
    <cellStyle name="20% - Énfasis4 36 12 2" xfId="5562" xr:uid="{00000000-0005-0000-0000-0000BC150000}"/>
    <cellStyle name="20% - Énfasis4 36 13" xfId="5563" xr:uid="{00000000-0005-0000-0000-0000BD150000}"/>
    <cellStyle name="20% - Énfasis4 36 13 2" xfId="5564" xr:uid="{00000000-0005-0000-0000-0000BE150000}"/>
    <cellStyle name="20% - Énfasis4 36 14" xfId="5565" xr:uid="{00000000-0005-0000-0000-0000BF150000}"/>
    <cellStyle name="20% - Énfasis4 36 14 2" xfId="5566" xr:uid="{00000000-0005-0000-0000-0000C0150000}"/>
    <cellStyle name="20% - Énfasis4 36 15" xfId="5567" xr:uid="{00000000-0005-0000-0000-0000C1150000}"/>
    <cellStyle name="20% - Énfasis4 36 15 2" xfId="5568" xr:uid="{00000000-0005-0000-0000-0000C2150000}"/>
    <cellStyle name="20% - Énfasis4 36 16" xfId="5569" xr:uid="{00000000-0005-0000-0000-0000C3150000}"/>
    <cellStyle name="20% - Énfasis4 36 16 2" xfId="5570" xr:uid="{00000000-0005-0000-0000-0000C4150000}"/>
    <cellStyle name="20% - Énfasis4 36 17" xfId="5571" xr:uid="{00000000-0005-0000-0000-0000C5150000}"/>
    <cellStyle name="20% - Énfasis4 36 17 2" xfId="5572" xr:uid="{00000000-0005-0000-0000-0000C6150000}"/>
    <cellStyle name="20% - Énfasis4 36 18" xfId="5573" xr:uid="{00000000-0005-0000-0000-0000C7150000}"/>
    <cellStyle name="20% - Énfasis4 36 18 2" xfId="5574" xr:uid="{00000000-0005-0000-0000-0000C8150000}"/>
    <cellStyle name="20% - Énfasis4 36 19" xfId="5575" xr:uid="{00000000-0005-0000-0000-0000C9150000}"/>
    <cellStyle name="20% - Énfasis4 36 19 2" xfId="5576" xr:uid="{00000000-0005-0000-0000-0000CA150000}"/>
    <cellStyle name="20% - Énfasis4 36 2" xfId="5577" xr:uid="{00000000-0005-0000-0000-0000CB150000}"/>
    <cellStyle name="20% - Énfasis4 36 2 2" xfId="5578" xr:uid="{00000000-0005-0000-0000-0000CC150000}"/>
    <cellStyle name="20% - Énfasis4 36 20" xfId="5579" xr:uid="{00000000-0005-0000-0000-0000CD150000}"/>
    <cellStyle name="20% - Énfasis4 36 3" xfId="5580" xr:uid="{00000000-0005-0000-0000-0000CE150000}"/>
    <cellStyle name="20% - Énfasis4 36 3 2" xfId="5581" xr:uid="{00000000-0005-0000-0000-0000CF150000}"/>
    <cellStyle name="20% - Énfasis4 36 4" xfId="5582" xr:uid="{00000000-0005-0000-0000-0000D0150000}"/>
    <cellStyle name="20% - Énfasis4 36 4 2" xfId="5583" xr:uid="{00000000-0005-0000-0000-0000D1150000}"/>
    <cellStyle name="20% - Énfasis4 36 5" xfId="5584" xr:uid="{00000000-0005-0000-0000-0000D2150000}"/>
    <cellStyle name="20% - Énfasis4 36 5 2" xfId="5585" xr:uid="{00000000-0005-0000-0000-0000D3150000}"/>
    <cellStyle name="20% - Énfasis4 36 6" xfId="5586" xr:uid="{00000000-0005-0000-0000-0000D4150000}"/>
    <cellStyle name="20% - Énfasis4 36 6 2" xfId="5587" xr:uid="{00000000-0005-0000-0000-0000D5150000}"/>
    <cellStyle name="20% - Énfasis4 36 7" xfId="5588" xr:uid="{00000000-0005-0000-0000-0000D6150000}"/>
    <cellStyle name="20% - Énfasis4 36 7 2" xfId="5589" xr:uid="{00000000-0005-0000-0000-0000D7150000}"/>
    <cellStyle name="20% - Énfasis4 36 8" xfId="5590" xr:uid="{00000000-0005-0000-0000-0000D8150000}"/>
    <cellStyle name="20% - Énfasis4 36 8 2" xfId="5591" xr:uid="{00000000-0005-0000-0000-0000D9150000}"/>
    <cellStyle name="20% - Énfasis4 36 9" xfId="5592" xr:uid="{00000000-0005-0000-0000-0000DA150000}"/>
    <cellStyle name="20% - Énfasis4 36 9 2" xfId="5593" xr:uid="{00000000-0005-0000-0000-0000DB150000}"/>
    <cellStyle name="20% - Énfasis4 37" xfId="5594" xr:uid="{00000000-0005-0000-0000-0000DC150000}"/>
    <cellStyle name="20% - Énfasis4 37 2" xfId="5595" xr:uid="{00000000-0005-0000-0000-0000DD150000}"/>
    <cellStyle name="20% - Énfasis4 38" xfId="5596" xr:uid="{00000000-0005-0000-0000-0000DE150000}"/>
    <cellStyle name="20% - Énfasis4 38 2" xfId="5597" xr:uid="{00000000-0005-0000-0000-0000DF150000}"/>
    <cellStyle name="20% - Énfasis4 39" xfId="5598" xr:uid="{00000000-0005-0000-0000-0000E0150000}"/>
    <cellStyle name="20% - Énfasis4 39 2" xfId="5599" xr:uid="{00000000-0005-0000-0000-0000E1150000}"/>
    <cellStyle name="20% - Énfasis4 4" xfId="5600" xr:uid="{00000000-0005-0000-0000-0000E2150000}"/>
    <cellStyle name="20% - Énfasis4 4 10" xfId="5601" xr:uid="{00000000-0005-0000-0000-0000E3150000}"/>
    <cellStyle name="20% - Énfasis4 4 10 2" xfId="5602" xr:uid="{00000000-0005-0000-0000-0000E4150000}"/>
    <cellStyle name="20% - Énfasis4 4 11" xfId="5603" xr:uid="{00000000-0005-0000-0000-0000E5150000}"/>
    <cellStyle name="20% - Énfasis4 4 11 2" xfId="5604" xr:uid="{00000000-0005-0000-0000-0000E6150000}"/>
    <cellStyle name="20% - Énfasis4 4 12" xfId="5605" xr:uid="{00000000-0005-0000-0000-0000E7150000}"/>
    <cellStyle name="20% - Énfasis4 4 12 2" xfId="5606" xr:uid="{00000000-0005-0000-0000-0000E8150000}"/>
    <cellStyle name="20% - Énfasis4 4 13" xfId="5607" xr:uid="{00000000-0005-0000-0000-0000E9150000}"/>
    <cellStyle name="20% - Énfasis4 4 13 2" xfId="5608" xr:uid="{00000000-0005-0000-0000-0000EA150000}"/>
    <cellStyle name="20% - Énfasis4 4 14" xfId="5609" xr:uid="{00000000-0005-0000-0000-0000EB150000}"/>
    <cellStyle name="20% - Énfasis4 4 14 2" xfId="5610" xr:uid="{00000000-0005-0000-0000-0000EC150000}"/>
    <cellStyle name="20% - Énfasis4 4 15" xfId="5611" xr:uid="{00000000-0005-0000-0000-0000ED150000}"/>
    <cellStyle name="20% - Énfasis4 4 15 2" xfId="5612" xr:uid="{00000000-0005-0000-0000-0000EE150000}"/>
    <cellStyle name="20% - Énfasis4 4 16" xfId="5613" xr:uid="{00000000-0005-0000-0000-0000EF150000}"/>
    <cellStyle name="20% - Énfasis4 4 16 2" xfId="5614" xr:uid="{00000000-0005-0000-0000-0000F0150000}"/>
    <cellStyle name="20% - Énfasis4 4 17" xfId="5615" xr:uid="{00000000-0005-0000-0000-0000F1150000}"/>
    <cellStyle name="20% - Énfasis4 4 17 2" xfId="5616" xr:uid="{00000000-0005-0000-0000-0000F2150000}"/>
    <cellStyle name="20% - Énfasis4 4 18" xfId="5617" xr:uid="{00000000-0005-0000-0000-0000F3150000}"/>
    <cellStyle name="20% - Énfasis4 4 18 2" xfId="5618" xr:uid="{00000000-0005-0000-0000-0000F4150000}"/>
    <cellStyle name="20% - Énfasis4 4 19" xfId="5619" xr:uid="{00000000-0005-0000-0000-0000F5150000}"/>
    <cellStyle name="20% - Énfasis4 4 19 2" xfId="5620" xr:uid="{00000000-0005-0000-0000-0000F6150000}"/>
    <cellStyle name="20% - Énfasis4 4 2" xfId="5621" xr:uid="{00000000-0005-0000-0000-0000F7150000}"/>
    <cellStyle name="20% - Énfasis4 4 2 2" xfId="5622" xr:uid="{00000000-0005-0000-0000-0000F8150000}"/>
    <cellStyle name="20% - Énfasis4 4 20" xfId="5623" xr:uid="{00000000-0005-0000-0000-0000F9150000}"/>
    <cellStyle name="20% - Énfasis4 4 21" xfId="5624" xr:uid="{00000000-0005-0000-0000-0000FA150000}"/>
    <cellStyle name="20% - Énfasis4 4 3" xfId="5625" xr:uid="{00000000-0005-0000-0000-0000FB150000}"/>
    <cellStyle name="20% - Énfasis4 4 3 2" xfId="5626" xr:uid="{00000000-0005-0000-0000-0000FC150000}"/>
    <cellStyle name="20% - Énfasis4 4 4" xfId="5627" xr:uid="{00000000-0005-0000-0000-0000FD150000}"/>
    <cellStyle name="20% - Énfasis4 4 4 2" xfId="5628" xr:uid="{00000000-0005-0000-0000-0000FE150000}"/>
    <cellStyle name="20% - Énfasis4 4 5" xfId="5629" xr:uid="{00000000-0005-0000-0000-0000FF150000}"/>
    <cellStyle name="20% - Énfasis4 4 5 2" xfId="5630" xr:uid="{00000000-0005-0000-0000-000000160000}"/>
    <cellStyle name="20% - Énfasis4 4 6" xfId="5631" xr:uid="{00000000-0005-0000-0000-000001160000}"/>
    <cellStyle name="20% - Énfasis4 4 6 2" xfId="5632" xr:uid="{00000000-0005-0000-0000-000002160000}"/>
    <cellStyle name="20% - Énfasis4 4 7" xfId="5633" xr:uid="{00000000-0005-0000-0000-000003160000}"/>
    <cellStyle name="20% - Énfasis4 4 7 2" xfId="5634" xr:uid="{00000000-0005-0000-0000-000004160000}"/>
    <cellStyle name="20% - Énfasis4 4 8" xfId="5635" xr:uid="{00000000-0005-0000-0000-000005160000}"/>
    <cellStyle name="20% - Énfasis4 4 8 2" xfId="5636" xr:uid="{00000000-0005-0000-0000-000006160000}"/>
    <cellStyle name="20% - Énfasis4 4 9" xfId="5637" xr:uid="{00000000-0005-0000-0000-000007160000}"/>
    <cellStyle name="20% - Énfasis4 4 9 2" xfId="5638" xr:uid="{00000000-0005-0000-0000-000008160000}"/>
    <cellStyle name="20% - Énfasis4 40" xfId="5639" xr:uid="{00000000-0005-0000-0000-000009160000}"/>
    <cellStyle name="20% - Énfasis4 40 2" xfId="5640" xr:uid="{00000000-0005-0000-0000-00000A160000}"/>
    <cellStyle name="20% - Énfasis4 41" xfId="5641" xr:uid="{00000000-0005-0000-0000-00000B160000}"/>
    <cellStyle name="20% - Énfasis4 41 2" xfId="5642" xr:uid="{00000000-0005-0000-0000-00000C160000}"/>
    <cellStyle name="20% - Énfasis4 42" xfId="5643" xr:uid="{00000000-0005-0000-0000-00000D160000}"/>
    <cellStyle name="20% - Énfasis4 42 2" xfId="5644" xr:uid="{00000000-0005-0000-0000-00000E160000}"/>
    <cellStyle name="20% - Énfasis4 43" xfId="5645" xr:uid="{00000000-0005-0000-0000-00000F160000}"/>
    <cellStyle name="20% - Énfasis4 43 2" xfId="5646" xr:uid="{00000000-0005-0000-0000-000010160000}"/>
    <cellStyle name="20% - Énfasis4 44" xfId="5647" xr:uid="{00000000-0005-0000-0000-000011160000}"/>
    <cellStyle name="20% - Énfasis4 44 2" xfId="5648" xr:uid="{00000000-0005-0000-0000-000012160000}"/>
    <cellStyle name="20% - Énfasis4 45" xfId="5649" xr:uid="{00000000-0005-0000-0000-000013160000}"/>
    <cellStyle name="20% - Énfasis4 45 2" xfId="5650" xr:uid="{00000000-0005-0000-0000-000014160000}"/>
    <cellStyle name="20% - Énfasis4 46" xfId="5651" xr:uid="{00000000-0005-0000-0000-000015160000}"/>
    <cellStyle name="20% - Énfasis4 46 2" xfId="5652" xr:uid="{00000000-0005-0000-0000-000016160000}"/>
    <cellStyle name="20% - Énfasis4 47" xfId="5653" xr:uid="{00000000-0005-0000-0000-000017160000}"/>
    <cellStyle name="20% - Énfasis4 47 2" xfId="5654" xr:uid="{00000000-0005-0000-0000-000018160000}"/>
    <cellStyle name="20% - Énfasis4 48" xfId="5655" xr:uid="{00000000-0005-0000-0000-000019160000}"/>
    <cellStyle name="20% - Énfasis4 48 2" xfId="5656" xr:uid="{00000000-0005-0000-0000-00001A160000}"/>
    <cellStyle name="20% - Énfasis4 49" xfId="5657" xr:uid="{00000000-0005-0000-0000-00001B160000}"/>
    <cellStyle name="20% - Énfasis4 49 2" xfId="5658" xr:uid="{00000000-0005-0000-0000-00001C160000}"/>
    <cellStyle name="20% - Énfasis4 5" xfId="5659" xr:uid="{00000000-0005-0000-0000-00001D160000}"/>
    <cellStyle name="20% - Énfasis4 5 10" xfId="5660" xr:uid="{00000000-0005-0000-0000-00001E160000}"/>
    <cellStyle name="20% - Énfasis4 5 10 2" xfId="5661" xr:uid="{00000000-0005-0000-0000-00001F160000}"/>
    <cellStyle name="20% - Énfasis4 5 11" xfId="5662" xr:uid="{00000000-0005-0000-0000-000020160000}"/>
    <cellStyle name="20% - Énfasis4 5 11 2" xfId="5663" xr:uid="{00000000-0005-0000-0000-000021160000}"/>
    <cellStyle name="20% - Énfasis4 5 12" xfId="5664" xr:uid="{00000000-0005-0000-0000-000022160000}"/>
    <cellStyle name="20% - Énfasis4 5 12 2" xfId="5665" xr:uid="{00000000-0005-0000-0000-000023160000}"/>
    <cellStyle name="20% - Énfasis4 5 13" xfId="5666" xr:uid="{00000000-0005-0000-0000-000024160000}"/>
    <cellStyle name="20% - Énfasis4 5 13 2" xfId="5667" xr:uid="{00000000-0005-0000-0000-000025160000}"/>
    <cellStyle name="20% - Énfasis4 5 14" xfId="5668" xr:uid="{00000000-0005-0000-0000-000026160000}"/>
    <cellStyle name="20% - Énfasis4 5 14 2" xfId="5669" xr:uid="{00000000-0005-0000-0000-000027160000}"/>
    <cellStyle name="20% - Énfasis4 5 15" xfId="5670" xr:uid="{00000000-0005-0000-0000-000028160000}"/>
    <cellStyle name="20% - Énfasis4 5 15 2" xfId="5671" xr:uid="{00000000-0005-0000-0000-000029160000}"/>
    <cellStyle name="20% - Énfasis4 5 16" xfId="5672" xr:uid="{00000000-0005-0000-0000-00002A160000}"/>
    <cellStyle name="20% - Énfasis4 5 16 2" xfId="5673" xr:uid="{00000000-0005-0000-0000-00002B160000}"/>
    <cellStyle name="20% - Énfasis4 5 17" xfId="5674" xr:uid="{00000000-0005-0000-0000-00002C160000}"/>
    <cellStyle name="20% - Énfasis4 5 17 2" xfId="5675" xr:uid="{00000000-0005-0000-0000-00002D160000}"/>
    <cellStyle name="20% - Énfasis4 5 18" xfId="5676" xr:uid="{00000000-0005-0000-0000-00002E160000}"/>
    <cellStyle name="20% - Énfasis4 5 18 2" xfId="5677" xr:uid="{00000000-0005-0000-0000-00002F160000}"/>
    <cellStyle name="20% - Énfasis4 5 19" xfId="5678" xr:uid="{00000000-0005-0000-0000-000030160000}"/>
    <cellStyle name="20% - Énfasis4 5 19 2" xfId="5679" xr:uid="{00000000-0005-0000-0000-000031160000}"/>
    <cellStyle name="20% - Énfasis4 5 2" xfId="5680" xr:uid="{00000000-0005-0000-0000-000032160000}"/>
    <cellStyle name="20% - Énfasis4 5 2 2" xfId="5681" xr:uid="{00000000-0005-0000-0000-000033160000}"/>
    <cellStyle name="20% - Énfasis4 5 20" xfId="5682" xr:uid="{00000000-0005-0000-0000-000034160000}"/>
    <cellStyle name="20% - Énfasis4 5 21" xfId="5683" xr:uid="{00000000-0005-0000-0000-000035160000}"/>
    <cellStyle name="20% - Énfasis4 5 3" xfId="5684" xr:uid="{00000000-0005-0000-0000-000036160000}"/>
    <cellStyle name="20% - Énfasis4 5 3 2" xfId="5685" xr:uid="{00000000-0005-0000-0000-000037160000}"/>
    <cellStyle name="20% - Énfasis4 5 4" xfId="5686" xr:uid="{00000000-0005-0000-0000-000038160000}"/>
    <cellStyle name="20% - Énfasis4 5 4 2" xfId="5687" xr:uid="{00000000-0005-0000-0000-000039160000}"/>
    <cellStyle name="20% - Énfasis4 5 5" xfId="5688" xr:uid="{00000000-0005-0000-0000-00003A160000}"/>
    <cellStyle name="20% - Énfasis4 5 5 2" xfId="5689" xr:uid="{00000000-0005-0000-0000-00003B160000}"/>
    <cellStyle name="20% - Énfasis4 5 6" xfId="5690" xr:uid="{00000000-0005-0000-0000-00003C160000}"/>
    <cellStyle name="20% - Énfasis4 5 6 2" xfId="5691" xr:uid="{00000000-0005-0000-0000-00003D160000}"/>
    <cellStyle name="20% - Énfasis4 5 7" xfId="5692" xr:uid="{00000000-0005-0000-0000-00003E160000}"/>
    <cellStyle name="20% - Énfasis4 5 7 2" xfId="5693" xr:uid="{00000000-0005-0000-0000-00003F160000}"/>
    <cellStyle name="20% - Énfasis4 5 8" xfId="5694" xr:uid="{00000000-0005-0000-0000-000040160000}"/>
    <cellStyle name="20% - Énfasis4 5 8 2" xfId="5695" xr:uid="{00000000-0005-0000-0000-000041160000}"/>
    <cellStyle name="20% - Énfasis4 5 9" xfId="5696" xr:uid="{00000000-0005-0000-0000-000042160000}"/>
    <cellStyle name="20% - Énfasis4 5 9 2" xfId="5697" xr:uid="{00000000-0005-0000-0000-000043160000}"/>
    <cellStyle name="20% - Énfasis4 50" xfId="5698" xr:uid="{00000000-0005-0000-0000-000044160000}"/>
    <cellStyle name="20% - Énfasis4 50 2" xfId="5699" xr:uid="{00000000-0005-0000-0000-000045160000}"/>
    <cellStyle name="20% - Énfasis4 51" xfId="5700" xr:uid="{00000000-0005-0000-0000-000046160000}"/>
    <cellStyle name="20% - Énfasis4 51 2" xfId="5701" xr:uid="{00000000-0005-0000-0000-000047160000}"/>
    <cellStyle name="20% - Énfasis4 52" xfId="5702" xr:uid="{00000000-0005-0000-0000-000048160000}"/>
    <cellStyle name="20% - Énfasis4 52 2" xfId="5703" xr:uid="{00000000-0005-0000-0000-000049160000}"/>
    <cellStyle name="20% - Énfasis4 53" xfId="5704" xr:uid="{00000000-0005-0000-0000-00004A160000}"/>
    <cellStyle name="20% - Énfasis4 53 2" xfId="5705" xr:uid="{00000000-0005-0000-0000-00004B160000}"/>
    <cellStyle name="20% - Énfasis4 54" xfId="5706" xr:uid="{00000000-0005-0000-0000-00004C160000}"/>
    <cellStyle name="20% - Énfasis4 54 2" xfId="5707" xr:uid="{00000000-0005-0000-0000-00004D160000}"/>
    <cellStyle name="20% - Énfasis4 55" xfId="5708" xr:uid="{00000000-0005-0000-0000-00004E160000}"/>
    <cellStyle name="20% - Énfasis4 55 2" xfId="5709" xr:uid="{00000000-0005-0000-0000-00004F160000}"/>
    <cellStyle name="20% - Énfasis4 56" xfId="5710" xr:uid="{00000000-0005-0000-0000-000050160000}"/>
    <cellStyle name="20% - Énfasis4 56 2" xfId="5711" xr:uid="{00000000-0005-0000-0000-000051160000}"/>
    <cellStyle name="20% - Énfasis4 57" xfId="5712" xr:uid="{00000000-0005-0000-0000-000052160000}"/>
    <cellStyle name="20% - Énfasis4 57 2" xfId="5713" xr:uid="{00000000-0005-0000-0000-000053160000}"/>
    <cellStyle name="20% - Énfasis4 58" xfId="5714" xr:uid="{00000000-0005-0000-0000-000054160000}"/>
    <cellStyle name="20% - Énfasis4 58 2" xfId="5715" xr:uid="{00000000-0005-0000-0000-000055160000}"/>
    <cellStyle name="20% - Énfasis4 59" xfId="5716" xr:uid="{00000000-0005-0000-0000-000056160000}"/>
    <cellStyle name="20% - Énfasis4 59 2" xfId="5717" xr:uid="{00000000-0005-0000-0000-000057160000}"/>
    <cellStyle name="20% - Énfasis4 6" xfId="5718" xr:uid="{00000000-0005-0000-0000-000058160000}"/>
    <cellStyle name="20% - Énfasis4 6 10" xfId="5719" xr:uid="{00000000-0005-0000-0000-000059160000}"/>
    <cellStyle name="20% - Énfasis4 6 10 2" xfId="5720" xr:uid="{00000000-0005-0000-0000-00005A160000}"/>
    <cellStyle name="20% - Énfasis4 6 11" xfId="5721" xr:uid="{00000000-0005-0000-0000-00005B160000}"/>
    <cellStyle name="20% - Énfasis4 6 11 2" xfId="5722" xr:uid="{00000000-0005-0000-0000-00005C160000}"/>
    <cellStyle name="20% - Énfasis4 6 12" xfId="5723" xr:uid="{00000000-0005-0000-0000-00005D160000}"/>
    <cellStyle name="20% - Énfasis4 6 12 2" xfId="5724" xr:uid="{00000000-0005-0000-0000-00005E160000}"/>
    <cellStyle name="20% - Énfasis4 6 13" xfId="5725" xr:uid="{00000000-0005-0000-0000-00005F160000}"/>
    <cellStyle name="20% - Énfasis4 6 13 2" xfId="5726" xr:uid="{00000000-0005-0000-0000-000060160000}"/>
    <cellStyle name="20% - Énfasis4 6 14" xfId="5727" xr:uid="{00000000-0005-0000-0000-000061160000}"/>
    <cellStyle name="20% - Énfasis4 6 14 2" xfId="5728" xr:uid="{00000000-0005-0000-0000-000062160000}"/>
    <cellStyle name="20% - Énfasis4 6 15" xfId="5729" xr:uid="{00000000-0005-0000-0000-000063160000}"/>
    <cellStyle name="20% - Énfasis4 6 15 2" xfId="5730" xr:uid="{00000000-0005-0000-0000-000064160000}"/>
    <cellStyle name="20% - Énfasis4 6 16" xfId="5731" xr:uid="{00000000-0005-0000-0000-000065160000}"/>
    <cellStyle name="20% - Énfasis4 6 16 2" xfId="5732" xr:uid="{00000000-0005-0000-0000-000066160000}"/>
    <cellStyle name="20% - Énfasis4 6 17" xfId="5733" xr:uid="{00000000-0005-0000-0000-000067160000}"/>
    <cellStyle name="20% - Énfasis4 6 17 2" xfId="5734" xr:uid="{00000000-0005-0000-0000-000068160000}"/>
    <cellStyle name="20% - Énfasis4 6 18" xfId="5735" xr:uid="{00000000-0005-0000-0000-000069160000}"/>
    <cellStyle name="20% - Énfasis4 6 18 2" xfId="5736" xr:uid="{00000000-0005-0000-0000-00006A160000}"/>
    <cellStyle name="20% - Énfasis4 6 19" xfId="5737" xr:uid="{00000000-0005-0000-0000-00006B160000}"/>
    <cellStyle name="20% - Énfasis4 6 19 2" xfId="5738" xr:uid="{00000000-0005-0000-0000-00006C160000}"/>
    <cellStyle name="20% - Énfasis4 6 2" xfId="5739" xr:uid="{00000000-0005-0000-0000-00006D160000}"/>
    <cellStyle name="20% - Énfasis4 6 2 2" xfId="5740" xr:uid="{00000000-0005-0000-0000-00006E160000}"/>
    <cellStyle name="20% - Énfasis4 6 20" xfId="5741" xr:uid="{00000000-0005-0000-0000-00006F160000}"/>
    <cellStyle name="20% - Énfasis4 6 21" xfId="5742" xr:uid="{00000000-0005-0000-0000-000070160000}"/>
    <cellStyle name="20% - Énfasis4 6 3" xfId="5743" xr:uid="{00000000-0005-0000-0000-000071160000}"/>
    <cellStyle name="20% - Énfasis4 6 3 2" xfId="5744" xr:uid="{00000000-0005-0000-0000-000072160000}"/>
    <cellStyle name="20% - Énfasis4 6 4" xfId="5745" xr:uid="{00000000-0005-0000-0000-000073160000}"/>
    <cellStyle name="20% - Énfasis4 6 4 2" xfId="5746" xr:uid="{00000000-0005-0000-0000-000074160000}"/>
    <cellStyle name="20% - Énfasis4 6 5" xfId="5747" xr:uid="{00000000-0005-0000-0000-000075160000}"/>
    <cellStyle name="20% - Énfasis4 6 5 2" xfId="5748" xr:uid="{00000000-0005-0000-0000-000076160000}"/>
    <cellStyle name="20% - Énfasis4 6 6" xfId="5749" xr:uid="{00000000-0005-0000-0000-000077160000}"/>
    <cellStyle name="20% - Énfasis4 6 6 2" xfId="5750" xr:uid="{00000000-0005-0000-0000-000078160000}"/>
    <cellStyle name="20% - Énfasis4 6 7" xfId="5751" xr:uid="{00000000-0005-0000-0000-000079160000}"/>
    <cellStyle name="20% - Énfasis4 6 7 2" xfId="5752" xr:uid="{00000000-0005-0000-0000-00007A160000}"/>
    <cellStyle name="20% - Énfasis4 6 8" xfId="5753" xr:uid="{00000000-0005-0000-0000-00007B160000}"/>
    <cellStyle name="20% - Énfasis4 6 8 2" xfId="5754" xr:uid="{00000000-0005-0000-0000-00007C160000}"/>
    <cellStyle name="20% - Énfasis4 6 9" xfId="5755" xr:uid="{00000000-0005-0000-0000-00007D160000}"/>
    <cellStyle name="20% - Énfasis4 6 9 2" xfId="5756" xr:uid="{00000000-0005-0000-0000-00007E160000}"/>
    <cellStyle name="20% - Énfasis4 60" xfId="5757" xr:uid="{00000000-0005-0000-0000-00007F160000}"/>
    <cellStyle name="20% - Énfasis4 60 2" xfId="5758" xr:uid="{00000000-0005-0000-0000-000080160000}"/>
    <cellStyle name="20% - Énfasis4 61" xfId="5759" xr:uid="{00000000-0005-0000-0000-000081160000}"/>
    <cellStyle name="20% - Énfasis4 61 2" xfId="5760" xr:uid="{00000000-0005-0000-0000-000082160000}"/>
    <cellStyle name="20% - Énfasis4 62" xfId="5761" xr:uid="{00000000-0005-0000-0000-000083160000}"/>
    <cellStyle name="20% - Énfasis4 62 2" xfId="5762" xr:uid="{00000000-0005-0000-0000-000084160000}"/>
    <cellStyle name="20% - Énfasis4 63" xfId="5763" xr:uid="{00000000-0005-0000-0000-000085160000}"/>
    <cellStyle name="20% - Énfasis4 63 2" xfId="5764" xr:uid="{00000000-0005-0000-0000-000086160000}"/>
    <cellStyle name="20% - Énfasis4 64" xfId="5765" xr:uid="{00000000-0005-0000-0000-000087160000}"/>
    <cellStyle name="20% - Énfasis4 64 2" xfId="5766" xr:uid="{00000000-0005-0000-0000-000088160000}"/>
    <cellStyle name="20% - Énfasis4 65" xfId="5767" xr:uid="{00000000-0005-0000-0000-000089160000}"/>
    <cellStyle name="20% - Énfasis4 65 2" xfId="5768" xr:uid="{00000000-0005-0000-0000-00008A160000}"/>
    <cellStyle name="20% - Énfasis4 66" xfId="5769" xr:uid="{00000000-0005-0000-0000-00008B160000}"/>
    <cellStyle name="20% - Énfasis4 66 2" xfId="5770" xr:uid="{00000000-0005-0000-0000-00008C160000}"/>
    <cellStyle name="20% - Énfasis4 67" xfId="5771" xr:uid="{00000000-0005-0000-0000-00008D160000}"/>
    <cellStyle name="20% - Énfasis4 67 2" xfId="5772" xr:uid="{00000000-0005-0000-0000-00008E160000}"/>
    <cellStyle name="20% - Énfasis4 68" xfId="5773" xr:uid="{00000000-0005-0000-0000-00008F160000}"/>
    <cellStyle name="20% - Énfasis4 68 2" xfId="5774" xr:uid="{00000000-0005-0000-0000-000090160000}"/>
    <cellStyle name="20% - Énfasis4 69" xfId="5775" xr:uid="{00000000-0005-0000-0000-000091160000}"/>
    <cellStyle name="20% - Énfasis4 69 2" xfId="5776" xr:uid="{00000000-0005-0000-0000-000092160000}"/>
    <cellStyle name="20% - Énfasis4 7" xfId="5777" xr:uid="{00000000-0005-0000-0000-000093160000}"/>
    <cellStyle name="20% - Énfasis4 7 10" xfId="5778" xr:uid="{00000000-0005-0000-0000-000094160000}"/>
    <cellStyle name="20% - Énfasis4 7 10 2" xfId="5779" xr:uid="{00000000-0005-0000-0000-000095160000}"/>
    <cellStyle name="20% - Énfasis4 7 11" xfId="5780" xr:uid="{00000000-0005-0000-0000-000096160000}"/>
    <cellStyle name="20% - Énfasis4 7 11 2" xfId="5781" xr:uid="{00000000-0005-0000-0000-000097160000}"/>
    <cellStyle name="20% - Énfasis4 7 12" xfId="5782" xr:uid="{00000000-0005-0000-0000-000098160000}"/>
    <cellStyle name="20% - Énfasis4 7 12 2" xfId="5783" xr:uid="{00000000-0005-0000-0000-000099160000}"/>
    <cellStyle name="20% - Énfasis4 7 13" xfId="5784" xr:uid="{00000000-0005-0000-0000-00009A160000}"/>
    <cellStyle name="20% - Énfasis4 7 13 2" xfId="5785" xr:uid="{00000000-0005-0000-0000-00009B160000}"/>
    <cellStyle name="20% - Énfasis4 7 14" xfId="5786" xr:uid="{00000000-0005-0000-0000-00009C160000}"/>
    <cellStyle name="20% - Énfasis4 7 14 2" xfId="5787" xr:uid="{00000000-0005-0000-0000-00009D160000}"/>
    <cellStyle name="20% - Énfasis4 7 15" xfId="5788" xr:uid="{00000000-0005-0000-0000-00009E160000}"/>
    <cellStyle name="20% - Énfasis4 7 15 2" xfId="5789" xr:uid="{00000000-0005-0000-0000-00009F160000}"/>
    <cellStyle name="20% - Énfasis4 7 16" xfId="5790" xr:uid="{00000000-0005-0000-0000-0000A0160000}"/>
    <cellStyle name="20% - Énfasis4 7 16 2" xfId="5791" xr:uid="{00000000-0005-0000-0000-0000A1160000}"/>
    <cellStyle name="20% - Énfasis4 7 17" xfId="5792" xr:uid="{00000000-0005-0000-0000-0000A2160000}"/>
    <cellStyle name="20% - Énfasis4 7 17 2" xfId="5793" xr:uid="{00000000-0005-0000-0000-0000A3160000}"/>
    <cellStyle name="20% - Énfasis4 7 18" xfId="5794" xr:uid="{00000000-0005-0000-0000-0000A4160000}"/>
    <cellStyle name="20% - Énfasis4 7 18 2" xfId="5795" xr:uid="{00000000-0005-0000-0000-0000A5160000}"/>
    <cellStyle name="20% - Énfasis4 7 19" xfId="5796" xr:uid="{00000000-0005-0000-0000-0000A6160000}"/>
    <cellStyle name="20% - Énfasis4 7 19 2" xfId="5797" xr:uid="{00000000-0005-0000-0000-0000A7160000}"/>
    <cellStyle name="20% - Énfasis4 7 2" xfId="5798" xr:uid="{00000000-0005-0000-0000-0000A8160000}"/>
    <cellStyle name="20% - Énfasis4 7 2 2" xfId="5799" xr:uid="{00000000-0005-0000-0000-0000A9160000}"/>
    <cellStyle name="20% - Énfasis4 7 20" xfId="5800" xr:uid="{00000000-0005-0000-0000-0000AA160000}"/>
    <cellStyle name="20% - Énfasis4 7 21" xfId="5801" xr:uid="{00000000-0005-0000-0000-0000AB160000}"/>
    <cellStyle name="20% - Énfasis4 7 3" xfId="5802" xr:uid="{00000000-0005-0000-0000-0000AC160000}"/>
    <cellStyle name="20% - Énfasis4 7 3 2" xfId="5803" xr:uid="{00000000-0005-0000-0000-0000AD160000}"/>
    <cellStyle name="20% - Énfasis4 7 4" xfId="5804" xr:uid="{00000000-0005-0000-0000-0000AE160000}"/>
    <cellStyle name="20% - Énfasis4 7 4 2" xfId="5805" xr:uid="{00000000-0005-0000-0000-0000AF160000}"/>
    <cellStyle name="20% - Énfasis4 7 5" xfId="5806" xr:uid="{00000000-0005-0000-0000-0000B0160000}"/>
    <cellStyle name="20% - Énfasis4 7 5 2" xfId="5807" xr:uid="{00000000-0005-0000-0000-0000B1160000}"/>
    <cellStyle name="20% - Énfasis4 7 6" xfId="5808" xr:uid="{00000000-0005-0000-0000-0000B2160000}"/>
    <cellStyle name="20% - Énfasis4 7 6 2" xfId="5809" xr:uid="{00000000-0005-0000-0000-0000B3160000}"/>
    <cellStyle name="20% - Énfasis4 7 7" xfId="5810" xr:uid="{00000000-0005-0000-0000-0000B4160000}"/>
    <cellStyle name="20% - Énfasis4 7 7 2" xfId="5811" xr:uid="{00000000-0005-0000-0000-0000B5160000}"/>
    <cellStyle name="20% - Énfasis4 7 8" xfId="5812" xr:uid="{00000000-0005-0000-0000-0000B6160000}"/>
    <cellStyle name="20% - Énfasis4 7 8 2" xfId="5813" xr:uid="{00000000-0005-0000-0000-0000B7160000}"/>
    <cellStyle name="20% - Énfasis4 7 9" xfId="5814" xr:uid="{00000000-0005-0000-0000-0000B8160000}"/>
    <cellStyle name="20% - Énfasis4 7 9 2" xfId="5815" xr:uid="{00000000-0005-0000-0000-0000B9160000}"/>
    <cellStyle name="20% - Énfasis4 70" xfId="5816" xr:uid="{00000000-0005-0000-0000-0000BA160000}"/>
    <cellStyle name="20% - Énfasis4 70 2" xfId="5817" xr:uid="{00000000-0005-0000-0000-0000BB160000}"/>
    <cellStyle name="20% - Énfasis4 71" xfId="5818" xr:uid="{00000000-0005-0000-0000-0000BC160000}"/>
    <cellStyle name="20% - Énfasis4 71 2" xfId="5819" xr:uid="{00000000-0005-0000-0000-0000BD160000}"/>
    <cellStyle name="20% - Énfasis4 72" xfId="5820" xr:uid="{00000000-0005-0000-0000-0000BE160000}"/>
    <cellStyle name="20% - Énfasis4 72 2" xfId="5821" xr:uid="{00000000-0005-0000-0000-0000BF160000}"/>
    <cellStyle name="20% - Énfasis4 73" xfId="5822" xr:uid="{00000000-0005-0000-0000-0000C0160000}"/>
    <cellStyle name="20% - Énfasis4 73 2" xfId="5823" xr:uid="{00000000-0005-0000-0000-0000C1160000}"/>
    <cellStyle name="20% - Énfasis4 74" xfId="5824" xr:uid="{00000000-0005-0000-0000-0000C2160000}"/>
    <cellStyle name="20% - Énfasis4 74 2" xfId="5825" xr:uid="{00000000-0005-0000-0000-0000C3160000}"/>
    <cellStyle name="20% - Énfasis4 75" xfId="5826" xr:uid="{00000000-0005-0000-0000-0000C4160000}"/>
    <cellStyle name="20% - Énfasis4 75 2" xfId="5827" xr:uid="{00000000-0005-0000-0000-0000C5160000}"/>
    <cellStyle name="20% - Énfasis4 76" xfId="5828" xr:uid="{00000000-0005-0000-0000-0000C6160000}"/>
    <cellStyle name="20% - Énfasis4 76 2" xfId="5829" xr:uid="{00000000-0005-0000-0000-0000C7160000}"/>
    <cellStyle name="20% - Énfasis4 77" xfId="5830" xr:uid="{00000000-0005-0000-0000-0000C8160000}"/>
    <cellStyle name="20% - Énfasis4 77 2" xfId="5831" xr:uid="{00000000-0005-0000-0000-0000C9160000}"/>
    <cellStyle name="20% - Énfasis4 78" xfId="5832" xr:uid="{00000000-0005-0000-0000-0000CA160000}"/>
    <cellStyle name="20% - Énfasis4 78 2" xfId="5833" xr:uid="{00000000-0005-0000-0000-0000CB160000}"/>
    <cellStyle name="20% - Énfasis4 79" xfId="5834" xr:uid="{00000000-0005-0000-0000-0000CC160000}"/>
    <cellStyle name="20% - Énfasis4 79 2" xfId="5835" xr:uid="{00000000-0005-0000-0000-0000CD160000}"/>
    <cellStyle name="20% - Énfasis4 8" xfId="5836" xr:uid="{00000000-0005-0000-0000-0000CE160000}"/>
    <cellStyle name="20% - Énfasis4 8 10" xfId="5837" xr:uid="{00000000-0005-0000-0000-0000CF160000}"/>
    <cellStyle name="20% - Énfasis4 8 10 2" xfId="5838" xr:uid="{00000000-0005-0000-0000-0000D0160000}"/>
    <cellStyle name="20% - Énfasis4 8 11" xfId="5839" xr:uid="{00000000-0005-0000-0000-0000D1160000}"/>
    <cellStyle name="20% - Énfasis4 8 11 2" xfId="5840" xr:uid="{00000000-0005-0000-0000-0000D2160000}"/>
    <cellStyle name="20% - Énfasis4 8 12" xfId="5841" xr:uid="{00000000-0005-0000-0000-0000D3160000}"/>
    <cellStyle name="20% - Énfasis4 8 12 2" xfId="5842" xr:uid="{00000000-0005-0000-0000-0000D4160000}"/>
    <cellStyle name="20% - Énfasis4 8 13" xfId="5843" xr:uid="{00000000-0005-0000-0000-0000D5160000}"/>
    <cellStyle name="20% - Énfasis4 8 13 2" xfId="5844" xr:uid="{00000000-0005-0000-0000-0000D6160000}"/>
    <cellStyle name="20% - Énfasis4 8 14" xfId="5845" xr:uid="{00000000-0005-0000-0000-0000D7160000}"/>
    <cellStyle name="20% - Énfasis4 8 14 2" xfId="5846" xr:uid="{00000000-0005-0000-0000-0000D8160000}"/>
    <cellStyle name="20% - Énfasis4 8 15" xfId="5847" xr:uid="{00000000-0005-0000-0000-0000D9160000}"/>
    <cellStyle name="20% - Énfasis4 8 15 2" xfId="5848" xr:uid="{00000000-0005-0000-0000-0000DA160000}"/>
    <cellStyle name="20% - Énfasis4 8 16" xfId="5849" xr:uid="{00000000-0005-0000-0000-0000DB160000}"/>
    <cellStyle name="20% - Énfasis4 8 16 2" xfId="5850" xr:uid="{00000000-0005-0000-0000-0000DC160000}"/>
    <cellStyle name="20% - Énfasis4 8 17" xfId="5851" xr:uid="{00000000-0005-0000-0000-0000DD160000}"/>
    <cellStyle name="20% - Énfasis4 8 17 2" xfId="5852" xr:uid="{00000000-0005-0000-0000-0000DE160000}"/>
    <cellStyle name="20% - Énfasis4 8 18" xfId="5853" xr:uid="{00000000-0005-0000-0000-0000DF160000}"/>
    <cellStyle name="20% - Énfasis4 8 18 2" xfId="5854" xr:uid="{00000000-0005-0000-0000-0000E0160000}"/>
    <cellStyle name="20% - Énfasis4 8 19" xfId="5855" xr:uid="{00000000-0005-0000-0000-0000E1160000}"/>
    <cellStyle name="20% - Énfasis4 8 19 2" xfId="5856" xr:uid="{00000000-0005-0000-0000-0000E2160000}"/>
    <cellStyle name="20% - Énfasis4 8 2" xfId="5857" xr:uid="{00000000-0005-0000-0000-0000E3160000}"/>
    <cellStyle name="20% - Énfasis4 8 2 2" xfId="5858" xr:uid="{00000000-0005-0000-0000-0000E4160000}"/>
    <cellStyle name="20% - Énfasis4 8 20" xfId="5859" xr:uid="{00000000-0005-0000-0000-0000E5160000}"/>
    <cellStyle name="20% - Énfasis4 8 21" xfId="5860" xr:uid="{00000000-0005-0000-0000-0000E6160000}"/>
    <cellStyle name="20% - Énfasis4 8 3" xfId="5861" xr:uid="{00000000-0005-0000-0000-0000E7160000}"/>
    <cellStyle name="20% - Énfasis4 8 3 2" xfId="5862" xr:uid="{00000000-0005-0000-0000-0000E8160000}"/>
    <cellStyle name="20% - Énfasis4 8 4" xfId="5863" xr:uid="{00000000-0005-0000-0000-0000E9160000}"/>
    <cellStyle name="20% - Énfasis4 8 4 2" xfId="5864" xr:uid="{00000000-0005-0000-0000-0000EA160000}"/>
    <cellStyle name="20% - Énfasis4 8 5" xfId="5865" xr:uid="{00000000-0005-0000-0000-0000EB160000}"/>
    <cellStyle name="20% - Énfasis4 8 5 2" xfId="5866" xr:uid="{00000000-0005-0000-0000-0000EC160000}"/>
    <cellStyle name="20% - Énfasis4 8 6" xfId="5867" xr:uid="{00000000-0005-0000-0000-0000ED160000}"/>
    <cellStyle name="20% - Énfasis4 8 6 2" xfId="5868" xr:uid="{00000000-0005-0000-0000-0000EE160000}"/>
    <cellStyle name="20% - Énfasis4 8 7" xfId="5869" xr:uid="{00000000-0005-0000-0000-0000EF160000}"/>
    <cellStyle name="20% - Énfasis4 8 7 2" xfId="5870" xr:uid="{00000000-0005-0000-0000-0000F0160000}"/>
    <cellStyle name="20% - Énfasis4 8 8" xfId="5871" xr:uid="{00000000-0005-0000-0000-0000F1160000}"/>
    <cellStyle name="20% - Énfasis4 8 8 2" xfId="5872" xr:uid="{00000000-0005-0000-0000-0000F2160000}"/>
    <cellStyle name="20% - Énfasis4 8 9" xfId="5873" xr:uid="{00000000-0005-0000-0000-0000F3160000}"/>
    <cellStyle name="20% - Énfasis4 8 9 2" xfId="5874" xr:uid="{00000000-0005-0000-0000-0000F4160000}"/>
    <cellStyle name="20% - Énfasis4 80" xfId="5875" xr:uid="{00000000-0005-0000-0000-0000F5160000}"/>
    <cellStyle name="20% - Énfasis4 80 2" xfId="5876" xr:uid="{00000000-0005-0000-0000-0000F6160000}"/>
    <cellStyle name="20% - Énfasis4 81" xfId="5877" xr:uid="{00000000-0005-0000-0000-0000F7160000}"/>
    <cellStyle name="20% - Énfasis4 81 2" xfId="5878" xr:uid="{00000000-0005-0000-0000-0000F8160000}"/>
    <cellStyle name="20% - Énfasis4 82" xfId="5879" xr:uid="{00000000-0005-0000-0000-0000F9160000}"/>
    <cellStyle name="20% - Énfasis4 82 2" xfId="5880" xr:uid="{00000000-0005-0000-0000-0000FA160000}"/>
    <cellStyle name="20% - Énfasis4 83" xfId="5881" xr:uid="{00000000-0005-0000-0000-0000FB160000}"/>
    <cellStyle name="20% - Énfasis4 83 2" xfId="5882" xr:uid="{00000000-0005-0000-0000-0000FC160000}"/>
    <cellStyle name="20% - Énfasis4 84" xfId="5883" xr:uid="{00000000-0005-0000-0000-0000FD160000}"/>
    <cellStyle name="20% - Énfasis4 84 2" xfId="5884" xr:uid="{00000000-0005-0000-0000-0000FE160000}"/>
    <cellStyle name="20% - Énfasis4 85" xfId="5885" xr:uid="{00000000-0005-0000-0000-0000FF160000}"/>
    <cellStyle name="20% - Énfasis4 85 2" xfId="5886" xr:uid="{00000000-0005-0000-0000-000000170000}"/>
    <cellStyle name="20% - Énfasis4 86" xfId="5887" xr:uid="{00000000-0005-0000-0000-000001170000}"/>
    <cellStyle name="20% - Énfasis4 86 2" xfId="5888" xr:uid="{00000000-0005-0000-0000-000002170000}"/>
    <cellStyle name="20% - Énfasis4 87" xfId="5889" xr:uid="{00000000-0005-0000-0000-000003170000}"/>
    <cellStyle name="20% - Énfasis4 88" xfId="5890" xr:uid="{00000000-0005-0000-0000-000004170000}"/>
    <cellStyle name="20% - Énfasis4 89" xfId="5891" xr:uid="{00000000-0005-0000-0000-000005170000}"/>
    <cellStyle name="20% - Énfasis4 9" xfId="5892" xr:uid="{00000000-0005-0000-0000-000006170000}"/>
    <cellStyle name="20% - Énfasis4 9 10" xfId="5893" xr:uid="{00000000-0005-0000-0000-000007170000}"/>
    <cellStyle name="20% - Énfasis4 9 10 2" xfId="5894" xr:uid="{00000000-0005-0000-0000-000008170000}"/>
    <cellStyle name="20% - Énfasis4 9 11" xfId="5895" xr:uid="{00000000-0005-0000-0000-000009170000}"/>
    <cellStyle name="20% - Énfasis4 9 11 2" xfId="5896" xr:uid="{00000000-0005-0000-0000-00000A170000}"/>
    <cellStyle name="20% - Énfasis4 9 12" xfId="5897" xr:uid="{00000000-0005-0000-0000-00000B170000}"/>
    <cellStyle name="20% - Énfasis4 9 12 2" xfId="5898" xr:uid="{00000000-0005-0000-0000-00000C170000}"/>
    <cellStyle name="20% - Énfasis4 9 13" xfId="5899" xr:uid="{00000000-0005-0000-0000-00000D170000}"/>
    <cellStyle name="20% - Énfasis4 9 13 2" xfId="5900" xr:uid="{00000000-0005-0000-0000-00000E170000}"/>
    <cellStyle name="20% - Énfasis4 9 14" xfId="5901" xr:uid="{00000000-0005-0000-0000-00000F170000}"/>
    <cellStyle name="20% - Énfasis4 9 14 2" xfId="5902" xr:uid="{00000000-0005-0000-0000-000010170000}"/>
    <cellStyle name="20% - Énfasis4 9 15" xfId="5903" xr:uid="{00000000-0005-0000-0000-000011170000}"/>
    <cellStyle name="20% - Énfasis4 9 15 2" xfId="5904" xr:uid="{00000000-0005-0000-0000-000012170000}"/>
    <cellStyle name="20% - Énfasis4 9 16" xfId="5905" xr:uid="{00000000-0005-0000-0000-000013170000}"/>
    <cellStyle name="20% - Énfasis4 9 16 2" xfId="5906" xr:uid="{00000000-0005-0000-0000-000014170000}"/>
    <cellStyle name="20% - Énfasis4 9 17" xfId="5907" xr:uid="{00000000-0005-0000-0000-000015170000}"/>
    <cellStyle name="20% - Énfasis4 9 17 2" xfId="5908" xr:uid="{00000000-0005-0000-0000-000016170000}"/>
    <cellStyle name="20% - Énfasis4 9 18" xfId="5909" xr:uid="{00000000-0005-0000-0000-000017170000}"/>
    <cellStyle name="20% - Énfasis4 9 18 2" xfId="5910" xr:uid="{00000000-0005-0000-0000-000018170000}"/>
    <cellStyle name="20% - Énfasis4 9 19" xfId="5911" xr:uid="{00000000-0005-0000-0000-000019170000}"/>
    <cellStyle name="20% - Énfasis4 9 19 2" xfId="5912" xr:uid="{00000000-0005-0000-0000-00001A170000}"/>
    <cellStyle name="20% - Énfasis4 9 2" xfId="5913" xr:uid="{00000000-0005-0000-0000-00001B170000}"/>
    <cellStyle name="20% - Énfasis4 9 2 2" xfId="5914" xr:uid="{00000000-0005-0000-0000-00001C170000}"/>
    <cellStyle name="20% - Énfasis4 9 20" xfId="5915" xr:uid="{00000000-0005-0000-0000-00001D170000}"/>
    <cellStyle name="20% - Énfasis4 9 21" xfId="5916" xr:uid="{00000000-0005-0000-0000-00001E170000}"/>
    <cellStyle name="20% - Énfasis4 9 3" xfId="5917" xr:uid="{00000000-0005-0000-0000-00001F170000}"/>
    <cellStyle name="20% - Énfasis4 9 3 2" xfId="5918" xr:uid="{00000000-0005-0000-0000-000020170000}"/>
    <cellStyle name="20% - Énfasis4 9 4" xfId="5919" xr:uid="{00000000-0005-0000-0000-000021170000}"/>
    <cellStyle name="20% - Énfasis4 9 4 2" xfId="5920" xr:uid="{00000000-0005-0000-0000-000022170000}"/>
    <cellStyle name="20% - Énfasis4 9 5" xfId="5921" xr:uid="{00000000-0005-0000-0000-000023170000}"/>
    <cellStyle name="20% - Énfasis4 9 5 2" xfId="5922" xr:uid="{00000000-0005-0000-0000-000024170000}"/>
    <cellStyle name="20% - Énfasis4 9 6" xfId="5923" xr:uid="{00000000-0005-0000-0000-000025170000}"/>
    <cellStyle name="20% - Énfasis4 9 6 2" xfId="5924" xr:uid="{00000000-0005-0000-0000-000026170000}"/>
    <cellStyle name="20% - Énfasis4 9 7" xfId="5925" xr:uid="{00000000-0005-0000-0000-000027170000}"/>
    <cellStyle name="20% - Énfasis4 9 7 2" xfId="5926" xr:uid="{00000000-0005-0000-0000-000028170000}"/>
    <cellStyle name="20% - Énfasis4 9 8" xfId="5927" xr:uid="{00000000-0005-0000-0000-000029170000}"/>
    <cellStyle name="20% - Énfasis4 9 8 2" xfId="5928" xr:uid="{00000000-0005-0000-0000-00002A170000}"/>
    <cellStyle name="20% - Énfasis4 9 9" xfId="5929" xr:uid="{00000000-0005-0000-0000-00002B170000}"/>
    <cellStyle name="20% - Énfasis4 9 9 2" xfId="5930" xr:uid="{00000000-0005-0000-0000-00002C170000}"/>
    <cellStyle name="20% - Énfasis4 90" xfId="5931" xr:uid="{00000000-0005-0000-0000-00002D170000}"/>
    <cellStyle name="20% - Énfasis4 91" xfId="5932" xr:uid="{00000000-0005-0000-0000-00002E170000}"/>
    <cellStyle name="20% - Énfasis4 92" xfId="5933" xr:uid="{00000000-0005-0000-0000-00002F170000}"/>
    <cellStyle name="20% - Énfasis4 93" xfId="5934" xr:uid="{00000000-0005-0000-0000-000030170000}"/>
    <cellStyle name="20% - Énfasis4 94" xfId="5935" xr:uid="{00000000-0005-0000-0000-000031170000}"/>
    <cellStyle name="20% - Énfasis4 95" xfId="5936" xr:uid="{00000000-0005-0000-0000-000032170000}"/>
    <cellStyle name="20% - Énfasis4 96" xfId="5937" xr:uid="{00000000-0005-0000-0000-000033170000}"/>
    <cellStyle name="20% - Énfasis4 97" xfId="5938" xr:uid="{00000000-0005-0000-0000-000034170000}"/>
    <cellStyle name="20% - Énfasis4 98" xfId="15635" xr:uid="{00000000-0005-0000-0000-000035170000}"/>
    <cellStyle name="20% - Énfasis5" xfId="5939" builtinId="46" customBuiltin="1"/>
    <cellStyle name="20% - Énfasis5 10" xfId="5940" xr:uid="{00000000-0005-0000-0000-000037170000}"/>
    <cellStyle name="20% - Énfasis5 10 10" xfId="5941" xr:uid="{00000000-0005-0000-0000-000038170000}"/>
    <cellStyle name="20% - Énfasis5 10 10 2" xfId="5942" xr:uid="{00000000-0005-0000-0000-000039170000}"/>
    <cellStyle name="20% - Énfasis5 10 11" xfId="5943" xr:uid="{00000000-0005-0000-0000-00003A170000}"/>
    <cellStyle name="20% - Énfasis5 10 11 2" xfId="5944" xr:uid="{00000000-0005-0000-0000-00003B170000}"/>
    <cellStyle name="20% - Énfasis5 10 12" xfId="5945" xr:uid="{00000000-0005-0000-0000-00003C170000}"/>
    <cellStyle name="20% - Énfasis5 10 12 2" xfId="5946" xr:uid="{00000000-0005-0000-0000-00003D170000}"/>
    <cellStyle name="20% - Énfasis5 10 13" xfId="5947" xr:uid="{00000000-0005-0000-0000-00003E170000}"/>
    <cellStyle name="20% - Énfasis5 10 13 2" xfId="5948" xr:uid="{00000000-0005-0000-0000-00003F170000}"/>
    <cellStyle name="20% - Énfasis5 10 14" xfId="5949" xr:uid="{00000000-0005-0000-0000-000040170000}"/>
    <cellStyle name="20% - Énfasis5 10 14 2" xfId="5950" xr:uid="{00000000-0005-0000-0000-000041170000}"/>
    <cellStyle name="20% - Énfasis5 10 15" xfId="5951" xr:uid="{00000000-0005-0000-0000-000042170000}"/>
    <cellStyle name="20% - Énfasis5 10 15 2" xfId="5952" xr:uid="{00000000-0005-0000-0000-000043170000}"/>
    <cellStyle name="20% - Énfasis5 10 16" xfId="5953" xr:uid="{00000000-0005-0000-0000-000044170000}"/>
    <cellStyle name="20% - Énfasis5 10 16 2" xfId="5954" xr:uid="{00000000-0005-0000-0000-000045170000}"/>
    <cellStyle name="20% - Énfasis5 10 17" xfId="5955" xr:uid="{00000000-0005-0000-0000-000046170000}"/>
    <cellStyle name="20% - Énfasis5 10 17 2" xfId="5956" xr:uid="{00000000-0005-0000-0000-000047170000}"/>
    <cellStyle name="20% - Énfasis5 10 18" xfId="5957" xr:uid="{00000000-0005-0000-0000-000048170000}"/>
    <cellStyle name="20% - Énfasis5 10 18 2" xfId="5958" xr:uid="{00000000-0005-0000-0000-000049170000}"/>
    <cellStyle name="20% - Énfasis5 10 19" xfId="5959" xr:uid="{00000000-0005-0000-0000-00004A170000}"/>
    <cellStyle name="20% - Énfasis5 10 19 2" xfId="5960" xr:uid="{00000000-0005-0000-0000-00004B170000}"/>
    <cellStyle name="20% - Énfasis5 10 2" xfId="5961" xr:uid="{00000000-0005-0000-0000-00004C170000}"/>
    <cellStyle name="20% - Énfasis5 10 2 2" xfId="5962" xr:uid="{00000000-0005-0000-0000-00004D170000}"/>
    <cellStyle name="20% - Énfasis5 10 20" xfId="5963" xr:uid="{00000000-0005-0000-0000-00004E170000}"/>
    <cellStyle name="20% - Énfasis5 10 21" xfId="5964" xr:uid="{00000000-0005-0000-0000-00004F170000}"/>
    <cellStyle name="20% - Énfasis5 10 3" xfId="5965" xr:uid="{00000000-0005-0000-0000-000050170000}"/>
    <cellStyle name="20% - Énfasis5 10 3 2" xfId="5966" xr:uid="{00000000-0005-0000-0000-000051170000}"/>
    <cellStyle name="20% - Énfasis5 10 4" xfId="5967" xr:uid="{00000000-0005-0000-0000-000052170000}"/>
    <cellStyle name="20% - Énfasis5 10 4 2" xfId="5968" xr:uid="{00000000-0005-0000-0000-000053170000}"/>
    <cellStyle name="20% - Énfasis5 10 5" xfId="5969" xr:uid="{00000000-0005-0000-0000-000054170000}"/>
    <cellStyle name="20% - Énfasis5 10 5 2" xfId="5970" xr:uid="{00000000-0005-0000-0000-000055170000}"/>
    <cellStyle name="20% - Énfasis5 10 6" xfId="5971" xr:uid="{00000000-0005-0000-0000-000056170000}"/>
    <cellStyle name="20% - Énfasis5 10 6 2" xfId="5972" xr:uid="{00000000-0005-0000-0000-000057170000}"/>
    <cellStyle name="20% - Énfasis5 10 7" xfId="5973" xr:uid="{00000000-0005-0000-0000-000058170000}"/>
    <cellStyle name="20% - Énfasis5 10 7 2" xfId="5974" xr:uid="{00000000-0005-0000-0000-000059170000}"/>
    <cellStyle name="20% - Énfasis5 10 8" xfId="5975" xr:uid="{00000000-0005-0000-0000-00005A170000}"/>
    <cellStyle name="20% - Énfasis5 10 8 2" xfId="5976" xr:uid="{00000000-0005-0000-0000-00005B170000}"/>
    <cellStyle name="20% - Énfasis5 10 9" xfId="5977" xr:uid="{00000000-0005-0000-0000-00005C170000}"/>
    <cellStyle name="20% - Énfasis5 10 9 2" xfId="5978" xr:uid="{00000000-0005-0000-0000-00005D170000}"/>
    <cellStyle name="20% - Énfasis5 11" xfId="5979" xr:uid="{00000000-0005-0000-0000-00005E170000}"/>
    <cellStyle name="20% - Énfasis5 11 10" xfId="5980" xr:uid="{00000000-0005-0000-0000-00005F170000}"/>
    <cellStyle name="20% - Énfasis5 11 10 2" xfId="5981" xr:uid="{00000000-0005-0000-0000-000060170000}"/>
    <cellStyle name="20% - Énfasis5 11 11" xfId="5982" xr:uid="{00000000-0005-0000-0000-000061170000}"/>
    <cellStyle name="20% - Énfasis5 11 11 2" xfId="5983" xr:uid="{00000000-0005-0000-0000-000062170000}"/>
    <cellStyle name="20% - Énfasis5 11 12" xfId="5984" xr:uid="{00000000-0005-0000-0000-000063170000}"/>
    <cellStyle name="20% - Énfasis5 11 12 2" xfId="5985" xr:uid="{00000000-0005-0000-0000-000064170000}"/>
    <cellStyle name="20% - Énfasis5 11 13" xfId="5986" xr:uid="{00000000-0005-0000-0000-000065170000}"/>
    <cellStyle name="20% - Énfasis5 11 13 2" xfId="5987" xr:uid="{00000000-0005-0000-0000-000066170000}"/>
    <cellStyle name="20% - Énfasis5 11 14" xfId="5988" xr:uid="{00000000-0005-0000-0000-000067170000}"/>
    <cellStyle name="20% - Énfasis5 11 14 2" xfId="5989" xr:uid="{00000000-0005-0000-0000-000068170000}"/>
    <cellStyle name="20% - Énfasis5 11 15" xfId="5990" xr:uid="{00000000-0005-0000-0000-000069170000}"/>
    <cellStyle name="20% - Énfasis5 11 15 2" xfId="5991" xr:uid="{00000000-0005-0000-0000-00006A170000}"/>
    <cellStyle name="20% - Énfasis5 11 16" xfId="5992" xr:uid="{00000000-0005-0000-0000-00006B170000}"/>
    <cellStyle name="20% - Énfasis5 11 16 2" xfId="5993" xr:uid="{00000000-0005-0000-0000-00006C170000}"/>
    <cellStyle name="20% - Énfasis5 11 17" xfId="5994" xr:uid="{00000000-0005-0000-0000-00006D170000}"/>
    <cellStyle name="20% - Énfasis5 11 17 2" xfId="5995" xr:uid="{00000000-0005-0000-0000-00006E170000}"/>
    <cellStyle name="20% - Énfasis5 11 18" xfId="5996" xr:uid="{00000000-0005-0000-0000-00006F170000}"/>
    <cellStyle name="20% - Énfasis5 11 18 2" xfId="5997" xr:uid="{00000000-0005-0000-0000-000070170000}"/>
    <cellStyle name="20% - Énfasis5 11 19" xfId="5998" xr:uid="{00000000-0005-0000-0000-000071170000}"/>
    <cellStyle name="20% - Énfasis5 11 19 2" xfId="5999" xr:uid="{00000000-0005-0000-0000-000072170000}"/>
    <cellStyle name="20% - Énfasis5 11 2" xfId="6000" xr:uid="{00000000-0005-0000-0000-000073170000}"/>
    <cellStyle name="20% - Énfasis5 11 2 2" xfId="6001" xr:uid="{00000000-0005-0000-0000-000074170000}"/>
    <cellStyle name="20% - Énfasis5 11 20" xfId="6002" xr:uid="{00000000-0005-0000-0000-000075170000}"/>
    <cellStyle name="20% - Énfasis5 11 21" xfId="6003" xr:uid="{00000000-0005-0000-0000-000076170000}"/>
    <cellStyle name="20% - Énfasis5 11 3" xfId="6004" xr:uid="{00000000-0005-0000-0000-000077170000}"/>
    <cellStyle name="20% - Énfasis5 11 3 2" xfId="6005" xr:uid="{00000000-0005-0000-0000-000078170000}"/>
    <cellStyle name="20% - Énfasis5 11 4" xfId="6006" xr:uid="{00000000-0005-0000-0000-000079170000}"/>
    <cellStyle name="20% - Énfasis5 11 4 2" xfId="6007" xr:uid="{00000000-0005-0000-0000-00007A170000}"/>
    <cellStyle name="20% - Énfasis5 11 5" xfId="6008" xr:uid="{00000000-0005-0000-0000-00007B170000}"/>
    <cellStyle name="20% - Énfasis5 11 5 2" xfId="6009" xr:uid="{00000000-0005-0000-0000-00007C170000}"/>
    <cellStyle name="20% - Énfasis5 11 6" xfId="6010" xr:uid="{00000000-0005-0000-0000-00007D170000}"/>
    <cellStyle name="20% - Énfasis5 11 6 2" xfId="6011" xr:uid="{00000000-0005-0000-0000-00007E170000}"/>
    <cellStyle name="20% - Énfasis5 11 7" xfId="6012" xr:uid="{00000000-0005-0000-0000-00007F170000}"/>
    <cellStyle name="20% - Énfasis5 11 7 2" xfId="6013" xr:uid="{00000000-0005-0000-0000-000080170000}"/>
    <cellStyle name="20% - Énfasis5 11 8" xfId="6014" xr:uid="{00000000-0005-0000-0000-000081170000}"/>
    <cellStyle name="20% - Énfasis5 11 8 2" xfId="6015" xr:uid="{00000000-0005-0000-0000-000082170000}"/>
    <cellStyle name="20% - Énfasis5 11 9" xfId="6016" xr:uid="{00000000-0005-0000-0000-000083170000}"/>
    <cellStyle name="20% - Énfasis5 11 9 2" xfId="6017" xr:uid="{00000000-0005-0000-0000-000084170000}"/>
    <cellStyle name="20% - Énfasis5 12" xfId="6018" xr:uid="{00000000-0005-0000-0000-000085170000}"/>
    <cellStyle name="20% - Énfasis5 12 10" xfId="6019" xr:uid="{00000000-0005-0000-0000-000086170000}"/>
    <cellStyle name="20% - Énfasis5 12 10 2" xfId="6020" xr:uid="{00000000-0005-0000-0000-000087170000}"/>
    <cellStyle name="20% - Énfasis5 12 11" xfId="6021" xr:uid="{00000000-0005-0000-0000-000088170000}"/>
    <cellStyle name="20% - Énfasis5 12 11 2" xfId="6022" xr:uid="{00000000-0005-0000-0000-000089170000}"/>
    <cellStyle name="20% - Énfasis5 12 12" xfId="6023" xr:uid="{00000000-0005-0000-0000-00008A170000}"/>
    <cellStyle name="20% - Énfasis5 12 12 2" xfId="6024" xr:uid="{00000000-0005-0000-0000-00008B170000}"/>
    <cellStyle name="20% - Énfasis5 12 13" xfId="6025" xr:uid="{00000000-0005-0000-0000-00008C170000}"/>
    <cellStyle name="20% - Énfasis5 12 13 2" xfId="6026" xr:uid="{00000000-0005-0000-0000-00008D170000}"/>
    <cellStyle name="20% - Énfasis5 12 14" xfId="6027" xr:uid="{00000000-0005-0000-0000-00008E170000}"/>
    <cellStyle name="20% - Énfasis5 12 14 2" xfId="6028" xr:uid="{00000000-0005-0000-0000-00008F170000}"/>
    <cellStyle name="20% - Énfasis5 12 15" xfId="6029" xr:uid="{00000000-0005-0000-0000-000090170000}"/>
    <cellStyle name="20% - Énfasis5 12 15 2" xfId="6030" xr:uid="{00000000-0005-0000-0000-000091170000}"/>
    <cellStyle name="20% - Énfasis5 12 16" xfId="6031" xr:uid="{00000000-0005-0000-0000-000092170000}"/>
    <cellStyle name="20% - Énfasis5 12 16 2" xfId="6032" xr:uid="{00000000-0005-0000-0000-000093170000}"/>
    <cellStyle name="20% - Énfasis5 12 17" xfId="6033" xr:uid="{00000000-0005-0000-0000-000094170000}"/>
    <cellStyle name="20% - Énfasis5 12 17 2" xfId="6034" xr:uid="{00000000-0005-0000-0000-000095170000}"/>
    <cellStyle name="20% - Énfasis5 12 18" xfId="6035" xr:uid="{00000000-0005-0000-0000-000096170000}"/>
    <cellStyle name="20% - Énfasis5 12 18 2" xfId="6036" xr:uid="{00000000-0005-0000-0000-000097170000}"/>
    <cellStyle name="20% - Énfasis5 12 19" xfId="6037" xr:uid="{00000000-0005-0000-0000-000098170000}"/>
    <cellStyle name="20% - Énfasis5 12 19 2" xfId="6038" xr:uid="{00000000-0005-0000-0000-000099170000}"/>
    <cellStyle name="20% - Énfasis5 12 2" xfId="6039" xr:uid="{00000000-0005-0000-0000-00009A170000}"/>
    <cellStyle name="20% - Énfasis5 12 2 2" xfId="6040" xr:uid="{00000000-0005-0000-0000-00009B170000}"/>
    <cellStyle name="20% - Énfasis5 12 20" xfId="6041" xr:uid="{00000000-0005-0000-0000-00009C170000}"/>
    <cellStyle name="20% - Énfasis5 12 21" xfId="6042" xr:uid="{00000000-0005-0000-0000-00009D170000}"/>
    <cellStyle name="20% - Énfasis5 12 3" xfId="6043" xr:uid="{00000000-0005-0000-0000-00009E170000}"/>
    <cellStyle name="20% - Énfasis5 12 3 2" xfId="6044" xr:uid="{00000000-0005-0000-0000-00009F170000}"/>
    <cellStyle name="20% - Énfasis5 12 4" xfId="6045" xr:uid="{00000000-0005-0000-0000-0000A0170000}"/>
    <cellStyle name="20% - Énfasis5 12 4 2" xfId="6046" xr:uid="{00000000-0005-0000-0000-0000A1170000}"/>
    <cellStyle name="20% - Énfasis5 12 5" xfId="6047" xr:uid="{00000000-0005-0000-0000-0000A2170000}"/>
    <cellStyle name="20% - Énfasis5 12 5 2" xfId="6048" xr:uid="{00000000-0005-0000-0000-0000A3170000}"/>
    <cellStyle name="20% - Énfasis5 12 6" xfId="6049" xr:uid="{00000000-0005-0000-0000-0000A4170000}"/>
    <cellStyle name="20% - Énfasis5 12 6 2" xfId="6050" xr:uid="{00000000-0005-0000-0000-0000A5170000}"/>
    <cellStyle name="20% - Énfasis5 12 7" xfId="6051" xr:uid="{00000000-0005-0000-0000-0000A6170000}"/>
    <cellStyle name="20% - Énfasis5 12 7 2" xfId="6052" xr:uid="{00000000-0005-0000-0000-0000A7170000}"/>
    <cellStyle name="20% - Énfasis5 12 8" xfId="6053" xr:uid="{00000000-0005-0000-0000-0000A8170000}"/>
    <cellStyle name="20% - Énfasis5 12 8 2" xfId="6054" xr:uid="{00000000-0005-0000-0000-0000A9170000}"/>
    <cellStyle name="20% - Énfasis5 12 9" xfId="6055" xr:uid="{00000000-0005-0000-0000-0000AA170000}"/>
    <cellStyle name="20% - Énfasis5 12 9 2" xfId="6056" xr:uid="{00000000-0005-0000-0000-0000AB170000}"/>
    <cellStyle name="20% - Énfasis5 13" xfId="6057" xr:uid="{00000000-0005-0000-0000-0000AC170000}"/>
    <cellStyle name="20% - Énfasis5 13 10" xfId="6058" xr:uid="{00000000-0005-0000-0000-0000AD170000}"/>
    <cellStyle name="20% - Énfasis5 13 10 2" xfId="6059" xr:uid="{00000000-0005-0000-0000-0000AE170000}"/>
    <cellStyle name="20% - Énfasis5 13 11" xfId="6060" xr:uid="{00000000-0005-0000-0000-0000AF170000}"/>
    <cellStyle name="20% - Énfasis5 13 11 2" xfId="6061" xr:uid="{00000000-0005-0000-0000-0000B0170000}"/>
    <cellStyle name="20% - Énfasis5 13 12" xfId="6062" xr:uid="{00000000-0005-0000-0000-0000B1170000}"/>
    <cellStyle name="20% - Énfasis5 13 12 2" xfId="6063" xr:uid="{00000000-0005-0000-0000-0000B2170000}"/>
    <cellStyle name="20% - Énfasis5 13 13" xfId="6064" xr:uid="{00000000-0005-0000-0000-0000B3170000}"/>
    <cellStyle name="20% - Énfasis5 13 13 2" xfId="6065" xr:uid="{00000000-0005-0000-0000-0000B4170000}"/>
    <cellStyle name="20% - Énfasis5 13 14" xfId="6066" xr:uid="{00000000-0005-0000-0000-0000B5170000}"/>
    <cellStyle name="20% - Énfasis5 13 14 2" xfId="6067" xr:uid="{00000000-0005-0000-0000-0000B6170000}"/>
    <cellStyle name="20% - Énfasis5 13 15" xfId="6068" xr:uid="{00000000-0005-0000-0000-0000B7170000}"/>
    <cellStyle name="20% - Énfasis5 13 15 2" xfId="6069" xr:uid="{00000000-0005-0000-0000-0000B8170000}"/>
    <cellStyle name="20% - Énfasis5 13 16" xfId="6070" xr:uid="{00000000-0005-0000-0000-0000B9170000}"/>
    <cellStyle name="20% - Énfasis5 13 16 2" xfId="6071" xr:uid="{00000000-0005-0000-0000-0000BA170000}"/>
    <cellStyle name="20% - Énfasis5 13 17" xfId="6072" xr:uid="{00000000-0005-0000-0000-0000BB170000}"/>
    <cellStyle name="20% - Énfasis5 13 17 2" xfId="6073" xr:uid="{00000000-0005-0000-0000-0000BC170000}"/>
    <cellStyle name="20% - Énfasis5 13 18" xfId="6074" xr:uid="{00000000-0005-0000-0000-0000BD170000}"/>
    <cellStyle name="20% - Énfasis5 13 18 2" xfId="6075" xr:uid="{00000000-0005-0000-0000-0000BE170000}"/>
    <cellStyle name="20% - Énfasis5 13 19" xfId="6076" xr:uid="{00000000-0005-0000-0000-0000BF170000}"/>
    <cellStyle name="20% - Énfasis5 13 19 2" xfId="6077" xr:uid="{00000000-0005-0000-0000-0000C0170000}"/>
    <cellStyle name="20% - Énfasis5 13 2" xfId="6078" xr:uid="{00000000-0005-0000-0000-0000C1170000}"/>
    <cellStyle name="20% - Énfasis5 13 2 2" xfId="6079" xr:uid="{00000000-0005-0000-0000-0000C2170000}"/>
    <cellStyle name="20% - Énfasis5 13 20" xfId="6080" xr:uid="{00000000-0005-0000-0000-0000C3170000}"/>
    <cellStyle name="20% - Énfasis5 13 21" xfId="6081" xr:uid="{00000000-0005-0000-0000-0000C4170000}"/>
    <cellStyle name="20% - Énfasis5 13 3" xfId="6082" xr:uid="{00000000-0005-0000-0000-0000C5170000}"/>
    <cellStyle name="20% - Énfasis5 13 3 2" xfId="6083" xr:uid="{00000000-0005-0000-0000-0000C6170000}"/>
    <cellStyle name="20% - Énfasis5 13 4" xfId="6084" xr:uid="{00000000-0005-0000-0000-0000C7170000}"/>
    <cellStyle name="20% - Énfasis5 13 4 2" xfId="6085" xr:uid="{00000000-0005-0000-0000-0000C8170000}"/>
    <cellStyle name="20% - Énfasis5 13 5" xfId="6086" xr:uid="{00000000-0005-0000-0000-0000C9170000}"/>
    <cellStyle name="20% - Énfasis5 13 5 2" xfId="6087" xr:uid="{00000000-0005-0000-0000-0000CA170000}"/>
    <cellStyle name="20% - Énfasis5 13 6" xfId="6088" xr:uid="{00000000-0005-0000-0000-0000CB170000}"/>
    <cellStyle name="20% - Énfasis5 13 6 2" xfId="6089" xr:uid="{00000000-0005-0000-0000-0000CC170000}"/>
    <cellStyle name="20% - Énfasis5 13 7" xfId="6090" xr:uid="{00000000-0005-0000-0000-0000CD170000}"/>
    <cellStyle name="20% - Énfasis5 13 7 2" xfId="6091" xr:uid="{00000000-0005-0000-0000-0000CE170000}"/>
    <cellStyle name="20% - Énfasis5 13 8" xfId="6092" xr:uid="{00000000-0005-0000-0000-0000CF170000}"/>
    <cellStyle name="20% - Énfasis5 13 8 2" xfId="6093" xr:uid="{00000000-0005-0000-0000-0000D0170000}"/>
    <cellStyle name="20% - Énfasis5 13 9" xfId="6094" xr:uid="{00000000-0005-0000-0000-0000D1170000}"/>
    <cellStyle name="20% - Énfasis5 13 9 2" xfId="6095" xr:uid="{00000000-0005-0000-0000-0000D2170000}"/>
    <cellStyle name="20% - Énfasis5 14" xfId="6096" xr:uid="{00000000-0005-0000-0000-0000D3170000}"/>
    <cellStyle name="20% - Énfasis5 14 10" xfId="6097" xr:uid="{00000000-0005-0000-0000-0000D4170000}"/>
    <cellStyle name="20% - Énfasis5 14 10 2" xfId="6098" xr:uid="{00000000-0005-0000-0000-0000D5170000}"/>
    <cellStyle name="20% - Énfasis5 14 11" xfId="6099" xr:uid="{00000000-0005-0000-0000-0000D6170000}"/>
    <cellStyle name="20% - Énfasis5 14 11 2" xfId="6100" xr:uid="{00000000-0005-0000-0000-0000D7170000}"/>
    <cellStyle name="20% - Énfasis5 14 12" xfId="6101" xr:uid="{00000000-0005-0000-0000-0000D8170000}"/>
    <cellStyle name="20% - Énfasis5 14 12 2" xfId="6102" xr:uid="{00000000-0005-0000-0000-0000D9170000}"/>
    <cellStyle name="20% - Énfasis5 14 13" xfId="6103" xr:uid="{00000000-0005-0000-0000-0000DA170000}"/>
    <cellStyle name="20% - Énfasis5 14 13 2" xfId="6104" xr:uid="{00000000-0005-0000-0000-0000DB170000}"/>
    <cellStyle name="20% - Énfasis5 14 14" xfId="6105" xr:uid="{00000000-0005-0000-0000-0000DC170000}"/>
    <cellStyle name="20% - Énfasis5 14 14 2" xfId="6106" xr:uid="{00000000-0005-0000-0000-0000DD170000}"/>
    <cellStyle name="20% - Énfasis5 14 15" xfId="6107" xr:uid="{00000000-0005-0000-0000-0000DE170000}"/>
    <cellStyle name="20% - Énfasis5 14 15 2" xfId="6108" xr:uid="{00000000-0005-0000-0000-0000DF170000}"/>
    <cellStyle name="20% - Énfasis5 14 16" xfId="6109" xr:uid="{00000000-0005-0000-0000-0000E0170000}"/>
    <cellStyle name="20% - Énfasis5 14 16 2" xfId="6110" xr:uid="{00000000-0005-0000-0000-0000E1170000}"/>
    <cellStyle name="20% - Énfasis5 14 17" xfId="6111" xr:uid="{00000000-0005-0000-0000-0000E2170000}"/>
    <cellStyle name="20% - Énfasis5 14 17 2" xfId="6112" xr:uid="{00000000-0005-0000-0000-0000E3170000}"/>
    <cellStyle name="20% - Énfasis5 14 18" xfId="6113" xr:uid="{00000000-0005-0000-0000-0000E4170000}"/>
    <cellStyle name="20% - Énfasis5 14 18 2" xfId="6114" xr:uid="{00000000-0005-0000-0000-0000E5170000}"/>
    <cellStyle name="20% - Énfasis5 14 19" xfId="6115" xr:uid="{00000000-0005-0000-0000-0000E6170000}"/>
    <cellStyle name="20% - Énfasis5 14 19 2" xfId="6116" xr:uid="{00000000-0005-0000-0000-0000E7170000}"/>
    <cellStyle name="20% - Énfasis5 14 2" xfId="6117" xr:uid="{00000000-0005-0000-0000-0000E8170000}"/>
    <cellStyle name="20% - Énfasis5 14 2 2" xfId="6118" xr:uid="{00000000-0005-0000-0000-0000E9170000}"/>
    <cellStyle name="20% - Énfasis5 14 20" xfId="6119" xr:uid="{00000000-0005-0000-0000-0000EA170000}"/>
    <cellStyle name="20% - Énfasis5 14 3" xfId="6120" xr:uid="{00000000-0005-0000-0000-0000EB170000}"/>
    <cellStyle name="20% - Énfasis5 14 3 2" xfId="6121" xr:uid="{00000000-0005-0000-0000-0000EC170000}"/>
    <cellStyle name="20% - Énfasis5 14 4" xfId="6122" xr:uid="{00000000-0005-0000-0000-0000ED170000}"/>
    <cellStyle name="20% - Énfasis5 14 4 2" xfId="6123" xr:uid="{00000000-0005-0000-0000-0000EE170000}"/>
    <cellStyle name="20% - Énfasis5 14 5" xfId="6124" xr:uid="{00000000-0005-0000-0000-0000EF170000}"/>
    <cellStyle name="20% - Énfasis5 14 5 2" xfId="6125" xr:uid="{00000000-0005-0000-0000-0000F0170000}"/>
    <cellStyle name="20% - Énfasis5 14 6" xfId="6126" xr:uid="{00000000-0005-0000-0000-0000F1170000}"/>
    <cellStyle name="20% - Énfasis5 14 6 2" xfId="6127" xr:uid="{00000000-0005-0000-0000-0000F2170000}"/>
    <cellStyle name="20% - Énfasis5 14 7" xfId="6128" xr:uid="{00000000-0005-0000-0000-0000F3170000}"/>
    <cellStyle name="20% - Énfasis5 14 7 2" xfId="6129" xr:uid="{00000000-0005-0000-0000-0000F4170000}"/>
    <cellStyle name="20% - Énfasis5 14 8" xfId="6130" xr:uid="{00000000-0005-0000-0000-0000F5170000}"/>
    <cellStyle name="20% - Énfasis5 14 8 2" xfId="6131" xr:uid="{00000000-0005-0000-0000-0000F6170000}"/>
    <cellStyle name="20% - Énfasis5 14 9" xfId="6132" xr:uid="{00000000-0005-0000-0000-0000F7170000}"/>
    <cellStyle name="20% - Énfasis5 14 9 2" xfId="6133" xr:uid="{00000000-0005-0000-0000-0000F8170000}"/>
    <cellStyle name="20% - Énfasis5 15" xfId="6134" xr:uid="{00000000-0005-0000-0000-0000F9170000}"/>
    <cellStyle name="20% - Énfasis5 15 10" xfId="6135" xr:uid="{00000000-0005-0000-0000-0000FA170000}"/>
    <cellStyle name="20% - Énfasis5 15 10 2" xfId="6136" xr:uid="{00000000-0005-0000-0000-0000FB170000}"/>
    <cellStyle name="20% - Énfasis5 15 11" xfId="6137" xr:uid="{00000000-0005-0000-0000-0000FC170000}"/>
    <cellStyle name="20% - Énfasis5 15 11 2" xfId="6138" xr:uid="{00000000-0005-0000-0000-0000FD170000}"/>
    <cellStyle name="20% - Énfasis5 15 12" xfId="6139" xr:uid="{00000000-0005-0000-0000-0000FE170000}"/>
    <cellStyle name="20% - Énfasis5 15 12 2" xfId="6140" xr:uid="{00000000-0005-0000-0000-0000FF170000}"/>
    <cellStyle name="20% - Énfasis5 15 13" xfId="6141" xr:uid="{00000000-0005-0000-0000-000000180000}"/>
    <cellStyle name="20% - Énfasis5 15 13 2" xfId="6142" xr:uid="{00000000-0005-0000-0000-000001180000}"/>
    <cellStyle name="20% - Énfasis5 15 14" xfId="6143" xr:uid="{00000000-0005-0000-0000-000002180000}"/>
    <cellStyle name="20% - Énfasis5 15 14 2" xfId="6144" xr:uid="{00000000-0005-0000-0000-000003180000}"/>
    <cellStyle name="20% - Énfasis5 15 15" xfId="6145" xr:uid="{00000000-0005-0000-0000-000004180000}"/>
    <cellStyle name="20% - Énfasis5 15 15 2" xfId="6146" xr:uid="{00000000-0005-0000-0000-000005180000}"/>
    <cellStyle name="20% - Énfasis5 15 16" xfId="6147" xr:uid="{00000000-0005-0000-0000-000006180000}"/>
    <cellStyle name="20% - Énfasis5 15 16 2" xfId="6148" xr:uid="{00000000-0005-0000-0000-000007180000}"/>
    <cellStyle name="20% - Énfasis5 15 17" xfId="6149" xr:uid="{00000000-0005-0000-0000-000008180000}"/>
    <cellStyle name="20% - Énfasis5 15 17 2" xfId="6150" xr:uid="{00000000-0005-0000-0000-000009180000}"/>
    <cellStyle name="20% - Énfasis5 15 18" xfId="6151" xr:uid="{00000000-0005-0000-0000-00000A180000}"/>
    <cellStyle name="20% - Énfasis5 15 18 2" xfId="6152" xr:uid="{00000000-0005-0000-0000-00000B180000}"/>
    <cellStyle name="20% - Énfasis5 15 19" xfId="6153" xr:uid="{00000000-0005-0000-0000-00000C180000}"/>
    <cellStyle name="20% - Énfasis5 15 19 2" xfId="6154" xr:uid="{00000000-0005-0000-0000-00000D180000}"/>
    <cellStyle name="20% - Énfasis5 15 2" xfId="6155" xr:uid="{00000000-0005-0000-0000-00000E180000}"/>
    <cellStyle name="20% - Énfasis5 15 2 2" xfId="6156" xr:uid="{00000000-0005-0000-0000-00000F180000}"/>
    <cellStyle name="20% - Énfasis5 15 20" xfId="6157" xr:uid="{00000000-0005-0000-0000-000010180000}"/>
    <cellStyle name="20% - Énfasis5 15 3" xfId="6158" xr:uid="{00000000-0005-0000-0000-000011180000}"/>
    <cellStyle name="20% - Énfasis5 15 3 2" xfId="6159" xr:uid="{00000000-0005-0000-0000-000012180000}"/>
    <cellStyle name="20% - Énfasis5 15 4" xfId="6160" xr:uid="{00000000-0005-0000-0000-000013180000}"/>
    <cellStyle name="20% - Énfasis5 15 4 2" xfId="6161" xr:uid="{00000000-0005-0000-0000-000014180000}"/>
    <cellStyle name="20% - Énfasis5 15 5" xfId="6162" xr:uid="{00000000-0005-0000-0000-000015180000}"/>
    <cellStyle name="20% - Énfasis5 15 5 2" xfId="6163" xr:uid="{00000000-0005-0000-0000-000016180000}"/>
    <cellStyle name="20% - Énfasis5 15 6" xfId="6164" xr:uid="{00000000-0005-0000-0000-000017180000}"/>
    <cellStyle name="20% - Énfasis5 15 6 2" xfId="6165" xr:uid="{00000000-0005-0000-0000-000018180000}"/>
    <cellStyle name="20% - Énfasis5 15 7" xfId="6166" xr:uid="{00000000-0005-0000-0000-000019180000}"/>
    <cellStyle name="20% - Énfasis5 15 7 2" xfId="6167" xr:uid="{00000000-0005-0000-0000-00001A180000}"/>
    <cellStyle name="20% - Énfasis5 15 8" xfId="6168" xr:uid="{00000000-0005-0000-0000-00001B180000}"/>
    <cellStyle name="20% - Énfasis5 15 8 2" xfId="6169" xr:uid="{00000000-0005-0000-0000-00001C180000}"/>
    <cellStyle name="20% - Énfasis5 15 9" xfId="6170" xr:uid="{00000000-0005-0000-0000-00001D180000}"/>
    <cellStyle name="20% - Énfasis5 15 9 2" xfId="6171" xr:uid="{00000000-0005-0000-0000-00001E180000}"/>
    <cellStyle name="20% - Énfasis5 16" xfId="6172" xr:uid="{00000000-0005-0000-0000-00001F180000}"/>
    <cellStyle name="20% - Énfasis5 16 10" xfId="6173" xr:uid="{00000000-0005-0000-0000-000020180000}"/>
    <cellStyle name="20% - Énfasis5 16 10 2" xfId="6174" xr:uid="{00000000-0005-0000-0000-000021180000}"/>
    <cellStyle name="20% - Énfasis5 16 11" xfId="6175" xr:uid="{00000000-0005-0000-0000-000022180000}"/>
    <cellStyle name="20% - Énfasis5 16 11 2" xfId="6176" xr:uid="{00000000-0005-0000-0000-000023180000}"/>
    <cellStyle name="20% - Énfasis5 16 12" xfId="6177" xr:uid="{00000000-0005-0000-0000-000024180000}"/>
    <cellStyle name="20% - Énfasis5 16 12 2" xfId="6178" xr:uid="{00000000-0005-0000-0000-000025180000}"/>
    <cellStyle name="20% - Énfasis5 16 13" xfId="6179" xr:uid="{00000000-0005-0000-0000-000026180000}"/>
    <cellStyle name="20% - Énfasis5 16 13 2" xfId="6180" xr:uid="{00000000-0005-0000-0000-000027180000}"/>
    <cellStyle name="20% - Énfasis5 16 14" xfId="6181" xr:uid="{00000000-0005-0000-0000-000028180000}"/>
    <cellStyle name="20% - Énfasis5 16 14 2" xfId="6182" xr:uid="{00000000-0005-0000-0000-000029180000}"/>
    <cellStyle name="20% - Énfasis5 16 15" xfId="6183" xr:uid="{00000000-0005-0000-0000-00002A180000}"/>
    <cellStyle name="20% - Énfasis5 16 15 2" xfId="6184" xr:uid="{00000000-0005-0000-0000-00002B180000}"/>
    <cellStyle name="20% - Énfasis5 16 16" xfId="6185" xr:uid="{00000000-0005-0000-0000-00002C180000}"/>
    <cellStyle name="20% - Énfasis5 16 16 2" xfId="6186" xr:uid="{00000000-0005-0000-0000-00002D180000}"/>
    <cellStyle name="20% - Énfasis5 16 17" xfId="6187" xr:uid="{00000000-0005-0000-0000-00002E180000}"/>
    <cellStyle name="20% - Énfasis5 16 17 2" xfId="6188" xr:uid="{00000000-0005-0000-0000-00002F180000}"/>
    <cellStyle name="20% - Énfasis5 16 18" xfId="6189" xr:uid="{00000000-0005-0000-0000-000030180000}"/>
    <cellStyle name="20% - Énfasis5 16 18 2" xfId="6190" xr:uid="{00000000-0005-0000-0000-000031180000}"/>
    <cellStyle name="20% - Énfasis5 16 19" xfId="6191" xr:uid="{00000000-0005-0000-0000-000032180000}"/>
    <cellStyle name="20% - Énfasis5 16 19 2" xfId="6192" xr:uid="{00000000-0005-0000-0000-000033180000}"/>
    <cellStyle name="20% - Énfasis5 16 2" xfId="6193" xr:uid="{00000000-0005-0000-0000-000034180000}"/>
    <cellStyle name="20% - Énfasis5 16 2 2" xfId="6194" xr:uid="{00000000-0005-0000-0000-000035180000}"/>
    <cellStyle name="20% - Énfasis5 16 20" xfId="6195" xr:uid="{00000000-0005-0000-0000-000036180000}"/>
    <cellStyle name="20% - Énfasis5 16 3" xfId="6196" xr:uid="{00000000-0005-0000-0000-000037180000}"/>
    <cellStyle name="20% - Énfasis5 16 3 2" xfId="6197" xr:uid="{00000000-0005-0000-0000-000038180000}"/>
    <cellStyle name="20% - Énfasis5 16 4" xfId="6198" xr:uid="{00000000-0005-0000-0000-000039180000}"/>
    <cellStyle name="20% - Énfasis5 16 4 2" xfId="6199" xr:uid="{00000000-0005-0000-0000-00003A180000}"/>
    <cellStyle name="20% - Énfasis5 16 5" xfId="6200" xr:uid="{00000000-0005-0000-0000-00003B180000}"/>
    <cellStyle name="20% - Énfasis5 16 5 2" xfId="6201" xr:uid="{00000000-0005-0000-0000-00003C180000}"/>
    <cellStyle name="20% - Énfasis5 16 6" xfId="6202" xr:uid="{00000000-0005-0000-0000-00003D180000}"/>
    <cellStyle name="20% - Énfasis5 16 6 2" xfId="6203" xr:uid="{00000000-0005-0000-0000-00003E180000}"/>
    <cellStyle name="20% - Énfasis5 16 7" xfId="6204" xr:uid="{00000000-0005-0000-0000-00003F180000}"/>
    <cellStyle name="20% - Énfasis5 16 7 2" xfId="6205" xr:uid="{00000000-0005-0000-0000-000040180000}"/>
    <cellStyle name="20% - Énfasis5 16 8" xfId="6206" xr:uid="{00000000-0005-0000-0000-000041180000}"/>
    <cellStyle name="20% - Énfasis5 16 8 2" xfId="6207" xr:uid="{00000000-0005-0000-0000-000042180000}"/>
    <cellStyle name="20% - Énfasis5 16 9" xfId="6208" xr:uid="{00000000-0005-0000-0000-000043180000}"/>
    <cellStyle name="20% - Énfasis5 16 9 2" xfId="6209" xr:uid="{00000000-0005-0000-0000-000044180000}"/>
    <cellStyle name="20% - Énfasis5 17" xfId="6210" xr:uid="{00000000-0005-0000-0000-000045180000}"/>
    <cellStyle name="20% - Énfasis5 17 10" xfId="6211" xr:uid="{00000000-0005-0000-0000-000046180000}"/>
    <cellStyle name="20% - Énfasis5 17 10 2" xfId="6212" xr:uid="{00000000-0005-0000-0000-000047180000}"/>
    <cellStyle name="20% - Énfasis5 17 11" xfId="6213" xr:uid="{00000000-0005-0000-0000-000048180000}"/>
    <cellStyle name="20% - Énfasis5 17 11 2" xfId="6214" xr:uid="{00000000-0005-0000-0000-000049180000}"/>
    <cellStyle name="20% - Énfasis5 17 12" xfId="6215" xr:uid="{00000000-0005-0000-0000-00004A180000}"/>
    <cellStyle name="20% - Énfasis5 17 12 2" xfId="6216" xr:uid="{00000000-0005-0000-0000-00004B180000}"/>
    <cellStyle name="20% - Énfasis5 17 13" xfId="6217" xr:uid="{00000000-0005-0000-0000-00004C180000}"/>
    <cellStyle name="20% - Énfasis5 17 13 2" xfId="6218" xr:uid="{00000000-0005-0000-0000-00004D180000}"/>
    <cellStyle name="20% - Énfasis5 17 14" xfId="6219" xr:uid="{00000000-0005-0000-0000-00004E180000}"/>
    <cellStyle name="20% - Énfasis5 17 14 2" xfId="6220" xr:uid="{00000000-0005-0000-0000-00004F180000}"/>
    <cellStyle name="20% - Énfasis5 17 15" xfId="6221" xr:uid="{00000000-0005-0000-0000-000050180000}"/>
    <cellStyle name="20% - Énfasis5 17 15 2" xfId="6222" xr:uid="{00000000-0005-0000-0000-000051180000}"/>
    <cellStyle name="20% - Énfasis5 17 16" xfId="6223" xr:uid="{00000000-0005-0000-0000-000052180000}"/>
    <cellStyle name="20% - Énfasis5 17 16 2" xfId="6224" xr:uid="{00000000-0005-0000-0000-000053180000}"/>
    <cellStyle name="20% - Énfasis5 17 17" xfId="6225" xr:uid="{00000000-0005-0000-0000-000054180000}"/>
    <cellStyle name="20% - Énfasis5 17 17 2" xfId="6226" xr:uid="{00000000-0005-0000-0000-000055180000}"/>
    <cellStyle name="20% - Énfasis5 17 18" xfId="6227" xr:uid="{00000000-0005-0000-0000-000056180000}"/>
    <cellStyle name="20% - Énfasis5 17 18 2" xfId="6228" xr:uid="{00000000-0005-0000-0000-000057180000}"/>
    <cellStyle name="20% - Énfasis5 17 19" xfId="6229" xr:uid="{00000000-0005-0000-0000-000058180000}"/>
    <cellStyle name="20% - Énfasis5 17 19 2" xfId="6230" xr:uid="{00000000-0005-0000-0000-000059180000}"/>
    <cellStyle name="20% - Énfasis5 17 2" xfId="6231" xr:uid="{00000000-0005-0000-0000-00005A180000}"/>
    <cellStyle name="20% - Énfasis5 17 2 2" xfId="6232" xr:uid="{00000000-0005-0000-0000-00005B180000}"/>
    <cellStyle name="20% - Énfasis5 17 20" xfId="6233" xr:uid="{00000000-0005-0000-0000-00005C180000}"/>
    <cellStyle name="20% - Énfasis5 17 3" xfId="6234" xr:uid="{00000000-0005-0000-0000-00005D180000}"/>
    <cellStyle name="20% - Énfasis5 17 3 2" xfId="6235" xr:uid="{00000000-0005-0000-0000-00005E180000}"/>
    <cellStyle name="20% - Énfasis5 17 4" xfId="6236" xr:uid="{00000000-0005-0000-0000-00005F180000}"/>
    <cellStyle name="20% - Énfasis5 17 4 2" xfId="6237" xr:uid="{00000000-0005-0000-0000-000060180000}"/>
    <cellStyle name="20% - Énfasis5 17 5" xfId="6238" xr:uid="{00000000-0005-0000-0000-000061180000}"/>
    <cellStyle name="20% - Énfasis5 17 5 2" xfId="6239" xr:uid="{00000000-0005-0000-0000-000062180000}"/>
    <cellStyle name="20% - Énfasis5 17 6" xfId="6240" xr:uid="{00000000-0005-0000-0000-000063180000}"/>
    <cellStyle name="20% - Énfasis5 17 6 2" xfId="6241" xr:uid="{00000000-0005-0000-0000-000064180000}"/>
    <cellStyle name="20% - Énfasis5 17 7" xfId="6242" xr:uid="{00000000-0005-0000-0000-000065180000}"/>
    <cellStyle name="20% - Énfasis5 17 7 2" xfId="6243" xr:uid="{00000000-0005-0000-0000-000066180000}"/>
    <cellStyle name="20% - Énfasis5 17 8" xfId="6244" xr:uid="{00000000-0005-0000-0000-000067180000}"/>
    <cellStyle name="20% - Énfasis5 17 8 2" xfId="6245" xr:uid="{00000000-0005-0000-0000-000068180000}"/>
    <cellStyle name="20% - Énfasis5 17 9" xfId="6246" xr:uid="{00000000-0005-0000-0000-000069180000}"/>
    <cellStyle name="20% - Énfasis5 17 9 2" xfId="6247" xr:uid="{00000000-0005-0000-0000-00006A180000}"/>
    <cellStyle name="20% - Énfasis5 18" xfId="6248" xr:uid="{00000000-0005-0000-0000-00006B180000}"/>
    <cellStyle name="20% - Énfasis5 18 10" xfId="6249" xr:uid="{00000000-0005-0000-0000-00006C180000}"/>
    <cellStyle name="20% - Énfasis5 18 10 2" xfId="6250" xr:uid="{00000000-0005-0000-0000-00006D180000}"/>
    <cellStyle name="20% - Énfasis5 18 11" xfId="6251" xr:uid="{00000000-0005-0000-0000-00006E180000}"/>
    <cellStyle name="20% - Énfasis5 18 11 2" xfId="6252" xr:uid="{00000000-0005-0000-0000-00006F180000}"/>
    <cellStyle name="20% - Énfasis5 18 12" xfId="6253" xr:uid="{00000000-0005-0000-0000-000070180000}"/>
    <cellStyle name="20% - Énfasis5 18 12 2" xfId="6254" xr:uid="{00000000-0005-0000-0000-000071180000}"/>
    <cellStyle name="20% - Énfasis5 18 13" xfId="6255" xr:uid="{00000000-0005-0000-0000-000072180000}"/>
    <cellStyle name="20% - Énfasis5 18 13 2" xfId="6256" xr:uid="{00000000-0005-0000-0000-000073180000}"/>
    <cellStyle name="20% - Énfasis5 18 14" xfId="6257" xr:uid="{00000000-0005-0000-0000-000074180000}"/>
    <cellStyle name="20% - Énfasis5 18 14 2" xfId="6258" xr:uid="{00000000-0005-0000-0000-000075180000}"/>
    <cellStyle name="20% - Énfasis5 18 15" xfId="6259" xr:uid="{00000000-0005-0000-0000-000076180000}"/>
    <cellStyle name="20% - Énfasis5 18 15 2" xfId="6260" xr:uid="{00000000-0005-0000-0000-000077180000}"/>
    <cellStyle name="20% - Énfasis5 18 16" xfId="6261" xr:uid="{00000000-0005-0000-0000-000078180000}"/>
    <cellStyle name="20% - Énfasis5 18 16 2" xfId="6262" xr:uid="{00000000-0005-0000-0000-000079180000}"/>
    <cellStyle name="20% - Énfasis5 18 17" xfId="6263" xr:uid="{00000000-0005-0000-0000-00007A180000}"/>
    <cellStyle name="20% - Énfasis5 18 17 2" xfId="6264" xr:uid="{00000000-0005-0000-0000-00007B180000}"/>
    <cellStyle name="20% - Énfasis5 18 18" xfId="6265" xr:uid="{00000000-0005-0000-0000-00007C180000}"/>
    <cellStyle name="20% - Énfasis5 18 18 2" xfId="6266" xr:uid="{00000000-0005-0000-0000-00007D180000}"/>
    <cellStyle name="20% - Énfasis5 18 19" xfId="6267" xr:uid="{00000000-0005-0000-0000-00007E180000}"/>
    <cellStyle name="20% - Énfasis5 18 19 2" xfId="6268" xr:uid="{00000000-0005-0000-0000-00007F180000}"/>
    <cellStyle name="20% - Énfasis5 18 2" xfId="6269" xr:uid="{00000000-0005-0000-0000-000080180000}"/>
    <cellStyle name="20% - Énfasis5 18 2 2" xfId="6270" xr:uid="{00000000-0005-0000-0000-000081180000}"/>
    <cellStyle name="20% - Énfasis5 18 20" xfId="6271" xr:uid="{00000000-0005-0000-0000-000082180000}"/>
    <cellStyle name="20% - Énfasis5 18 3" xfId="6272" xr:uid="{00000000-0005-0000-0000-000083180000}"/>
    <cellStyle name="20% - Énfasis5 18 3 2" xfId="6273" xr:uid="{00000000-0005-0000-0000-000084180000}"/>
    <cellStyle name="20% - Énfasis5 18 4" xfId="6274" xr:uid="{00000000-0005-0000-0000-000085180000}"/>
    <cellStyle name="20% - Énfasis5 18 4 2" xfId="6275" xr:uid="{00000000-0005-0000-0000-000086180000}"/>
    <cellStyle name="20% - Énfasis5 18 5" xfId="6276" xr:uid="{00000000-0005-0000-0000-000087180000}"/>
    <cellStyle name="20% - Énfasis5 18 5 2" xfId="6277" xr:uid="{00000000-0005-0000-0000-000088180000}"/>
    <cellStyle name="20% - Énfasis5 18 6" xfId="6278" xr:uid="{00000000-0005-0000-0000-000089180000}"/>
    <cellStyle name="20% - Énfasis5 18 6 2" xfId="6279" xr:uid="{00000000-0005-0000-0000-00008A180000}"/>
    <cellStyle name="20% - Énfasis5 18 7" xfId="6280" xr:uid="{00000000-0005-0000-0000-00008B180000}"/>
    <cellStyle name="20% - Énfasis5 18 7 2" xfId="6281" xr:uid="{00000000-0005-0000-0000-00008C180000}"/>
    <cellStyle name="20% - Énfasis5 18 8" xfId="6282" xr:uid="{00000000-0005-0000-0000-00008D180000}"/>
    <cellStyle name="20% - Énfasis5 18 8 2" xfId="6283" xr:uid="{00000000-0005-0000-0000-00008E180000}"/>
    <cellStyle name="20% - Énfasis5 18 9" xfId="6284" xr:uid="{00000000-0005-0000-0000-00008F180000}"/>
    <cellStyle name="20% - Énfasis5 18 9 2" xfId="6285" xr:uid="{00000000-0005-0000-0000-000090180000}"/>
    <cellStyle name="20% - Énfasis5 19" xfId="6286" xr:uid="{00000000-0005-0000-0000-000091180000}"/>
    <cellStyle name="20% - Énfasis5 19 10" xfId="6287" xr:uid="{00000000-0005-0000-0000-000092180000}"/>
    <cellStyle name="20% - Énfasis5 19 10 2" xfId="6288" xr:uid="{00000000-0005-0000-0000-000093180000}"/>
    <cellStyle name="20% - Énfasis5 19 11" xfId="6289" xr:uid="{00000000-0005-0000-0000-000094180000}"/>
    <cellStyle name="20% - Énfasis5 19 11 2" xfId="6290" xr:uid="{00000000-0005-0000-0000-000095180000}"/>
    <cellStyle name="20% - Énfasis5 19 12" xfId="6291" xr:uid="{00000000-0005-0000-0000-000096180000}"/>
    <cellStyle name="20% - Énfasis5 19 12 2" xfId="6292" xr:uid="{00000000-0005-0000-0000-000097180000}"/>
    <cellStyle name="20% - Énfasis5 19 13" xfId="6293" xr:uid="{00000000-0005-0000-0000-000098180000}"/>
    <cellStyle name="20% - Énfasis5 19 13 2" xfId="6294" xr:uid="{00000000-0005-0000-0000-000099180000}"/>
    <cellStyle name="20% - Énfasis5 19 14" xfId="6295" xr:uid="{00000000-0005-0000-0000-00009A180000}"/>
    <cellStyle name="20% - Énfasis5 19 14 2" xfId="6296" xr:uid="{00000000-0005-0000-0000-00009B180000}"/>
    <cellStyle name="20% - Énfasis5 19 15" xfId="6297" xr:uid="{00000000-0005-0000-0000-00009C180000}"/>
    <cellStyle name="20% - Énfasis5 19 15 2" xfId="6298" xr:uid="{00000000-0005-0000-0000-00009D180000}"/>
    <cellStyle name="20% - Énfasis5 19 16" xfId="6299" xr:uid="{00000000-0005-0000-0000-00009E180000}"/>
    <cellStyle name="20% - Énfasis5 19 16 2" xfId="6300" xr:uid="{00000000-0005-0000-0000-00009F180000}"/>
    <cellStyle name="20% - Énfasis5 19 17" xfId="6301" xr:uid="{00000000-0005-0000-0000-0000A0180000}"/>
    <cellStyle name="20% - Énfasis5 19 17 2" xfId="6302" xr:uid="{00000000-0005-0000-0000-0000A1180000}"/>
    <cellStyle name="20% - Énfasis5 19 18" xfId="6303" xr:uid="{00000000-0005-0000-0000-0000A2180000}"/>
    <cellStyle name="20% - Énfasis5 19 18 2" xfId="6304" xr:uid="{00000000-0005-0000-0000-0000A3180000}"/>
    <cellStyle name="20% - Énfasis5 19 19" xfId="6305" xr:uid="{00000000-0005-0000-0000-0000A4180000}"/>
    <cellStyle name="20% - Énfasis5 19 19 2" xfId="6306" xr:uid="{00000000-0005-0000-0000-0000A5180000}"/>
    <cellStyle name="20% - Énfasis5 19 2" xfId="6307" xr:uid="{00000000-0005-0000-0000-0000A6180000}"/>
    <cellStyle name="20% - Énfasis5 19 2 2" xfId="6308" xr:uid="{00000000-0005-0000-0000-0000A7180000}"/>
    <cellStyle name="20% - Énfasis5 19 20" xfId="6309" xr:uid="{00000000-0005-0000-0000-0000A8180000}"/>
    <cellStyle name="20% - Énfasis5 19 3" xfId="6310" xr:uid="{00000000-0005-0000-0000-0000A9180000}"/>
    <cellStyle name="20% - Énfasis5 19 3 2" xfId="6311" xr:uid="{00000000-0005-0000-0000-0000AA180000}"/>
    <cellStyle name="20% - Énfasis5 19 4" xfId="6312" xr:uid="{00000000-0005-0000-0000-0000AB180000}"/>
    <cellStyle name="20% - Énfasis5 19 4 2" xfId="6313" xr:uid="{00000000-0005-0000-0000-0000AC180000}"/>
    <cellStyle name="20% - Énfasis5 19 5" xfId="6314" xr:uid="{00000000-0005-0000-0000-0000AD180000}"/>
    <cellStyle name="20% - Énfasis5 19 5 2" xfId="6315" xr:uid="{00000000-0005-0000-0000-0000AE180000}"/>
    <cellStyle name="20% - Énfasis5 19 6" xfId="6316" xr:uid="{00000000-0005-0000-0000-0000AF180000}"/>
    <cellStyle name="20% - Énfasis5 19 6 2" xfId="6317" xr:uid="{00000000-0005-0000-0000-0000B0180000}"/>
    <cellStyle name="20% - Énfasis5 19 7" xfId="6318" xr:uid="{00000000-0005-0000-0000-0000B1180000}"/>
    <cellStyle name="20% - Énfasis5 19 7 2" xfId="6319" xr:uid="{00000000-0005-0000-0000-0000B2180000}"/>
    <cellStyle name="20% - Énfasis5 19 8" xfId="6320" xr:uid="{00000000-0005-0000-0000-0000B3180000}"/>
    <cellStyle name="20% - Énfasis5 19 8 2" xfId="6321" xr:uid="{00000000-0005-0000-0000-0000B4180000}"/>
    <cellStyle name="20% - Énfasis5 19 9" xfId="6322" xr:uid="{00000000-0005-0000-0000-0000B5180000}"/>
    <cellStyle name="20% - Énfasis5 19 9 2" xfId="6323" xr:uid="{00000000-0005-0000-0000-0000B6180000}"/>
    <cellStyle name="20% - Énfasis5 2" xfId="6324" xr:uid="{00000000-0005-0000-0000-0000B7180000}"/>
    <cellStyle name="20% - Énfasis5 2 10" xfId="6325" xr:uid="{00000000-0005-0000-0000-0000B8180000}"/>
    <cellStyle name="20% - Énfasis5 2 10 2" xfId="6326" xr:uid="{00000000-0005-0000-0000-0000B9180000}"/>
    <cellStyle name="20% - Énfasis5 2 11" xfId="6327" xr:uid="{00000000-0005-0000-0000-0000BA180000}"/>
    <cellStyle name="20% - Énfasis5 2 11 2" xfId="6328" xr:uid="{00000000-0005-0000-0000-0000BB180000}"/>
    <cellStyle name="20% - Énfasis5 2 12" xfId="6329" xr:uid="{00000000-0005-0000-0000-0000BC180000}"/>
    <cellStyle name="20% - Énfasis5 2 12 2" xfId="6330" xr:uid="{00000000-0005-0000-0000-0000BD180000}"/>
    <cellStyle name="20% - Énfasis5 2 13" xfId="6331" xr:uid="{00000000-0005-0000-0000-0000BE180000}"/>
    <cellStyle name="20% - Énfasis5 2 13 2" xfId="6332" xr:uid="{00000000-0005-0000-0000-0000BF180000}"/>
    <cellStyle name="20% - Énfasis5 2 14" xfId="6333" xr:uid="{00000000-0005-0000-0000-0000C0180000}"/>
    <cellStyle name="20% - Énfasis5 2 14 2" xfId="6334" xr:uid="{00000000-0005-0000-0000-0000C1180000}"/>
    <cellStyle name="20% - Énfasis5 2 15" xfId="6335" xr:uid="{00000000-0005-0000-0000-0000C2180000}"/>
    <cellStyle name="20% - Énfasis5 2 15 2" xfId="6336" xr:uid="{00000000-0005-0000-0000-0000C3180000}"/>
    <cellStyle name="20% - Énfasis5 2 16" xfId="6337" xr:uid="{00000000-0005-0000-0000-0000C4180000}"/>
    <cellStyle name="20% - Énfasis5 2 16 2" xfId="6338" xr:uid="{00000000-0005-0000-0000-0000C5180000}"/>
    <cellStyle name="20% - Énfasis5 2 17" xfId="6339" xr:uid="{00000000-0005-0000-0000-0000C6180000}"/>
    <cellStyle name="20% - Énfasis5 2 17 2" xfId="6340" xr:uid="{00000000-0005-0000-0000-0000C7180000}"/>
    <cellStyle name="20% - Énfasis5 2 18" xfId="6341" xr:uid="{00000000-0005-0000-0000-0000C8180000}"/>
    <cellStyle name="20% - Énfasis5 2 18 2" xfId="6342" xr:uid="{00000000-0005-0000-0000-0000C9180000}"/>
    <cellStyle name="20% - Énfasis5 2 19" xfId="6343" xr:uid="{00000000-0005-0000-0000-0000CA180000}"/>
    <cellStyle name="20% - Énfasis5 2 19 2" xfId="6344" xr:uid="{00000000-0005-0000-0000-0000CB180000}"/>
    <cellStyle name="20% - Énfasis5 2 2" xfId="6345" xr:uid="{00000000-0005-0000-0000-0000CC180000}"/>
    <cellStyle name="20% - Énfasis5 2 2 2" xfId="6346" xr:uid="{00000000-0005-0000-0000-0000CD180000}"/>
    <cellStyle name="20% - Énfasis5 2 20" xfId="6347" xr:uid="{00000000-0005-0000-0000-0000CE180000}"/>
    <cellStyle name="20% - Énfasis5 2 21" xfId="6348" xr:uid="{00000000-0005-0000-0000-0000CF180000}"/>
    <cellStyle name="20% - Énfasis5 2 3" xfId="6349" xr:uid="{00000000-0005-0000-0000-0000D0180000}"/>
    <cellStyle name="20% - Énfasis5 2 3 2" xfId="6350" xr:uid="{00000000-0005-0000-0000-0000D1180000}"/>
    <cellStyle name="20% - Énfasis5 2 4" xfId="6351" xr:uid="{00000000-0005-0000-0000-0000D2180000}"/>
    <cellStyle name="20% - Énfasis5 2 4 2" xfId="6352" xr:uid="{00000000-0005-0000-0000-0000D3180000}"/>
    <cellStyle name="20% - Énfasis5 2 5" xfId="6353" xr:uid="{00000000-0005-0000-0000-0000D4180000}"/>
    <cellStyle name="20% - Énfasis5 2 5 2" xfId="6354" xr:uid="{00000000-0005-0000-0000-0000D5180000}"/>
    <cellStyle name="20% - Énfasis5 2 6" xfId="6355" xr:uid="{00000000-0005-0000-0000-0000D6180000}"/>
    <cellStyle name="20% - Énfasis5 2 6 2" xfId="6356" xr:uid="{00000000-0005-0000-0000-0000D7180000}"/>
    <cellStyle name="20% - Énfasis5 2 7" xfId="6357" xr:uid="{00000000-0005-0000-0000-0000D8180000}"/>
    <cellStyle name="20% - Énfasis5 2 7 2" xfId="6358" xr:uid="{00000000-0005-0000-0000-0000D9180000}"/>
    <cellStyle name="20% - Énfasis5 2 8" xfId="6359" xr:uid="{00000000-0005-0000-0000-0000DA180000}"/>
    <cellStyle name="20% - Énfasis5 2 8 2" xfId="6360" xr:uid="{00000000-0005-0000-0000-0000DB180000}"/>
    <cellStyle name="20% - Énfasis5 2 9" xfId="6361" xr:uid="{00000000-0005-0000-0000-0000DC180000}"/>
    <cellStyle name="20% - Énfasis5 2 9 2" xfId="6362" xr:uid="{00000000-0005-0000-0000-0000DD180000}"/>
    <cellStyle name="20% - Énfasis5 20" xfId="6363" xr:uid="{00000000-0005-0000-0000-0000DE180000}"/>
    <cellStyle name="20% - Énfasis5 20 10" xfId="6364" xr:uid="{00000000-0005-0000-0000-0000DF180000}"/>
    <cellStyle name="20% - Énfasis5 20 10 2" xfId="6365" xr:uid="{00000000-0005-0000-0000-0000E0180000}"/>
    <cellStyle name="20% - Énfasis5 20 11" xfId="6366" xr:uid="{00000000-0005-0000-0000-0000E1180000}"/>
    <cellStyle name="20% - Énfasis5 20 11 2" xfId="6367" xr:uid="{00000000-0005-0000-0000-0000E2180000}"/>
    <cellStyle name="20% - Énfasis5 20 12" xfId="6368" xr:uid="{00000000-0005-0000-0000-0000E3180000}"/>
    <cellStyle name="20% - Énfasis5 20 12 2" xfId="6369" xr:uid="{00000000-0005-0000-0000-0000E4180000}"/>
    <cellStyle name="20% - Énfasis5 20 13" xfId="6370" xr:uid="{00000000-0005-0000-0000-0000E5180000}"/>
    <cellStyle name="20% - Énfasis5 20 13 2" xfId="6371" xr:uid="{00000000-0005-0000-0000-0000E6180000}"/>
    <cellStyle name="20% - Énfasis5 20 14" xfId="6372" xr:uid="{00000000-0005-0000-0000-0000E7180000}"/>
    <cellStyle name="20% - Énfasis5 20 14 2" xfId="6373" xr:uid="{00000000-0005-0000-0000-0000E8180000}"/>
    <cellStyle name="20% - Énfasis5 20 15" xfId="6374" xr:uid="{00000000-0005-0000-0000-0000E9180000}"/>
    <cellStyle name="20% - Énfasis5 20 15 2" xfId="6375" xr:uid="{00000000-0005-0000-0000-0000EA180000}"/>
    <cellStyle name="20% - Énfasis5 20 16" xfId="6376" xr:uid="{00000000-0005-0000-0000-0000EB180000}"/>
    <cellStyle name="20% - Énfasis5 20 16 2" xfId="6377" xr:uid="{00000000-0005-0000-0000-0000EC180000}"/>
    <cellStyle name="20% - Énfasis5 20 17" xfId="6378" xr:uid="{00000000-0005-0000-0000-0000ED180000}"/>
    <cellStyle name="20% - Énfasis5 20 17 2" xfId="6379" xr:uid="{00000000-0005-0000-0000-0000EE180000}"/>
    <cellStyle name="20% - Énfasis5 20 18" xfId="6380" xr:uid="{00000000-0005-0000-0000-0000EF180000}"/>
    <cellStyle name="20% - Énfasis5 20 18 2" xfId="6381" xr:uid="{00000000-0005-0000-0000-0000F0180000}"/>
    <cellStyle name="20% - Énfasis5 20 19" xfId="6382" xr:uid="{00000000-0005-0000-0000-0000F1180000}"/>
    <cellStyle name="20% - Énfasis5 20 19 2" xfId="6383" xr:uid="{00000000-0005-0000-0000-0000F2180000}"/>
    <cellStyle name="20% - Énfasis5 20 2" xfId="6384" xr:uid="{00000000-0005-0000-0000-0000F3180000}"/>
    <cellStyle name="20% - Énfasis5 20 2 2" xfId="6385" xr:uid="{00000000-0005-0000-0000-0000F4180000}"/>
    <cellStyle name="20% - Énfasis5 20 20" xfId="6386" xr:uid="{00000000-0005-0000-0000-0000F5180000}"/>
    <cellStyle name="20% - Énfasis5 20 3" xfId="6387" xr:uid="{00000000-0005-0000-0000-0000F6180000}"/>
    <cellStyle name="20% - Énfasis5 20 3 2" xfId="6388" xr:uid="{00000000-0005-0000-0000-0000F7180000}"/>
    <cellStyle name="20% - Énfasis5 20 4" xfId="6389" xr:uid="{00000000-0005-0000-0000-0000F8180000}"/>
    <cellStyle name="20% - Énfasis5 20 4 2" xfId="6390" xr:uid="{00000000-0005-0000-0000-0000F9180000}"/>
    <cellStyle name="20% - Énfasis5 20 5" xfId="6391" xr:uid="{00000000-0005-0000-0000-0000FA180000}"/>
    <cellStyle name="20% - Énfasis5 20 5 2" xfId="6392" xr:uid="{00000000-0005-0000-0000-0000FB180000}"/>
    <cellStyle name="20% - Énfasis5 20 6" xfId="6393" xr:uid="{00000000-0005-0000-0000-0000FC180000}"/>
    <cellStyle name="20% - Énfasis5 20 6 2" xfId="6394" xr:uid="{00000000-0005-0000-0000-0000FD180000}"/>
    <cellStyle name="20% - Énfasis5 20 7" xfId="6395" xr:uid="{00000000-0005-0000-0000-0000FE180000}"/>
    <cellStyle name="20% - Énfasis5 20 7 2" xfId="6396" xr:uid="{00000000-0005-0000-0000-0000FF180000}"/>
    <cellStyle name="20% - Énfasis5 20 8" xfId="6397" xr:uid="{00000000-0005-0000-0000-000000190000}"/>
    <cellStyle name="20% - Énfasis5 20 8 2" xfId="6398" xr:uid="{00000000-0005-0000-0000-000001190000}"/>
    <cellStyle name="20% - Énfasis5 20 9" xfId="6399" xr:uid="{00000000-0005-0000-0000-000002190000}"/>
    <cellStyle name="20% - Énfasis5 20 9 2" xfId="6400" xr:uid="{00000000-0005-0000-0000-000003190000}"/>
    <cellStyle name="20% - Énfasis5 21" xfId="6401" xr:uid="{00000000-0005-0000-0000-000004190000}"/>
    <cellStyle name="20% - Énfasis5 21 10" xfId="6402" xr:uid="{00000000-0005-0000-0000-000005190000}"/>
    <cellStyle name="20% - Énfasis5 21 10 2" xfId="6403" xr:uid="{00000000-0005-0000-0000-000006190000}"/>
    <cellStyle name="20% - Énfasis5 21 11" xfId="6404" xr:uid="{00000000-0005-0000-0000-000007190000}"/>
    <cellStyle name="20% - Énfasis5 21 11 2" xfId="6405" xr:uid="{00000000-0005-0000-0000-000008190000}"/>
    <cellStyle name="20% - Énfasis5 21 12" xfId="6406" xr:uid="{00000000-0005-0000-0000-000009190000}"/>
    <cellStyle name="20% - Énfasis5 21 12 2" xfId="6407" xr:uid="{00000000-0005-0000-0000-00000A190000}"/>
    <cellStyle name="20% - Énfasis5 21 13" xfId="6408" xr:uid="{00000000-0005-0000-0000-00000B190000}"/>
    <cellStyle name="20% - Énfasis5 21 13 2" xfId="6409" xr:uid="{00000000-0005-0000-0000-00000C190000}"/>
    <cellStyle name="20% - Énfasis5 21 14" xfId="6410" xr:uid="{00000000-0005-0000-0000-00000D190000}"/>
    <cellStyle name="20% - Énfasis5 21 14 2" xfId="6411" xr:uid="{00000000-0005-0000-0000-00000E190000}"/>
    <cellStyle name="20% - Énfasis5 21 15" xfId="6412" xr:uid="{00000000-0005-0000-0000-00000F190000}"/>
    <cellStyle name="20% - Énfasis5 21 15 2" xfId="6413" xr:uid="{00000000-0005-0000-0000-000010190000}"/>
    <cellStyle name="20% - Énfasis5 21 16" xfId="6414" xr:uid="{00000000-0005-0000-0000-000011190000}"/>
    <cellStyle name="20% - Énfasis5 21 16 2" xfId="6415" xr:uid="{00000000-0005-0000-0000-000012190000}"/>
    <cellStyle name="20% - Énfasis5 21 17" xfId="6416" xr:uid="{00000000-0005-0000-0000-000013190000}"/>
    <cellStyle name="20% - Énfasis5 21 17 2" xfId="6417" xr:uid="{00000000-0005-0000-0000-000014190000}"/>
    <cellStyle name="20% - Énfasis5 21 18" xfId="6418" xr:uid="{00000000-0005-0000-0000-000015190000}"/>
    <cellStyle name="20% - Énfasis5 21 18 2" xfId="6419" xr:uid="{00000000-0005-0000-0000-000016190000}"/>
    <cellStyle name="20% - Énfasis5 21 19" xfId="6420" xr:uid="{00000000-0005-0000-0000-000017190000}"/>
    <cellStyle name="20% - Énfasis5 21 19 2" xfId="6421" xr:uid="{00000000-0005-0000-0000-000018190000}"/>
    <cellStyle name="20% - Énfasis5 21 2" xfId="6422" xr:uid="{00000000-0005-0000-0000-000019190000}"/>
    <cellStyle name="20% - Énfasis5 21 2 2" xfId="6423" xr:uid="{00000000-0005-0000-0000-00001A190000}"/>
    <cellStyle name="20% - Énfasis5 21 20" xfId="6424" xr:uid="{00000000-0005-0000-0000-00001B190000}"/>
    <cellStyle name="20% - Énfasis5 21 3" xfId="6425" xr:uid="{00000000-0005-0000-0000-00001C190000}"/>
    <cellStyle name="20% - Énfasis5 21 3 2" xfId="6426" xr:uid="{00000000-0005-0000-0000-00001D190000}"/>
    <cellStyle name="20% - Énfasis5 21 4" xfId="6427" xr:uid="{00000000-0005-0000-0000-00001E190000}"/>
    <cellStyle name="20% - Énfasis5 21 4 2" xfId="6428" xr:uid="{00000000-0005-0000-0000-00001F190000}"/>
    <cellStyle name="20% - Énfasis5 21 5" xfId="6429" xr:uid="{00000000-0005-0000-0000-000020190000}"/>
    <cellStyle name="20% - Énfasis5 21 5 2" xfId="6430" xr:uid="{00000000-0005-0000-0000-000021190000}"/>
    <cellStyle name="20% - Énfasis5 21 6" xfId="6431" xr:uid="{00000000-0005-0000-0000-000022190000}"/>
    <cellStyle name="20% - Énfasis5 21 6 2" xfId="6432" xr:uid="{00000000-0005-0000-0000-000023190000}"/>
    <cellStyle name="20% - Énfasis5 21 7" xfId="6433" xr:uid="{00000000-0005-0000-0000-000024190000}"/>
    <cellStyle name="20% - Énfasis5 21 7 2" xfId="6434" xr:uid="{00000000-0005-0000-0000-000025190000}"/>
    <cellStyle name="20% - Énfasis5 21 8" xfId="6435" xr:uid="{00000000-0005-0000-0000-000026190000}"/>
    <cellStyle name="20% - Énfasis5 21 8 2" xfId="6436" xr:uid="{00000000-0005-0000-0000-000027190000}"/>
    <cellStyle name="20% - Énfasis5 21 9" xfId="6437" xr:uid="{00000000-0005-0000-0000-000028190000}"/>
    <cellStyle name="20% - Énfasis5 21 9 2" xfId="6438" xr:uid="{00000000-0005-0000-0000-000029190000}"/>
    <cellStyle name="20% - Énfasis5 22" xfId="6439" xr:uid="{00000000-0005-0000-0000-00002A190000}"/>
    <cellStyle name="20% - Énfasis5 22 10" xfId="6440" xr:uid="{00000000-0005-0000-0000-00002B190000}"/>
    <cellStyle name="20% - Énfasis5 22 10 2" xfId="6441" xr:uid="{00000000-0005-0000-0000-00002C190000}"/>
    <cellStyle name="20% - Énfasis5 22 11" xfId="6442" xr:uid="{00000000-0005-0000-0000-00002D190000}"/>
    <cellStyle name="20% - Énfasis5 22 11 2" xfId="6443" xr:uid="{00000000-0005-0000-0000-00002E190000}"/>
    <cellStyle name="20% - Énfasis5 22 12" xfId="6444" xr:uid="{00000000-0005-0000-0000-00002F190000}"/>
    <cellStyle name="20% - Énfasis5 22 12 2" xfId="6445" xr:uid="{00000000-0005-0000-0000-000030190000}"/>
    <cellStyle name="20% - Énfasis5 22 13" xfId="6446" xr:uid="{00000000-0005-0000-0000-000031190000}"/>
    <cellStyle name="20% - Énfasis5 22 13 2" xfId="6447" xr:uid="{00000000-0005-0000-0000-000032190000}"/>
    <cellStyle name="20% - Énfasis5 22 14" xfId="6448" xr:uid="{00000000-0005-0000-0000-000033190000}"/>
    <cellStyle name="20% - Énfasis5 22 14 2" xfId="6449" xr:uid="{00000000-0005-0000-0000-000034190000}"/>
    <cellStyle name="20% - Énfasis5 22 15" xfId="6450" xr:uid="{00000000-0005-0000-0000-000035190000}"/>
    <cellStyle name="20% - Énfasis5 22 15 2" xfId="6451" xr:uid="{00000000-0005-0000-0000-000036190000}"/>
    <cellStyle name="20% - Énfasis5 22 16" xfId="6452" xr:uid="{00000000-0005-0000-0000-000037190000}"/>
    <cellStyle name="20% - Énfasis5 22 16 2" xfId="6453" xr:uid="{00000000-0005-0000-0000-000038190000}"/>
    <cellStyle name="20% - Énfasis5 22 17" xfId="6454" xr:uid="{00000000-0005-0000-0000-000039190000}"/>
    <cellStyle name="20% - Énfasis5 22 17 2" xfId="6455" xr:uid="{00000000-0005-0000-0000-00003A190000}"/>
    <cellStyle name="20% - Énfasis5 22 18" xfId="6456" xr:uid="{00000000-0005-0000-0000-00003B190000}"/>
    <cellStyle name="20% - Énfasis5 22 18 2" xfId="6457" xr:uid="{00000000-0005-0000-0000-00003C190000}"/>
    <cellStyle name="20% - Énfasis5 22 19" xfId="6458" xr:uid="{00000000-0005-0000-0000-00003D190000}"/>
    <cellStyle name="20% - Énfasis5 22 19 2" xfId="6459" xr:uid="{00000000-0005-0000-0000-00003E190000}"/>
    <cellStyle name="20% - Énfasis5 22 2" xfId="6460" xr:uid="{00000000-0005-0000-0000-00003F190000}"/>
    <cellStyle name="20% - Énfasis5 22 2 2" xfId="6461" xr:uid="{00000000-0005-0000-0000-000040190000}"/>
    <cellStyle name="20% - Énfasis5 22 20" xfId="6462" xr:uid="{00000000-0005-0000-0000-000041190000}"/>
    <cellStyle name="20% - Énfasis5 22 3" xfId="6463" xr:uid="{00000000-0005-0000-0000-000042190000}"/>
    <cellStyle name="20% - Énfasis5 22 3 2" xfId="6464" xr:uid="{00000000-0005-0000-0000-000043190000}"/>
    <cellStyle name="20% - Énfasis5 22 4" xfId="6465" xr:uid="{00000000-0005-0000-0000-000044190000}"/>
    <cellStyle name="20% - Énfasis5 22 4 2" xfId="6466" xr:uid="{00000000-0005-0000-0000-000045190000}"/>
    <cellStyle name="20% - Énfasis5 22 5" xfId="6467" xr:uid="{00000000-0005-0000-0000-000046190000}"/>
    <cellStyle name="20% - Énfasis5 22 5 2" xfId="6468" xr:uid="{00000000-0005-0000-0000-000047190000}"/>
    <cellStyle name="20% - Énfasis5 22 6" xfId="6469" xr:uid="{00000000-0005-0000-0000-000048190000}"/>
    <cellStyle name="20% - Énfasis5 22 6 2" xfId="6470" xr:uid="{00000000-0005-0000-0000-000049190000}"/>
    <cellStyle name="20% - Énfasis5 22 7" xfId="6471" xr:uid="{00000000-0005-0000-0000-00004A190000}"/>
    <cellStyle name="20% - Énfasis5 22 7 2" xfId="6472" xr:uid="{00000000-0005-0000-0000-00004B190000}"/>
    <cellStyle name="20% - Énfasis5 22 8" xfId="6473" xr:uid="{00000000-0005-0000-0000-00004C190000}"/>
    <cellStyle name="20% - Énfasis5 22 8 2" xfId="6474" xr:uid="{00000000-0005-0000-0000-00004D190000}"/>
    <cellStyle name="20% - Énfasis5 22 9" xfId="6475" xr:uid="{00000000-0005-0000-0000-00004E190000}"/>
    <cellStyle name="20% - Énfasis5 22 9 2" xfId="6476" xr:uid="{00000000-0005-0000-0000-00004F190000}"/>
    <cellStyle name="20% - Énfasis5 23" xfId="6477" xr:uid="{00000000-0005-0000-0000-000050190000}"/>
    <cellStyle name="20% - Énfasis5 23 10" xfId="6478" xr:uid="{00000000-0005-0000-0000-000051190000}"/>
    <cellStyle name="20% - Énfasis5 23 10 2" xfId="6479" xr:uid="{00000000-0005-0000-0000-000052190000}"/>
    <cellStyle name="20% - Énfasis5 23 11" xfId="6480" xr:uid="{00000000-0005-0000-0000-000053190000}"/>
    <cellStyle name="20% - Énfasis5 23 11 2" xfId="6481" xr:uid="{00000000-0005-0000-0000-000054190000}"/>
    <cellStyle name="20% - Énfasis5 23 12" xfId="6482" xr:uid="{00000000-0005-0000-0000-000055190000}"/>
    <cellStyle name="20% - Énfasis5 23 12 2" xfId="6483" xr:uid="{00000000-0005-0000-0000-000056190000}"/>
    <cellStyle name="20% - Énfasis5 23 13" xfId="6484" xr:uid="{00000000-0005-0000-0000-000057190000}"/>
    <cellStyle name="20% - Énfasis5 23 13 2" xfId="6485" xr:uid="{00000000-0005-0000-0000-000058190000}"/>
    <cellStyle name="20% - Énfasis5 23 14" xfId="6486" xr:uid="{00000000-0005-0000-0000-000059190000}"/>
    <cellStyle name="20% - Énfasis5 23 14 2" xfId="6487" xr:uid="{00000000-0005-0000-0000-00005A190000}"/>
    <cellStyle name="20% - Énfasis5 23 15" xfId="6488" xr:uid="{00000000-0005-0000-0000-00005B190000}"/>
    <cellStyle name="20% - Énfasis5 23 15 2" xfId="6489" xr:uid="{00000000-0005-0000-0000-00005C190000}"/>
    <cellStyle name="20% - Énfasis5 23 16" xfId="6490" xr:uid="{00000000-0005-0000-0000-00005D190000}"/>
    <cellStyle name="20% - Énfasis5 23 16 2" xfId="6491" xr:uid="{00000000-0005-0000-0000-00005E190000}"/>
    <cellStyle name="20% - Énfasis5 23 17" xfId="6492" xr:uid="{00000000-0005-0000-0000-00005F190000}"/>
    <cellStyle name="20% - Énfasis5 23 17 2" xfId="6493" xr:uid="{00000000-0005-0000-0000-000060190000}"/>
    <cellStyle name="20% - Énfasis5 23 18" xfId="6494" xr:uid="{00000000-0005-0000-0000-000061190000}"/>
    <cellStyle name="20% - Énfasis5 23 18 2" xfId="6495" xr:uid="{00000000-0005-0000-0000-000062190000}"/>
    <cellStyle name="20% - Énfasis5 23 19" xfId="6496" xr:uid="{00000000-0005-0000-0000-000063190000}"/>
    <cellStyle name="20% - Énfasis5 23 19 2" xfId="6497" xr:uid="{00000000-0005-0000-0000-000064190000}"/>
    <cellStyle name="20% - Énfasis5 23 2" xfId="6498" xr:uid="{00000000-0005-0000-0000-000065190000}"/>
    <cellStyle name="20% - Énfasis5 23 2 2" xfId="6499" xr:uid="{00000000-0005-0000-0000-000066190000}"/>
    <cellStyle name="20% - Énfasis5 23 20" xfId="6500" xr:uid="{00000000-0005-0000-0000-000067190000}"/>
    <cellStyle name="20% - Énfasis5 23 3" xfId="6501" xr:uid="{00000000-0005-0000-0000-000068190000}"/>
    <cellStyle name="20% - Énfasis5 23 3 2" xfId="6502" xr:uid="{00000000-0005-0000-0000-000069190000}"/>
    <cellStyle name="20% - Énfasis5 23 4" xfId="6503" xr:uid="{00000000-0005-0000-0000-00006A190000}"/>
    <cellStyle name="20% - Énfasis5 23 4 2" xfId="6504" xr:uid="{00000000-0005-0000-0000-00006B190000}"/>
    <cellStyle name="20% - Énfasis5 23 5" xfId="6505" xr:uid="{00000000-0005-0000-0000-00006C190000}"/>
    <cellStyle name="20% - Énfasis5 23 5 2" xfId="6506" xr:uid="{00000000-0005-0000-0000-00006D190000}"/>
    <cellStyle name="20% - Énfasis5 23 6" xfId="6507" xr:uid="{00000000-0005-0000-0000-00006E190000}"/>
    <cellStyle name="20% - Énfasis5 23 6 2" xfId="6508" xr:uid="{00000000-0005-0000-0000-00006F190000}"/>
    <cellStyle name="20% - Énfasis5 23 7" xfId="6509" xr:uid="{00000000-0005-0000-0000-000070190000}"/>
    <cellStyle name="20% - Énfasis5 23 7 2" xfId="6510" xr:uid="{00000000-0005-0000-0000-000071190000}"/>
    <cellStyle name="20% - Énfasis5 23 8" xfId="6511" xr:uid="{00000000-0005-0000-0000-000072190000}"/>
    <cellStyle name="20% - Énfasis5 23 8 2" xfId="6512" xr:uid="{00000000-0005-0000-0000-000073190000}"/>
    <cellStyle name="20% - Énfasis5 23 9" xfId="6513" xr:uid="{00000000-0005-0000-0000-000074190000}"/>
    <cellStyle name="20% - Énfasis5 23 9 2" xfId="6514" xr:uid="{00000000-0005-0000-0000-000075190000}"/>
    <cellStyle name="20% - Énfasis5 24" xfId="6515" xr:uid="{00000000-0005-0000-0000-000076190000}"/>
    <cellStyle name="20% - Énfasis5 24 10" xfId="6516" xr:uid="{00000000-0005-0000-0000-000077190000}"/>
    <cellStyle name="20% - Énfasis5 24 10 2" xfId="6517" xr:uid="{00000000-0005-0000-0000-000078190000}"/>
    <cellStyle name="20% - Énfasis5 24 11" xfId="6518" xr:uid="{00000000-0005-0000-0000-000079190000}"/>
    <cellStyle name="20% - Énfasis5 24 11 2" xfId="6519" xr:uid="{00000000-0005-0000-0000-00007A190000}"/>
    <cellStyle name="20% - Énfasis5 24 12" xfId="6520" xr:uid="{00000000-0005-0000-0000-00007B190000}"/>
    <cellStyle name="20% - Énfasis5 24 12 2" xfId="6521" xr:uid="{00000000-0005-0000-0000-00007C190000}"/>
    <cellStyle name="20% - Énfasis5 24 13" xfId="6522" xr:uid="{00000000-0005-0000-0000-00007D190000}"/>
    <cellStyle name="20% - Énfasis5 24 13 2" xfId="6523" xr:uid="{00000000-0005-0000-0000-00007E190000}"/>
    <cellStyle name="20% - Énfasis5 24 14" xfId="6524" xr:uid="{00000000-0005-0000-0000-00007F190000}"/>
    <cellStyle name="20% - Énfasis5 24 14 2" xfId="6525" xr:uid="{00000000-0005-0000-0000-000080190000}"/>
    <cellStyle name="20% - Énfasis5 24 15" xfId="6526" xr:uid="{00000000-0005-0000-0000-000081190000}"/>
    <cellStyle name="20% - Énfasis5 24 15 2" xfId="6527" xr:uid="{00000000-0005-0000-0000-000082190000}"/>
    <cellStyle name="20% - Énfasis5 24 16" xfId="6528" xr:uid="{00000000-0005-0000-0000-000083190000}"/>
    <cellStyle name="20% - Énfasis5 24 16 2" xfId="6529" xr:uid="{00000000-0005-0000-0000-000084190000}"/>
    <cellStyle name="20% - Énfasis5 24 17" xfId="6530" xr:uid="{00000000-0005-0000-0000-000085190000}"/>
    <cellStyle name="20% - Énfasis5 24 17 2" xfId="6531" xr:uid="{00000000-0005-0000-0000-000086190000}"/>
    <cellStyle name="20% - Énfasis5 24 18" xfId="6532" xr:uid="{00000000-0005-0000-0000-000087190000}"/>
    <cellStyle name="20% - Énfasis5 24 18 2" xfId="6533" xr:uid="{00000000-0005-0000-0000-000088190000}"/>
    <cellStyle name="20% - Énfasis5 24 19" xfId="6534" xr:uid="{00000000-0005-0000-0000-000089190000}"/>
    <cellStyle name="20% - Énfasis5 24 19 2" xfId="6535" xr:uid="{00000000-0005-0000-0000-00008A190000}"/>
    <cellStyle name="20% - Énfasis5 24 2" xfId="6536" xr:uid="{00000000-0005-0000-0000-00008B190000}"/>
    <cellStyle name="20% - Énfasis5 24 2 2" xfId="6537" xr:uid="{00000000-0005-0000-0000-00008C190000}"/>
    <cellStyle name="20% - Énfasis5 24 20" xfId="6538" xr:uid="{00000000-0005-0000-0000-00008D190000}"/>
    <cellStyle name="20% - Énfasis5 24 3" xfId="6539" xr:uid="{00000000-0005-0000-0000-00008E190000}"/>
    <cellStyle name="20% - Énfasis5 24 3 2" xfId="6540" xr:uid="{00000000-0005-0000-0000-00008F190000}"/>
    <cellStyle name="20% - Énfasis5 24 4" xfId="6541" xr:uid="{00000000-0005-0000-0000-000090190000}"/>
    <cellStyle name="20% - Énfasis5 24 4 2" xfId="6542" xr:uid="{00000000-0005-0000-0000-000091190000}"/>
    <cellStyle name="20% - Énfasis5 24 5" xfId="6543" xr:uid="{00000000-0005-0000-0000-000092190000}"/>
    <cellStyle name="20% - Énfasis5 24 5 2" xfId="6544" xr:uid="{00000000-0005-0000-0000-000093190000}"/>
    <cellStyle name="20% - Énfasis5 24 6" xfId="6545" xr:uid="{00000000-0005-0000-0000-000094190000}"/>
    <cellStyle name="20% - Énfasis5 24 6 2" xfId="6546" xr:uid="{00000000-0005-0000-0000-000095190000}"/>
    <cellStyle name="20% - Énfasis5 24 7" xfId="6547" xr:uid="{00000000-0005-0000-0000-000096190000}"/>
    <cellStyle name="20% - Énfasis5 24 7 2" xfId="6548" xr:uid="{00000000-0005-0000-0000-000097190000}"/>
    <cellStyle name="20% - Énfasis5 24 8" xfId="6549" xr:uid="{00000000-0005-0000-0000-000098190000}"/>
    <cellStyle name="20% - Énfasis5 24 8 2" xfId="6550" xr:uid="{00000000-0005-0000-0000-000099190000}"/>
    <cellStyle name="20% - Énfasis5 24 9" xfId="6551" xr:uid="{00000000-0005-0000-0000-00009A190000}"/>
    <cellStyle name="20% - Énfasis5 24 9 2" xfId="6552" xr:uid="{00000000-0005-0000-0000-00009B190000}"/>
    <cellStyle name="20% - Énfasis5 25" xfId="6553" xr:uid="{00000000-0005-0000-0000-00009C190000}"/>
    <cellStyle name="20% - Énfasis5 25 10" xfId="6554" xr:uid="{00000000-0005-0000-0000-00009D190000}"/>
    <cellStyle name="20% - Énfasis5 25 10 2" xfId="6555" xr:uid="{00000000-0005-0000-0000-00009E190000}"/>
    <cellStyle name="20% - Énfasis5 25 11" xfId="6556" xr:uid="{00000000-0005-0000-0000-00009F190000}"/>
    <cellStyle name="20% - Énfasis5 25 11 2" xfId="6557" xr:uid="{00000000-0005-0000-0000-0000A0190000}"/>
    <cellStyle name="20% - Énfasis5 25 12" xfId="6558" xr:uid="{00000000-0005-0000-0000-0000A1190000}"/>
    <cellStyle name="20% - Énfasis5 25 12 2" xfId="6559" xr:uid="{00000000-0005-0000-0000-0000A2190000}"/>
    <cellStyle name="20% - Énfasis5 25 13" xfId="6560" xr:uid="{00000000-0005-0000-0000-0000A3190000}"/>
    <cellStyle name="20% - Énfasis5 25 13 2" xfId="6561" xr:uid="{00000000-0005-0000-0000-0000A4190000}"/>
    <cellStyle name="20% - Énfasis5 25 14" xfId="6562" xr:uid="{00000000-0005-0000-0000-0000A5190000}"/>
    <cellStyle name="20% - Énfasis5 25 14 2" xfId="6563" xr:uid="{00000000-0005-0000-0000-0000A6190000}"/>
    <cellStyle name="20% - Énfasis5 25 15" xfId="6564" xr:uid="{00000000-0005-0000-0000-0000A7190000}"/>
    <cellStyle name="20% - Énfasis5 25 15 2" xfId="6565" xr:uid="{00000000-0005-0000-0000-0000A8190000}"/>
    <cellStyle name="20% - Énfasis5 25 16" xfId="6566" xr:uid="{00000000-0005-0000-0000-0000A9190000}"/>
    <cellStyle name="20% - Énfasis5 25 16 2" xfId="6567" xr:uid="{00000000-0005-0000-0000-0000AA190000}"/>
    <cellStyle name="20% - Énfasis5 25 17" xfId="6568" xr:uid="{00000000-0005-0000-0000-0000AB190000}"/>
    <cellStyle name="20% - Énfasis5 25 17 2" xfId="6569" xr:uid="{00000000-0005-0000-0000-0000AC190000}"/>
    <cellStyle name="20% - Énfasis5 25 18" xfId="6570" xr:uid="{00000000-0005-0000-0000-0000AD190000}"/>
    <cellStyle name="20% - Énfasis5 25 18 2" xfId="6571" xr:uid="{00000000-0005-0000-0000-0000AE190000}"/>
    <cellStyle name="20% - Énfasis5 25 19" xfId="6572" xr:uid="{00000000-0005-0000-0000-0000AF190000}"/>
    <cellStyle name="20% - Énfasis5 25 19 2" xfId="6573" xr:uid="{00000000-0005-0000-0000-0000B0190000}"/>
    <cellStyle name="20% - Énfasis5 25 2" xfId="6574" xr:uid="{00000000-0005-0000-0000-0000B1190000}"/>
    <cellStyle name="20% - Énfasis5 25 2 2" xfId="6575" xr:uid="{00000000-0005-0000-0000-0000B2190000}"/>
    <cellStyle name="20% - Énfasis5 25 20" xfId="6576" xr:uid="{00000000-0005-0000-0000-0000B3190000}"/>
    <cellStyle name="20% - Énfasis5 25 3" xfId="6577" xr:uid="{00000000-0005-0000-0000-0000B4190000}"/>
    <cellStyle name="20% - Énfasis5 25 3 2" xfId="6578" xr:uid="{00000000-0005-0000-0000-0000B5190000}"/>
    <cellStyle name="20% - Énfasis5 25 4" xfId="6579" xr:uid="{00000000-0005-0000-0000-0000B6190000}"/>
    <cellStyle name="20% - Énfasis5 25 4 2" xfId="6580" xr:uid="{00000000-0005-0000-0000-0000B7190000}"/>
    <cellStyle name="20% - Énfasis5 25 5" xfId="6581" xr:uid="{00000000-0005-0000-0000-0000B8190000}"/>
    <cellStyle name="20% - Énfasis5 25 5 2" xfId="6582" xr:uid="{00000000-0005-0000-0000-0000B9190000}"/>
    <cellStyle name="20% - Énfasis5 25 6" xfId="6583" xr:uid="{00000000-0005-0000-0000-0000BA190000}"/>
    <cellStyle name="20% - Énfasis5 25 6 2" xfId="6584" xr:uid="{00000000-0005-0000-0000-0000BB190000}"/>
    <cellStyle name="20% - Énfasis5 25 7" xfId="6585" xr:uid="{00000000-0005-0000-0000-0000BC190000}"/>
    <cellStyle name="20% - Énfasis5 25 7 2" xfId="6586" xr:uid="{00000000-0005-0000-0000-0000BD190000}"/>
    <cellStyle name="20% - Énfasis5 25 8" xfId="6587" xr:uid="{00000000-0005-0000-0000-0000BE190000}"/>
    <cellStyle name="20% - Énfasis5 25 8 2" xfId="6588" xr:uid="{00000000-0005-0000-0000-0000BF190000}"/>
    <cellStyle name="20% - Énfasis5 25 9" xfId="6589" xr:uid="{00000000-0005-0000-0000-0000C0190000}"/>
    <cellStyle name="20% - Énfasis5 25 9 2" xfId="6590" xr:uid="{00000000-0005-0000-0000-0000C1190000}"/>
    <cellStyle name="20% - Énfasis5 26" xfId="6591" xr:uid="{00000000-0005-0000-0000-0000C2190000}"/>
    <cellStyle name="20% - Énfasis5 26 10" xfId="6592" xr:uid="{00000000-0005-0000-0000-0000C3190000}"/>
    <cellStyle name="20% - Énfasis5 26 10 2" xfId="6593" xr:uid="{00000000-0005-0000-0000-0000C4190000}"/>
    <cellStyle name="20% - Énfasis5 26 11" xfId="6594" xr:uid="{00000000-0005-0000-0000-0000C5190000}"/>
    <cellStyle name="20% - Énfasis5 26 11 2" xfId="6595" xr:uid="{00000000-0005-0000-0000-0000C6190000}"/>
    <cellStyle name="20% - Énfasis5 26 12" xfId="6596" xr:uid="{00000000-0005-0000-0000-0000C7190000}"/>
    <cellStyle name="20% - Énfasis5 26 12 2" xfId="6597" xr:uid="{00000000-0005-0000-0000-0000C8190000}"/>
    <cellStyle name="20% - Énfasis5 26 13" xfId="6598" xr:uid="{00000000-0005-0000-0000-0000C9190000}"/>
    <cellStyle name="20% - Énfasis5 26 13 2" xfId="6599" xr:uid="{00000000-0005-0000-0000-0000CA190000}"/>
    <cellStyle name="20% - Énfasis5 26 14" xfId="6600" xr:uid="{00000000-0005-0000-0000-0000CB190000}"/>
    <cellStyle name="20% - Énfasis5 26 14 2" xfId="6601" xr:uid="{00000000-0005-0000-0000-0000CC190000}"/>
    <cellStyle name="20% - Énfasis5 26 15" xfId="6602" xr:uid="{00000000-0005-0000-0000-0000CD190000}"/>
    <cellStyle name="20% - Énfasis5 26 15 2" xfId="6603" xr:uid="{00000000-0005-0000-0000-0000CE190000}"/>
    <cellStyle name="20% - Énfasis5 26 16" xfId="6604" xr:uid="{00000000-0005-0000-0000-0000CF190000}"/>
    <cellStyle name="20% - Énfasis5 26 16 2" xfId="6605" xr:uid="{00000000-0005-0000-0000-0000D0190000}"/>
    <cellStyle name="20% - Énfasis5 26 17" xfId="6606" xr:uid="{00000000-0005-0000-0000-0000D1190000}"/>
    <cellStyle name="20% - Énfasis5 26 17 2" xfId="6607" xr:uid="{00000000-0005-0000-0000-0000D2190000}"/>
    <cellStyle name="20% - Énfasis5 26 18" xfId="6608" xr:uid="{00000000-0005-0000-0000-0000D3190000}"/>
    <cellStyle name="20% - Énfasis5 26 18 2" xfId="6609" xr:uid="{00000000-0005-0000-0000-0000D4190000}"/>
    <cellStyle name="20% - Énfasis5 26 19" xfId="6610" xr:uid="{00000000-0005-0000-0000-0000D5190000}"/>
    <cellStyle name="20% - Énfasis5 26 19 2" xfId="6611" xr:uid="{00000000-0005-0000-0000-0000D6190000}"/>
    <cellStyle name="20% - Énfasis5 26 2" xfId="6612" xr:uid="{00000000-0005-0000-0000-0000D7190000}"/>
    <cellStyle name="20% - Énfasis5 26 2 2" xfId="6613" xr:uid="{00000000-0005-0000-0000-0000D8190000}"/>
    <cellStyle name="20% - Énfasis5 26 20" xfId="6614" xr:uid="{00000000-0005-0000-0000-0000D9190000}"/>
    <cellStyle name="20% - Énfasis5 26 3" xfId="6615" xr:uid="{00000000-0005-0000-0000-0000DA190000}"/>
    <cellStyle name="20% - Énfasis5 26 3 2" xfId="6616" xr:uid="{00000000-0005-0000-0000-0000DB190000}"/>
    <cellStyle name="20% - Énfasis5 26 4" xfId="6617" xr:uid="{00000000-0005-0000-0000-0000DC190000}"/>
    <cellStyle name="20% - Énfasis5 26 4 2" xfId="6618" xr:uid="{00000000-0005-0000-0000-0000DD190000}"/>
    <cellStyle name="20% - Énfasis5 26 5" xfId="6619" xr:uid="{00000000-0005-0000-0000-0000DE190000}"/>
    <cellStyle name="20% - Énfasis5 26 5 2" xfId="6620" xr:uid="{00000000-0005-0000-0000-0000DF190000}"/>
    <cellStyle name="20% - Énfasis5 26 6" xfId="6621" xr:uid="{00000000-0005-0000-0000-0000E0190000}"/>
    <cellStyle name="20% - Énfasis5 26 6 2" xfId="6622" xr:uid="{00000000-0005-0000-0000-0000E1190000}"/>
    <cellStyle name="20% - Énfasis5 26 7" xfId="6623" xr:uid="{00000000-0005-0000-0000-0000E2190000}"/>
    <cellStyle name="20% - Énfasis5 26 7 2" xfId="6624" xr:uid="{00000000-0005-0000-0000-0000E3190000}"/>
    <cellStyle name="20% - Énfasis5 26 8" xfId="6625" xr:uid="{00000000-0005-0000-0000-0000E4190000}"/>
    <cellStyle name="20% - Énfasis5 26 8 2" xfId="6626" xr:uid="{00000000-0005-0000-0000-0000E5190000}"/>
    <cellStyle name="20% - Énfasis5 26 9" xfId="6627" xr:uid="{00000000-0005-0000-0000-0000E6190000}"/>
    <cellStyle name="20% - Énfasis5 26 9 2" xfId="6628" xr:uid="{00000000-0005-0000-0000-0000E7190000}"/>
    <cellStyle name="20% - Énfasis5 27" xfId="6629" xr:uid="{00000000-0005-0000-0000-0000E8190000}"/>
    <cellStyle name="20% - Énfasis5 27 10" xfId="6630" xr:uid="{00000000-0005-0000-0000-0000E9190000}"/>
    <cellStyle name="20% - Énfasis5 27 10 2" xfId="6631" xr:uid="{00000000-0005-0000-0000-0000EA190000}"/>
    <cellStyle name="20% - Énfasis5 27 11" xfId="6632" xr:uid="{00000000-0005-0000-0000-0000EB190000}"/>
    <cellStyle name="20% - Énfasis5 27 11 2" xfId="6633" xr:uid="{00000000-0005-0000-0000-0000EC190000}"/>
    <cellStyle name="20% - Énfasis5 27 12" xfId="6634" xr:uid="{00000000-0005-0000-0000-0000ED190000}"/>
    <cellStyle name="20% - Énfasis5 27 12 2" xfId="6635" xr:uid="{00000000-0005-0000-0000-0000EE190000}"/>
    <cellStyle name="20% - Énfasis5 27 13" xfId="6636" xr:uid="{00000000-0005-0000-0000-0000EF190000}"/>
    <cellStyle name="20% - Énfasis5 27 13 2" xfId="6637" xr:uid="{00000000-0005-0000-0000-0000F0190000}"/>
    <cellStyle name="20% - Énfasis5 27 14" xfId="6638" xr:uid="{00000000-0005-0000-0000-0000F1190000}"/>
    <cellStyle name="20% - Énfasis5 27 14 2" xfId="6639" xr:uid="{00000000-0005-0000-0000-0000F2190000}"/>
    <cellStyle name="20% - Énfasis5 27 15" xfId="6640" xr:uid="{00000000-0005-0000-0000-0000F3190000}"/>
    <cellStyle name="20% - Énfasis5 27 15 2" xfId="6641" xr:uid="{00000000-0005-0000-0000-0000F4190000}"/>
    <cellStyle name="20% - Énfasis5 27 16" xfId="6642" xr:uid="{00000000-0005-0000-0000-0000F5190000}"/>
    <cellStyle name="20% - Énfasis5 27 16 2" xfId="6643" xr:uid="{00000000-0005-0000-0000-0000F6190000}"/>
    <cellStyle name="20% - Énfasis5 27 17" xfId="6644" xr:uid="{00000000-0005-0000-0000-0000F7190000}"/>
    <cellStyle name="20% - Énfasis5 27 17 2" xfId="6645" xr:uid="{00000000-0005-0000-0000-0000F8190000}"/>
    <cellStyle name="20% - Énfasis5 27 18" xfId="6646" xr:uid="{00000000-0005-0000-0000-0000F9190000}"/>
    <cellStyle name="20% - Énfasis5 27 18 2" xfId="6647" xr:uid="{00000000-0005-0000-0000-0000FA190000}"/>
    <cellStyle name="20% - Énfasis5 27 19" xfId="6648" xr:uid="{00000000-0005-0000-0000-0000FB190000}"/>
    <cellStyle name="20% - Énfasis5 27 19 2" xfId="6649" xr:uid="{00000000-0005-0000-0000-0000FC190000}"/>
    <cellStyle name="20% - Énfasis5 27 2" xfId="6650" xr:uid="{00000000-0005-0000-0000-0000FD190000}"/>
    <cellStyle name="20% - Énfasis5 27 2 2" xfId="6651" xr:uid="{00000000-0005-0000-0000-0000FE190000}"/>
    <cellStyle name="20% - Énfasis5 27 20" xfId="6652" xr:uid="{00000000-0005-0000-0000-0000FF190000}"/>
    <cellStyle name="20% - Énfasis5 27 3" xfId="6653" xr:uid="{00000000-0005-0000-0000-0000001A0000}"/>
    <cellStyle name="20% - Énfasis5 27 3 2" xfId="6654" xr:uid="{00000000-0005-0000-0000-0000011A0000}"/>
    <cellStyle name="20% - Énfasis5 27 4" xfId="6655" xr:uid="{00000000-0005-0000-0000-0000021A0000}"/>
    <cellStyle name="20% - Énfasis5 27 4 2" xfId="6656" xr:uid="{00000000-0005-0000-0000-0000031A0000}"/>
    <cellStyle name="20% - Énfasis5 27 5" xfId="6657" xr:uid="{00000000-0005-0000-0000-0000041A0000}"/>
    <cellStyle name="20% - Énfasis5 27 5 2" xfId="6658" xr:uid="{00000000-0005-0000-0000-0000051A0000}"/>
    <cellStyle name="20% - Énfasis5 27 6" xfId="6659" xr:uid="{00000000-0005-0000-0000-0000061A0000}"/>
    <cellStyle name="20% - Énfasis5 27 6 2" xfId="6660" xr:uid="{00000000-0005-0000-0000-0000071A0000}"/>
    <cellStyle name="20% - Énfasis5 27 7" xfId="6661" xr:uid="{00000000-0005-0000-0000-0000081A0000}"/>
    <cellStyle name="20% - Énfasis5 27 7 2" xfId="6662" xr:uid="{00000000-0005-0000-0000-0000091A0000}"/>
    <cellStyle name="20% - Énfasis5 27 8" xfId="6663" xr:uid="{00000000-0005-0000-0000-00000A1A0000}"/>
    <cellStyle name="20% - Énfasis5 27 8 2" xfId="6664" xr:uid="{00000000-0005-0000-0000-00000B1A0000}"/>
    <cellStyle name="20% - Énfasis5 27 9" xfId="6665" xr:uid="{00000000-0005-0000-0000-00000C1A0000}"/>
    <cellStyle name="20% - Énfasis5 27 9 2" xfId="6666" xr:uid="{00000000-0005-0000-0000-00000D1A0000}"/>
    <cellStyle name="20% - Énfasis5 28" xfId="6667" xr:uid="{00000000-0005-0000-0000-00000E1A0000}"/>
    <cellStyle name="20% - Énfasis5 28 10" xfId="6668" xr:uid="{00000000-0005-0000-0000-00000F1A0000}"/>
    <cellStyle name="20% - Énfasis5 28 10 2" xfId="6669" xr:uid="{00000000-0005-0000-0000-0000101A0000}"/>
    <cellStyle name="20% - Énfasis5 28 11" xfId="6670" xr:uid="{00000000-0005-0000-0000-0000111A0000}"/>
    <cellStyle name="20% - Énfasis5 28 11 2" xfId="6671" xr:uid="{00000000-0005-0000-0000-0000121A0000}"/>
    <cellStyle name="20% - Énfasis5 28 12" xfId="6672" xr:uid="{00000000-0005-0000-0000-0000131A0000}"/>
    <cellStyle name="20% - Énfasis5 28 12 2" xfId="6673" xr:uid="{00000000-0005-0000-0000-0000141A0000}"/>
    <cellStyle name="20% - Énfasis5 28 13" xfId="6674" xr:uid="{00000000-0005-0000-0000-0000151A0000}"/>
    <cellStyle name="20% - Énfasis5 28 13 2" xfId="6675" xr:uid="{00000000-0005-0000-0000-0000161A0000}"/>
    <cellStyle name="20% - Énfasis5 28 14" xfId="6676" xr:uid="{00000000-0005-0000-0000-0000171A0000}"/>
    <cellStyle name="20% - Énfasis5 28 14 2" xfId="6677" xr:uid="{00000000-0005-0000-0000-0000181A0000}"/>
    <cellStyle name="20% - Énfasis5 28 15" xfId="6678" xr:uid="{00000000-0005-0000-0000-0000191A0000}"/>
    <cellStyle name="20% - Énfasis5 28 15 2" xfId="6679" xr:uid="{00000000-0005-0000-0000-00001A1A0000}"/>
    <cellStyle name="20% - Énfasis5 28 16" xfId="6680" xr:uid="{00000000-0005-0000-0000-00001B1A0000}"/>
    <cellStyle name="20% - Énfasis5 28 16 2" xfId="6681" xr:uid="{00000000-0005-0000-0000-00001C1A0000}"/>
    <cellStyle name="20% - Énfasis5 28 17" xfId="6682" xr:uid="{00000000-0005-0000-0000-00001D1A0000}"/>
    <cellStyle name="20% - Énfasis5 28 17 2" xfId="6683" xr:uid="{00000000-0005-0000-0000-00001E1A0000}"/>
    <cellStyle name="20% - Énfasis5 28 18" xfId="6684" xr:uid="{00000000-0005-0000-0000-00001F1A0000}"/>
    <cellStyle name="20% - Énfasis5 28 18 2" xfId="6685" xr:uid="{00000000-0005-0000-0000-0000201A0000}"/>
    <cellStyle name="20% - Énfasis5 28 19" xfId="6686" xr:uid="{00000000-0005-0000-0000-0000211A0000}"/>
    <cellStyle name="20% - Énfasis5 28 19 2" xfId="6687" xr:uid="{00000000-0005-0000-0000-0000221A0000}"/>
    <cellStyle name="20% - Énfasis5 28 2" xfId="6688" xr:uid="{00000000-0005-0000-0000-0000231A0000}"/>
    <cellStyle name="20% - Énfasis5 28 2 2" xfId="6689" xr:uid="{00000000-0005-0000-0000-0000241A0000}"/>
    <cellStyle name="20% - Énfasis5 28 20" xfId="6690" xr:uid="{00000000-0005-0000-0000-0000251A0000}"/>
    <cellStyle name="20% - Énfasis5 28 3" xfId="6691" xr:uid="{00000000-0005-0000-0000-0000261A0000}"/>
    <cellStyle name="20% - Énfasis5 28 3 2" xfId="6692" xr:uid="{00000000-0005-0000-0000-0000271A0000}"/>
    <cellStyle name="20% - Énfasis5 28 4" xfId="6693" xr:uid="{00000000-0005-0000-0000-0000281A0000}"/>
    <cellStyle name="20% - Énfasis5 28 4 2" xfId="6694" xr:uid="{00000000-0005-0000-0000-0000291A0000}"/>
    <cellStyle name="20% - Énfasis5 28 5" xfId="6695" xr:uid="{00000000-0005-0000-0000-00002A1A0000}"/>
    <cellStyle name="20% - Énfasis5 28 5 2" xfId="6696" xr:uid="{00000000-0005-0000-0000-00002B1A0000}"/>
    <cellStyle name="20% - Énfasis5 28 6" xfId="6697" xr:uid="{00000000-0005-0000-0000-00002C1A0000}"/>
    <cellStyle name="20% - Énfasis5 28 6 2" xfId="6698" xr:uid="{00000000-0005-0000-0000-00002D1A0000}"/>
    <cellStyle name="20% - Énfasis5 28 7" xfId="6699" xr:uid="{00000000-0005-0000-0000-00002E1A0000}"/>
    <cellStyle name="20% - Énfasis5 28 7 2" xfId="6700" xr:uid="{00000000-0005-0000-0000-00002F1A0000}"/>
    <cellStyle name="20% - Énfasis5 28 8" xfId="6701" xr:uid="{00000000-0005-0000-0000-0000301A0000}"/>
    <cellStyle name="20% - Énfasis5 28 8 2" xfId="6702" xr:uid="{00000000-0005-0000-0000-0000311A0000}"/>
    <cellStyle name="20% - Énfasis5 28 9" xfId="6703" xr:uid="{00000000-0005-0000-0000-0000321A0000}"/>
    <cellStyle name="20% - Énfasis5 28 9 2" xfId="6704" xr:uid="{00000000-0005-0000-0000-0000331A0000}"/>
    <cellStyle name="20% - Énfasis5 29" xfId="6705" xr:uid="{00000000-0005-0000-0000-0000341A0000}"/>
    <cellStyle name="20% - Énfasis5 29 10" xfId="6706" xr:uid="{00000000-0005-0000-0000-0000351A0000}"/>
    <cellStyle name="20% - Énfasis5 29 10 2" xfId="6707" xr:uid="{00000000-0005-0000-0000-0000361A0000}"/>
    <cellStyle name="20% - Énfasis5 29 11" xfId="6708" xr:uid="{00000000-0005-0000-0000-0000371A0000}"/>
    <cellStyle name="20% - Énfasis5 29 11 2" xfId="6709" xr:uid="{00000000-0005-0000-0000-0000381A0000}"/>
    <cellStyle name="20% - Énfasis5 29 12" xfId="6710" xr:uid="{00000000-0005-0000-0000-0000391A0000}"/>
    <cellStyle name="20% - Énfasis5 29 12 2" xfId="6711" xr:uid="{00000000-0005-0000-0000-00003A1A0000}"/>
    <cellStyle name="20% - Énfasis5 29 13" xfId="6712" xr:uid="{00000000-0005-0000-0000-00003B1A0000}"/>
    <cellStyle name="20% - Énfasis5 29 13 2" xfId="6713" xr:uid="{00000000-0005-0000-0000-00003C1A0000}"/>
    <cellStyle name="20% - Énfasis5 29 14" xfId="6714" xr:uid="{00000000-0005-0000-0000-00003D1A0000}"/>
    <cellStyle name="20% - Énfasis5 29 14 2" xfId="6715" xr:uid="{00000000-0005-0000-0000-00003E1A0000}"/>
    <cellStyle name="20% - Énfasis5 29 15" xfId="6716" xr:uid="{00000000-0005-0000-0000-00003F1A0000}"/>
    <cellStyle name="20% - Énfasis5 29 15 2" xfId="6717" xr:uid="{00000000-0005-0000-0000-0000401A0000}"/>
    <cellStyle name="20% - Énfasis5 29 16" xfId="6718" xr:uid="{00000000-0005-0000-0000-0000411A0000}"/>
    <cellStyle name="20% - Énfasis5 29 16 2" xfId="6719" xr:uid="{00000000-0005-0000-0000-0000421A0000}"/>
    <cellStyle name="20% - Énfasis5 29 17" xfId="6720" xr:uid="{00000000-0005-0000-0000-0000431A0000}"/>
    <cellStyle name="20% - Énfasis5 29 17 2" xfId="6721" xr:uid="{00000000-0005-0000-0000-0000441A0000}"/>
    <cellStyle name="20% - Énfasis5 29 18" xfId="6722" xr:uid="{00000000-0005-0000-0000-0000451A0000}"/>
    <cellStyle name="20% - Énfasis5 29 18 2" xfId="6723" xr:uid="{00000000-0005-0000-0000-0000461A0000}"/>
    <cellStyle name="20% - Énfasis5 29 19" xfId="6724" xr:uid="{00000000-0005-0000-0000-0000471A0000}"/>
    <cellStyle name="20% - Énfasis5 29 19 2" xfId="6725" xr:uid="{00000000-0005-0000-0000-0000481A0000}"/>
    <cellStyle name="20% - Énfasis5 29 2" xfId="6726" xr:uid="{00000000-0005-0000-0000-0000491A0000}"/>
    <cellStyle name="20% - Énfasis5 29 2 2" xfId="6727" xr:uid="{00000000-0005-0000-0000-00004A1A0000}"/>
    <cellStyle name="20% - Énfasis5 29 20" xfId="6728" xr:uid="{00000000-0005-0000-0000-00004B1A0000}"/>
    <cellStyle name="20% - Énfasis5 29 3" xfId="6729" xr:uid="{00000000-0005-0000-0000-00004C1A0000}"/>
    <cellStyle name="20% - Énfasis5 29 3 2" xfId="6730" xr:uid="{00000000-0005-0000-0000-00004D1A0000}"/>
    <cellStyle name="20% - Énfasis5 29 4" xfId="6731" xr:uid="{00000000-0005-0000-0000-00004E1A0000}"/>
    <cellStyle name="20% - Énfasis5 29 4 2" xfId="6732" xr:uid="{00000000-0005-0000-0000-00004F1A0000}"/>
    <cellStyle name="20% - Énfasis5 29 5" xfId="6733" xr:uid="{00000000-0005-0000-0000-0000501A0000}"/>
    <cellStyle name="20% - Énfasis5 29 5 2" xfId="6734" xr:uid="{00000000-0005-0000-0000-0000511A0000}"/>
    <cellStyle name="20% - Énfasis5 29 6" xfId="6735" xr:uid="{00000000-0005-0000-0000-0000521A0000}"/>
    <cellStyle name="20% - Énfasis5 29 6 2" xfId="6736" xr:uid="{00000000-0005-0000-0000-0000531A0000}"/>
    <cellStyle name="20% - Énfasis5 29 7" xfId="6737" xr:uid="{00000000-0005-0000-0000-0000541A0000}"/>
    <cellStyle name="20% - Énfasis5 29 7 2" xfId="6738" xr:uid="{00000000-0005-0000-0000-0000551A0000}"/>
    <cellStyle name="20% - Énfasis5 29 8" xfId="6739" xr:uid="{00000000-0005-0000-0000-0000561A0000}"/>
    <cellStyle name="20% - Énfasis5 29 8 2" xfId="6740" xr:uid="{00000000-0005-0000-0000-0000571A0000}"/>
    <cellStyle name="20% - Énfasis5 29 9" xfId="6741" xr:uid="{00000000-0005-0000-0000-0000581A0000}"/>
    <cellStyle name="20% - Énfasis5 29 9 2" xfId="6742" xr:uid="{00000000-0005-0000-0000-0000591A0000}"/>
    <cellStyle name="20% - Énfasis5 3" xfId="6743" xr:uid="{00000000-0005-0000-0000-00005A1A0000}"/>
    <cellStyle name="20% - Énfasis5 3 10" xfId="6744" xr:uid="{00000000-0005-0000-0000-00005B1A0000}"/>
    <cellStyle name="20% - Énfasis5 3 10 2" xfId="6745" xr:uid="{00000000-0005-0000-0000-00005C1A0000}"/>
    <cellStyle name="20% - Énfasis5 3 11" xfId="6746" xr:uid="{00000000-0005-0000-0000-00005D1A0000}"/>
    <cellStyle name="20% - Énfasis5 3 11 2" xfId="6747" xr:uid="{00000000-0005-0000-0000-00005E1A0000}"/>
    <cellStyle name="20% - Énfasis5 3 12" xfId="6748" xr:uid="{00000000-0005-0000-0000-00005F1A0000}"/>
    <cellStyle name="20% - Énfasis5 3 12 2" xfId="6749" xr:uid="{00000000-0005-0000-0000-0000601A0000}"/>
    <cellStyle name="20% - Énfasis5 3 13" xfId="6750" xr:uid="{00000000-0005-0000-0000-0000611A0000}"/>
    <cellStyle name="20% - Énfasis5 3 13 2" xfId="6751" xr:uid="{00000000-0005-0000-0000-0000621A0000}"/>
    <cellStyle name="20% - Énfasis5 3 14" xfId="6752" xr:uid="{00000000-0005-0000-0000-0000631A0000}"/>
    <cellStyle name="20% - Énfasis5 3 14 2" xfId="6753" xr:uid="{00000000-0005-0000-0000-0000641A0000}"/>
    <cellStyle name="20% - Énfasis5 3 15" xfId="6754" xr:uid="{00000000-0005-0000-0000-0000651A0000}"/>
    <cellStyle name="20% - Énfasis5 3 15 2" xfId="6755" xr:uid="{00000000-0005-0000-0000-0000661A0000}"/>
    <cellStyle name="20% - Énfasis5 3 16" xfId="6756" xr:uid="{00000000-0005-0000-0000-0000671A0000}"/>
    <cellStyle name="20% - Énfasis5 3 16 2" xfId="6757" xr:uid="{00000000-0005-0000-0000-0000681A0000}"/>
    <cellStyle name="20% - Énfasis5 3 17" xfId="6758" xr:uid="{00000000-0005-0000-0000-0000691A0000}"/>
    <cellStyle name="20% - Énfasis5 3 17 2" xfId="6759" xr:uid="{00000000-0005-0000-0000-00006A1A0000}"/>
    <cellStyle name="20% - Énfasis5 3 18" xfId="6760" xr:uid="{00000000-0005-0000-0000-00006B1A0000}"/>
    <cellStyle name="20% - Énfasis5 3 18 2" xfId="6761" xr:uid="{00000000-0005-0000-0000-00006C1A0000}"/>
    <cellStyle name="20% - Énfasis5 3 19" xfId="6762" xr:uid="{00000000-0005-0000-0000-00006D1A0000}"/>
    <cellStyle name="20% - Énfasis5 3 19 2" xfId="6763" xr:uid="{00000000-0005-0000-0000-00006E1A0000}"/>
    <cellStyle name="20% - Énfasis5 3 2" xfId="6764" xr:uid="{00000000-0005-0000-0000-00006F1A0000}"/>
    <cellStyle name="20% - Énfasis5 3 2 2" xfId="6765" xr:uid="{00000000-0005-0000-0000-0000701A0000}"/>
    <cellStyle name="20% - Énfasis5 3 20" xfId="6766" xr:uid="{00000000-0005-0000-0000-0000711A0000}"/>
    <cellStyle name="20% - Énfasis5 3 21" xfId="6767" xr:uid="{00000000-0005-0000-0000-0000721A0000}"/>
    <cellStyle name="20% - Énfasis5 3 3" xfId="6768" xr:uid="{00000000-0005-0000-0000-0000731A0000}"/>
    <cellStyle name="20% - Énfasis5 3 3 2" xfId="6769" xr:uid="{00000000-0005-0000-0000-0000741A0000}"/>
    <cellStyle name="20% - Énfasis5 3 4" xfId="6770" xr:uid="{00000000-0005-0000-0000-0000751A0000}"/>
    <cellStyle name="20% - Énfasis5 3 4 2" xfId="6771" xr:uid="{00000000-0005-0000-0000-0000761A0000}"/>
    <cellStyle name="20% - Énfasis5 3 5" xfId="6772" xr:uid="{00000000-0005-0000-0000-0000771A0000}"/>
    <cellStyle name="20% - Énfasis5 3 5 2" xfId="6773" xr:uid="{00000000-0005-0000-0000-0000781A0000}"/>
    <cellStyle name="20% - Énfasis5 3 6" xfId="6774" xr:uid="{00000000-0005-0000-0000-0000791A0000}"/>
    <cellStyle name="20% - Énfasis5 3 6 2" xfId="6775" xr:uid="{00000000-0005-0000-0000-00007A1A0000}"/>
    <cellStyle name="20% - Énfasis5 3 7" xfId="6776" xr:uid="{00000000-0005-0000-0000-00007B1A0000}"/>
    <cellStyle name="20% - Énfasis5 3 7 2" xfId="6777" xr:uid="{00000000-0005-0000-0000-00007C1A0000}"/>
    <cellStyle name="20% - Énfasis5 3 8" xfId="6778" xr:uid="{00000000-0005-0000-0000-00007D1A0000}"/>
    <cellStyle name="20% - Énfasis5 3 8 2" xfId="6779" xr:uid="{00000000-0005-0000-0000-00007E1A0000}"/>
    <cellStyle name="20% - Énfasis5 3 9" xfId="6780" xr:uid="{00000000-0005-0000-0000-00007F1A0000}"/>
    <cellStyle name="20% - Énfasis5 3 9 2" xfId="6781" xr:uid="{00000000-0005-0000-0000-0000801A0000}"/>
    <cellStyle name="20% - Énfasis5 30" xfId="6782" xr:uid="{00000000-0005-0000-0000-0000811A0000}"/>
    <cellStyle name="20% - Énfasis5 30 10" xfId="6783" xr:uid="{00000000-0005-0000-0000-0000821A0000}"/>
    <cellStyle name="20% - Énfasis5 30 10 2" xfId="6784" xr:uid="{00000000-0005-0000-0000-0000831A0000}"/>
    <cellStyle name="20% - Énfasis5 30 11" xfId="6785" xr:uid="{00000000-0005-0000-0000-0000841A0000}"/>
    <cellStyle name="20% - Énfasis5 30 11 2" xfId="6786" xr:uid="{00000000-0005-0000-0000-0000851A0000}"/>
    <cellStyle name="20% - Énfasis5 30 12" xfId="6787" xr:uid="{00000000-0005-0000-0000-0000861A0000}"/>
    <cellStyle name="20% - Énfasis5 30 12 2" xfId="6788" xr:uid="{00000000-0005-0000-0000-0000871A0000}"/>
    <cellStyle name="20% - Énfasis5 30 13" xfId="6789" xr:uid="{00000000-0005-0000-0000-0000881A0000}"/>
    <cellStyle name="20% - Énfasis5 30 13 2" xfId="6790" xr:uid="{00000000-0005-0000-0000-0000891A0000}"/>
    <cellStyle name="20% - Énfasis5 30 14" xfId="6791" xr:uid="{00000000-0005-0000-0000-00008A1A0000}"/>
    <cellStyle name="20% - Énfasis5 30 14 2" xfId="6792" xr:uid="{00000000-0005-0000-0000-00008B1A0000}"/>
    <cellStyle name="20% - Énfasis5 30 15" xfId="6793" xr:uid="{00000000-0005-0000-0000-00008C1A0000}"/>
    <cellStyle name="20% - Énfasis5 30 15 2" xfId="6794" xr:uid="{00000000-0005-0000-0000-00008D1A0000}"/>
    <cellStyle name="20% - Énfasis5 30 16" xfId="6795" xr:uid="{00000000-0005-0000-0000-00008E1A0000}"/>
    <cellStyle name="20% - Énfasis5 30 16 2" xfId="6796" xr:uid="{00000000-0005-0000-0000-00008F1A0000}"/>
    <cellStyle name="20% - Énfasis5 30 17" xfId="6797" xr:uid="{00000000-0005-0000-0000-0000901A0000}"/>
    <cellStyle name="20% - Énfasis5 30 17 2" xfId="6798" xr:uid="{00000000-0005-0000-0000-0000911A0000}"/>
    <cellStyle name="20% - Énfasis5 30 18" xfId="6799" xr:uid="{00000000-0005-0000-0000-0000921A0000}"/>
    <cellStyle name="20% - Énfasis5 30 18 2" xfId="6800" xr:uid="{00000000-0005-0000-0000-0000931A0000}"/>
    <cellStyle name="20% - Énfasis5 30 19" xfId="6801" xr:uid="{00000000-0005-0000-0000-0000941A0000}"/>
    <cellStyle name="20% - Énfasis5 30 19 2" xfId="6802" xr:uid="{00000000-0005-0000-0000-0000951A0000}"/>
    <cellStyle name="20% - Énfasis5 30 2" xfId="6803" xr:uid="{00000000-0005-0000-0000-0000961A0000}"/>
    <cellStyle name="20% - Énfasis5 30 2 2" xfId="6804" xr:uid="{00000000-0005-0000-0000-0000971A0000}"/>
    <cellStyle name="20% - Énfasis5 30 20" xfId="6805" xr:uid="{00000000-0005-0000-0000-0000981A0000}"/>
    <cellStyle name="20% - Énfasis5 30 3" xfId="6806" xr:uid="{00000000-0005-0000-0000-0000991A0000}"/>
    <cellStyle name="20% - Énfasis5 30 3 2" xfId="6807" xr:uid="{00000000-0005-0000-0000-00009A1A0000}"/>
    <cellStyle name="20% - Énfasis5 30 4" xfId="6808" xr:uid="{00000000-0005-0000-0000-00009B1A0000}"/>
    <cellStyle name="20% - Énfasis5 30 4 2" xfId="6809" xr:uid="{00000000-0005-0000-0000-00009C1A0000}"/>
    <cellStyle name="20% - Énfasis5 30 5" xfId="6810" xr:uid="{00000000-0005-0000-0000-00009D1A0000}"/>
    <cellStyle name="20% - Énfasis5 30 5 2" xfId="6811" xr:uid="{00000000-0005-0000-0000-00009E1A0000}"/>
    <cellStyle name="20% - Énfasis5 30 6" xfId="6812" xr:uid="{00000000-0005-0000-0000-00009F1A0000}"/>
    <cellStyle name="20% - Énfasis5 30 6 2" xfId="6813" xr:uid="{00000000-0005-0000-0000-0000A01A0000}"/>
    <cellStyle name="20% - Énfasis5 30 7" xfId="6814" xr:uid="{00000000-0005-0000-0000-0000A11A0000}"/>
    <cellStyle name="20% - Énfasis5 30 7 2" xfId="6815" xr:uid="{00000000-0005-0000-0000-0000A21A0000}"/>
    <cellStyle name="20% - Énfasis5 30 8" xfId="6816" xr:uid="{00000000-0005-0000-0000-0000A31A0000}"/>
    <cellStyle name="20% - Énfasis5 30 8 2" xfId="6817" xr:uid="{00000000-0005-0000-0000-0000A41A0000}"/>
    <cellStyle name="20% - Énfasis5 30 9" xfId="6818" xr:uid="{00000000-0005-0000-0000-0000A51A0000}"/>
    <cellStyle name="20% - Énfasis5 30 9 2" xfId="6819" xr:uid="{00000000-0005-0000-0000-0000A61A0000}"/>
    <cellStyle name="20% - Énfasis5 31" xfId="6820" xr:uid="{00000000-0005-0000-0000-0000A71A0000}"/>
    <cellStyle name="20% - Énfasis5 31 10" xfId="6821" xr:uid="{00000000-0005-0000-0000-0000A81A0000}"/>
    <cellStyle name="20% - Énfasis5 31 10 2" xfId="6822" xr:uid="{00000000-0005-0000-0000-0000A91A0000}"/>
    <cellStyle name="20% - Énfasis5 31 11" xfId="6823" xr:uid="{00000000-0005-0000-0000-0000AA1A0000}"/>
    <cellStyle name="20% - Énfasis5 31 11 2" xfId="6824" xr:uid="{00000000-0005-0000-0000-0000AB1A0000}"/>
    <cellStyle name="20% - Énfasis5 31 12" xfId="6825" xr:uid="{00000000-0005-0000-0000-0000AC1A0000}"/>
    <cellStyle name="20% - Énfasis5 31 12 2" xfId="6826" xr:uid="{00000000-0005-0000-0000-0000AD1A0000}"/>
    <cellStyle name="20% - Énfasis5 31 13" xfId="6827" xr:uid="{00000000-0005-0000-0000-0000AE1A0000}"/>
    <cellStyle name="20% - Énfasis5 31 13 2" xfId="6828" xr:uid="{00000000-0005-0000-0000-0000AF1A0000}"/>
    <cellStyle name="20% - Énfasis5 31 14" xfId="6829" xr:uid="{00000000-0005-0000-0000-0000B01A0000}"/>
    <cellStyle name="20% - Énfasis5 31 14 2" xfId="6830" xr:uid="{00000000-0005-0000-0000-0000B11A0000}"/>
    <cellStyle name="20% - Énfasis5 31 15" xfId="6831" xr:uid="{00000000-0005-0000-0000-0000B21A0000}"/>
    <cellStyle name="20% - Énfasis5 31 15 2" xfId="6832" xr:uid="{00000000-0005-0000-0000-0000B31A0000}"/>
    <cellStyle name="20% - Énfasis5 31 16" xfId="6833" xr:uid="{00000000-0005-0000-0000-0000B41A0000}"/>
    <cellStyle name="20% - Énfasis5 31 16 2" xfId="6834" xr:uid="{00000000-0005-0000-0000-0000B51A0000}"/>
    <cellStyle name="20% - Énfasis5 31 17" xfId="6835" xr:uid="{00000000-0005-0000-0000-0000B61A0000}"/>
    <cellStyle name="20% - Énfasis5 31 17 2" xfId="6836" xr:uid="{00000000-0005-0000-0000-0000B71A0000}"/>
    <cellStyle name="20% - Énfasis5 31 18" xfId="6837" xr:uid="{00000000-0005-0000-0000-0000B81A0000}"/>
    <cellStyle name="20% - Énfasis5 31 18 2" xfId="6838" xr:uid="{00000000-0005-0000-0000-0000B91A0000}"/>
    <cellStyle name="20% - Énfasis5 31 19" xfId="6839" xr:uid="{00000000-0005-0000-0000-0000BA1A0000}"/>
    <cellStyle name="20% - Énfasis5 31 19 2" xfId="6840" xr:uid="{00000000-0005-0000-0000-0000BB1A0000}"/>
    <cellStyle name="20% - Énfasis5 31 2" xfId="6841" xr:uid="{00000000-0005-0000-0000-0000BC1A0000}"/>
    <cellStyle name="20% - Énfasis5 31 2 2" xfId="6842" xr:uid="{00000000-0005-0000-0000-0000BD1A0000}"/>
    <cellStyle name="20% - Énfasis5 31 20" xfId="6843" xr:uid="{00000000-0005-0000-0000-0000BE1A0000}"/>
    <cellStyle name="20% - Énfasis5 31 3" xfId="6844" xr:uid="{00000000-0005-0000-0000-0000BF1A0000}"/>
    <cellStyle name="20% - Énfasis5 31 3 2" xfId="6845" xr:uid="{00000000-0005-0000-0000-0000C01A0000}"/>
    <cellStyle name="20% - Énfasis5 31 4" xfId="6846" xr:uid="{00000000-0005-0000-0000-0000C11A0000}"/>
    <cellStyle name="20% - Énfasis5 31 4 2" xfId="6847" xr:uid="{00000000-0005-0000-0000-0000C21A0000}"/>
    <cellStyle name="20% - Énfasis5 31 5" xfId="6848" xr:uid="{00000000-0005-0000-0000-0000C31A0000}"/>
    <cellStyle name="20% - Énfasis5 31 5 2" xfId="6849" xr:uid="{00000000-0005-0000-0000-0000C41A0000}"/>
    <cellStyle name="20% - Énfasis5 31 6" xfId="6850" xr:uid="{00000000-0005-0000-0000-0000C51A0000}"/>
    <cellStyle name="20% - Énfasis5 31 6 2" xfId="6851" xr:uid="{00000000-0005-0000-0000-0000C61A0000}"/>
    <cellStyle name="20% - Énfasis5 31 7" xfId="6852" xr:uid="{00000000-0005-0000-0000-0000C71A0000}"/>
    <cellStyle name="20% - Énfasis5 31 7 2" xfId="6853" xr:uid="{00000000-0005-0000-0000-0000C81A0000}"/>
    <cellStyle name="20% - Énfasis5 31 8" xfId="6854" xr:uid="{00000000-0005-0000-0000-0000C91A0000}"/>
    <cellStyle name="20% - Énfasis5 31 8 2" xfId="6855" xr:uid="{00000000-0005-0000-0000-0000CA1A0000}"/>
    <cellStyle name="20% - Énfasis5 31 9" xfId="6856" xr:uid="{00000000-0005-0000-0000-0000CB1A0000}"/>
    <cellStyle name="20% - Énfasis5 31 9 2" xfId="6857" xr:uid="{00000000-0005-0000-0000-0000CC1A0000}"/>
    <cellStyle name="20% - Énfasis5 32" xfId="6858" xr:uid="{00000000-0005-0000-0000-0000CD1A0000}"/>
    <cellStyle name="20% - Énfasis5 32 10" xfId="6859" xr:uid="{00000000-0005-0000-0000-0000CE1A0000}"/>
    <cellStyle name="20% - Énfasis5 32 10 2" xfId="6860" xr:uid="{00000000-0005-0000-0000-0000CF1A0000}"/>
    <cellStyle name="20% - Énfasis5 32 11" xfId="6861" xr:uid="{00000000-0005-0000-0000-0000D01A0000}"/>
    <cellStyle name="20% - Énfasis5 32 11 2" xfId="6862" xr:uid="{00000000-0005-0000-0000-0000D11A0000}"/>
    <cellStyle name="20% - Énfasis5 32 12" xfId="6863" xr:uid="{00000000-0005-0000-0000-0000D21A0000}"/>
    <cellStyle name="20% - Énfasis5 32 12 2" xfId="6864" xr:uid="{00000000-0005-0000-0000-0000D31A0000}"/>
    <cellStyle name="20% - Énfasis5 32 13" xfId="6865" xr:uid="{00000000-0005-0000-0000-0000D41A0000}"/>
    <cellStyle name="20% - Énfasis5 32 13 2" xfId="6866" xr:uid="{00000000-0005-0000-0000-0000D51A0000}"/>
    <cellStyle name="20% - Énfasis5 32 14" xfId="6867" xr:uid="{00000000-0005-0000-0000-0000D61A0000}"/>
    <cellStyle name="20% - Énfasis5 32 14 2" xfId="6868" xr:uid="{00000000-0005-0000-0000-0000D71A0000}"/>
    <cellStyle name="20% - Énfasis5 32 15" xfId="6869" xr:uid="{00000000-0005-0000-0000-0000D81A0000}"/>
    <cellStyle name="20% - Énfasis5 32 15 2" xfId="6870" xr:uid="{00000000-0005-0000-0000-0000D91A0000}"/>
    <cellStyle name="20% - Énfasis5 32 16" xfId="6871" xr:uid="{00000000-0005-0000-0000-0000DA1A0000}"/>
    <cellStyle name="20% - Énfasis5 32 16 2" xfId="6872" xr:uid="{00000000-0005-0000-0000-0000DB1A0000}"/>
    <cellStyle name="20% - Énfasis5 32 17" xfId="6873" xr:uid="{00000000-0005-0000-0000-0000DC1A0000}"/>
    <cellStyle name="20% - Énfasis5 32 17 2" xfId="6874" xr:uid="{00000000-0005-0000-0000-0000DD1A0000}"/>
    <cellStyle name="20% - Énfasis5 32 18" xfId="6875" xr:uid="{00000000-0005-0000-0000-0000DE1A0000}"/>
    <cellStyle name="20% - Énfasis5 32 18 2" xfId="6876" xr:uid="{00000000-0005-0000-0000-0000DF1A0000}"/>
    <cellStyle name="20% - Énfasis5 32 19" xfId="6877" xr:uid="{00000000-0005-0000-0000-0000E01A0000}"/>
    <cellStyle name="20% - Énfasis5 32 19 2" xfId="6878" xr:uid="{00000000-0005-0000-0000-0000E11A0000}"/>
    <cellStyle name="20% - Énfasis5 32 2" xfId="6879" xr:uid="{00000000-0005-0000-0000-0000E21A0000}"/>
    <cellStyle name="20% - Énfasis5 32 2 2" xfId="6880" xr:uid="{00000000-0005-0000-0000-0000E31A0000}"/>
    <cellStyle name="20% - Énfasis5 32 20" xfId="6881" xr:uid="{00000000-0005-0000-0000-0000E41A0000}"/>
    <cellStyle name="20% - Énfasis5 32 3" xfId="6882" xr:uid="{00000000-0005-0000-0000-0000E51A0000}"/>
    <cellStyle name="20% - Énfasis5 32 3 2" xfId="6883" xr:uid="{00000000-0005-0000-0000-0000E61A0000}"/>
    <cellStyle name="20% - Énfasis5 32 4" xfId="6884" xr:uid="{00000000-0005-0000-0000-0000E71A0000}"/>
    <cellStyle name="20% - Énfasis5 32 4 2" xfId="6885" xr:uid="{00000000-0005-0000-0000-0000E81A0000}"/>
    <cellStyle name="20% - Énfasis5 32 5" xfId="6886" xr:uid="{00000000-0005-0000-0000-0000E91A0000}"/>
    <cellStyle name="20% - Énfasis5 32 5 2" xfId="6887" xr:uid="{00000000-0005-0000-0000-0000EA1A0000}"/>
    <cellStyle name="20% - Énfasis5 32 6" xfId="6888" xr:uid="{00000000-0005-0000-0000-0000EB1A0000}"/>
    <cellStyle name="20% - Énfasis5 32 6 2" xfId="6889" xr:uid="{00000000-0005-0000-0000-0000EC1A0000}"/>
    <cellStyle name="20% - Énfasis5 32 7" xfId="6890" xr:uid="{00000000-0005-0000-0000-0000ED1A0000}"/>
    <cellStyle name="20% - Énfasis5 32 7 2" xfId="6891" xr:uid="{00000000-0005-0000-0000-0000EE1A0000}"/>
    <cellStyle name="20% - Énfasis5 32 8" xfId="6892" xr:uid="{00000000-0005-0000-0000-0000EF1A0000}"/>
    <cellStyle name="20% - Énfasis5 32 8 2" xfId="6893" xr:uid="{00000000-0005-0000-0000-0000F01A0000}"/>
    <cellStyle name="20% - Énfasis5 32 9" xfId="6894" xr:uid="{00000000-0005-0000-0000-0000F11A0000}"/>
    <cellStyle name="20% - Énfasis5 32 9 2" xfId="6895" xr:uid="{00000000-0005-0000-0000-0000F21A0000}"/>
    <cellStyle name="20% - Énfasis5 33" xfId="6896" xr:uid="{00000000-0005-0000-0000-0000F31A0000}"/>
    <cellStyle name="20% - Énfasis5 33 10" xfId="6897" xr:uid="{00000000-0005-0000-0000-0000F41A0000}"/>
    <cellStyle name="20% - Énfasis5 33 10 2" xfId="6898" xr:uid="{00000000-0005-0000-0000-0000F51A0000}"/>
    <cellStyle name="20% - Énfasis5 33 11" xfId="6899" xr:uid="{00000000-0005-0000-0000-0000F61A0000}"/>
    <cellStyle name="20% - Énfasis5 33 11 2" xfId="6900" xr:uid="{00000000-0005-0000-0000-0000F71A0000}"/>
    <cellStyle name="20% - Énfasis5 33 12" xfId="6901" xr:uid="{00000000-0005-0000-0000-0000F81A0000}"/>
    <cellStyle name="20% - Énfasis5 33 12 2" xfId="6902" xr:uid="{00000000-0005-0000-0000-0000F91A0000}"/>
    <cellStyle name="20% - Énfasis5 33 13" xfId="6903" xr:uid="{00000000-0005-0000-0000-0000FA1A0000}"/>
    <cellStyle name="20% - Énfasis5 33 13 2" xfId="6904" xr:uid="{00000000-0005-0000-0000-0000FB1A0000}"/>
    <cellStyle name="20% - Énfasis5 33 14" xfId="6905" xr:uid="{00000000-0005-0000-0000-0000FC1A0000}"/>
    <cellStyle name="20% - Énfasis5 33 14 2" xfId="6906" xr:uid="{00000000-0005-0000-0000-0000FD1A0000}"/>
    <cellStyle name="20% - Énfasis5 33 15" xfId="6907" xr:uid="{00000000-0005-0000-0000-0000FE1A0000}"/>
    <cellStyle name="20% - Énfasis5 33 15 2" xfId="6908" xr:uid="{00000000-0005-0000-0000-0000FF1A0000}"/>
    <cellStyle name="20% - Énfasis5 33 16" xfId="6909" xr:uid="{00000000-0005-0000-0000-0000001B0000}"/>
    <cellStyle name="20% - Énfasis5 33 16 2" xfId="6910" xr:uid="{00000000-0005-0000-0000-0000011B0000}"/>
    <cellStyle name="20% - Énfasis5 33 17" xfId="6911" xr:uid="{00000000-0005-0000-0000-0000021B0000}"/>
    <cellStyle name="20% - Énfasis5 33 17 2" xfId="6912" xr:uid="{00000000-0005-0000-0000-0000031B0000}"/>
    <cellStyle name="20% - Énfasis5 33 18" xfId="6913" xr:uid="{00000000-0005-0000-0000-0000041B0000}"/>
    <cellStyle name="20% - Énfasis5 33 18 2" xfId="6914" xr:uid="{00000000-0005-0000-0000-0000051B0000}"/>
    <cellStyle name="20% - Énfasis5 33 19" xfId="6915" xr:uid="{00000000-0005-0000-0000-0000061B0000}"/>
    <cellStyle name="20% - Énfasis5 33 19 2" xfId="6916" xr:uid="{00000000-0005-0000-0000-0000071B0000}"/>
    <cellStyle name="20% - Énfasis5 33 2" xfId="6917" xr:uid="{00000000-0005-0000-0000-0000081B0000}"/>
    <cellStyle name="20% - Énfasis5 33 2 2" xfId="6918" xr:uid="{00000000-0005-0000-0000-0000091B0000}"/>
    <cellStyle name="20% - Énfasis5 33 20" xfId="6919" xr:uid="{00000000-0005-0000-0000-00000A1B0000}"/>
    <cellStyle name="20% - Énfasis5 33 3" xfId="6920" xr:uid="{00000000-0005-0000-0000-00000B1B0000}"/>
    <cellStyle name="20% - Énfasis5 33 3 2" xfId="6921" xr:uid="{00000000-0005-0000-0000-00000C1B0000}"/>
    <cellStyle name="20% - Énfasis5 33 4" xfId="6922" xr:uid="{00000000-0005-0000-0000-00000D1B0000}"/>
    <cellStyle name="20% - Énfasis5 33 4 2" xfId="6923" xr:uid="{00000000-0005-0000-0000-00000E1B0000}"/>
    <cellStyle name="20% - Énfasis5 33 5" xfId="6924" xr:uid="{00000000-0005-0000-0000-00000F1B0000}"/>
    <cellStyle name="20% - Énfasis5 33 5 2" xfId="6925" xr:uid="{00000000-0005-0000-0000-0000101B0000}"/>
    <cellStyle name="20% - Énfasis5 33 6" xfId="6926" xr:uid="{00000000-0005-0000-0000-0000111B0000}"/>
    <cellStyle name="20% - Énfasis5 33 6 2" xfId="6927" xr:uid="{00000000-0005-0000-0000-0000121B0000}"/>
    <cellStyle name="20% - Énfasis5 33 7" xfId="6928" xr:uid="{00000000-0005-0000-0000-0000131B0000}"/>
    <cellStyle name="20% - Énfasis5 33 7 2" xfId="6929" xr:uid="{00000000-0005-0000-0000-0000141B0000}"/>
    <cellStyle name="20% - Énfasis5 33 8" xfId="6930" xr:uid="{00000000-0005-0000-0000-0000151B0000}"/>
    <cellStyle name="20% - Énfasis5 33 8 2" xfId="6931" xr:uid="{00000000-0005-0000-0000-0000161B0000}"/>
    <cellStyle name="20% - Énfasis5 33 9" xfId="6932" xr:uid="{00000000-0005-0000-0000-0000171B0000}"/>
    <cellStyle name="20% - Énfasis5 33 9 2" xfId="6933" xr:uid="{00000000-0005-0000-0000-0000181B0000}"/>
    <cellStyle name="20% - Énfasis5 34" xfId="6934" xr:uid="{00000000-0005-0000-0000-0000191B0000}"/>
    <cellStyle name="20% - Énfasis5 34 10" xfId="6935" xr:uid="{00000000-0005-0000-0000-00001A1B0000}"/>
    <cellStyle name="20% - Énfasis5 34 10 2" xfId="6936" xr:uid="{00000000-0005-0000-0000-00001B1B0000}"/>
    <cellStyle name="20% - Énfasis5 34 11" xfId="6937" xr:uid="{00000000-0005-0000-0000-00001C1B0000}"/>
    <cellStyle name="20% - Énfasis5 34 11 2" xfId="6938" xr:uid="{00000000-0005-0000-0000-00001D1B0000}"/>
    <cellStyle name="20% - Énfasis5 34 12" xfId="6939" xr:uid="{00000000-0005-0000-0000-00001E1B0000}"/>
    <cellStyle name="20% - Énfasis5 34 12 2" xfId="6940" xr:uid="{00000000-0005-0000-0000-00001F1B0000}"/>
    <cellStyle name="20% - Énfasis5 34 13" xfId="6941" xr:uid="{00000000-0005-0000-0000-0000201B0000}"/>
    <cellStyle name="20% - Énfasis5 34 13 2" xfId="6942" xr:uid="{00000000-0005-0000-0000-0000211B0000}"/>
    <cellStyle name="20% - Énfasis5 34 14" xfId="6943" xr:uid="{00000000-0005-0000-0000-0000221B0000}"/>
    <cellStyle name="20% - Énfasis5 34 14 2" xfId="6944" xr:uid="{00000000-0005-0000-0000-0000231B0000}"/>
    <cellStyle name="20% - Énfasis5 34 15" xfId="6945" xr:uid="{00000000-0005-0000-0000-0000241B0000}"/>
    <cellStyle name="20% - Énfasis5 34 15 2" xfId="6946" xr:uid="{00000000-0005-0000-0000-0000251B0000}"/>
    <cellStyle name="20% - Énfasis5 34 16" xfId="6947" xr:uid="{00000000-0005-0000-0000-0000261B0000}"/>
    <cellStyle name="20% - Énfasis5 34 16 2" xfId="6948" xr:uid="{00000000-0005-0000-0000-0000271B0000}"/>
    <cellStyle name="20% - Énfasis5 34 17" xfId="6949" xr:uid="{00000000-0005-0000-0000-0000281B0000}"/>
    <cellStyle name="20% - Énfasis5 34 17 2" xfId="6950" xr:uid="{00000000-0005-0000-0000-0000291B0000}"/>
    <cellStyle name="20% - Énfasis5 34 18" xfId="6951" xr:uid="{00000000-0005-0000-0000-00002A1B0000}"/>
    <cellStyle name="20% - Énfasis5 34 18 2" xfId="6952" xr:uid="{00000000-0005-0000-0000-00002B1B0000}"/>
    <cellStyle name="20% - Énfasis5 34 19" xfId="6953" xr:uid="{00000000-0005-0000-0000-00002C1B0000}"/>
    <cellStyle name="20% - Énfasis5 34 19 2" xfId="6954" xr:uid="{00000000-0005-0000-0000-00002D1B0000}"/>
    <cellStyle name="20% - Énfasis5 34 2" xfId="6955" xr:uid="{00000000-0005-0000-0000-00002E1B0000}"/>
    <cellStyle name="20% - Énfasis5 34 2 2" xfId="6956" xr:uid="{00000000-0005-0000-0000-00002F1B0000}"/>
    <cellStyle name="20% - Énfasis5 34 20" xfId="6957" xr:uid="{00000000-0005-0000-0000-0000301B0000}"/>
    <cellStyle name="20% - Énfasis5 34 3" xfId="6958" xr:uid="{00000000-0005-0000-0000-0000311B0000}"/>
    <cellStyle name="20% - Énfasis5 34 3 2" xfId="6959" xr:uid="{00000000-0005-0000-0000-0000321B0000}"/>
    <cellStyle name="20% - Énfasis5 34 4" xfId="6960" xr:uid="{00000000-0005-0000-0000-0000331B0000}"/>
    <cellStyle name="20% - Énfasis5 34 4 2" xfId="6961" xr:uid="{00000000-0005-0000-0000-0000341B0000}"/>
    <cellStyle name="20% - Énfasis5 34 5" xfId="6962" xr:uid="{00000000-0005-0000-0000-0000351B0000}"/>
    <cellStyle name="20% - Énfasis5 34 5 2" xfId="6963" xr:uid="{00000000-0005-0000-0000-0000361B0000}"/>
    <cellStyle name="20% - Énfasis5 34 6" xfId="6964" xr:uid="{00000000-0005-0000-0000-0000371B0000}"/>
    <cellStyle name="20% - Énfasis5 34 6 2" xfId="6965" xr:uid="{00000000-0005-0000-0000-0000381B0000}"/>
    <cellStyle name="20% - Énfasis5 34 7" xfId="6966" xr:uid="{00000000-0005-0000-0000-0000391B0000}"/>
    <cellStyle name="20% - Énfasis5 34 7 2" xfId="6967" xr:uid="{00000000-0005-0000-0000-00003A1B0000}"/>
    <cellStyle name="20% - Énfasis5 34 8" xfId="6968" xr:uid="{00000000-0005-0000-0000-00003B1B0000}"/>
    <cellStyle name="20% - Énfasis5 34 8 2" xfId="6969" xr:uid="{00000000-0005-0000-0000-00003C1B0000}"/>
    <cellStyle name="20% - Énfasis5 34 9" xfId="6970" xr:uid="{00000000-0005-0000-0000-00003D1B0000}"/>
    <cellStyle name="20% - Énfasis5 34 9 2" xfId="6971" xr:uid="{00000000-0005-0000-0000-00003E1B0000}"/>
    <cellStyle name="20% - Énfasis5 35" xfId="6972" xr:uid="{00000000-0005-0000-0000-00003F1B0000}"/>
    <cellStyle name="20% - Énfasis5 35 10" xfId="6973" xr:uid="{00000000-0005-0000-0000-0000401B0000}"/>
    <cellStyle name="20% - Énfasis5 35 10 2" xfId="6974" xr:uid="{00000000-0005-0000-0000-0000411B0000}"/>
    <cellStyle name="20% - Énfasis5 35 11" xfId="6975" xr:uid="{00000000-0005-0000-0000-0000421B0000}"/>
    <cellStyle name="20% - Énfasis5 35 11 2" xfId="6976" xr:uid="{00000000-0005-0000-0000-0000431B0000}"/>
    <cellStyle name="20% - Énfasis5 35 12" xfId="6977" xr:uid="{00000000-0005-0000-0000-0000441B0000}"/>
    <cellStyle name="20% - Énfasis5 35 12 2" xfId="6978" xr:uid="{00000000-0005-0000-0000-0000451B0000}"/>
    <cellStyle name="20% - Énfasis5 35 13" xfId="6979" xr:uid="{00000000-0005-0000-0000-0000461B0000}"/>
    <cellStyle name="20% - Énfasis5 35 13 2" xfId="6980" xr:uid="{00000000-0005-0000-0000-0000471B0000}"/>
    <cellStyle name="20% - Énfasis5 35 14" xfId="6981" xr:uid="{00000000-0005-0000-0000-0000481B0000}"/>
    <cellStyle name="20% - Énfasis5 35 14 2" xfId="6982" xr:uid="{00000000-0005-0000-0000-0000491B0000}"/>
    <cellStyle name="20% - Énfasis5 35 15" xfId="6983" xr:uid="{00000000-0005-0000-0000-00004A1B0000}"/>
    <cellStyle name="20% - Énfasis5 35 15 2" xfId="6984" xr:uid="{00000000-0005-0000-0000-00004B1B0000}"/>
    <cellStyle name="20% - Énfasis5 35 16" xfId="6985" xr:uid="{00000000-0005-0000-0000-00004C1B0000}"/>
    <cellStyle name="20% - Énfasis5 35 16 2" xfId="6986" xr:uid="{00000000-0005-0000-0000-00004D1B0000}"/>
    <cellStyle name="20% - Énfasis5 35 17" xfId="6987" xr:uid="{00000000-0005-0000-0000-00004E1B0000}"/>
    <cellStyle name="20% - Énfasis5 35 17 2" xfId="6988" xr:uid="{00000000-0005-0000-0000-00004F1B0000}"/>
    <cellStyle name="20% - Énfasis5 35 18" xfId="6989" xr:uid="{00000000-0005-0000-0000-0000501B0000}"/>
    <cellStyle name="20% - Énfasis5 35 18 2" xfId="6990" xr:uid="{00000000-0005-0000-0000-0000511B0000}"/>
    <cellStyle name="20% - Énfasis5 35 19" xfId="6991" xr:uid="{00000000-0005-0000-0000-0000521B0000}"/>
    <cellStyle name="20% - Énfasis5 35 19 2" xfId="6992" xr:uid="{00000000-0005-0000-0000-0000531B0000}"/>
    <cellStyle name="20% - Énfasis5 35 2" xfId="6993" xr:uid="{00000000-0005-0000-0000-0000541B0000}"/>
    <cellStyle name="20% - Énfasis5 35 2 2" xfId="6994" xr:uid="{00000000-0005-0000-0000-0000551B0000}"/>
    <cellStyle name="20% - Énfasis5 35 20" xfId="6995" xr:uid="{00000000-0005-0000-0000-0000561B0000}"/>
    <cellStyle name="20% - Énfasis5 35 3" xfId="6996" xr:uid="{00000000-0005-0000-0000-0000571B0000}"/>
    <cellStyle name="20% - Énfasis5 35 3 2" xfId="6997" xr:uid="{00000000-0005-0000-0000-0000581B0000}"/>
    <cellStyle name="20% - Énfasis5 35 4" xfId="6998" xr:uid="{00000000-0005-0000-0000-0000591B0000}"/>
    <cellStyle name="20% - Énfasis5 35 4 2" xfId="6999" xr:uid="{00000000-0005-0000-0000-00005A1B0000}"/>
    <cellStyle name="20% - Énfasis5 35 5" xfId="7000" xr:uid="{00000000-0005-0000-0000-00005B1B0000}"/>
    <cellStyle name="20% - Énfasis5 35 5 2" xfId="7001" xr:uid="{00000000-0005-0000-0000-00005C1B0000}"/>
    <cellStyle name="20% - Énfasis5 35 6" xfId="7002" xr:uid="{00000000-0005-0000-0000-00005D1B0000}"/>
    <cellStyle name="20% - Énfasis5 35 6 2" xfId="7003" xr:uid="{00000000-0005-0000-0000-00005E1B0000}"/>
    <cellStyle name="20% - Énfasis5 35 7" xfId="7004" xr:uid="{00000000-0005-0000-0000-00005F1B0000}"/>
    <cellStyle name="20% - Énfasis5 35 7 2" xfId="7005" xr:uid="{00000000-0005-0000-0000-0000601B0000}"/>
    <cellStyle name="20% - Énfasis5 35 8" xfId="7006" xr:uid="{00000000-0005-0000-0000-0000611B0000}"/>
    <cellStyle name="20% - Énfasis5 35 8 2" xfId="7007" xr:uid="{00000000-0005-0000-0000-0000621B0000}"/>
    <cellStyle name="20% - Énfasis5 35 9" xfId="7008" xr:uid="{00000000-0005-0000-0000-0000631B0000}"/>
    <cellStyle name="20% - Énfasis5 35 9 2" xfId="7009" xr:uid="{00000000-0005-0000-0000-0000641B0000}"/>
    <cellStyle name="20% - Énfasis5 36" xfId="7010" xr:uid="{00000000-0005-0000-0000-0000651B0000}"/>
    <cellStyle name="20% - Énfasis5 36 10" xfId="7011" xr:uid="{00000000-0005-0000-0000-0000661B0000}"/>
    <cellStyle name="20% - Énfasis5 36 10 2" xfId="7012" xr:uid="{00000000-0005-0000-0000-0000671B0000}"/>
    <cellStyle name="20% - Énfasis5 36 11" xfId="7013" xr:uid="{00000000-0005-0000-0000-0000681B0000}"/>
    <cellStyle name="20% - Énfasis5 36 11 2" xfId="7014" xr:uid="{00000000-0005-0000-0000-0000691B0000}"/>
    <cellStyle name="20% - Énfasis5 36 12" xfId="7015" xr:uid="{00000000-0005-0000-0000-00006A1B0000}"/>
    <cellStyle name="20% - Énfasis5 36 12 2" xfId="7016" xr:uid="{00000000-0005-0000-0000-00006B1B0000}"/>
    <cellStyle name="20% - Énfasis5 36 13" xfId="7017" xr:uid="{00000000-0005-0000-0000-00006C1B0000}"/>
    <cellStyle name="20% - Énfasis5 36 13 2" xfId="7018" xr:uid="{00000000-0005-0000-0000-00006D1B0000}"/>
    <cellStyle name="20% - Énfasis5 36 14" xfId="7019" xr:uid="{00000000-0005-0000-0000-00006E1B0000}"/>
    <cellStyle name="20% - Énfasis5 36 14 2" xfId="7020" xr:uid="{00000000-0005-0000-0000-00006F1B0000}"/>
    <cellStyle name="20% - Énfasis5 36 15" xfId="7021" xr:uid="{00000000-0005-0000-0000-0000701B0000}"/>
    <cellStyle name="20% - Énfasis5 36 15 2" xfId="7022" xr:uid="{00000000-0005-0000-0000-0000711B0000}"/>
    <cellStyle name="20% - Énfasis5 36 16" xfId="7023" xr:uid="{00000000-0005-0000-0000-0000721B0000}"/>
    <cellStyle name="20% - Énfasis5 36 16 2" xfId="7024" xr:uid="{00000000-0005-0000-0000-0000731B0000}"/>
    <cellStyle name="20% - Énfasis5 36 17" xfId="7025" xr:uid="{00000000-0005-0000-0000-0000741B0000}"/>
    <cellStyle name="20% - Énfasis5 36 17 2" xfId="7026" xr:uid="{00000000-0005-0000-0000-0000751B0000}"/>
    <cellStyle name="20% - Énfasis5 36 18" xfId="7027" xr:uid="{00000000-0005-0000-0000-0000761B0000}"/>
    <cellStyle name="20% - Énfasis5 36 18 2" xfId="7028" xr:uid="{00000000-0005-0000-0000-0000771B0000}"/>
    <cellStyle name="20% - Énfasis5 36 19" xfId="7029" xr:uid="{00000000-0005-0000-0000-0000781B0000}"/>
    <cellStyle name="20% - Énfasis5 36 19 2" xfId="7030" xr:uid="{00000000-0005-0000-0000-0000791B0000}"/>
    <cellStyle name="20% - Énfasis5 36 2" xfId="7031" xr:uid="{00000000-0005-0000-0000-00007A1B0000}"/>
    <cellStyle name="20% - Énfasis5 36 2 2" xfId="7032" xr:uid="{00000000-0005-0000-0000-00007B1B0000}"/>
    <cellStyle name="20% - Énfasis5 36 20" xfId="7033" xr:uid="{00000000-0005-0000-0000-00007C1B0000}"/>
    <cellStyle name="20% - Énfasis5 36 3" xfId="7034" xr:uid="{00000000-0005-0000-0000-00007D1B0000}"/>
    <cellStyle name="20% - Énfasis5 36 3 2" xfId="7035" xr:uid="{00000000-0005-0000-0000-00007E1B0000}"/>
    <cellStyle name="20% - Énfasis5 36 4" xfId="7036" xr:uid="{00000000-0005-0000-0000-00007F1B0000}"/>
    <cellStyle name="20% - Énfasis5 36 4 2" xfId="7037" xr:uid="{00000000-0005-0000-0000-0000801B0000}"/>
    <cellStyle name="20% - Énfasis5 36 5" xfId="7038" xr:uid="{00000000-0005-0000-0000-0000811B0000}"/>
    <cellStyle name="20% - Énfasis5 36 5 2" xfId="7039" xr:uid="{00000000-0005-0000-0000-0000821B0000}"/>
    <cellStyle name="20% - Énfasis5 36 6" xfId="7040" xr:uid="{00000000-0005-0000-0000-0000831B0000}"/>
    <cellStyle name="20% - Énfasis5 36 6 2" xfId="7041" xr:uid="{00000000-0005-0000-0000-0000841B0000}"/>
    <cellStyle name="20% - Énfasis5 36 7" xfId="7042" xr:uid="{00000000-0005-0000-0000-0000851B0000}"/>
    <cellStyle name="20% - Énfasis5 36 7 2" xfId="7043" xr:uid="{00000000-0005-0000-0000-0000861B0000}"/>
    <cellStyle name="20% - Énfasis5 36 8" xfId="7044" xr:uid="{00000000-0005-0000-0000-0000871B0000}"/>
    <cellStyle name="20% - Énfasis5 36 8 2" xfId="7045" xr:uid="{00000000-0005-0000-0000-0000881B0000}"/>
    <cellStyle name="20% - Énfasis5 36 9" xfId="7046" xr:uid="{00000000-0005-0000-0000-0000891B0000}"/>
    <cellStyle name="20% - Énfasis5 36 9 2" xfId="7047" xr:uid="{00000000-0005-0000-0000-00008A1B0000}"/>
    <cellStyle name="20% - Énfasis5 37" xfId="7048" xr:uid="{00000000-0005-0000-0000-00008B1B0000}"/>
    <cellStyle name="20% - Énfasis5 37 2" xfId="7049" xr:uid="{00000000-0005-0000-0000-00008C1B0000}"/>
    <cellStyle name="20% - Énfasis5 38" xfId="7050" xr:uid="{00000000-0005-0000-0000-00008D1B0000}"/>
    <cellStyle name="20% - Énfasis5 38 2" xfId="7051" xr:uid="{00000000-0005-0000-0000-00008E1B0000}"/>
    <cellStyle name="20% - Énfasis5 39" xfId="7052" xr:uid="{00000000-0005-0000-0000-00008F1B0000}"/>
    <cellStyle name="20% - Énfasis5 39 2" xfId="7053" xr:uid="{00000000-0005-0000-0000-0000901B0000}"/>
    <cellStyle name="20% - Énfasis5 4" xfId="7054" xr:uid="{00000000-0005-0000-0000-0000911B0000}"/>
    <cellStyle name="20% - Énfasis5 4 10" xfId="7055" xr:uid="{00000000-0005-0000-0000-0000921B0000}"/>
    <cellStyle name="20% - Énfasis5 4 10 2" xfId="7056" xr:uid="{00000000-0005-0000-0000-0000931B0000}"/>
    <cellStyle name="20% - Énfasis5 4 11" xfId="7057" xr:uid="{00000000-0005-0000-0000-0000941B0000}"/>
    <cellStyle name="20% - Énfasis5 4 11 2" xfId="7058" xr:uid="{00000000-0005-0000-0000-0000951B0000}"/>
    <cellStyle name="20% - Énfasis5 4 12" xfId="7059" xr:uid="{00000000-0005-0000-0000-0000961B0000}"/>
    <cellStyle name="20% - Énfasis5 4 12 2" xfId="7060" xr:uid="{00000000-0005-0000-0000-0000971B0000}"/>
    <cellStyle name="20% - Énfasis5 4 13" xfId="7061" xr:uid="{00000000-0005-0000-0000-0000981B0000}"/>
    <cellStyle name="20% - Énfasis5 4 13 2" xfId="7062" xr:uid="{00000000-0005-0000-0000-0000991B0000}"/>
    <cellStyle name="20% - Énfasis5 4 14" xfId="7063" xr:uid="{00000000-0005-0000-0000-00009A1B0000}"/>
    <cellStyle name="20% - Énfasis5 4 14 2" xfId="7064" xr:uid="{00000000-0005-0000-0000-00009B1B0000}"/>
    <cellStyle name="20% - Énfasis5 4 15" xfId="7065" xr:uid="{00000000-0005-0000-0000-00009C1B0000}"/>
    <cellStyle name="20% - Énfasis5 4 15 2" xfId="7066" xr:uid="{00000000-0005-0000-0000-00009D1B0000}"/>
    <cellStyle name="20% - Énfasis5 4 16" xfId="7067" xr:uid="{00000000-0005-0000-0000-00009E1B0000}"/>
    <cellStyle name="20% - Énfasis5 4 16 2" xfId="7068" xr:uid="{00000000-0005-0000-0000-00009F1B0000}"/>
    <cellStyle name="20% - Énfasis5 4 17" xfId="7069" xr:uid="{00000000-0005-0000-0000-0000A01B0000}"/>
    <cellStyle name="20% - Énfasis5 4 17 2" xfId="7070" xr:uid="{00000000-0005-0000-0000-0000A11B0000}"/>
    <cellStyle name="20% - Énfasis5 4 18" xfId="7071" xr:uid="{00000000-0005-0000-0000-0000A21B0000}"/>
    <cellStyle name="20% - Énfasis5 4 18 2" xfId="7072" xr:uid="{00000000-0005-0000-0000-0000A31B0000}"/>
    <cellStyle name="20% - Énfasis5 4 19" xfId="7073" xr:uid="{00000000-0005-0000-0000-0000A41B0000}"/>
    <cellStyle name="20% - Énfasis5 4 19 2" xfId="7074" xr:uid="{00000000-0005-0000-0000-0000A51B0000}"/>
    <cellStyle name="20% - Énfasis5 4 2" xfId="7075" xr:uid="{00000000-0005-0000-0000-0000A61B0000}"/>
    <cellStyle name="20% - Énfasis5 4 2 2" xfId="7076" xr:uid="{00000000-0005-0000-0000-0000A71B0000}"/>
    <cellStyle name="20% - Énfasis5 4 20" xfId="7077" xr:uid="{00000000-0005-0000-0000-0000A81B0000}"/>
    <cellStyle name="20% - Énfasis5 4 21" xfId="7078" xr:uid="{00000000-0005-0000-0000-0000A91B0000}"/>
    <cellStyle name="20% - Énfasis5 4 3" xfId="7079" xr:uid="{00000000-0005-0000-0000-0000AA1B0000}"/>
    <cellStyle name="20% - Énfasis5 4 3 2" xfId="7080" xr:uid="{00000000-0005-0000-0000-0000AB1B0000}"/>
    <cellStyle name="20% - Énfasis5 4 4" xfId="7081" xr:uid="{00000000-0005-0000-0000-0000AC1B0000}"/>
    <cellStyle name="20% - Énfasis5 4 4 2" xfId="7082" xr:uid="{00000000-0005-0000-0000-0000AD1B0000}"/>
    <cellStyle name="20% - Énfasis5 4 5" xfId="7083" xr:uid="{00000000-0005-0000-0000-0000AE1B0000}"/>
    <cellStyle name="20% - Énfasis5 4 5 2" xfId="7084" xr:uid="{00000000-0005-0000-0000-0000AF1B0000}"/>
    <cellStyle name="20% - Énfasis5 4 6" xfId="7085" xr:uid="{00000000-0005-0000-0000-0000B01B0000}"/>
    <cellStyle name="20% - Énfasis5 4 6 2" xfId="7086" xr:uid="{00000000-0005-0000-0000-0000B11B0000}"/>
    <cellStyle name="20% - Énfasis5 4 7" xfId="7087" xr:uid="{00000000-0005-0000-0000-0000B21B0000}"/>
    <cellStyle name="20% - Énfasis5 4 7 2" xfId="7088" xr:uid="{00000000-0005-0000-0000-0000B31B0000}"/>
    <cellStyle name="20% - Énfasis5 4 8" xfId="7089" xr:uid="{00000000-0005-0000-0000-0000B41B0000}"/>
    <cellStyle name="20% - Énfasis5 4 8 2" xfId="7090" xr:uid="{00000000-0005-0000-0000-0000B51B0000}"/>
    <cellStyle name="20% - Énfasis5 4 9" xfId="7091" xr:uid="{00000000-0005-0000-0000-0000B61B0000}"/>
    <cellStyle name="20% - Énfasis5 4 9 2" xfId="7092" xr:uid="{00000000-0005-0000-0000-0000B71B0000}"/>
    <cellStyle name="20% - Énfasis5 40" xfId="7093" xr:uid="{00000000-0005-0000-0000-0000B81B0000}"/>
    <cellStyle name="20% - Énfasis5 40 2" xfId="7094" xr:uid="{00000000-0005-0000-0000-0000B91B0000}"/>
    <cellStyle name="20% - Énfasis5 41" xfId="7095" xr:uid="{00000000-0005-0000-0000-0000BA1B0000}"/>
    <cellStyle name="20% - Énfasis5 41 2" xfId="7096" xr:uid="{00000000-0005-0000-0000-0000BB1B0000}"/>
    <cellStyle name="20% - Énfasis5 42" xfId="7097" xr:uid="{00000000-0005-0000-0000-0000BC1B0000}"/>
    <cellStyle name="20% - Énfasis5 42 2" xfId="7098" xr:uid="{00000000-0005-0000-0000-0000BD1B0000}"/>
    <cellStyle name="20% - Énfasis5 43" xfId="7099" xr:uid="{00000000-0005-0000-0000-0000BE1B0000}"/>
    <cellStyle name="20% - Énfasis5 43 2" xfId="7100" xr:uid="{00000000-0005-0000-0000-0000BF1B0000}"/>
    <cellStyle name="20% - Énfasis5 44" xfId="7101" xr:uid="{00000000-0005-0000-0000-0000C01B0000}"/>
    <cellStyle name="20% - Énfasis5 44 2" xfId="7102" xr:uid="{00000000-0005-0000-0000-0000C11B0000}"/>
    <cellStyle name="20% - Énfasis5 45" xfId="7103" xr:uid="{00000000-0005-0000-0000-0000C21B0000}"/>
    <cellStyle name="20% - Énfasis5 45 2" xfId="7104" xr:uid="{00000000-0005-0000-0000-0000C31B0000}"/>
    <cellStyle name="20% - Énfasis5 46" xfId="7105" xr:uid="{00000000-0005-0000-0000-0000C41B0000}"/>
    <cellStyle name="20% - Énfasis5 46 2" xfId="7106" xr:uid="{00000000-0005-0000-0000-0000C51B0000}"/>
    <cellStyle name="20% - Énfasis5 47" xfId="7107" xr:uid="{00000000-0005-0000-0000-0000C61B0000}"/>
    <cellStyle name="20% - Énfasis5 47 2" xfId="7108" xr:uid="{00000000-0005-0000-0000-0000C71B0000}"/>
    <cellStyle name="20% - Énfasis5 48" xfId="7109" xr:uid="{00000000-0005-0000-0000-0000C81B0000}"/>
    <cellStyle name="20% - Énfasis5 48 2" xfId="7110" xr:uid="{00000000-0005-0000-0000-0000C91B0000}"/>
    <cellStyle name="20% - Énfasis5 49" xfId="7111" xr:uid="{00000000-0005-0000-0000-0000CA1B0000}"/>
    <cellStyle name="20% - Énfasis5 49 2" xfId="7112" xr:uid="{00000000-0005-0000-0000-0000CB1B0000}"/>
    <cellStyle name="20% - Énfasis5 5" xfId="7113" xr:uid="{00000000-0005-0000-0000-0000CC1B0000}"/>
    <cellStyle name="20% - Énfasis5 5 10" xfId="7114" xr:uid="{00000000-0005-0000-0000-0000CD1B0000}"/>
    <cellStyle name="20% - Énfasis5 5 10 2" xfId="7115" xr:uid="{00000000-0005-0000-0000-0000CE1B0000}"/>
    <cellStyle name="20% - Énfasis5 5 11" xfId="7116" xr:uid="{00000000-0005-0000-0000-0000CF1B0000}"/>
    <cellStyle name="20% - Énfasis5 5 11 2" xfId="7117" xr:uid="{00000000-0005-0000-0000-0000D01B0000}"/>
    <cellStyle name="20% - Énfasis5 5 12" xfId="7118" xr:uid="{00000000-0005-0000-0000-0000D11B0000}"/>
    <cellStyle name="20% - Énfasis5 5 12 2" xfId="7119" xr:uid="{00000000-0005-0000-0000-0000D21B0000}"/>
    <cellStyle name="20% - Énfasis5 5 13" xfId="7120" xr:uid="{00000000-0005-0000-0000-0000D31B0000}"/>
    <cellStyle name="20% - Énfasis5 5 13 2" xfId="7121" xr:uid="{00000000-0005-0000-0000-0000D41B0000}"/>
    <cellStyle name="20% - Énfasis5 5 14" xfId="7122" xr:uid="{00000000-0005-0000-0000-0000D51B0000}"/>
    <cellStyle name="20% - Énfasis5 5 14 2" xfId="7123" xr:uid="{00000000-0005-0000-0000-0000D61B0000}"/>
    <cellStyle name="20% - Énfasis5 5 15" xfId="7124" xr:uid="{00000000-0005-0000-0000-0000D71B0000}"/>
    <cellStyle name="20% - Énfasis5 5 15 2" xfId="7125" xr:uid="{00000000-0005-0000-0000-0000D81B0000}"/>
    <cellStyle name="20% - Énfasis5 5 16" xfId="7126" xr:uid="{00000000-0005-0000-0000-0000D91B0000}"/>
    <cellStyle name="20% - Énfasis5 5 16 2" xfId="7127" xr:uid="{00000000-0005-0000-0000-0000DA1B0000}"/>
    <cellStyle name="20% - Énfasis5 5 17" xfId="7128" xr:uid="{00000000-0005-0000-0000-0000DB1B0000}"/>
    <cellStyle name="20% - Énfasis5 5 17 2" xfId="7129" xr:uid="{00000000-0005-0000-0000-0000DC1B0000}"/>
    <cellStyle name="20% - Énfasis5 5 18" xfId="7130" xr:uid="{00000000-0005-0000-0000-0000DD1B0000}"/>
    <cellStyle name="20% - Énfasis5 5 18 2" xfId="7131" xr:uid="{00000000-0005-0000-0000-0000DE1B0000}"/>
    <cellStyle name="20% - Énfasis5 5 19" xfId="7132" xr:uid="{00000000-0005-0000-0000-0000DF1B0000}"/>
    <cellStyle name="20% - Énfasis5 5 19 2" xfId="7133" xr:uid="{00000000-0005-0000-0000-0000E01B0000}"/>
    <cellStyle name="20% - Énfasis5 5 2" xfId="7134" xr:uid="{00000000-0005-0000-0000-0000E11B0000}"/>
    <cellStyle name="20% - Énfasis5 5 2 2" xfId="7135" xr:uid="{00000000-0005-0000-0000-0000E21B0000}"/>
    <cellStyle name="20% - Énfasis5 5 20" xfId="7136" xr:uid="{00000000-0005-0000-0000-0000E31B0000}"/>
    <cellStyle name="20% - Énfasis5 5 21" xfId="7137" xr:uid="{00000000-0005-0000-0000-0000E41B0000}"/>
    <cellStyle name="20% - Énfasis5 5 3" xfId="7138" xr:uid="{00000000-0005-0000-0000-0000E51B0000}"/>
    <cellStyle name="20% - Énfasis5 5 3 2" xfId="7139" xr:uid="{00000000-0005-0000-0000-0000E61B0000}"/>
    <cellStyle name="20% - Énfasis5 5 4" xfId="7140" xr:uid="{00000000-0005-0000-0000-0000E71B0000}"/>
    <cellStyle name="20% - Énfasis5 5 4 2" xfId="7141" xr:uid="{00000000-0005-0000-0000-0000E81B0000}"/>
    <cellStyle name="20% - Énfasis5 5 5" xfId="7142" xr:uid="{00000000-0005-0000-0000-0000E91B0000}"/>
    <cellStyle name="20% - Énfasis5 5 5 2" xfId="7143" xr:uid="{00000000-0005-0000-0000-0000EA1B0000}"/>
    <cellStyle name="20% - Énfasis5 5 6" xfId="7144" xr:uid="{00000000-0005-0000-0000-0000EB1B0000}"/>
    <cellStyle name="20% - Énfasis5 5 6 2" xfId="7145" xr:uid="{00000000-0005-0000-0000-0000EC1B0000}"/>
    <cellStyle name="20% - Énfasis5 5 7" xfId="7146" xr:uid="{00000000-0005-0000-0000-0000ED1B0000}"/>
    <cellStyle name="20% - Énfasis5 5 7 2" xfId="7147" xr:uid="{00000000-0005-0000-0000-0000EE1B0000}"/>
    <cellStyle name="20% - Énfasis5 5 8" xfId="7148" xr:uid="{00000000-0005-0000-0000-0000EF1B0000}"/>
    <cellStyle name="20% - Énfasis5 5 8 2" xfId="7149" xr:uid="{00000000-0005-0000-0000-0000F01B0000}"/>
    <cellStyle name="20% - Énfasis5 5 9" xfId="7150" xr:uid="{00000000-0005-0000-0000-0000F11B0000}"/>
    <cellStyle name="20% - Énfasis5 5 9 2" xfId="7151" xr:uid="{00000000-0005-0000-0000-0000F21B0000}"/>
    <cellStyle name="20% - Énfasis5 50" xfId="7152" xr:uid="{00000000-0005-0000-0000-0000F31B0000}"/>
    <cellStyle name="20% - Énfasis5 50 2" xfId="7153" xr:uid="{00000000-0005-0000-0000-0000F41B0000}"/>
    <cellStyle name="20% - Énfasis5 51" xfId="7154" xr:uid="{00000000-0005-0000-0000-0000F51B0000}"/>
    <cellStyle name="20% - Énfasis5 51 2" xfId="7155" xr:uid="{00000000-0005-0000-0000-0000F61B0000}"/>
    <cellStyle name="20% - Énfasis5 52" xfId="7156" xr:uid="{00000000-0005-0000-0000-0000F71B0000}"/>
    <cellStyle name="20% - Énfasis5 52 2" xfId="7157" xr:uid="{00000000-0005-0000-0000-0000F81B0000}"/>
    <cellStyle name="20% - Énfasis5 53" xfId="7158" xr:uid="{00000000-0005-0000-0000-0000F91B0000}"/>
    <cellStyle name="20% - Énfasis5 53 2" xfId="7159" xr:uid="{00000000-0005-0000-0000-0000FA1B0000}"/>
    <cellStyle name="20% - Énfasis5 54" xfId="7160" xr:uid="{00000000-0005-0000-0000-0000FB1B0000}"/>
    <cellStyle name="20% - Énfasis5 54 2" xfId="7161" xr:uid="{00000000-0005-0000-0000-0000FC1B0000}"/>
    <cellStyle name="20% - Énfasis5 55" xfId="7162" xr:uid="{00000000-0005-0000-0000-0000FD1B0000}"/>
    <cellStyle name="20% - Énfasis5 55 2" xfId="7163" xr:uid="{00000000-0005-0000-0000-0000FE1B0000}"/>
    <cellStyle name="20% - Énfasis5 56" xfId="7164" xr:uid="{00000000-0005-0000-0000-0000FF1B0000}"/>
    <cellStyle name="20% - Énfasis5 56 2" xfId="7165" xr:uid="{00000000-0005-0000-0000-0000001C0000}"/>
    <cellStyle name="20% - Énfasis5 57" xfId="7166" xr:uid="{00000000-0005-0000-0000-0000011C0000}"/>
    <cellStyle name="20% - Énfasis5 57 2" xfId="7167" xr:uid="{00000000-0005-0000-0000-0000021C0000}"/>
    <cellStyle name="20% - Énfasis5 58" xfId="7168" xr:uid="{00000000-0005-0000-0000-0000031C0000}"/>
    <cellStyle name="20% - Énfasis5 58 2" xfId="7169" xr:uid="{00000000-0005-0000-0000-0000041C0000}"/>
    <cellStyle name="20% - Énfasis5 59" xfId="7170" xr:uid="{00000000-0005-0000-0000-0000051C0000}"/>
    <cellStyle name="20% - Énfasis5 59 2" xfId="7171" xr:uid="{00000000-0005-0000-0000-0000061C0000}"/>
    <cellStyle name="20% - Énfasis5 6" xfId="7172" xr:uid="{00000000-0005-0000-0000-0000071C0000}"/>
    <cellStyle name="20% - Énfasis5 6 10" xfId="7173" xr:uid="{00000000-0005-0000-0000-0000081C0000}"/>
    <cellStyle name="20% - Énfasis5 6 10 2" xfId="7174" xr:uid="{00000000-0005-0000-0000-0000091C0000}"/>
    <cellStyle name="20% - Énfasis5 6 11" xfId="7175" xr:uid="{00000000-0005-0000-0000-00000A1C0000}"/>
    <cellStyle name="20% - Énfasis5 6 11 2" xfId="7176" xr:uid="{00000000-0005-0000-0000-00000B1C0000}"/>
    <cellStyle name="20% - Énfasis5 6 12" xfId="7177" xr:uid="{00000000-0005-0000-0000-00000C1C0000}"/>
    <cellStyle name="20% - Énfasis5 6 12 2" xfId="7178" xr:uid="{00000000-0005-0000-0000-00000D1C0000}"/>
    <cellStyle name="20% - Énfasis5 6 13" xfId="7179" xr:uid="{00000000-0005-0000-0000-00000E1C0000}"/>
    <cellStyle name="20% - Énfasis5 6 13 2" xfId="7180" xr:uid="{00000000-0005-0000-0000-00000F1C0000}"/>
    <cellStyle name="20% - Énfasis5 6 14" xfId="7181" xr:uid="{00000000-0005-0000-0000-0000101C0000}"/>
    <cellStyle name="20% - Énfasis5 6 14 2" xfId="7182" xr:uid="{00000000-0005-0000-0000-0000111C0000}"/>
    <cellStyle name="20% - Énfasis5 6 15" xfId="7183" xr:uid="{00000000-0005-0000-0000-0000121C0000}"/>
    <cellStyle name="20% - Énfasis5 6 15 2" xfId="7184" xr:uid="{00000000-0005-0000-0000-0000131C0000}"/>
    <cellStyle name="20% - Énfasis5 6 16" xfId="7185" xr:uid="{00000000-0005-0000-0000-0000141C0000}"/>
    <cellStyle name="20% - Énfasis5 6 16 2" xfId="7186" xr:uid="{00000000-0005-0000-0000-0000151C0000}"/>
    <cellStyle name="20% - Énfasis5 6 17" xfId="7187" xr:uid="{00000000-0005-0000-0000-0000161C0000}"/>
    <cellStyle name="20% - Énfasis5 6 17 2" xfId="7188" xr:uid="{00000000-0005-0000-0000-0000171C0000}"/>
    <cellStyle name="20% - Énfasis5 6 18" xfId="7189" xr:uid="{00000000-0005-0000-0000-0000181C0000}"/>
    <cellStyle name="20% - Énfasis5 6 18 2" xfId="7190" xr:uid="{00000000-0005-0000-0000-0000191C0000}"/>
    <cellStyle name="20% - Énfasis5 6 19" xfId="7191" xr:uid="{00000000-0005-0000-0000-00001A1C0000}"/>
    <cellStyle name="20% - Énfasis5 6 19 2" xfId="7192" xr:uid="{00000000-0005-0000-0000-00001B1C0000}"/>
    <cellStyle name="20% - Énfasis5 6 2" xfId="7193" xr:uid="{00000000-0005-0000-0000-00001C1C0000}"/>
    <cellStyle name="20% - Énfasis5 6 2 2" xfId="7194" xr:uid="{00000000-0005-0000-0000-00001D1C0000}"/>
    <cellStyle name="20% - Énfasis5 6 20" xfId="7195" xr:uid="{00000000-0005-0000-0000-00001E1C0000}"/>
    <cellStyle name="20% - Énfasis5 6 21" xfId="7196" xr:uid="{00000000-0005-0000-0000-00001F1C0000}"/>
    <cellStyle name="20% - Énfasis5 6 3" xfId="7197" xr:uid="{00000000-0005-0000-0000-0000201C0000}"/>
    <cellStyle name="20% - Énfasis5 6 3 2" xfId="7198" xr:uid="{00000000-0005-0000-0000-0000211C0000}"/>
    <cellStyle name="20% - Énfasis5 6 4" xfId="7199" xr:uid="{00000000-0005-0000-0000-0000221C0000}"/>
    <cellStyle name="20% - Énfasis5 6 4 2" xfId="7200" xr:uid="{00000000-0005-0000-0000-0000231C0000}"/>
    <cellStyle name="20% - Énfasis5 6 5" xfId="7201" xr:uid="{00000000-0005-0000-0000-0000241C0000}"/>
    <cellStyle name="20% - Énfasis5 6 5 2" xfId="7202" xr:uid="{00000000-0005-0000-0000-0000251C0000}"/>
    <cellStyle name="20% - Énfasis5 6 6" xfId="7203" xr:uid="{00000000-0005-0000-0000-0000261C0000}"/>
    <cellStyle name="20% - Énfasis5 6 6 2" xfId="7204" xr:uid="{00000000-0005-0000-0000-0000271C0000}"/>
    <cellStyle name="20% - Énfasis5 6 7" xfId="7205" xr:uid="{00000000-0005-0000-0000-0000281C0000}"/>
    <cellStyle name="20% - Énfasis5 6 7 2" xfId="7206" xr:uid="{00000000-0005-0000-0000-0000291C0000}"/>
    <cellStyle name="20% - Énfasis5 6 8" xfId="7207" xr:uid="{00000000-0005-0000-0000-00002A1C0000}"/>
    <cellStyle name="20% - Énfasis5 6 8 2" xfId="7208" xr:uid="{00000000-0005-0000-0000-00002B1C0000}"/>
    <cellStyle name="20% - Énfasis5 6 9" xfId="7209" xr:uid="{00000000-0005-0000-0000-00002C1C0000}"/>
    <cellStyle name="20% - Énfasis5 6 9 2" xfId="7210" xr:uid="{00000000-0005-0000-0000-00002D1C0000}"/>
    <cellStyle name="20% - Énfasis5 60" xfId="7211" xr:uid="{00000000-0005-0000-0000-00002E1C0000}"/>
    <cellStyle name="20% - Énfasis5 60 2" xfId="7212" xr:uid="{00000000-0005-0000-0000-00002F1C0000}"/>
    <cellStyle name="20% - Énfasis5 61" xfId="7213" xr:uid="{00000000-0005-0000-0000-0000301C0000}"/>
    <cellStyle name="20% - Énfasis5 61 2" xfId="7214" xr:uid="{00000000-0005-0000-0000-0000311C0000}"/>
    <cellStyle name="20% - Énfasis5 62" xfId="7215" xr:uid="{00000000-0005-0000-0000-0000321C0000}"/>
    <cellStyle name="20% - Énfasis5 62 2" xfId="7216" xr:uid="{00000000-0005-0000-0000-0000331C0000}"/>
    <cellStyle name="20% - Énfasis5 63" xfId="7217" xr:uid="{00000000-0005-0000-0000-0000341C0000}"/>
    <cellStyle name="20% - Énfasis5 63 2" xfId="7218" xr:uid="{00000000-0005-0000-0000-0000351C0000}"/>
    <cellStyle name="20% - Énfasis5 64" xfId="7219" xr:uid="{00000000-0005-0000-0000-0000361C0000}"/>
    <cellStyle name="20% - Énfasis5 64 2" xfId="7220" xr:uid="{00000000-0005-0000-0000-0000371C0000}"/>
    <cellStyle name="20% - Énfasis5 65" xfId="7221" xr:uid="{00000000-0005-0000-0000-0000381C0000}"/>
    <cellStyle name="20% - Énfasis5 65 2" xfId="7222" xr:uid="{00000000-0005-0000-0000-0000391C0000}"/>
    <cellStyle name="20% - Énfasis5 66" xfId="7223" xr:uid="{00000000-0005-0000-0000-00003A1C0000}"/>
    <cellStyle name="20% - Énfasis5 66 2" xfId="7224" xr:uid="{00000000-0005-0000-0000-00003B1C0000}"/>
    <cellStyle name="20% - Énfasis5 67" xfId="7225" xr:uid="{00000000-0005-0000-0000-00003C1C0000}"/>
    <cellStyle name="20% - Énfasis5 67 2" xfId="7226" xr:uid="{00000000-0005-0000-0000-00003D1C0000}"/>
    <cellStyle name="20% - Énfasis5 68" xfId="7227" xr:uid="{00000000-0005-0000-0000-00003E1C0000}"/>
    <cellStyle name="20% - Énfasis5 68 2" xfId="7228" xr:uid="{00000000-0005-0000-0000-00003F1C0000}"/>
    <cellStyle name="20% - Énfasis5 69" xfId="7229" xr:uid="{00000000-0005-0000-0000-0000401C0000}"/>
    <cellStyle name="20% - Énfasis5 69 2" xfId="7230" xr:uid="{00000000-0005-0000-0000-0000411C0000}"/>
    <cellStyle name="20% - Énfasis5 7" xfId="7231" xr:uid="{00000000-0005-0000-0000-0000421C0000}"/>
    <cellStyle name="20% - Énfasis5 7 10" xfId="7232" xr:uid="{00000000-0005-0000-0000-0000431C0000}"/>
    <cellStyle name="20% - Énfasis5 7 10 2" xfId="7233" xr:uid="{00000000-0005-0000-0000-0000441C0000}"/>
    <cellStyle name="20% - Énfasis5 7 11" xfId="7234" xr:uid="{00000000-0005-0000-0000-0000451C0000}"/>
    <cellStyle name="20% - Énfasis5 7 11 2" xfId="7235" xr:uid="{00000000-0005-0000-0000-0000461C0000}"/>
    <cellStyle name="20% - Énfasis5 7 12" xfId="7236" xr:uid="{00000000-0005-0000-0000-0000471C0000}"/>
    <cellStyle name="20% - Énfasis5 7 12 2" xfId="7237" xr:uid="{00000000-0005-0000-0000-0000481C0000}"/>
    <cellStyle name="20% - Énfasis5 7 13" xfId="7238" xr:uid="{00000000-0005-0000-0000-0000491C0000}"/>
    <cellStyle name="20% - Énfasis5 7 13 2" xfId="7239" xr:uid="{00000000-0005-0000-0000-00004A1C0000}"/>
    <cellStyle name="20% - Énfasis5 7 14" xfId="7240" xr:uid="{00000000-0005-0000-0000-00004B1C0000}"/>
    <cellStyle name="20% - Énfasis5 7 14 2" xfId="7241" xr:uid="{00000000-0005-0000-0000-00004C1C0000}"/>
    <cellStyle name="20% - Énfasis5 7 15" xfId="7242" xr:uid="{00000000-0005-0000-0000-00004D1C0000}"/>
    <cellStyle name="20% - Énfasis5 7 15 2" xfId="7243" xr:uid="{00000000-0005-0000-0000-00004E1C0000}"/>
    <cellStyle name="20% - Énfasis5 7 16" xfId="7244" xr:uid="{00000000-0005-0000-0000-00004F1C0000}"/>
    <cellStyle name="20% - Énfasis5 7 16 2" xfId="7245" xr:uid="{00000000-0005-0000-0000-0000501C0000}"/>
    <cellStyle name="20% - Énfasis5 7 17" xfId="7246" xr:uid="{00000000-0005-0000-0000-0000511C0000}"/>
    <cellStyle name="20% - Énfasis5 7 17 2" xfId="7247" xr:uid="{00000000-0005-0000-0000-0000521C0000}"/>
    <cellStyle name="20% - Énfasis5 7 18" xfId="7248" xr:uid="{00000000-0005-0000-0000-0000531C0000}"/>
    <cellStyle name="20% - Énfasis5 7 18 2" xfId="7249" xr:uid="{00000000-0005-0000-0000-0000541C0000}"/>
    <cellStyle name="20% - Énfasis5 7 19" xfId="7250" xr:uid="{00000000-0005-0000-0000-0000551C0000}"/>
    <cellStyle name="20% - Énfasis5 7 19 2" xfId="7251" xr:uid="{00000000-0005-0000-0000-0000561C0000}"/>
    <cellStyle name="20% - Énfasis5 7 2" xfId="7252" xr:uid="{00000000-0005-0000-0000-0000571C0000}"/>
    <cellStyle name="20% - Énfasis5 7 2 2" xfId="7253" xr:uid="{00000000-0005-0000-0000-0000581C0000}"/>
    <cellStyle name="20% - Énfasis5 7 20" xfId="7254" xr:uid="{00000000-0005-0000-0000-0000591C0000}"/>
    <cellStyle name="20% - Énfasis5 7 21" xfId="7255" xr:uid="{00000000-0005-0000-0000-00005A1C0000}"/>
    <cellStyle name="20% - Énfasis5 7 3" xfId="7256" xr:uid="{00000000-0005-0000-0000-00005B1C0000}"/>
    <cellStyle name="20% - Énfasis5 7 3 2" xfId="7257" xr:uid="{00000000-0005-0000-0000-00005C1C0000}"/>
    <cellStyle name="20% - Énfasis5 7 4" xfId="7258" xr:uid="{00000000-0005-0000-0000-00005D1C0000}"/>
    <cellStyle name="20% - Énfasis5 7 4 2" xfId="7259" xr:uid="{00000000-0005-0000-0000-00005E1C0000}"/>
    <cellStyle name="20% - Énfasis5 7 5" xfId="7260" xr:uid="{00000000-0005-0000-0000-00005F1C0000}"/>
    <cellStyle name="20% - Énfasis5 7 5 2" xfId="7261" xr:uid="{00000000-0005-0000-0000-0000601C0000}"/>
    <cellStyle name="20% - Énfasis5 7 6" xfId="7262" xr:uid="{00000000-0005-0000-0000-0000611C0000}"/>
    <cellStyle name="20% - Énfasis5 7 6 2" xfId="7263" xr:uid="{00000000-0005-0000-0000-0000621C0000}"/>
    <cellStyle name="20% - Énfasis5 7 7" xfId="7264" xr:uid="{00000000-0005-0000-0000-0000631C0000}"/>
    <cellStyle name="20% - Énfasis5 7 7 2" xfId="7265" xr:uid="{00000000-0005-0000-0000-0000641C0000}"/>
    <cellStyle name="20% - Énfasis5 7 8" xfId="7266" xr:uid="{00000000-0005-0000-0000-0000651C0000}"/>
    <cellStyle name="20% - Énfasis5 7 8 2" xfId="7267" xr:uid="{00000000-0005-0000-0000-0000661C0000}"/>
    <cellStyle name="20% - Énfasis5 7 9" xfId="7268" xr:uid="{00000000-0005-0000-0000-0000671C0000}"/>
    <cellStyle name="20% - Énfasis5 7 9 2" xfId="7269" xr:uid="{00000000-0005-0000-0000-0000681C0000}"/>
    <cellStyle name="20% - Énfasis5 70" xfId="7270" xr:uid="{00000000-0005-0000-0000-0000691C0000}"/>
    <cellStyle name="20% - Énfasis5 70 2" xfId="7271" xr:uid="{00000000-0005-0000-0000-00006A1C0000}"/>
    <cellStyle name="20% - Énfasis5 71" xfId="7272" xr:uid="{00000000-0005-0000-0000-00006B1C0000}"/>
    <cellStyle name="20% - Énfasis5 71 2" xfId="7273" xr:uid="{00000000-0005-0000-0000-00006C1C0000}"/>
    <cellStyle name="20% - Énfasis5 72" xfId="7274" xr:uid="{00000000-0005-0000-0000-00006D1C0000}"/>
    <cellStyle name="20% - Énfasis5 72 2" xfId="7275" xr:uid="{00000000-0005-0000-0000-00006E1C0000}"/>
    <cellStyle name="20% - Énfasis5 73" xfId="7276" xr:uid="{00000000-0005-0000-0000-00006F1C0000}"/>
    <cellStyle name="20% - Énfasis5 73 2" xfId="7277" xr:uid="{00000000-0005-0000-0000-0000701C0000}"/>
    <cellStyle name="20% - Énfasis5 74" xfId="7278" xr:uid="{00000000-0005-0000-0000-0000711C0000}"/>
    <cellStyle name="20% - Énfasis5 74 2" xfId="7279" xr:uid="{00000000-0005-0000-0000-0000721C0000}"/>
    <cellStyle name="20% - Énfasis5 75" xfId="7280" xr:uid="{00000000-0005-0000-0000-0000731C0000}"/>
    <cellStyle name="20% - Énfasis5 75 2" xfId="7281" xr:uid="{00000000-0005-0000-0000-0000741C0000}"/>
    <cellStyle name="20% - Énfasis5 76" xfId="7282" xr:uid="{00000000-0005-0000-0000-0000751C0000}"/>
    <cellStyle name="20% - Énfasis5 76 2" xfId="7283" xr:uid="{00000000-0005-0000-0000-0000761C0000}"/>
    <cellStyle name="20% - Énfasis5 77" xfId="7284" xr:uid="{00000000-0005-0000-0000-0000771C0000}"/>
    <cellStyle name="20% - Énfasis5 77 2" xfId="7285" xr:uid="{00000000-0005-0000-0000-0000781C0000}"/>
    <cellStyle name="20% - Énfasis5 78" xfId="7286" xr:uid="{00000000-0005-0000-0000-0000791C0000}"/>
    <cellStyle name="20% - Énfasis5 78 2" xfId="7287" xr:uid="{00000000-0005-0000-0000-00007A1C0000}"/>
    <cellStyle name="20% - Énfasis5 79" xfId="7288" xr:uid="{00000000-0005-0000-0000-00007B1C0000}"/>
    <cellStyle name="20% - Énfasis5 79 2" xfId="7289" xr:uid="{00000000-0005-0000-0000-00007C1C0000}"/>
    <cellStyle name="20% - Énfasis5 8" xfId="7290" xr:uid="{00000000-0005-0000-0000-00007D1C0000}"/>
    <cellStyle name="20% - Énfasis5 8 10" xfId="7291" xr:uid="{00000000-0005-0000-0000-00007E1C0000}"/>
    <cellStyle name="20% - Énfasis5 8 10 2" xfId="7292" xr:uid="{00000000-0005-0000-0000-00007F1C0000}"/>
    <cellStyle name="20% - Énfasis5 8 11" xfId="7293" xr:uid="{00000000-0005-0000-0000-0000801C0000}"/>
    <cellStyle name="20% - Énfasis5 8 11 2" xfId="7294" xr:uid="{00000000-0005-0000-0000-0000811C0000}"/>
    <cellStyle name="20% - Énfasis5 8 12" xfId="7295" xr:uid="{00000000-0005-0000-0000-0000821C0000}"/>
    <cellStyle name="20% - Énfasis5 8 12 2" xfId="7296" xr:uid="{00000000-0005-0000-0000-0000831C0000}"/>
    <cellStyle name="20% - Énfasis5 8 13" xfId="7297" xr:uid="{00000000-0005-0000-0000-0000841C0000}"/>
    <cellStyle name="20% - Énfasis5 8 13 2" xfId="7298" xr:uid="{00000000-0005-0000-0000-0000851C0000}"/>
    <cellStyle name="20% - Énfasis5 8 14" xfId="7299" xr:uid="{00000000-0005-0000-0000-0000861C0000}"/>
    <cellStyle name="20% - Énfasis5 8 14 2" xfId="7300" xr:uid="{00000000-0005-0000-0000-0000871C0000}"/>
    <cellStyle name="20% - Énfasis5 8 15" xfId="7301" xr:uid="{00000000-0005-0000-0000-0000881C0000}"/>
    <cellStyle name="20% - Énfasis5 8 15 2" xfId="7302" xr:uid="{00000000-0005-0000-0000-0000891C0000}"/>
    <cellStyle name="20% - Énfasis5 8 16" xfId="7303" xr:uid="{00000000-0005-0000-0000-00008A1C0000}"/>
    <cellStyle name="20% - Énfasis5 8 16 2" xfId="7304" xr:uid="{00000000-0005-0000-0000-00008B1C0000}"/>
    <cellStyle name="20% - Énfasis5 8 17" xfId="7305" xr:uid="{00000000-0005-0000-0000-00008C1C0000}"/>
    <cellStyle name="20% - Énfasis5 8 17 2" xfId="7306" xr:uid="{00000000-0005-0000-0000-00008D1C0000}"/>
    <cellStyle name="20% - Énfasis5 8 18" xfId="7307" xr:uid="{00000000-0005-0000-0000-00008E1C0000}"/>
    <cellStyle name="20% - Énfasis5 8 18 2" xfId="7308" xr:uid="{00000000-0005-0000-0000-00008F1C0000}"/>
    <cellStyle name="20% - Énfasis5 8 19" xfId="7309" xr:uid="{00000000-0005-0000-0000-0000901C0000}"/>
    <cellStyle name="20% - Énfasis5 8 19 2" xfId="7310" xr:uid="{00000000-0005-0000-0000-0000911C0000}"/>
    <cellStyle name="20% - Énfasis5 8 2" xfId="7311" xr:uid="{00000000-0005-0000-0000-0000921C0000}"/>
    <cellStyle name="20% - Énfasis5 8 2 2" xfId="7312" xr:uid="{00000000-0005-0000-0000-0000931C0000}"/>
    <cellStyle name="20% - Énfasis5 8 20" xfId="7313" xr:uid="{00000000-0005-0000-0000-0000941C0000}"/>
    <cellStyle name="20% - Énfasis5 8 21" xfId="7314" xr:uid="{00000000-0005-0000-0000-0000951C0000}"/>
    <cellStyle name="20% - Énfasis5 8 3" xfId="7315" xr:uid="{00000000-0005-0000-0000-0000961C0000}"/>
    <cellStyle name="20% - Énfasis5 8 3 2" xfId="7316" xr:uid="{00000000-0005-0000-0000-0000971C0000}"/>
    <cellStyle name="20% - Énfasis5 8 4" xfId="7317" xr:uid="{00000000-0005-0000-0000-0000981C0000}"/>
    <cellStyle name="20% - Énfasis5 8 4 2" xfId="7318" xr:uid="{00000000-0005-0000-0000-0000991C0000}"/>
    <cellStyle name="20% - Énfasis5 8 5" xfId="7319" xr:uid="{00000000-0005-0000-0000-00009A1C0000}"/>
    <cellStyle name="20% - Énfasis5 8 5 2" xfId="7320" xr:uid="{00000000-0005-0000-0000-00009B1C0000}"/>
    <cellStyle name="20% - Énfasis5 8 6" xfId="7321" xr:uid="{00000000-0005-0000-0000-00009C1C0000}"/>
    <cellStyle name="20% - Énfasis5 8 6 2" xfId="7322" xr:uid="{00000000-0005-0000-0000-00009D1C0000}"/>
    <cellStyle name="20% - Énfasis5 8 7" xfId="7323" xr:uid="{00000000-0005-0000-0000-00009E1C0000}"/>
    <cellStyle name="20% - Énfasis5 8 7 2" xfId="7324" xr:uid="{00000000-0005-0000-0000-00009F1C0000}"/>
    <cellStyle name="20% - Énfasis5 8 8" xfId="7325" xr:uid="{00000000-0005-0000-0000-0000A01C0000}"/>
    <cellStyle name="20% - Énfasis5 8 8 2" xfId="7326" xr:uid="{00000000-0005-0000-0000-0000A11C0000}"/>
    <cellStyle name="20% - Énfasis5 8 9" xfId="7327" xr:uid="{00000000-0005-0000-0000-0000A21C0000}"/>
    <cellStyle name="20% - Énfasis5 8 9 2" xfId="7328" xr:uid="{00000000-0005-0000-0000-0000A31C0000}"/>
    <cellStyle name="20% - Énfasis5 80" xfId="7329" xr:uid="{00000000-0005-0000-0000-0000A41C0000}"/>
    <cellStyle name="20% - Énfasis5 80 2" xfId="7330" xr:uid="{00000000-0005-0000-0000-0000A51C0000}"/>
    <cellStyle name="20% - Énfasis5 81" xfId="7331" xr:uid="{00000000-0005-0000-0000-0000A61C0000}"/>
    <cellStyle name="20% - Énfasis5 81 2" xfId="7332" xr:uid="{00000000-0005-0000-0000-0000A71C0000}"/>
    <cellStyle name="20% - Énfasis5 82" xfId="7333" xr:uid="{00000000-0005-0000-0000-0000A81C0000}"/>
    <cellStyle name="20% - Énfasis5 82 2" xfId="7334" xr:uid="{00000000-0005-0000-0000-0000A91C0000}"/>
    <cellStyle name="20% - Énfasis5 83" xfId="7335" xr:uid="{00000000-0005-0000-0000-0000AA1C0000}"/>
    <cellStyle name="20% - Énfasis5 83 2" xfId="7336" xr:uid="{00000000-0005-0000-0000-0000AB1C0000}"/>
    <cellStyle name="20% - Énfasis5 84" xfId="7337" xr:uid="{00000000-0005-0000-0000-0000AC1C0000}"/>
    <cellStyle name="20% - Énfasis5 84 2" xfId="7338" xr:uid="{00000000-0005-0000-0000-0000AD1C0000}"/>
    <cellStyle name="20% - Énfasis5 85" xfId="7339" xr:uid="{00000000-0005-0000-0000-0000AE1C0000}"/>
    <cellStyle name="20% - Énfasis5 85 2" xfId="7340" xr:uid="{00000000-0005-0000-0000-0000AF1C0000}"/>
    <cellStyle name="20% - Énfasis5 86" xfId="7341" xr:uid="{00000000-0005-0000-0000-0000B01C0000}"/>
    <cellStyle name="20% - Énfasis5 86 2" xfId="7342" xr:uid="{00000000-0005-0000-0000-0000B11C0000}"/>
    <cellStyle name="20% - Énfasis5 87" xfId="7343" xr:uid="{00000000-0005-0000-0000-0000B21C0000}"/>
    <cellStyle name="20% - Énfasis5 88" xfId="7344" xr:uid="{00000000-0005-0000-0000-0000B31C0000}"/>
    <cellStyle name="20% - Énfasis5 89" xfId="7345" xr:uid="{00000000-0005-0000-0000-0000B41C0000}"/>
    <cellStyle name="20% - Énfasis5 9" xfId="7346" xr:uid="{00000000-0005-0000-0000-0000B51C0000}"/>
    <cellStyle name="20% - Énfasis5 9 10" xfId="7347" xr:uid="{00000000-0005-0000-0000-0000B61C0000}"/>
    <cellStyle name="20% - Énfasis5 9 10 2" xfId="7348" xr:uid="{00000000-0005-0000-0000-0000B71C0000}"/>
    <cellStyle name="20% - Énfasis5 9 11" xfId="7349" xr:uid="{00000000-0005-0000-0000-0000B81C0000}"/>
    <cellStyle name="20% - Énfasis5 9 11 2" xfId="7350" xr:uid="{00000000-0005-0000-0000-0000B91C0000}"/>
    <cellStyle name="20% - Énfasis5 9 12" xfId="7351" xr:uid="{00000000-0005-0000-0000-0000BA1C0000}"/>
    <cellStyle name="20% - Énfasis5 9 12 2" xfId="7352" xr:uid="{00000000-0005-0000-0000-0000BB1C0000}"/>
    <cellStyle name="20% - Énfasis5 9 13" xfId="7353" xr:uid="{00000000-0005-0000-0000-0000BC1C0000}"/>
    <cellStyle name="20% - Énfasis5 9 13 2" xfId="7354" xr:uid="{00000000-0005-0000-0000-0000BD1C0000}"/>
    <cellStyle name="20% - Énfasis5 9 14" xfId="7355" xr:uid="{00000000-0005-0000-0000-0000BE1C0000}"/>
    <cellStyle name="20% - Énfasis5 9 14 2" xfId="7356" xr:uid="{00000000-0005-0000-0000-0000BF1C0000}"/>
    <cellStyle name="20% - Énfasis5 9 15" xfId="7357" xr:uid="{00000000-0005-0000-0000-0000C01C0000}"/>
    <cellStyle name="20% - Énfasis5 9 15 2" xfId="7358" xr:uid="{00000000-0005-0000-0000-0000C11C0000}"/>
    <cellStyle name="20% - Énfasis5 9 16" xfId="7359" xr:uid="{00000000-0005-0000-0000-0000C21C0000}"/>
    <cellStyle name="20% - Énfasis5 9 16 2" xfId="7360" xr:uid="{00000000-0005-0000-0000-0000C31C0000}"/>
    <cellStyle name="20% - Énfasis5 9 17" xfId="7361" xr:uid="{00000000-0005-0000-0000-0000C41C0000}"/>
    <cellStyle name="20% - Énfasis5 9 17 2" xfId="7362" xr:uid="{00000000-0005-0000-0000-0000C51C0000}"/>
    <cellStyle name="20% - Énfasis5 9 18" xfId="7363" xr:uid="{00000000-0005-0000-0000-0000C61C0000}"/>
    <cellStyle name="20% - Énfasis5 9 18 2" xfId="7364" xr:uid="{00000000-0005-0000-0000-0000C71C0000}"/>
    <cellStyle name="20% - Énfasis5 9 19" xfId="7365" xr:uid="{00000000-0005-0000-0000-0000C81C0000}"/>
    <cellStyle name="20% - Énfasis5 9 19 2" xfId="7366" xr:uid="{00000000-0005-0000-0000-0000C91C0000}"/>
    <cellStyle name="20% - Énfasis5 9 2" xfId="7367" xr:uid="{00000000-0005-0000-0000-0000CA1C0000}"/>
    <cellStyle name="20% - Énfasis5 9 2 2" xfId="7368" xr:uid="{00000000-0005-0000-0000-0000CB1C0000}"/>
    <cellStyle name="20% - Énfasis5 9 20" xfId="7369" xr:uid="{00000000-0005-0000-0000-0000CC1C0000}"/>
    <cellStyle name="20% - Énfasis5 9 21" xfId="7370" xr:uid="{00000000-0005-0000-0000-0000CD1C0000}"/>
    <cellStyle name="20% - Énfasis5 9 3" xfId="7371" xr:uid="{00000000-0005-0000-0000-0000CE1C0000}"/>
    <cellStyle name="20% - Énfasis5 9 3 2" xfId="7372" xr:uid="{00000000-0005-0000-0000-0000CF1C0000}"/>
    <cellStyle name="20% - Énfasis5 9 4" xfId="7373" xr:uid="{00000000-0005-0000-0000-0000D01C0000}"/>
    <cellStyle name="20% - Énfasis5 9 4 2" xfId="7374" xr:uid="{00000000-0005-0000-0000-0000D11C0000}"/>
    <cellStyle name="20% - Énfasis5 9 5" xfId="7375" xr:uid="{00000000-0005-0000-0000-0000D21C0000}"/>
    <cellStyle name="20% - Énfasis5 9 5 2" xfId="7376" xr:uid="{00000000-0005-0000-0000-0000D31C0000}"/>
    <cellStyle name="20% - Énfasis5 9 6" xfId="7377" xr:uid="{00000000-0005-0000-0000-0000D41C0000}"/>
    <cellStyle name="20% - Énfasis5 9 6 2" xfId="7378" xr:uid="{00000000-0005-0000-0000-0000D51C0000}"/>
    <cellStyle name="20% - Énfasis5 9 7" xfId="7379" xr:uid="{00000000-0005-0000-0000-0000D61C0000}"/>
    <cellStyle name="20% - Énfasis5 9 7 2" xfId="7380" xr:uid="{00000000-0005-0000-0000-0000D71C0000}"/>
    <cellStyle name="20% - Énfasis5 9 8" xfId="7381" xr:uid="{00000000-0005-0000-0000-0000D81C0000}"/>
    <cellStyle name="20% - Énfasis5 9 8 2" xfId="7382" xr:uid="{00000000-0005-0000-0000-0000D91C0000}"/>
    <cellStyle name="20% - Énfasis5 9 9" xfId="7383" xr:uid="{00000000-0005-0000-0000-0000DA1C0000}"/>
    <cellStyle name="20% - Énfasis5 9 9 2" xfId="7384" xr:uid="{00000000-0005-0000-0000-0000DB1C0000}"/>
    <cellStyle name="20% - Énfasis5 90" xfId="7385" xr:uid="{00000000-0005-0000-0000-0000DC1C0000}"/>
    <cellStyle name="20% - Énfasis5 91" xfId="7386" xr:uid="{00000000-0005-0000-0000-0000DD1C0000}"/>
    <cellStyle name="20% - Énfasis5 92" xfId="7387" xr:uid="{00000000-0005-0000-0000-0000DE1C0000}"/>
    <cellStyle name="20% - Énfasis5 93" xfId="7388" xr:uid="{00000000-0005-0000-0000-0000DF1C0000}"/>
    <cellStyle name="20% - Énfasis5 94" xfId="7389" xr:uid="{00000000-0005-0000-0000-0000E01C0000}"/>
    <cellStyle name="20% - Énfasis5 95" xfId="7390" xr:uid="{00000000-0005-0000-0000-0000E11C0000}"/>
    <cellStyle name="20% - Énfasis5 96" xfId="7391" xr:uid="{00000000-0005-0000-0000-0000E21C0000}"/>
    <cellStyle name="20% - Énfasis5 97" xfId="7392" xr:uid="{00000000-0005-0000-0000-0000E31C0000}"/>
    <cellStyle name="20% - Énfasis5 98" xfId="15639" xr:uid="{00000000-0005-0000-0000-0000E41C0000}"/>
    <cellStyle name="20% - Énfasis6" xfId="7393" builtinId="50" customBuiltin="1"/>
    <cellStyle name="20% - Énfasis6 10" xfId="7394" xr:uid="{00000000-0005-0000-0000-0000E61C0000}"/>
    <cellStyle name="20% - Énfasis6 10 10" xfId="7395" xr:uid="{00000000-0005-0000-0000-0000E71C0000}"/>
    <cellStyle name="20% - Énfasis6 10 10 2" xfId="7396" xr:uid="{00000000-0005-0000-0000-0000E81C0000}"/>
    <cellStyle name="20% - Énfasis6 10 11" xfId="7397" xr:uid="{00000000-0005-0000-0000-0000E91C0000}"/>
    <cellStyle name="20% - Énfasis6 10 11 2" xfId="7398" xr:uid="{00000000-0005-0000-0000-0000EA1C0000}"/>
    <cellStyle name="20% - Énfasis6 10 12" xfId="7399" xr:uid="{00000000-0005-0000-0000-0000EB1C0000}"/>
    <cellStyle name="20% - Énfasis6 10 12 2" xfId="7400" xr:uid="{00000000-0005-0000-0000-0000EC1C0000}"/>
    <cellStyle name="20% - Énfasis6 10 13" xfId="7401" xr:uid="{00000000-0005-0000-0000-0000ED1C0000}"/>
    <cellStyle name="20% - Énfasis6 10 13 2" xfId="7402" xr:uid="{00000000-0005-0000-0000-0000EE1C0000}"/>
    <cellStyle name="20% - Énfasis6 10 14" xfId="7403" xr:uid="{00000000-0005-0000-0000-0000EF1C0000}"/>
    <cellStyle name="20% - Énfasis6 10 14 2" xfId="7404" xr:uid="{00000000-0005-0000-0000-0000F01C0000}"/>
    <cellStyle name="20% - Énfasis6 10 15" xfId="7405" xr:uid="{00000000-0005-0000-0000-0000F11C0000}"/>
    <cellStyle name="20% - Énfasis6 10 15 2" xfId="7406" xr:uid="{00000000-0005-0000-0000-0000F21C0000}"/>
    <cellStyle name="20% - Énfasis6 10 16" xfId="7407" xr:uid="{00000000-0005-0000-0000-0000F31C0000}"/>
    <cellStyle name="20% - Énfasis6 10 16 2" xfId="7408" xr:uid="{00000000-0005-0000-0000-0000F41C0000}"/>
    <cellStyle name="20% - Énfasis6 10 17" xfId="7409" xr:uid="{00000000-0005-0000-0000-0000F51C0000}"/>
    <cellStyle name="20% - Énfasis6 10 17 2" xfId="7410" xr:uid="{00000000-0005-0000-0000-0000F61C0000}"/>
    <cellStyle name="20% - Énfasis6 10 18" xfId="7411" xr:uid="{00000000-0005-0000-0000-0000F71C0000}"/>
    <cellStyle name="20% - Énfasis6 10 18 2" xfId="7412" xr:uid="{00000000-0005-0000-0000-0000F81C0000}"/>
    <cellStyle name="20% - Énfasis6 10 19" xfId="7413" xr:uid="{00000000-0005-0000-0000-0000F91C0000}"/>
    <cellStyle name="20% - Énfasis6 10 19 2" xfId="7414" xr:uid="{00000000-0005-0000-0000-0000FA1C0000}"/>
    <cellStyle name="20% - Énfasis6 10 2" xfId="7415" xr:uid="{00000000-0005-0000-0000-0000FB1C0000}"/>
    <cellStyle name="20% - Énfasis6 10 2 2" xfId="7416" xr:uid="{00000000-0005-0000-0000-0000FC1C0000}"/>
    <cellStyle name="20% - Énfasis6 10 20" xfId="7417" xr:uid="{00000000-0005-0000-0000-0000FD1C0000}"/>
    <cellStyle name="20% - Énfasis6 10 21" xfId="7418" xr:uid="{00000000-0005-0000-0000-0000FE1C0000}"/>
    <cellStyle name="20% - Énfasis6 10 3" xfId="7419" xr:uid="{00000000-0005-0000-0000-0000FF1C0000}"/>
    <cellStyle name="20% - Énfasis6 10 3 2" xfId="7420" xr:uid="{00000000-0005-0000-0000-0000001D0000}"/>
    <cellStyle name="20% - Énfasis6 10 4" xfId="7421" xr:uid="{00000000-0005-0000-0000-0000011D0000}"/>
    <cellStyle name="20% - Énfasis6 10 4 2" xfId="7422" xr:uid="{00000000-0005-0000-0000-0000021D0000}"/>
    <cellStyle name="20% - Énfasis6 10 5" xfId="7423" xr:uid="{00000000-0005-0000-0000-0000031D0000}"/>
    <cellStyle name="20% - Énfasis6 10 5 2" xfId="7424" xr:uid="{00000000-0005-0000-0000-0000041D0000}"/>
    <cellStyle name="20% - Énfasis6 10 6" xfId="7425" xr:uid="{00000000-0005-0000-0000-0000051D0000}"/>
    <cellStyle name="20% - Énfasis6 10 6 2" xfId="7426" xr:uid="{00000000-0005-0000-0000-0000061D0000}"/>
    <cellStyle name="20% - Énfasis6 10 7" xfId="7427" xr:uid="{00000000-0005-0000-0000-0000071D0000}"/>
    <cellStyle name="20% - Énfasis6 10 7 2" xfId="7428" xr:uid="{00000000-0005-0000-0000-0000081D0000}"/>
    <cellStyle name="20% - Énfasis6 10 8" xfId="7429" xr:uid="{00000000-0005-0000-0000-0000091D0000}"/>
    <cellStyle name="20% - Énfasis6 10 8 2" xfId="7430" xr:uid="{00000000-0005-0000-0000-00000A1D0000}"/>
    <cellStyle name="20% - Énfasis6 10 9" xfId="7431" xr:uid="{00000000-0005-0000-0000-00000B1D0000}"/>
    <cellStyle name="20% - Énfasis6 10 9 2" xfId="7432" xr:uid="{00000000-0005-0000-0000-00000C1D0000}"/>
    <cellStyle name="20% - Énfasis6 11" xfId="7433" xr:uid="{00000000-0005-0000-0000-00000D1D0000}"/>
    <cellStyle name="20% - Énfasis6 11 10" xfId="7434" xr:uid="{00000000-0005-0000-0000-00000E1D0000}"/>
    <cellStyle name="20% - Énfasis6 11 10 2" xfId="7435" xr:uid="{00000000-0005-0000-0000-00000F1D0000}"/>
    <cellStyle name="20% - Énfasis6 11 11" xfId="7436" xr:uid="{00000000-0005-0000-0000-0000101D0000}"/>
    <cellStyle name="20% - Énfasis6 11 11 2" xfId="7437" xr:uid="{00000000-0005-0000-0000-0000111D0000}"/>
    <cellStyle name="20% - Énfasis6 11 12" xfId="7438" xr:uid="{00000000-0005-0000-0000-0000121D0000}"/>
    <cellStyle name="20% - Énfasis6 11 12 2" xfId="7439" xr:uid="{00000000-0005-0000-0000-0000131D0000}"/>
    <cellStyle name="20% - Énfasis6 11 13" xfId="7440" xr:uid="{00000000-0005-0000-0000-0000141D0000}"/>
    <cellStyle name="20% - Énfasis6 11 13 2" xfId="7441" xr:uid="{00000000-0005-0000-0000-0000151D0000}"/>
    <cellStyle name="20% - Énfasis6 11 14" xfId="7442" xr:uid="{00000000-0005-0000-0000-0000161D0000}"/>
    <cellStyle name="20% - Énfasis6 11 14 2" xfId="7443" xr:uid="{00000000-0005-0000-0000-0000171D0000}"/>
    <cellStyle name="20% - Énfasis6 11 15" xfId="7444" xr:uid="{00000000-0005-0000-0000-0000181D0000}"/>
    <cellStyle name="20% - Énfasis6 11 15 2" xfId="7445" xr:uid="{00000000-0005-0000-0000-0000191D0000}"/>
    <cellStyle name="20% - Énfasis6 11 16" xfId="7446" xr:uid="{00000000-0005-0000-0000-00001A1D0000}"/>
    <cellStyle name="20% - Énfasis6 11 16 2" xfId="7447" xr:uid="{00000000-0005-0000-0000-00001B1D0000}"/>
    <cellStyle name="20% - Énfasis6 11 17" xfId="7448" xr:uid="{00000000-0005-0000-0000-00001C1D0000}"/>
    <cellStyle name="20% - Énfasis6 11 17 2" xfId="7449" xr:uid="{00000000-0005-0000-0000-00001D1D0000}"/>
    <cellStyle name="20% - Énfasis6 11 18" xfId="7450" xr:uid="{00000000-0005-0000-0000-00001E1D0000}"/>
    <cellStyle name="20% - Énfasis6 11 18 2" xfId="7451" xr:uid="{00000000-0005-0000-0000-00001F1D0000}"/>
    <cellStyle name="20% - Énfasis6 11 19" xfId="7452" xr:uid="{00000000-0005-0000-0000-0000201D0000}"/>
    <cellStyle name="20% - Énfasis6 11 19 2" xfId="7453" xr:uid="{00000000-0005-0000-0000-0000211D0000}"/>
    <cellStyle name="20% - Énfasis6 11 2" xfId="7454" xr:uid="{00000000-0005-0000-0000-0000221D0000}"/>
    <cellStyle name="20% - Énfasis6 11 2 2" xfId="7455" xr:uid="{00000000-0005-0000-0000-0000231D0000}"/>
    <cellStyle name="20% - Énfasis6 11 20" xfId="7456" xr:uid="{00000000-0005-0000-0000-0000241D0000}"/>
    <cellStyle name="20% - Énfasis6 11 21" xfId="7457" xr:uid="{00000000-0005-0000-0000-0000251D0000}"/>
    <cellStyle name="20% - Énfasis6 11 3" xfId="7458" xr:uid="{00000000-0005-0000-0000-0000261D0000}"/>
    <cellStyle name="20% - Énfasis6 11 3 2" xfId="7459" xr:uid="{00000000-0005-0000-0000-0000271D0000}"/>
    <cellStyle name="20% - Énfasis6 11 4" xfId="7460" xr:uid="{00000000-0005-0000-0000-0000281D0000}"/>
    <cellStyle name="20% - Énfasis6 11 4 2" xfId="7461" xr:uid="{00000000-0005-0000-0000-0000291D0000}"/>
    <cellStyle name="20% - Énfasis6 11 5" xfId="7462" xr:uid="{00000000-0005-0000-0000-00002A1D0000}"/>
    <cellStyle name="20% - Énfasis6 11 5 2" xfId="7463" xr:uid="{00000000-0005-0000-0000-00002B1D0000}"/>
    <cellStyle name="20% - Énfasis6 11 6" xfId="7464" xr:uid="{00000000-0005-0000-0000-00002C1D0000}"/>
    <cellStyle name="20% - Énfasis6 11 6 2" xfId="7465" xr:uid="{00000000-0005-0000-0000-00002D1D0000}"/>
    <cellStyle name="20% - Énfasis6 11 7" xfId="7466" xr:uid="{00000000-0005-0000-0000-00002E1D0000}"/>
    <cellStyle name="20% - Énfasis6 11 7 2" xfId="7467" xr:uid="{00000000-0005-0000-0000-00002F1D0000}"/>
    <cellStyle name="20% - Énfasis6 11 8" xfId="7468" xr:uid="{00000000-0005-0000-0000-0000301D0000}"/>
    <cellStyle name="20% - Énfasis6 11 8 2" xfId="7469" xr:uid="{00000000-0005-0000-0000-0000311D0000}"/>
    <cellStyle name="20% - Énfasis6 11 9" xfId="7470" xr:uid="{00000000-0005-0000-0000-0000321D0000}"/>
    <cellStyle name="20% - Énfasis6 11 9 2" xfId="7471" xr:uid="{00000000-0005-0000-0000-0000331D0000}"/>
    <cellStyle name="20% - Énfasis6 12" xfId="7472" xr:uid="{00000000-0005-0000-0000-0000341D0000}"/>
    <cellStyle name="20% - Énfasis6 12 10" xfId="7473" xr:uid="{00000000-0005-0000-0000-0000351D0000}"/>
    <cellStyle name="20% - Énfasis6 12 10 2" xfId="7474" xr:uid="{00000000-0005-0000-0000-0000361D0000}"/>
    <cellStyle name="20% - Énfasis6 12 11" xfId="7475" xr:uid="{00000000-0005-0000-0000-0000371D0000}"/>
    <cellStyle name="20% - Énfasis6 12 11 2" xfId="7476" xr:uid="{00000000-0005-0000-0000-0000381D0000}"/>
    <cellStyle name="20% - Énfasis6 12 12" xfId="7477" xr:uid="{00000000-0005-0000-0000-0000391D0000}"/>
    <cellStyle name="20% - Énfasis6 12 12 2" xfId="7478" xr:uid="{00000000-0005-0000-0000-00003A1D0000}"/>
    <cellStyle name="20% - Énfasis6 12 13" xfId="7479" xr:uid="{00000000-0005-0000-0000-00003B1D0000}"/>
    <cellStyle name="20% - Énfasis6 12 13 2" xfId="7480" xr:uid="{00000000-0005-0000-0000-00003C1D0000}"/>
    <cellStyle name="20% - Énfasis6 12 14" xfId="7481" xr:uid="{00000000-0005-0000-0000-00003D1D0000}"/>
    <cellStyle name="20% - Énfasis6 12 14 2" xfId="7482" xr:uid="{00000000-0005-0000-0000-00003E1D0000}"/>
    <cellStyle name="20% - Énfasis6 12 15" xfId="7483" xr:uid="{00000000-0005-0000-0000-00003F1D0000}"/>
    <cellStyle name="20% - Énfasis6 12 15 2" xfId="7484" xr:uid="{00000000-0005-0000-0000-0000401D0000}"/>
    <cellStyle name="20% - Énfasis6 12 16" xfId="7485" xr:uid="{00000000-0005-0000-0000-0000411D0000}"/>
    <cellStyle name="20% - Énfasis6 12 16 2" xfId="7486" xr:uid="{00000000-0005-0000-0000-0000421D0000}"/>
    <cellStyle name="20% - Énfasis6 12 17" xfId="7487" xr:uid="{00000000-0005-0000-0000-0000431D0000}"/>
    <cellStyle name="20% - Énfasis6 12 17 2" xfId="7488" xr:uid="{00000000-0005-0000-0000-0000441D0000}"/>
    <cellStyle name="20% - Énfasis6 12 18" xfId="7489" xr:uid="{00000000-0005-0000-0000-0000451D0000}"/>
    <cellStyle name="20% - Énfasis6 12 18 2" xfId="7490" xr:uid="{00000000-0005-0000-0000-0000461D0000}"/>
    <cellStyle name="20% - Énfasis6 12 19" xfId="7491" xr:uid="{00000000-0005-0000-0000-0000471D0000}"/>
    <cellStyle name="20% - Énfasis6 12 19 2" xfId="7492" xr:uid="{00000000-0005-0000-0000-0000481D0000}"/>
    <cellStyle name="20% - Énfasis6 12 2" xfId="7493" xr:uid="{00000000-0005-0000-0000-0000491D0000}"/>
    <cellStyle name="20% - Énfasis6 12 2 2" xfId="7494" xr:uid="{00000000-0005-0000-0000-00004A1D0000}"/>
    <cellStyle name="20% - Énfasis6 12 20" xfId="7495" xr:uid="{00000000-0005-0000-0000-00004B1D0000}"/>
    <cellStyle name="20% - Énfasis6 12 21" xfId="7496" xr:uid="{00000000-0005-0000-0000-00004C1D0000}"/>
    <cellStyle name="20% - Énfasis6 12 3" xfId="7497" xr:uid="{00000000-0005-0000-0000-00004D1D0000}"/>
    <cellStyle name="20% - Énfasis6 12 3 2" xfId="7498" xr:uid="{00000000-0005-0000-0000-00004E1D0000}"/>
    <cellStyle name="20% - Énfasis6 12 4" xfId="7499" xr:uid="{00000000-0005-0000-0000-00004F1D0000}"/>
    <cellStyle name="20% - Énfasis6 12 4 2" xfId="7500" xr:uid="{00000000-0005-0000-0000-0000501D0000}"/>
    <cellStyle name="20% - Énfasis6 12 5" xfId="7501" xr:uid="{00000000-0005-0000-0000-0000511D0000}"/>
    <cellStyle name="20% - Énfasis6 12 5 2" xfId="7502" xr:uid="{00000000-0005-0000-0000-0000521D0000}"/>
    <cellStyle name="20% - Énfasis6 12 6" xfId="7503" xr:uid="{00000000-0005-0000-0000-0000531D0000}"/>
    <cellStyle name="20% - Énfasis6 12 6 2" xfId="7504" xr:uid="{00000000-0005-0000-0000-0000541D0000}"/>
    <cellStyle name="20% - Énfasis6 12 7" xfId="7505" xr:uid="{00000000-0005-0000-0000-0000551D0000}"/>
    <cellStyle name="20% - Énfasis6 12 7 2" xfId="7506" xr:uid="{00000000-0005-0000-0000-0000561D0000}"/>
    <cellStyle name="20% - Énfasis6 12 8" xfId="7507" xr:uid="{00000000-0005-0000-0000-0000571D0000}"/>
    <cellStyle name="20% - Énfasis6 12 8 2" xfId="7508" xr:uid="{00000000-0005-0000-0000-0000581D0000}"/>
    <cellStyle name="20% - Énfasis6 12 9" xfId="7509" xr:uid="{00000000-0005-0000-0000-0000591D0000}"/>
    <cellStyle name="20% - Énfasis6 12 9 2" xfId="7510" xr:uid="{00000000-0005-0000-0000-00005A1D0000}"/>
    <cellStyle name="20% - Énfasis6 13" xfId="7511" xr:uid="{00000000-0005-0000-0000-00005B1D0000}"/>
    <cellStyle name="20% - Énfasis6 13 10" xfId="7512" xr:uid="{00000000-0005-0000-0000-00005C1D0000}"/>
    <cellStyle name="20% - Énfasis6 13 10 2" xfId="7513" xr:uid="{00000000-0005-0000-0000-00005D1D0000}"/>
    <cellStyle name="20% - Énfasis6 13 11" xfId="7514" xr:uid="{00000000-0005-0000-0000-00005E1D0000}"/>
    <cellStyle name="20% - Énfasis6 13 11 2" xfId="7515" xr:uid="{00000000-0005-0000-0000-00005F1D0000}"/>
    <cellStyle name="20% - Énfasis6 13 12" xfId="7516" xr:uid="{00000000-0005-0000-0000-0000601D0000}"/>
    <cellStyle name="20% - Énfasis6 13 12 2" xfId="7517" xr:uid="{00000000-0005-0000-0000-0000611D0000}"/>
    <cellStyle name="20% - Énfasis6 13 13" xfId="7518" xr:uid="{00000000-0005-0000-0000-0000621D0000}"/>
    <cellStyle name="20% - Énfasis6 13 13 2" xfId="7519" xr:uid="{00000000-0005-0000-0000-0000631D0000}"/>
    <cellStyle name="20% - Énfasis6 13 14" xfId="7520" xr:uid="{00000000-0005-0000-0000-0000641D0000}"/>
    <cellStyle name="20% - Énfasis6 13 14 2" xfId="7521" xr:uid="{00000000-0005-0000-0000-0000651D0000}"/>
    <cellStyle name="20% - Énfasis6 13 15" xfId="7522" xr:uid="{00000000-0005-0000-0000-0000661D0000}"/>
    <cellStyle name="20% - Énfasis6 13 15 2" xfId="7523" xr:uid="{00000000-0005-0000-0000-0000671D0000}"/>
    <cellStyle name="20% - Énfasis6 13 16" xfId="7524" xr:uid="{00000000-0005-0000-0000-0000681D0000}"/>
    <cellStyle name="20% - Énfasis6 13 16 2" xfId="7525" xr:uid="{00000000-0005-0000-0000-0000691D0000}"/>
    <cellStyle name="20% - Énfasis6 13 17" xfId="7526" xr:uid="{00000000-0005-0000-0000-00006A1D0000}"/>
    <cellStyle name="20% - Énfasis6 13 17 2" xfId="7527" xr:uid="{00000000-0005-0000-0000-00006B1D0000}"/>
    <cellStyle name="20% - Énfasis6 13 18" xfId="7528" xr:uid="{00000000-0005-0000-0000-00006C1D0000}"/>
    <cellStyle name="20% - Énfasis6 13 18 2" xfId="7529" xr:uid="{00000000-0005-0000-0000-00006D1D0000}"/>
    <cellStyle name="20% - Énfasis6 13 19" xfId="7530" xr:uid="{00000000-0005-0000-0000-00006E1D0000}"/>
    <cellStyle name="20% - Énfasis6 13 19 2" xfId="7531" xr:uid="{00000000-0005-0000-0000-00006F1D0000}"/>
    <cellStyle name="20% - Énfasis6 13 2" xfId="7532" xr:uid="{00000000-0005-0000-0000-0000701D0000}"/>
    <cellStyle name="20% - Énfasis6 13 2 2" xfId="7533" xr:uid="{00000000-0005-0000-0000-0000711D0000}"/>
    <cellStyle name="20% - Énfasis6 13 20" xfId="7534" xr:uid="{00000000-0005-0000-0000-0000721D0000}"/>
    <cellStyle name="20% - Énfasis6 13 21" xfId="7535" xr:uid="{00000000-0005-0000-0000-0000731D0000}"/>
    <cellStyle name="20% - Énfasis6 13 3" xfId="7536" xr:uid="{00000000-0005-0000-0000-0000741D0000}"/>
    <cellStyle name="20% - Énfasis6 13 3 2" xfId="7537" xr:uid="{00000000-0005-0000-0000-0000751D0000}"/>
    <cellStyle name="20% - Énfasis6 13 4" xfId="7538" xr:uid="{00000000-0005-0000-0000-0000761D0000}"/>
    <cellStyle name="20% - Énfasis6 13 4 2" xfId="7539" xr:uid="{00000000-0005-0000-0000-0000771D0000}"/>
    <cellStyle name="20% - Énfasis6 13 5" xfId="7540" xr:uid="{00000000-0005-0000-0000-0000781D0000}"/>
    <cellStyle name="20% - Énfasis6 13 5 2" xfId="7541" xr:uid="{00000000-0005-0000-0000-0000791D0000}"/>
    <cellStyle name="20% - Énfasis6 13 6" xfId="7542" xr:uid="{00000000-0005-0000-0000-00007A1D0000}"/>
    <cellStyle name="20% - Énfasis6 13 6 2" xfId="7543" xr:uid="{00000000-0005-0000-0000-00007B1D0000}"/>
    <cellStyle name="20% - Énfasis6 13 7" xfId="7544" xr:uid="{00000000-0005-0000-0000-00007C1D0000}"/>
    <cellStyle name="20% - Énfasis6 13 7 2" xfId="7545" xr:uid="{00000000-0005-0000-0000-00007D1D0000}"/>
    <cellStyle name="20% - Énfasis6 13 8" xfId="7546" xr:uid="{00000000-0005-0000-0000-00007E1D0000}"/>
    <cellStyle name="20% - Énfasis6 13 8 2" xfId="7547" xr:uid="{00000000-0005-0000-0000-00007F1D0000}"/>
    <cellStyle name="20% - Énfasis6 13 9" xfId="7548" xr:uid="{00000000-0005-0000-0000-0000801D0000}"/>
    <cellStyle name="20% - Énfasis6 13 9 2" xfId="7549" xr:uid="{00000000-0005-0000-0000-0000811D0000}"/>
    <cellStyle name="20% - Énfasis6 14" xfId="7550" xr:uid="{00000000-0005-0000-0000-0000821D0000}"/>
    <cellStyle name="20% - Énfasis6 14 10" xfId="7551" xr:uid="{00000000-0005-0000-0000-0000831D0000}"/>
    <cellStyle name="20% - Énfasis6 14 10 2" xfId="7552" xr:uid="{00000000-0005-0000-0000-0000841D0000}"/>
    <cellStyle name="20% - Énfasis6 14 11" xfId="7553" xr:uid="{00000000-0005-0000-0000-0000851D0000}"/>
    <cellStyle name="20% - Énfasis6 14 11 2" xfId="7554" xr:uid="{00000000-0005-0000-0000-0000861D0000}"/>
    <cellStyle name="20% - Énfasis6 14 12" xfId="7555" xr:uid="{00000000-0005-0000-0000-0000871D0000}"/>
    <cellStyle name="20% - Énfasis6 14 12 2" xfId="7556" xr:uid="{00000000-0005-0000-0000-0000881D0000}"/>
    <cellStyle name="20% - Énfasis6 14 13" xfId="7557" xr:uid="{00000000-0005-0000-0000-0000891D0000}"/>
    <cellStyle name="20% - Énfasis6 14 13 2" xfId="7558" xr:uid="{00000000-0005-0000-0000-00008A1D0000}"/>
    <cellStyle name="20% - Énfasis6 14 14" xfId="7559" xr:uid="{00000000-0005-0000-0000-00008B1D0000}"/>
    <cellStyle name="20% - Énfasis6 14 14 2" xfId="7560" xr:uid="{00000000-0005-0000-0000-00008C1D0000}"/>
    <cellStyle name="20% - Énfasis6 14 15" xfId="7561" xr:uid="{00000000-0005-0000-0000-00008D1D0000}"/>
    <cellStyle name="20% - Énfasis6 14 15 2" xfId="7562" xr:uid="{00000000-0005-0000-0000-00008E1D0000}"/>
    <cellStyle name="20% - Énfasis6 14 16" xfId="7563" xr:uid="{00000000-0005-0000-0000-00008F1D0000}"/>
    <cellStyle name="20% - Énfasis6 14 16 2" xfId="7564" xr:uid="{00000000-0005-0000-0000-0000901D0000}"/>
    <cellStyle name="20% - Énfasis6 14 17" xfId="7565" xr:uid="{00000000-0005-0000-0000-0000911D0000}"/>
    <cellStyle name="20% - Énfasis6 14 17 2" xfId="7566" xr:uid="{00000000-0005-0000-0000-0000921D0000}"/>
    <cellStyle name="20% - Énfasis6 14 18" xfId="7567" xr:uid="{00000000-0005-0000-0000-0000931D0000}"/>
    <cellStyle name="20% - Énfasis6 14 18 2" xfId="7568" xr:uid="{00000000-0005-0000-0000-0000941D0000}"/>
    <cellStyle name="20% - Énfasis6 14 19" xfId="7569" xr:uid="{00000000-0005-0000-0000-0000951D0000}"/>
    <cellStyle name="20% - Énfasis6 14 19 2" xfId="7570" xr:uid="{00000000-0005-0000-0000-0000961D0000}"/>
    <cellStyle name="20% - Énfasis6 14 2" xfId="7571" xr:uid="{00000000-0005-0000-0000-0000971D0000}"/>
    <cellStyle name="20% - Énfasis6 14 2 2" xfId="7572" xr:uid="{00000000-0005-0000-0000-0000981D0000}"/>
    <cellStyle name="20% - Énfasis6 14 20" xfId="7573" xr:uid="{00000000-0005-0000-0000-0000991D0000}"/>
    <cellStyle name="20% - Énfasis6 14 3" xfId="7574" xr:uid="{00000000-0005-0000-0000-00009A1D0000}"/>
    <cellStyle name="20% - Énfasis6 14 3 2" xfId="7575" xr:uid="{00000000-0005-0000-0000-00009B1D0000}"/>
    <cellStyle name="20% - Énfasis6 14 4" xfId="7576" xr:uid="{00000000-0005-0000-0000-00009C1D0000}"/>
    <cellStyle name="20% - Énfasis6 14 4 2" xfId="7577" xr:uid="{00000000-0005-0000-0000-00009D1D0000}"/>
    <cellStyle name="20% - Énfasis6 14 5" xfId="7578" xr:uid="{00000000-0005-0000-0000-00009E1D0000}"/>
    <cellStyle name="20% - Énfasis6 14 5 2" xfId="7579" xr:uid="{00000000-0005-0000-0000-00009F1D0000}"/>
    <cellStyle name="20% - Énfasis6 14 6" xfId="7580" xr:uid="{00000000-0005-0000-0000-0000A01D0000}"/>
    <cellStyle name="20% - Énfasis6 14 6 2" xfId="7581" xr:uid="{00000000-0005-0000-0000-0000A11D0000}"/>
    <cellStyle name="20% - Énfasis6 14 7" xfId="7582" xr:uid="{00000000-0005-0000-0000-0000A21D0000}"/>
    <cellStyle name="20% - Énfasis6 14 7 2" xfId="7583" xr:uid="{00000000-0005-0000-0000-0000A31D0000}"/>
    <cellStyle name="20% - Énfasis6 14 8" xfId="7584" xr:uid="{00000000-0005-0000-0000-0000A41D0000}"/>
    <cellStyle name="20% - Énfasis6 14 8 2" xfId="7585" xr:uid="{00000000-0005-0000-0000-0000A51D0000}"/>
    <cellStyle name="20% - Énfasis6 14 9" xfId="7586" xr:uid="{00000000-0005-0000-0000-0000A61D0000}"/>
    <cellStyle name="20% - Énfasis6 14 9 2" xfId="7587" xr:uid="{00000000-0005-0000-0000-0000A71D0000}"/>
    <cellStyle name="20% - Énfasis6 15" xfId="7588" xr:uid="{00000000-0005-0000-0000-0000A81D0000}"/>
    <cellStyle name="20% - Énfasis6 15 10" xfId="7589" xr:uid="{00000000-0005-0000-0000-0000A91D0000}"/>
    <cellStyle name="20% - Énfasis6 15 10 2" xfId="7590" xr:uid="{00000000-0005-0000-0000-0000AA1D0000}"/>
    <cellStyle name="20% - Énfasis6 15 11" xfId="7591" xr:uid="{00000000-0005-0000-0000-0000AB1D0000}"/>
    <cellStyle name="20% - Énfasis6 15 11 2" xfId="7592" xr:uid="{00000000-0005-0000-0000-0000AC1D0000}"/>
    <cellStyle name="20% - Énfasis6 15 12" xfId="7593" xr:uid="{00000000-0005-0000-0000-0000AD1D0000}"/>
    <cellStyle name="20% - Énfasis6 15 12 2" xfId="7594" xr:uid="{00000000-0005-0000-0000-0000AE1D0000}"/>
    <cellStyle name="20% - Énfasis6 15 13" xfId="7595" xr:uid="{00000000-0005-0000-0000-0000AF1D0000}"/>
    <cellStyle name="20% - Énfasis6 15 13 2" xfId="7596" xr:uid="{00000000-0005-0000-0000-0000B01D0000}"/>
    <cellStyle name="20% - Énfasis6 15 14" xfId="7597" xr:uid="{00000000-0005-0000-0000-0000B11D0000}"/>
    <cellStyle name="20% - Énfasis6 15 14 2" xfId="7598" xr:uid="{00000000-0005-0000-0000-0000B21D0000}"/>
    <cellStyle name="20% - Énfasis6 15 15" xfId="7599" xr:uid="{00000000-0005-0000-0000-0000B31D0000}"/>
    <cellStyle name="20% - Énfasis6 15 15 2" xfId="7600" xr:uid="{00000000-0005-0000-0000-0000B41D0000}"/>
    <cellStyle name="20% - Énfasis6 15 16" xfId="7601" xr:uid="{00000000-0005-0000-0000-0000B51D0000}"/>
    <cellStyle name="20% - Énfasis6 15 16 2" xfId="7602" xr:uid="{00000000-0005-0000-0000-0000B61D0000}"/>
    <cellStyle name="20% - Énfasis6 15 17" xfId="7603" xr:uid="{00000000-0005-0000-0000-0000B71D0000}"/>
    <cellStyle name="20% - Énfasis6 15 17 2" xfId="7604" xr:uid="{00000000-0005-0000-0000-0000B81D0000}"/>
    <cellStyle name="20% - Énfasis6 15 18" xfId="7605" xr:uid="{00000000-0005-0000-0000-0000B91D0000}"/>
    <cellStyle name="20% - Énfasis6 15 18 2" xfId="7606" xr:uid="{00000000-0005-0000-0000-0000BA1D0000}"/>
    <cellStyle name="20% - Énfasis6 15 19" xfId="7607" xr:uid="{00000000-0005-0000-0000-0000BB1D0000}"/>
    <cellStyle name="20% - Énfasis6 15 19 2" xfId="7608" xr:uid="{00000000-0005-0000-0000-0000BC1D0000}"/>
    <cellStyle name="20% - Énfasis6 15 2" xfId="7609" xr:uid="{00000000-0005-0000-0000-0000BD1D0000}"/>
    <cellStyle name="20% - Énfasis6 15 2 2" xfId="7610" xr:uid="{00000000-0005-0000-0000-0000BE1D0000}"/>
    <cellStyle name="20% - Énfasis6 15 20" xfId="7611" xr:uid="{00000000-0005-0000-0000-0000BF1D0000}"/>
    <cellStyle name="20% - Énfasis6 15 3" xfId="7612" xr:uid="{00000000-0005-0000-0000-0000C01D0000}"/>
    <cellStyle name="20% - Énfasis6 15 3 2" xfId="7613" xr:uid="{00000000-0005-0000-0000-0000C11D0000}"/>
    <cellStyle name="20% - Énfasis6 15 4" xfId="7614" xr:uid="{00000000-0005-0000-0000-0000C21D0000}"/>
    <cellStyle name="20% - Énfasis6 15 4 2" xfId="7615" xr:uid="{00000000-0005-0000-0000-0000C31D0000}"/>
    <cellStyle name="20% - Énfasis6 15 5" xfId="7616" xr:uid="{00000000-0005-0000-0000-0000C41D0000}"/>
    <cellStyle name="20% - Énfasis6 15 5 2" xfId="7617" xr:uid="{00000000-0005-0000-0000-0000C51D0000}"/>
    <cellStyle name="20% - Énfasis6 15 6" xfId="7618" xr:uid="{00000000-0005-0000-0000-0000C61D0000}"/>
    <cellStyle name="20% - Énfasis6 15 6 2" xfId="7619" xr:uid="{00000000-0005-0000-0000-0000C71D0000}"/>
    <cellStyle name="20% - Énfasis6 15 7" xfId="7620" xr:uid="{00000000-0005-0000-0000-0000C81D0000}"/>
    <cellStyle name="20% - Énfasis6 15 7 2" xfId="7621" xr:uid="{00000000-0005-0000-0000-0000C91D0000}"/>
    <cellStyle name="20% - Énfasis6 15 8" xfId="7622" xr:uid="{00000000-0005-0000-0000-0000CA1D0000}"/>
    <cellStyle name="20% - Énfasis6 15 8 2" xfId="7623" xr:uid="{00000000-0005-0000-0000-0000CB1D0000}"/>
    <cellStyle name="20% - Énfasis6 15 9" xfId="7624" xr:uid="{00000000-0005-0000-0000-0000CC1D0000}"/>
    <cellStyle name="20% - Énfasis6 15 9 2" xfId="7625" xr:uid="{00000000-0005-0000-0000-0000CD1D0000}"/>
    <cellStyle name="20% - Énfasis6 16" xfId="7626" xr:uid="{00000000-0005-0000-0000-0000CE1D0000}"/>
    <cellStyle name="20% - Énfasis6 16 10" xfId="7627" xr:uid="{00000000-0005-0000-0000-0000CF1D0000}"/>
    <cellStyle name="20% - Énfasis6 16 10 2" xfId="7628" xr:uid="{00000000-0005-0000-0000-0000D01D0000}"/>
    <cellStyle name="20% - Énfasis6 16 11" xfId="7629" xr:uid="{00000000-0005-0000-0000-0000D11D0000}"/>
    <cellStyle name="20% - Énfasis6 16 11 2" xfId="7630" xr:uid="{00000000-0005-0000-0000-0000D21D0000}"/>
    <cellStyle name="20% - Énfasis6 16 12" xfId="7631" xr:uid="{00000000-0005-0000-0000-0000D31D0000}"/>
    <cellStyle name="20% - Énfasis6 16 12 2" xfId="7632" xr:uid="{00000000-0005-0000-0000-0000D41D0000}"/>
    <cellStyle name="20% - Énfasis6 16 13" xfId="7633" xr:uid="{00000000-0005-0000-0000-0000D51D0000}"/>
    <cellStyle name="20% - Énfasis6 16 13 2" xfId="7634" xr:uid="{00000000-0005-0000-0000-0000D61D0000}"/>
    <cellStyle name="20% - Énfasis6 16 14" xfId="7635" xr:uid="{00000000-0005-0000-0000-0000D71D0000}"/>
    <cellStyle name="20% - Énfasis6 16 14 2" xfId="7636" xr:uid="{00000000-0005-0000-0000-0000D81D0000}"/>
    <cellStyle name="20% - Énfasis6 16 15" xfId="7637" xr:uid="{00000000-0005-0000-0000-0000D91D0000}"/>
    <cellStyle name="20% - Énfasis6 16 15 2" xfId="7638" xr:uid="{00000000-0005-0000-0000-0000DA1D0000}"/>
    <cellStyle name="20% - Énfasis6 16 16" xfId="7639" xr:uid="{00000000-0005-0000-0000-0000DB1D0000}"/>
    <cellStyle name="20% - Énfasis6 16 16 2" xfId="7640" xr:uid="{00000000-0005-0000-0000-0000DC1D0000}"/>
    <cellStyle name="20% - Énfasis6 16 17" xfId="7641" xr:uid="{00000000-0005-0000-0000-0000DD1D0000}"/>
    <cellStyle name="20% - Énfasis6 16 17 2" xfId="7642" xr:uid="{00000000-0005-0000-0000-0000DE1D0000}"/>
    <cellStyle name="20% - Énfasis6 16 18" xfId="7643" xr:uid="{00000000-0005-0000-0000-0000DF1D0000}"/>
    <cellStyle name="20% - Énfasis6 16 18 2" xfId="7644" xr:uid="{00000000-0005-0000-0000-0000E01D0000}"/>
    <cellStyle name="20% - Énfasis6 16 19" xfId="7645" xr:uid="{00000000-0005-0000-0000-0000E11D0000}"/>
    <cellStyle name="20% - Énfasis6 16 19 2" xfId="7646" xr:uid="{00000000-0005-0000-0000-0000E21D0000}"/>
    <cellStyle name="20% - Énfasis6 16 2" xfId="7647" xr:uid="{00000000-0005-0000-0000-0000E31D0000}"/>
    <cellStyle name="20% - Énfasis6 16 2 2" xfId="7648" xr:uid="{00000000-0005-0000-0000-0000E41D0000}"/>
    <cellStyle name="20% - Énfasis6 16 20" xfId="7649" xr:uid="{00000000-0005-0000-0000-0000E51D0000}"/>
    <cellStyle name="20% - Énfasis6 16 3" xfId="7650" xr:uid="{00000000-0005-0000-0000-0000E61D0000}"/>
    <cellStyle name="20% - Énfasis6 16 3 2" xfId="7651" xr:uid="{00000000-0005-0000-0000-0000E71D0000}"/>
    <cellStyle name="20% - Énfasis6 16 4" xfId="7652" xr:uid="{00000000-0005-0000-0000-0000E81D0000}"/>
    <cellStyle name="20% - Énfasis6 16 4 2" xfId="7653" xr:uid="{00000000-0005-0000-0000-0000E91D0000}"/>
    <cellStyle name="20% - Énfasis6 16 5" xfId="7654" xr:uid="{00000000-0005-0000-0000-0000EA1D0000}"/>
    <cellStyle name="20% - Énfasis6 16 5 2" xfId="7655" xr:uid="{00000000-0005-0000-0000-0000EB1D0000}"/>
    <cellStyle name="20% - Énfasis6 16 6" xfId="7656" xr:uid="{00000000-0005-0000-0000-0000EC1D0000}"/>
    <cellStyle name="20% - Énfasis6 16 6 2" xfId="7657" xr:uid="{00000000-0005-0000-0000-0000ED1D0000}"/>
    <cellStyle name="20% - Énfasis6 16 7" xfId="7658" xr:uid="{00000000-0005-0000-0000-0000EE1D0000}"/>
    <cellStyle name="20% - Énfasis6 16 7 2" xfId="7659" xr:uid="{00000000-0005-0000-0000-0000EF1D0000}"/>
    <cellStyle name="20% - Énfasis6 16 8" xfId="7660" xr:uid="{00000000-0005-0000-0000-0000F01D0000}"/>
    <cellStyle name="20% - Énfasis6 16 8 2" xfId="7661" xr:uid="{00000000-0005-0000-0000-0000F11D0000}"/>
    <cellStyle name="20% - Énfasis6 16 9" xfId="7662" xr:uid="{00000000-0005-0000-0000-0000F21D0000}"/>
    <cellStyle name="20% - Énfasis6 16 9 2" xfId="7663" xr:uid="{00000000-0005-0000-0000-0000F31D0000}"/>
    <cellStyle name="20% - Énfasis6 17" xfId="7664" xr:uid="{00000000-0005-0000-0000-0000F41D0000}"/>
    <cellStyle name="20% - Énfasis6 17 10" xfId="7665" xr:uid="{00000000-0005-0000-0000-0000F51D0000}"/>
    <cellStyle name="20% - Énfasis6 17 10 2" xfId="7666" xr:uid="{00000000-0005-0000-0000-0000F61D0000}"/>
    <cellStyle name="20% - Énfasis6 17 11" xfId="7667" xr:uid="{00000000-0005-0000-0000-0000F71D0000}"/>
    <cellStyle name="20% - Énfasis6 17 11 2" xfId="7668" xr:uid="{00000000-0005-0000-0000-0000F81D0000}"/>
    <cellStyle name="20% - Énfasis6 17 12" xfId="7669" xr:uid="{00000000-0005-0000-0000-0000F91D0000}"/>
    <cellStyle name="20% - Énfasis6 17 12 2" xfId="7670" xr:uid="{00000000-0005-0000-0000-0000FA1D0000}"/>
    <cellStyle name="20% - Énfasis6 17 13" xfId="7671" xr:uid="{00000000-0005-0000-0000-0000FB1D0000}"/>
    <cellStyle name="20% - Énfasis6 17 13 2" xfId="7672" xr:uid="{00000000-0005-0000-0000-0000FC1D0000}"/>
    <cellStyle name="20% - Énfasis6 17 14" xfId="7673" xr:uid="{00000000-0005-0000-0000-0000FD1D0000}"/>
    <cellStyle name="20% - Énfasis6 17 14 2" xfId="7674" xr:uid="{00000000-0005-0000-0000-0000FE1D0000}"/>
    <cellStyle name="20% - Énfasis6 17 15" xfId="7675" xr:uid="{00000000-0005-0000-0000-0000FF1D0000}"/>
    <cellStyle name="20% - Énfasis6 17 15 2" xfId="7676" xr:uid="{00000000-0005-0000-0000-0000001E0000}"/>
    <cellStyle name="20% - Énfasis6 17 16" xfId="7677" xr:uid="{00000000-0005-0000-0000-0000011E0000}"/>
    <cellStyle name="20% - Énfasis6 17 16 2" xfId="7678" xr:uid="{00000000-0005-0000-0000-0000021E0000}"/>
    <cellStyle name="20% - Énfasis6 17 17" xfId="7679" xr:uid="{00000000-0005-0000-0000-0000031E0000}"/>
    <cellStyle name="20% - Énfasis6 17 17 2" xfId="7680" xr:uid="{00000000-0005-0000-0000-0000041E0000}"/>
    <cellStyle name="20% - Énfasis6 17 18" xfId="7681" xr:uid="{00000000-0005-0000-0000-0000051E0000}"/>
    <cellStyle name="20% - Énfasis6 17 18 2" xfId="7682" xr:uid="{00000000-0005-0000-0000-0000061E0000}"/>
    <cellStyle name="20% - Énfasis6 17 19" xfId="7683" xr:uid="{00000000-0005-0000-0000-0000071E0000}"/>
    <cellStyle name="20% - Énfasis6 17 19 2" xfId="7684" xr:uid="{00000000-0005-0000-0000-0000081E0000}"/>
    <cellStyle name="20% - Énfasis6 17 2" xfId="7685" xr:uid="{00000000-0005-0000-0000-0000091E0000}"/>
    <cellStyle name="20% - Énfasis6 17 2 2" xfId="7686" xr:uid="{00000000-0005-0000-0000-00000A1E0000}"/>
    <cellStyle name="20% - Énfasis6 17 20" xfId="7687" xr:uid="{00000000-0005-0000-0000-00000B1E0000}"/>
    <cellStyle name="20% - Énfasis6 17 3" xfId="7688" xr:uid="{00000000-0005-0000-0000-00000C1E0000}"/>
    <cellStyle name="20% - Énfasis6 17 3 2" xfId="7689" xr:uid="{00000000-0005-0000-0000-00000D1E0000}"/>
    <cellStyle name="20% - Énfasis6 17 4" xfId="7690" xr:uid="{00000000-0005-0000-0000-00000E1E0000}"/>
    <cellStyle name="20% - Énfasis6 17 4 2" xfId="7691" xr:uid="{00000000-0005-0000-0000-00000F1E0000}"/>
    <cellStyle name="20% - Énfasis6 17 5" xfId="7692" xr:uid="{00000000-0005-0000-0000-0000101E0000}"/>
    <cellStyle name="20% - Énfasis6 17 5 2" xfId="7693" xr:uid="{00000000-0005-0000-0000-0000111E0000}"/>
    <cellStyle name="20% - Énfasis6 17 6" xfId="7694" xr:uid="{00000000-0005-0000-0000-0000121E0000}"/>
    <cellStyle name="20% - Énfasis6 17 6 2" xfId="7695" xr:uid="{00000000-0005-0000-0000-0000131E0000}"/>
    <cellStyle name="20% - Énfasis6 17 7" xfId="7696" xr:uid="{00000000-0005-0000-0000-0000141E0000}"/>
    <cellStyle name="20% - Énfasis6 17 7 2" xfId="7697" xr:uid="{00000000-0005-0000-0000-0000151E0000}"/>
    <cellStyle name="20% - Énfasis6 17 8" xfId="7698" xr:uid="{00000000-0005-0000-0000-0000161E0000}"/>
    <cellStyle name="20% - Énfasis6 17 8 2" xfId="7699" xr:uid="{00000000-0005-0000-0000-0000171E0000}"/>
    <cellStyle name="20% - Énfasis6 17 9" xfId="7700" xr:uid="{00000000-0005-0000-0000-0000181E0000}"/>
    <cellStyle name="20% - Énfasis6 17 9 2" xfId="7701" xr:uid="{00000000-0005-0000-0000-0000191E0000}"/>
    <cellStyle name="20% - Énfasis6 18" xfId="7702" xr:uid="{00000000-0005-0000-0000-00001A1E0000}"/>
    <cellStyle name="20% - Énfasis6 18 10" xfId="7703" xr:uid="{00000000-0005-0000-0000-00001B1E0000}"/>
    <cellStyle name="20% - Énfasis6 18 10 2" xfId="7704" xr:uid="{00000000-0005-0000-0000-00001C1E0000}"/>
    <cellStyle name="20% - Énfasis6 18 11" xfId="7705" xr:uid="{00000000-0005-0000-0000-00001D1E0000}"/>
    <cellStyle name="20% - Énfasis6 18 11 2" xfId="7706" xr:uid="{00000000-0005-0000-0000-00001E1E0000}"/>
    <cellStyle name="20% - Énfasis6 18 12" xfId="7707" xr:uid="{00000000-0005-0000-0000-00001F1E0000}"/>
    <cellStyle name="20% - Énfasis6 18 12 2" xfId="7708" xr:uid="{00000000-0005-0000-0000-0000201E0000}"/>
    <cellStyle name="20% - Énfasis6 18 13" xfId="7709" xr:uid="{00000000-0005-0000-0000-0000211E0000}"/>
    <cellStyle name="20% - Énfasis6 18 13 2" xfId="7710" xr:uid="{00000000-0005-0000-0000-0000221E0000}"/>
    <cellStyle name="20% - Énfasis6 18 14" xfId="7711" xr:uid="{00000000-0005-0000-0000-0000231E0000}"/>
    <cellStyle name="20% - Énfasis6 18 14 2" xfId="7712" xr:uid="{00000000-0005-0000-0000-0000241E0000}"/>
    <cellStyle name="20% - Énfasis6 18 15" xfId="7713" xr:uid="{00000000-0005-0000-0000-0000251E0000}"/>
    <cellStyle name="20% - Énfasis6 18 15 2" xfId="7714" xr:uid="{00000000-0005-0000-0000-0000261E0000}"/>
    <cellStyle name="20% - Énfasis6 18 16" xfId="7715" xr:uid="{00000000-0005-0000-0000-0000271E0000}"/>
    <cellStyle name="20% - Énfasis6 18 16 2" xfId="7716" xr:uid="{00000000-0005-0000-0000-0000281E0000}"/>
    <cellStyle name="20% - Énfasis6 18 17" xfId="7717" xr:uid="{00000000-0005-0000-0000-0000291E0000}"/>
    <cellStyle name="20% - Énfasis6 18 17 2" xfId="7718" xr:uid="{00000000-0005-0000-0000-00002A1E0000}"/>
    <cellStyle name="20% - Énfasis6 18 18" xfId="7719" xr:uid="{00000000-0005-0000-0000-00002B1E0000}"/>
    <cellStyle name="20% - Énfasis6 18 18 2" xfId="7720" xr:uid="{00000000-0005-0000-0000-00002C1E0000}"/>
    <cellStyle name="20% - Énfasis6 18 19" xfId="7721" xr:uid="{00000000-0005-0000-0000-00002D1E0000}"/>
    <cellStyle name="20% - Énfasis6 18 19 2" xfId="7722" xr:uid="{00000000-0005-0000-0000-00002E1E0000}"/>
    <cellStyle name="20% - Énfasis6 18 2" xfId="7723" xr:uid="{00000000-0005-0000-0000-00002F1E0000}"/>
    <cellStyle name="20% - Énfasis6 18 2 2" xfId="7724" xr:uid="{00000000-0005-0000-0000-0000301E0000}"/>
    <cellStyle name="20% - Énfasis6 18 20" xfId="7725" xr:uid="{00000000-0005-0000-0000-0000311E0000}"/>
    <cellStyle name="20% - Énfasis6 18 3" xfId="7726" xr:uid="{00000000-0005-0000-0000-0000321E0000}"/>
    <cellStyle name="20% - Énfasis6 18 3 2" xfId="7727" xr:uid="{00000000-0005-0000-0000-0000331E0000}"/>
    <cellStyle name="20% - Énfasis6 18 4" xfId="7728" xr:uid="{00000000-0005-0000-0000-0000341E0000}"/>
    <cellStyle name="20% - Énfasis6 18 4 2" xfId="7729" xr:uid="{00000000-0005-0000-0000-0000351E0000}"/>
    <cellStyle name="20% - Énfasis6 18 5" xfId="7730" xr:uid="{00000000-0005-0000-0000-0000361E0000}"/>
    <cellStyle name="20% - Énfasis6 18 5 2" xfId="7731" xr:uid="{00000000-0005-0000-0000-0000371E0000}"/>
    <cellStyle name="20% - Énfasis6 18 6" xfId="7732" xr:uid="{00000000-0005-0000-0000-0000381E0000}"/>
    <cellStyle name="20% - Énfasis6 18 6 2" xfId="7733" xr:uid="{00000000-0005-0000-0000-0000391E0000}"/>
    <cellStyle name="20% - Énfasis6 18 7" xfId="7734" xr:uid="{00000000-0005-0000-0000-00003A1E0000}"/>
    <cellStyle name="20% - Énfasis6 18 7 2" xfId="7735" xr:uid="{00000000-0005-0000-0000-00003B1E0000}"/>
    <cellStyle name="20% - Énfasis6 18 8" xfId="7736" xr:uid="{00000000-0005-0000-0000-00003C1E0000}"/>
    <cellStyle name="20% - Énfasis6 18 8 2" xfId="7737" xr:uid="{00000000-0005-0000-0000-00003D1E0000}"/>
    <cellStyle name="20% - Énfasis6 18 9" xfId="7738" xr:uid="{00000000-0005-0000-0000-00003E1E0000}"/>
    <cellStyle name="20% - Énfasis6 18 9 2" xfId="7739" xr:uid="{00000000-0005-0000-0000-00003F1E0000}"/>
    <cellStyle name="20% - Énfasis6 19" xfId="7740" xr:uid="{00000000-0005-0000-0000-0000401E0000}"/>
    <cellStyle name="20% - Énfasis6 19 10" xfId="7741" xr:uid="{00000000-0005-0000-0000-0000411E0000}"/>
    <cellStyle name="20% - Énfasis6 19 10 2" xfId="7742" xr:uid="{00000000-0005-0000-0000-0000421E0000}"/>
    <cellStyle name="20% - Énfasis6 19 11" xfId="7743" xr:uid="{00000000-0005-0000-0000-0000431E0000}"/>
    <cellStyle name="20% - Énfasis6 19 11 2" xfId="7744" xr:uid="{00000000-0005-0000-0000-0000441E0000}"/>
    <cellStyle name="20% - Énfasis6 19 12" xfId="7745" xr:uid="{00000000-0005-0000-0000-0000451E0000}"/>
    <cellStyle name="20% - Énfasis6 19 12 2" xfId="7746" xr:uid="{00000000-0005-0000-0000-0000461E0000}"/>
    <cellStyle name="20% - Énfasis6 19 13" xfId="7747" xr:uid="{00000000-0005-0000-0000-0000471E0000}"/>
    <cellStyle name="20% - Énfasis6 19 13 2" xfId="7748" xr:uid="{00000000-0005-0000-0000-0000481E0000}"/>
    <cellStyle name="20% - Énfasis6 19 14" xfId="7749" xr:uid="{00000000-0005-0000-0000-0000491E0000}"/>
    <cellStyle name="20% - Énfasis6 19 14 2" xfId="7750" xr:uid="{00000000-0005-0000-0000-00004A1E0000}"/>
    <cellStyle name="20% - Énfasis6 19 15" xfId="7751" xr:uid="{00000000-0005-0000-0000-00004B1E0000}"/>
    <cellStyle name="20% - Énfasis6 19 15 2" xfId="7752" xr:uid="{00000000-0005-0000-0000-00004C1E0000}"/>
    <cellStyle name="20% - Énfasis6 19 16" xfId="7753" xr:uid="{00000000-0005-0000-0000-00004D1E0000}"/>
    <cellStyle name="20% - Énfasis6 19 16 2" xfId="7754" xr:uid="{00000000-0005-0000-0000-00004E1E0000}"/>
    <cellStyle name="20% - Énfasis6 19 17" xfId="7755" xr:uid="{00000000-0005-0000-0000-00004F1E0000}"/>
    <cellStyle name="20% - Énfasis6 19 17 2" xfId="7756" xr:uid="{00000000-0005-0000-0000-0000501E0000}"/>
    <cellStyle name="20% - Énfasis6 19 18" xfId="7757" xr:uid="{00000000-0005-0000-0000-0000511E0000}"/>
    <cellStyle name="20% - Énfasis6 19 18 2" xfId="7758" xr:uid="{00000000-0005-0000-0000-0000521E0000}"/>
    <cellStyle name="20% - Énfasis6 19 19" xfId="7759" xr:uid="{00000000-0005-0000-0000-0000531E0000}"/>
    <cellStyle name="20% - Énfasis6 19 19 2" xfId="7760" xr:uid="{00000000-0005-0000-0000-0000541E0000}"/>
    <cellStyle name="20% - Énfasis6 19 2" xfId="7761" xr:uid="{00000000-0005-0000-0000-0000551E0000}"/>
    <cellStyle name="20% - Énfasis6 19 2 2" xfId="7762" xr:uid="{00000000-0005-0000-0000-0000561E0000}"/>
    <cellStyle name="20% - Énfasis6 19 20" xfId="7763" xr:uid="{00000000-0005-0000-0000-0000571E0000}"/>
    <cellStyle name="20% - Énfasis6 19 3" xfId="7764" xr:uid="{00000000-0005-0000-0000-0000581E0000}"/>
    <cellStyle name="20% - Énfasis6 19 3 2" xfId="7765" xr:uid="{00000000-0005-0000-0000-0000591E0000}"/>
    <cellStyle name="20% - Énfasis6 19 4" xfId="7766" xr:uid="{00000000-0005-0000-0000-00005A1E0000}"/>
    <cellStyle name="20% - Énfasis6 19 4 2" xfId="7767" xr:uid="{00000000-0005-0000-0000-00005B1E0000}"/>
    <cellStyle name="20% - Énfasis6 19 5" xfId="7768" xr:uid="{00000000-0005-0000-0000-00005C1E0000}"/>
    <cellStyle name="20% - Énfasis6 19 5 2" xfId="7769" xr:uid="{00000000-0005-0000-0000-00005D1E0000}"/>
    <cellStyle name="20% - Énfasis6 19 6" xfId="7770" xr:uid="{00000000-0005-0000-0000-00005E1E0000}"/>
    <cellStyle name="20% - Énfasis6 19 6 2" xfId="7771" xr:uid="{00000000-0005-0000-0000-00005F1E0000}"/>
    <cellStyle name="20% - Énfasis6 19 7" xfId="7772" xr:uid="{00000000-0005-0000-0000-0000601E0000}"/>
    <cellStyle name="20% - Énfasis6 19 7 2" xfId="7773" xr:uid="{00000000-0005-0000-0000-0000611E0000}"/>
    <cellStyle name="20% - Énfasis6 19 8" xfId="7774" xr:uid="{00000000-0005-0000-0000-0000621E0000}"/>
    <cellStyle name="20% - Énfasis6 19 8 2" xfId="7775" xr:uid="{00000000-0005-0000-0000-0000631E0000}"/>
    <cellStyle name="20% - Énfasis6 19 9" xfId="7776" xr:uid="{00000000-0005-0000-0000-0000641E0000}"/>
    <cellStyle name="20% - Énfasis6 19 9 2" xfId="7777" xr:uid="{00000000-0005-0000-0000-0000651E0000}"/>
    <cellStyle name="20% - Énfasis6 2" xfId="7778" xr:uid="{00000000-0005-0000-0000-0000661E0000}"/>
    <cellStyle name="20% - Énfasis6 2 10" xfId="7779" xr:uid="{00000000-0005-0000-0000-0000671E0000}"/>
    <cellStyle name="20% - Énfasis6 2 10 2" xfId="7780" xr:uid="{00000000-0005-0000-0000-0000681E0000}"/>
    <cellStyle name="20% - Énfasis6 2 11" xfId="7781" xr:uid="{00000000-0005-0000-0000-0000691E0000}"/>
    <cellStyle name="20% - Énfasis6 2 11 2" xfId="7782" xr:uid="{00000000-0005-0000-0000-00006A1E0000}"/>
    <cellStyle name="20% - Énfasis6 2 12" xfId="7783" xr:uid="{00000000-0005-0000-0000-00006B1E0000}"/>
    <cellStyle name="20% - Énfasis6 2 12 2" xfId="7784" xr:uid="{00000000-0005-0000-0000-00006C1E0000}"/>
    <cellStyle name="20% - Énfasis6 2 13" xfId="7785" xr:uid="{00000000-0005-0000-0000-00006D1E0000}"/>
    <cellStyle name="20% - Énfasis6 2 13 2" xfId="7786" xr:uid="{00000000-0005-0000-0000-00006E1E0000}"/>
    <cellStyle name="20% - Énfasis6 2 14" xfId="7787" xr:uid="{00000000-0005-0000-0000-00006F1E0000}"/>
    <cellStyle name="20% - Énfasis6 2 14 2" xfId="7788" xr:uid="{00000000-0005-0000-0000-0000701E0000}"/>
    <cellStyle name="20% - Énfasis6 2 15" xfId="7789" xr:uid="{00000000-0005-0000-0000-0000711E0000}"/>
    <cellStyle name="20% - Énfasis6 2 15 2" xfId="7790" xr:uid="{00000000-0005-0000-0000-0000721E0000}"/>
    <cellStyle name="20% - Énfasis6 2 16" xfId="7791" xr:uid="{00000000-0005-0000-0000-0000731E0000}"/>
    <cellStyle name="20% - Énfasis6 2 16 2" xfId="7792" xr:uid="{00000000-0005-0000-0000-0000741E0000}"/>
    <cellStyle name="20% - Énfasis6 2 17" xfId="7793" xr:uid="{00000000-0005-0000-0000-0000751E0000}"/>
    <cellStyle name="20% - Énfasis6 2 17 2" xfId="7794" xr:uid="{00000000-0005-0000-0000-0000761E0000}"/>
    <cellStyle name="20% - Énfasis6 2 18" xfId="7795" xr:uid="{00000000-0005-0000-0000-0000771E0000}"/>
    <cellStyle name="20% - Énfasis6 2 18 2" xfId="7796" xr:uid="{00000000-0005-0000-0000-0000781E0000}"/>
    <cellStyle name="20% - Énfasis6 2 19" xfId="7797" xr:uid="{00000000-0005-0000-0000-0000791E0000}"/>
    <cellStyle name="20% - Énfasis6 2 19 2" xfId="7798" xr:uid="{00000000-0005-0000-0000-00007A1E0000}"/>
    <cellStyle name="20% - Énfasis6 2 2" xfId="7799" xr:uid="{00000000-0005-0000-0000-00007B1E0000}"/>
    <cellStyle name="20% - Énfasis6 2 2 2" xfId="7800" xr:uid="{00000000-0005-0000-0000-00007C1E0000}"/>
    <cellStyle name="20% - Énfasis6 2 20" xfId="7801" xr:uid="{00000000-0005-0000-0000-00007D1E0000}"/>
    <cellStyle name="20% - Énfasis6 2 21" xfId="7802" xr:uid="{00000000-0005-0000-0000-00007E1E0000}"/>
    <cellStyle name="20% - Énfasis6 2 3" xfId="7803" xr:uid="{00000000-0005-0000-0000-00007F1E0000}"/>
    <cellStyle name="20% - Énfasis6 2 3 2" xfId="7804" xr:uid="{00000000-0005-0000-0000-0000801E0000}"/>
    <cellStyle name="20% - Énfasis6 2 4" xfId="7805" xr:uid="{00000000-0005-0000-0000-0000811E0000}"/>
    <cellStyle name="20% - Énfasis6 2 4 2" xfId="7806" xr:uid="{00000000-0005-0000-0000-0000821E0000}"/>
    <cellStyle name="20% - Énfasis6 2 5" xfId="7807" xr:uid="{00000000-0005-0000-0000-0000831E0000}"/>
    <cellStyle name="20% - Énfasis6 2 5 2" xfId="7808" xr:uid="{00000000-0005-0000-0000-0000841E0000}"/>
    <cellStyle name="20% - Énfasis6 2 6" xfId="7809" xr:uid="{00000000-0005-0000-0000-0000851E0000}"/>
    <cellStyle name="20% - Énfasis6 2 6 2" xfId="7810" xr:uid="{00000000-0005-0000-0000-0000861E0000}"/>
    <cellStyle name="20% - Énfasis6 2 7" xfId="7811" xr:uid="{00000000-0005-0000-0000-0000871E0000}"/>
    <cellStyle name="20% - Énfasis6 2 7 2" xfId="7812" xr:uid="{00000000-0005-0000-0000-0000881E0000}"/>
    <cellStyle name="20% - Énfasis6 2 8" xfId="7813" xr:uid="{00000000-0005-0000-0000-0000891E0000}"/>
    <cellStyle name="20% - Énfasis6 2 8 2" xfId="7814" xr:uid="{00000000-0005-0000-0000-00008A1E0000}"/>
    <cellStyle name="20% - Énfasis6 2 9" xfId="7815" xr:uid="{00000000-0005-0000-0000-00008B1E0000}"/>
    <cellStyle name="20% - Énfasis6 2 9 2" xfId="7816" xr:uid="{00000000-0005-0000-0000-00008C1E0000}"/>
    <cellStyle name="20% - Énfasis6 20" xfId="7817" xr:uid="{00000000-0005-0000-0000-00008D1E0000}"/>
    <cellStyle name="20% - Énfasis6 20 10" xfId="7818" xr:uid="{00000000-0005-0000-0000-00008E1E0000}"/>
    <cellStyle name="20% - Énfasis6 20 10 2" xfId="7819" xr:uid="{00000000-0005-0000-0000-00008F1E0000}"/>
    <cellStyle name="20% - Énfasis6 20 11" xfId="7820" xr:uid="{00000000-0005-0000-0000-0000901E0000}"/>
    <cellStyle name="20% - Énfasis6 20 11 2" xfId="7821" xr:uid="{00000000-0005-0000-0000-0000911E0000}"/>
    <cellStyle name="20% - Énfasis6 20 12" xfId="7822" xr:uid="{00000000-0005-0000-0000-0000921E0000}"/>
    <cellStyle name="20% - Énfasis6 20 12 2" xfId="7823" xr:uid="{00000000-0005-0000-0000-0000931E0000}"/>
    <cellStyle name="20% - Énfasis6 20 13" xfId="7824" xr:uid="{00000000-0005-0000-0000-0000941E0000}"/>
    <cellStyle name="20% - Énfasis6 20 13 2" xfId="7825" xr:uid="{00000000-0005-0000-0000-0000951E0000}"/>
    <cellStyle name="20% - Énfasis6 20 14" xfId="7826" xr:uid="{00000000-0005-0000-0000-0000961E0000}"/>
    <cellStyle name="20% - Énfasis6 20 14 2" xfId="7827" xr:uid="{00000000-0005-0000-0000-0000971E0000}"/>
    <cellStyle name="20% - Énfasis6 20 15" xfId="7828" xr:uid="{00000000-0005-0000-0000-0000981E0000}"/>
    <cellStyle name="20% - Énfasis6 20 15 2" xfId="7829" xr:uid="{00000000-0005-0000-0000-0000991E0000}"/>
    <cellStyle name="20% - Énfasis6 20 16" xfId="7830" xr:uid="{00000000-0005-0000-0000-00009A1E0000}"/>
    <cellStyle name="20% - Énfasis6 20 16 2" xfId="7831" xr:uid="{00000000-0005-0000-0000-00009B1E0000}"/>
    <cellStyle name="20% - Énfasis6 20 17" xfId="7832" xr:uid="{00000000-0005-0000-0000-00009C1E0000}"/>
    <cellStyle name="20% - Énfasis6 20 17 2" xfId="7833" xr:uid="{00000000-0005-0000-0000-00009D1E0000}"/>
    <cellStyle name="20% - Énfasis6 20 18" xfId="7834" xr:uid="{00000000-0005-0000-0000-00009E1E0000}"/>
    <cellStyle name="20% - Énfasis6 20 18 2" xfId="7835" xr:uid="{00000000-0005-0000-0000-00009F1E0000}"/>
    <cellStyle name="20% - Énfasis6 20 19" xfId="7836" xr:uid="{00000000-0005-0000-0000-0000A01E0000}"/>
    <cellStyle name="20% - Énfasis6 20 19 2" xfId="7837" xr:uid="{00000000-0005-0000-0000-0000A11E0000}"/>
    <cellStyle name="20% - Énfasis6 20 2" xfId="7838" xr:uid="{00000000-0005-0000-0000-0000A21E0000}"/>
    <cellStyle name="20% - Énfasis6 20 2 2" xfId="7839" xr:uid="{00000000-0005-0000-0000-0000A31E0000}"/>
    <cellStyle name="20% - Énfasis6 20 20" xfId="7840" xr:uid="{00000000-0005-0000-0000-0000A41E0000}"/>
    <cellStyle name="20% - Énfasis6 20 3" xfId="7841" xr:uid="{00000000-0005-0000-0000-0000A51E0000}"/>
    <cellStyle name="20% - Énfasis6 20 3 2" xfId="7842" xr:uid="{00000000-0005-0000-0000-0000A61E0000}"/>
    <cellStyle name="20% - Énfasis6 20 4" xfId="7843" xr:uid="{00000000-0005-0000-0000-0000A71E0000}"/>
    <cellStyle name="20% - Énfasis6 20 4 2" xfId="7844" xr:uid="{00000000-0005-0000-0000-0000A81E0000}"/>
    <cellStyle name="20% - Énfasis6 20 5" xfId="7845" xr:uid="{00000000-0005-0000-0000-0000A91E0000}"/>
    <cellStyle name="20% - Énfasis6 20 5 2" xfId="7846" xr:uid="{00000000-0005-0000-0000-0000AA1E0000}"/>
    <cellStyle name="20% - Énfasis6 20 6" xfId="7847" xr:uid="{00000000-0005-0000-0000-0000AB1E0000}"/>
    <cellStyle name="20% - Énfasis6 20 6 2" xfId="7848" xr:uid="{00000000-0005-0000-0000-0000AC1E0000}"/>
    <cellStyle name="20% - Énfasis6 20 7" xfId="7849" xr:uid="{00000000-0005-0000-0000-0000AD1E0000}"/>
    <cellStyle name="20% - Énfasis6 20 7 2" xfId="7850" xr:uid="{00000000-0005-0000-0000-0000AE1E0000}"/>
    <cellStyle name="20% - Énfasis6 20 8" xfId="7851" xr:uid="{00000000-0005-0000-0000-0000AF1E0000}"/>
    <cellStyle name="20% - Énfasis6 20 8 2" xfId="7852" xr:uid="{00000000-0005-0000-0000-0000B01E0000}"/>
    <cellStyle name="20% - Énfasis6 20 9" xfId="7853" xr:uid="{00000000-0005-0000-0000-0000B11E0000}"/>
    <cellStyle name="20% - Énfasis6 20 9 2" xfId="7854" xr:uid="{00000000-0005-0000-0000-0000B21E0000}"/>
    <cellStyle name="20% - Énfasis6 21" xfId="7855" xr:uid="{00000000-0005-0000-0000-0000B31E0000}"/>
    <cellStyle name="20% - Énfasis6 21 10" xfId="7856" xr:uid="{00000000-0005-0000-0000-0000B41E0000}"/>
    <cellStyle name="20% - Énfasis6 21 10 2" xfId="7857" xr:uid="{00000000-0005-0000-0000-0000B51E0000}"/>
    <cellStyle name="20% - Énfasis6 21 11" xfId="7858" xr:uid="{00000000-0005-0000-0000-0000B61E0000}"/>
    <cellStyle name="20% - Énfasis6 21 11 2" xfId="7859" xr:uid="{00000000-0005-0000-0000-0000B71E0000}"/>
    <cellStyle name="20% - Énfasis6 21 12" xfId="7860" xr:uid="{00000000-0005-0000-0000-0000B81E0000}"/>
    <cellStyle name="20% - Énfasis6 21 12 2" xfId="7861" xr:uid="{00000000-0005-0000-0000-0000B91E0000}"/>
    <cellStyle name="20% - Énfasis6 21 13" xfId="7862" xr:uid="{00000000-0005-0000-0000-0000BA1E0000}"/>
    <cellStyle name="20% - Énfasis6 21 13 2" xfId="7863" xr:uid="{00000000-0005-0000-0000-0000BB1E0000}"/>
    <cellStyle name="20% - Énfasis6 21 14" xfId="7864" xr:uid="{00000000-0005-0000-0000-0000BC1E0000}"/>
    <cellStyle name="20% - Énfasis6 21 14 2" xfId="7865" xr:uid="{00000000-0005-0000-0000-0000BD1E0000}"/>
    <cellStyle name="20% - Énfasis6 21 15" xfId="7866" xr:uid="{00000000-0005-0000-0000-0000BE1E0000}"/>
    <cellStyle name="20% - Énfasis6 21 15 2" xfId="7867" xr:uid="{00000000-0005-0000-0000-0000BF1E0000}"/>
    <cellStyle name="20% - Énfasis6 21 16" xfId="7868" xr:uid="{00000000-0005-0000-0000-0000C01E0000}"/>
    <cellStyle name="20% - Énfasis6 21 16 2" xfId="7869" xr:uid="{00000000-0005-0000-0000-0000C11E0000}"/>
    <cellStyle name="20% - Énfasis6 21 17" xfId="7870" xr:uid="{00000000-0005-0000-0000-0000C21E0000}"/>
    <cellStyle name="20% - Énfasis6 21 17 2" xfId="7871" xr:uid="{00000000-0005-0000-0000-0000C31E0000}"/>
    <cellStyle name="20% - Énfasis6 21 18" xfId="7872" xr:uid="{00000000-0005-0000-0000-0000C41E0000}"/>
    <cellStyle name="20% - Énfasis6 21 18 2" xfId="7873" xr:uid="{00000000-0005-0000-0000-0000C51E0000}"/>
    <cellStyle name="20% - Énfasis6 21 19" xfId="7874" xr:uid="{00000000-0005-0000-0000-0000C61E0000}"/>
    <cellStyle name="20% - Énfasis6 21 19 2" xfId="7875" xr:uid="{00000000-0005-0000-0000-0000C71E0000}"/>
    <cellStyle name="20% - Énfasis6 21 2" xfId="7876" xr:uid="{00000000-0005-0000-0000-0000C81E0000}"/>
    <cellStyle name="20% - Énfasis6 21 2 2" xfId="7877" xr:uid="{00000000-0005-0000-0000-0000C91E0000}"/>
    <cellStyle name="20% - Énfasis6 21 20" xfId="7878" xr:uid="{00000000-0005-0000-0000-0000CA1E0000}"/>
    <cellStyle name="20% - Énfasis6 21 3" xfId="7879" xr:uid="{00000000-0005-0000-0000-0000CB1E0000}"/>
    <cellStyle name="20% - Énfasis6 21 3 2" xfId="7880" xr:uid="{00000000-0005-0000-0000-0000CC1E0000}"/>
    <cellStyle name="20% - Énfasis6 21 4" xfId="7881" xr:uid="{00000000-0005-0000-0000-0000CD1E0000}"/>
    <cellStyle name="20% - Énfasis6 21 4 2" xfId="7882" xr:uid="{00000000-0005-0000-0000-0000CE1E0000}"/>
    <cellStyle name="20% - Énfasis6 21 5" xfId="7883" xr:uid="{00000000-0005-0000-0000-0000CF1E0000}"/>
    <cellStyle name="20% - Énfasis6 21 5 2" xfId="7884" xr:uid="{00000000-0005-0000-0000-0000D01E0000}"/>
    <cellStyle name="20% - Énfasis6 21 6" xfId="7885" xr:uid="{00000000-0005-0000-0000-0000D11E0000}"/>
    <cellStyle name="20% - Énfasis6 21 6 2" xfId="7886" xr:uid="{00000000-0005-0000-0000-0000D21E0000}"/>
    <cellStyle name="20% - Énfasis6 21 7" xfId="7887" xr:uid="{00000000-0005-0000-0000-0000D31E0000}"/>
    <cellStyle name="20% - Énfasis6 21 7 2" xfId="7888" xr:uid="{00000000-0005-0000-0000-0000D41E0000}"/>
    <cellStyle name="20% - Énfasis6 21 8" xfId="7889" xr:uid="{00000000-0005-0000-0000-0000D51E0000}"/>
    <cellStyle name="20% - Énfasis6 21 8 2" xfId="7890" xr:uid="{00000000-0005-0000-0000-0000D61E0000}"/>
    <cellStyle name="20% - Énfasis6 21 9" xfId="7891" xr:uid="{00000000-0005-0000-0000-0000D71E0000}"/>
    <cellStyle name="20% - Énfasis6 21 9 2" xfId="7892" xr:uid="{00000000-0005-0000-0000-0000D81E0000}"/>
    <cellStyle name="20% - Énfasis6 22" xfId="7893" xr:uid="{00000000-0005-0000-0000-0000D91E0000}"/>
    <cellStyle name="20% - Énfasis6 22 10" xfId="7894" xr:uid="{00000000-0005-0000-0000-0000DA1E0000}"/>
    <cellStyle name="20% - Énfasis6 22 10 2" xfId="7895" xr:uid="{00000000-0005-0000-0000-0000DB1E0000}"/>
    <cellStyle name="20% - Énfasis6 22 11" xfId="7896" xr:uid="{00000000-0005-0000-0000-0000DC1E0000}"/>
    <cellStyle name="20% - Énfasis6 22 11 2" xfId="7897" xr:uid="{00000000-0005-0000-0000-0000DD1E0000}"/>
    <cellStyle name="20% - Énfasis6 22 12" xfId="7898" xr:uid="{00000000-0005-0000-0000-0000DE1E0000}"/>
    <cellStyle name="20% - Énfasis6 22 12 2" xfId="7899" xr:uid="{00000000-0005-0000-0000-0000DF1E0000}"/>
    <cellStyle name="20% - Énfasis6 22 13" xfId="7900" xr:uid="{00000000-0005-0000-0000-0000E01E0000}"/>
    <cellStyle name="20% - Énfasis6 22 13 2" xfId="7901" xr:uid="{00000000-0005-0000-0000-0000E11E0000}"/>
    <cellStyle name="20% - Énfasis6 22 14" xfId="7902" xr:uid="{00000000-0005-0000-0000-0000E21E0000}"/>
    <cellStyle name="20% - Énfasis6 22 14 2" xfId="7903" xr:uid="{00000000-0005-0000-0000-0000E31E0000}"/>
    <cellStyle name="20% - Énfasis6 22 15" xfId="7904" xr:uid="{00000000-0005-0000-0000-0000E41E0000}"/>
    <cellStyle name="20% - Énfasis6 22 15 2" xfId="7905" xr:uid="{00000000-0005-0000-0000-0000E51E0000}"/>
    <cellStyle name="20% - Énfasis6 22 16" xfId="7906" xr:uid="{00000000-0005-0000-0000-0000E61E0000}"/>
    <cellStyle name="20% - Énfasis6 22 16 2" xfId="7907" xr:uid="{00000000-0005-0000-0000-0000E71E0000}"/>
    <cellStyle name="20% - Énfasis6 22 17" xfId="7908" xr:uid="{00000000-0005-0000-0000-0000E81E0000}"/>
    <cellStyle name="20% - Énfasis6 22 17 2" xfId="7909" xr:uid="{00000000-0005-0000-0000-0000E91E0000}"/>
    <cellStyle name="20% - Énfasis6 22 18" xfId="7910" xr:uid="{00000000-0005-0000-0000-0000EA1E0000}"/>
    <cellStyle name="20% - Énfasis6 22 18 2" xfId="7911" xr:uid="{00000000-0005-0000-0000-0000EB1E0000}"/>
    <cellStyle name="20% - Énfasis6 22 19" xfId="7912" xr:uid="{00000000-0005-0000-0000-0000EC1E0000}"/>
    <cellStyle name="20% - Énfasis6 22 19 2" xfId="7913" xr:uid="{00000000-0005-0000-0000-0000ED1E0000}"/>
    <cellStyle name="20% - Énfasis6 22 2" xfId="7914" xr:uid="{00000000-0005-0000-0000-0000EE1E0000}"/>
    <cellStyle name="20% - Énfasis6 22 2 2" xfId="7915" xr:uid="{00000000-0005-0000-0000-0000EF1E0000}"/>
    <cellStyle name="20% - Énfasis6 22 20" xfId="7916" xr:uid="{00000000-0005-0000-0000-0000F01E0000}"/>
    <cellStyle name="20% - Énfasis6 22 3" xfId="7917" xr:uid="{00000000-0005-0000-0000-0000F11E0000}"/>
    <cellStyle name="20% - Énfasis6 22 3 2" xfId="7918" xr:uid="{00000000-0005-0000-0000-0000F21E0000}"/>
    <cellStyle name="20% - Énfasis6 22 4" xfId="7919" xr:uid="{00000000-0005-0000-0000-0000F31E0000}"/>
    <cellStyle name="20% - Énfasis6 22 4 2" xfId="7920" xr:uid="{00000000-0005-0000-0000-0000F41E0000}"/>
    <cellStyle name="20% - Énfasis6 22 5" xfId="7921" xr:uid="{00000000-0005-0000-0000-0000F51E0000}"/>
    <cellStyle name="20% - Énfasis6 22 5 2" xfId="7922" xr:uid="{00000000-0005-0000-0000-0000F61E0000}"/>
    <cellStyle name="20% - Énfasis6 22 6" xfId="7923" xr:uid="{00000000-0005-0000-0000-0000F71E0000}"/>
    <cellStyle name="20% - Énfasis6 22 6 2" xfId="7924" xr:uid="{00000000-0005-0000-0000-0000F81E0000}"/>
    <cellStyle name="20% - Énfasis6 22 7" xfId="7925" xr:uid="{00000000-0005-0000-0000-0000F91E0000}"/>
    <cellStyle name="20% - Énfasis6 22 7 2" xfId="7926" xr:uid="{00000000-0005-0000-0000-0000FA1E0000}"/>
    <cellStyle name="20% - Énfasis6 22 8" xfId="7927" xr:uid="{00000000-0005-0000-0000-0000FB1E0000}"/>
    <cellStyle name="20% - Énfasis6 22 8 2" xfId="7928" xr:uid="{00000000-0005-0000-0000-0000FC1E0000}"/>
    <cellStyle name="20% - Énfasis6 22 9" xfId="7929" xr:uid="{00000000-0005-0000-0000-0000FD1E0000}"/>
    <cellStyle name="20% - Énfasis6 22 9 2" xfId="7930" xr:uid="{00000000-0005-0000-0000-0000FE1E0000}"/>
    <cellStyle name="20% - Énfasis6 23" xfId="7931" xr:uid="{00000000-0005-0000-0000-0000FF1E0000}"/>
    <cellStyle name="20% - Énfasis6 23 10" xfId="7932" xr:uid="{00000000-0005-0000-0000-0000001F0000}"/>
    <cellStyle name="20% - Énfasis6 23 10 2" xfId="7933" xr:uid="{00000000-0005-0000-0000-0000011F0000}"/>
    <cellStyle name="20% - Énfasis6 23 11" xfId="7934" xr:uid="{00000000-0005-0000-0000-0000021F0000}"/>
    <cellStyle name="20% - Énfasis6 23 11 2" xfId="7935" xr:uid="{00000000-0005-0000-0000-0000031F0000}"/>
    <cellStyle name="20% - Énfasis6 23 12" xfId="7936" xr:uid="{00000000-0005-0000-0000-0000041F0000}"/>
    <cellStyle name="20% - Énfasis6 23 12 2" xfId="7937" xr:uid="{00000000-0005-0000-0000-0000051F0000}"/>
    <cellStyle name="20% - Énfasis6 23 13" xfId="7938" xr:uid="{00000000-0005-0000-0000-0000061F0000}"/>
    <cellStyle name="20% - Énfasis6 23 13 2" xfId="7939" xr:uid="{00000000-0005-0000-0000-0000071F0000}"/>
    <cellStyle name="20% - Énfasis6 23 14" xfId="7940" xr:uid="{00000000-0005-0000-0000-0000081F0000}"/>
    <cellStyle name="20% - Énfasis6 23 14 2" xfId="7941" xr:uid="{00000000-0005-0000-0000-0000091F0000}"/>
    <cellStyle name="20% - Énfasis6 23 15" xfId="7942" xr:uid="{00000000-0005-0000-0000-00000A1F0000}"/>
    <cellStyle name="20% - Énfasis6 23 15 2" xfId="7943" xr:uid="{00000000-0005-0000-0000-00000B1F0000}"/>
    <cellStyle name="20% - Énfasis6 23 16" xfId="7944" xr:uid="{00000000-0005-0000-0000-00000C1F0000}"/>
    <cellStyle name="20% - Énfasis6 23 16 2" xfId="7945" xr:uid="{00000000-0005-0000-0000-00000D1F0000}"/>
    <cellStyle name="20% - Énfasis6 23 17" xfId="7946" xr:uid="{00000000-0005-0000-0000-00000E1F0000}"/>
    <cellStyle name="20% - Énfasis6 23 17 2" xfId="7947" xr:uid="{00000000-0005-0000-0000-00000F1F0000}"/>
    <cellStyle name="20% - Énfasis6 23 18" xfId="7948" xr:uid="{00000000-0005-0000-0000-0000101F0000}"/>
    <cellStyle name="20% - Énfasis6 23 18 2" xfId="7949" xr:uid="{00000000-0005-0000-0000-0000111F0000}"/>
    <cellStyle name="20% - Énfasis6 23 19" xfId="7950" xr:uid="{00000000-0005-0000-0000-0000121F0000}"/>
    <cellStyle name="20% - Énfasis6 23 19 2" xfId="7951" xr:uid="{00000000-0005-0000-0000-0000131F0000}"/>
    <cellStyle name="20% - Énfasis6 23 2" xfId="7952" xr:uid="{00000000-0005-0000-0000-0000141F0000}"/>
    <cellStyle name="20% - Énfasis6 23 2 2" xfId="7953" xr:uid="{00000000-0005-0000-0000-0000151F0000}"/>
    <cellStyle name="20% - Énfasis6 23 20" xfId="7954" xr:uid="{00000000-0005-0000-0000-0000161F0000}"/>
    <cellStyle name="20% - Énfasis6 23 3" xfId="7955" xr:uid="{00000000-0005-0000-0000-0000171F0000}"/>
    <cellStyle name="20% - Énfasis6 23 3 2" xfId="7956" xr:uid="{00000000-0005-0000-0000-0000181F0000}"/>
    <cellStyle name="20% - Énfasis6 23 4" xfId="7957" xr:uid="{00000000-0005-0000-0000-0000191F0000}"/>
    <cellStyle name="20% - Énfasis6 23 4 2" xfId="7958" xr:uid="{00000000-0005-0000-0000-00001A1F0000}"/>
    <cellStyle name="20% - Énfasis6 23 5" xfId="7959" xr:uid="{00000000-0005-0000-0000-00001B1F0000}"/>
    <cellStyle name="20% - Énfasis6 23 5 2" xfId="7960" xr:uid="{00000000-0005-0000-0000-00001C1F0000}"/>
    <cellStyle name="20% - Énfasis6 23 6" xfId="7961" xr:uid="{00000000-0005-0000-0000-00001D1F0000}"/>
    <cellStyle name="20% - Énfasis6 23 6 2" xfId="7962" xr:uid="{00000000-0005-0000-0000-00001E1F0000}"/>
    <cellStyle name="20% - Énfasis6 23 7" xfId="7963" xr:uid="{00000000-0005-0000-0000-00001F1F0000}"/>
    <cellStyle name="20% - Énfasis6 23 7 2" xfId="7964" xr:uid="{00000000-0005-0000-0000-0000201F0000}"/>
    <cellStyle name="20% - Énfasis6 23 8" xfId="7965" xr:uid="{00000000-0005-0000-0000-0000211F0000}"/>
    <cellStyle name="20% - Énfasis6 23 8 2" xfId="7966" xr:uid="{00000000-0005-0000-0000-0000221F0000}"/>
    <cellStyle name="20% - Énfasis6 23 9" xfId="7967" xr:uid="{00000000-0005-0000-0000-0000231F0000}"/>
    <cellStyle name="20% - Énfasis6 23 9 2" xfId="7968" xr:uid="{00000000-0005-0000-0000-0000241F0000}"/>
    <cellStyle name="20% - Énfasis6 24" xfId="7969" xr:uid="{00000000-0005-0000-0000-0000251F0000}"/>
    <cellStyle name="20% - Énfasis6 24 10" xfId="7970" xr:uid="{00000000-0005-0000-0000-0000261F0000}"/>
    <cellStyle name="20% - Énfasis6 24 10 2" xfId="7971" xr:uid="{00000000-0005-0000-0000-0000271F0000}"/>
    <cellStyle name="20% - Énfasis6 24 11" xfId="7972" xr:uid="{00000000-0005-0000-0000-0000281F0000}"/>
    <cellStyle name="20% - Énfasis6 24 11 2" xfId="7973" xr:uid="{00000000-0005-0000-0000-0000291F0000}"/>
    <cellStyle name="20% - Énfasis6 24 12" xfId="7974" xr:uid="{00000000-0005-0000-0000-00002A1F0000}"/>
    <cellStyle name="20% - Énfasis6 24 12 2" xfId="7975" xr:uid="{00000000-0005-0000-0000-00002B1F0000}"/>
    <cellStyle name="20% - Énfasis6 24 13" xfId="7976" xr:uid="{00000000-0005-0000-0000-00002C1F0000}"/>
    <cellStyle name="20% - Énfasis6 24 13 2" xfId="7977" xr:uid="{00000000-0005-0000-0000-00002D1F0000}"/>
    <cellStyle name="20% - Énfasis6 24 14" xfId="7978" xr:uid="{00000000-0005-0000-0000-00002E1F0000}"/>
    <cellStyle name="20% - Énfasis6 24 14 2" xfId="7979" xr:uid="{00000000-0005-0000-0000-00002F1F0000}"/>
    <cellStyle name="20% - Énfasis6 24 15" xfId="7980" xr:uid="{00000000-0005-0000-0000-0000301F0000}"/>
    <cellStyle name="20% - Énfasis6 24 15 2" xfId="7981" xr:uid="{00000000-0005-0000-0000-0000311F0000}"/>
    <cellStyle name="20% - Énfasis6 24 16" xfId="7982" xr:uid="{00000000-0005-0000-0000-0000321F0000}"/>
    <cellStyle name="20% - Énfasis6 24 16 2" xfId="7983" xr:uid="{00000000-0005-0000-0000-0000331F0000}"/>
    <cellStyle name="20% - Énfasis6 24 17" xfId="7984" xr:uid="{00000000-0005-0000-0000-0000341F0000}"/>
    <cellStyle name="20% - Énfasis6 24 17 2" xfId="7985" xr:uid="{00000000-0005-0000-0000-0000351F0000}"/>
    <cellStyle name="20% - Énfasis6 24 18" xfId="7986" xr:uid="{00000000-0005-0000-0000-0000361F0000}"/>
    <cellStyle name="20% - Énfasis6 24 18 2" xfId="7987" xr:uid="{00000000-0005-0000-0000-0000371F0000}"/>
    <cellStyle name="20% - Énfasis6 24 19" xfId="7988" xr:uid="{00000000-0005-0000-0000-0000381F0000}"/>
    <cellStyle name="20% - Énfasis6 24 19 2" xfId="7989" xr:uid="{00000000-0005-0000-0000-0000391F0000}"/>
    <cellStyle name="20% - Énfasis6 24 2" xfId="7990" xr:uid="{00000000-0005-0000-0000-00003A1F0000}"/>
    <cellStyle name="20% - Énfasis6 24 2 2" xfId="7991" xr:uid="{00000000-0005-0000-0000-00003B1F0000}"/>
    <cellStyle name="20% - Énfasis6 24 20" xfId="7992" xr:uid="{00000000-0005-0000-0000-00003C1F0000}"/>
    <cellStyle name="20% - Énfasis6 24 3" xfId="7993" xr:uid="{00000000-0005-0000-0000-00003D1F0000}"/>
    <cellStyle name="20% - Énfasis6 24 3 2" xfId="7994" xr:uid="{00000000-0005-0000-0000-00003E1F0000}"/>
    <cellStyle name="20% - Énfasis6 24 4" xfId="7995" xr:uid="{00000000-0005-0000-0000-00003F1F0000}"/>
    <cellStyle name="20% - Énfasis6 24 4 2" xfId="7996" xr:uid="{00000000-0005-0000-0000-0000401F0000}"/>
    <cellStyle name="20% - Énfasis6 24 5" xfId="7997" xr:uid="{00000000-0005-0000-0000-0000411F0000}"/>
    <cellStyle name="20% - Énfasis6 24 5 2" xfId="7998" xr:uid="{00000000-0005-0000-0000-0000421F0000}"/>
    <cellStyle name="20% - Énfasis6 24 6" xfId="7999" xr:uid="{00000000-0005-0000-0000-0000431F0000}"/>
    <cellStyle name="20% - Énfasis6 24 6 2" xfId="8000" xr:uid="{00000000-0005-0000-0000-0000441F0000}"/>
    <cellStyle name="20% - Énfasis6 24 7" xfId="8001" xr:uid="{00000000-0005-0000-0000-0000451F0000}"/>
    <cellStyle name="20% - Énfasis6 24 7 2" xfId="8002" xr:uid="{00000000-0005-0000-0000-0000461F0000}"/>
    <cellStyle name="20% - Énfasis6 24 8" xfId="8003" xr:uid="{00000000-0005-0000-0000-0000471F0000}"/>
    <cellStyle name="20% - Énfasis6 24 8 2" xfId="8004" xr:uid="{00000000-0005-0000-0000-0000481F0000}"/>
    <cellStyle name="20% - Énfasis6 24 9" xfId="8005" xr:uid="{00000000-0005-0000-0000-0000491F0000}"/>
    <cellStyle name="20% - Énfasis6 24 9 2" xfId="8006" xr:uid="{00000000-0005-0000-0000-00004A1F0000}"/>
    <cellStyle name="20% - Énfasis6 25" xfId="8007" xr:uid="{00000000-0005-0000-0000-00004B1F0000}"/>
    <cellStyle name="20% - Énfasis6 25 10" xfId="8008" xr:uid="{00000000-0005-0000-0000-00004C1F0000}"/>
    <cellStyle name="20% - Énfasis6 25 10 2" xfId="8009" xr:uid="{00000000-0005-0000-0000-00004D1F0000}"/>
    <cellStyle name="20% - Énfasis6 25 11" xfId="8010" xr:uid="{00000000-0005-0000-0000-00004E1F0000}"/>
    <cellStyle name="20% - Énfasis6 25 11 2" xfId="8011" xr:uid="{00000000-0005-0000-0000-00004F1F0000}"/>
    <cellStyle name="20% - Énfasis6 25 12" xfId="8012" xr:uid="{00000000-0005-0000-0000-0000501F0000}"/>
    <cellStyle name="20% - Énfasis6 25 12 2" xfId="8013" xr:uid="{00000000-0005-0000-0000-0000511F0000}"/>
    <cellStyle name="20% - Énfasis6 25 13" xfId="8014" xr:uid="{00000000-0005-0000-0000-0000521F0000}"/>
    <cellStyle name="20% - Énfasis6 25 13 2" xfId="8015" xr:uid="{00000000-0005-0000-0000-0000531F0000}"/>
    <cellStyle name="20% - Énfasis6 25 14" xfId="8016" xr:uid="{00000000-0005-0000-0000-0000541F0000}"/>
    <cellStyle name="20% - Énfasis6 25 14 2" xfId="8017" xr:uid="{00000000-0005-0000-0000-0000551F0000}"/>
    <cellStyle name="20% - Énfasis6 25 15" xfId="8018" xr:uid="{00000000-0005-0000-0000-0000561F0000}"/>
    <cellStyle name="20% - Énfasis6 25 15 2" xfId="8019" xr:uid="{00000000-0005-0000-0000-0000571F0000}"/>
    <cellStyle name="20% - Énfasis6 25 16" xfId="8020" xr:uid="{00000000-0005-0000-0000-0000581F0000}"/>
    <cellStyle name="20% - Énfasis6 25 16 2" xfId="8021" xr:uid="{00000000-0005-0000-0000-0000591F0000}"/>
    <cellStyle name="20% - Énfasis6 25 17" xfId="8022" xr:uid="{00000000-0005-0000-0000-00005A1F0000}"/>
    <cellStyle name="20% - Énfasis6 25 17 2" xfId="8023" xr:uid="{00000000-0005-0000-0000-00005B1F0000}"/>
    <cellStyle name="20% - Énfasis6 25 18" xfId="8024" xr:uid="{00000000-0005-0000-0000-00005C1F0000}"/>
    <cellStyle name="20% - Énfasis6 25 18 2" xfId="8025" xr:uid="{00000000-0005-0000-0000-00005D1F0000}"/>
    <cellStyle name="20% - Énfasis6 25 19" xfId="8026" xr:uid="{00000000-0005-0000-0000-00005E1F0000}"/>
    <cellStyle name="20% - Énfasis6 25 19 2" xfId="8027" xr:uid="{00000000-0005-0000-0000-00005F1F0000}"/>
    <cellStyle name="20% - Énfasis6 25 2" xfId="8028" xr:uid="{00000000-0005-0000-0000-0000601F0000}"/>
    <cellStyle name="20% - Énfasis6 25 2 2" xfId="8029" xr:uid="{00000000-0005-0000-0000-0000611F0000}"/>
    <cellStyle name="20% - Énfasis6 25 20" xfId="8030" xr:uid="{00000000-0005-0000-0000-0000621F0000}"/>
    <cellStyle name="20% - Énfasis6 25 3" xfId="8031" xr:uid="{00000000-0005-0000-0000-0000631F0000}"/>
    <cellStyle name="20% - Énfasis6 25 3 2" xfId="8032" xr:uid="{00000000-0005-0000-0000-0000641F0000}"/>
    <cellStyle name="20% - Énfasis6 25 4" xfId="8033" xr:uid="{00000000-0005-0000-0000-0000651F0000}"/>
    <cellStyle name="20% - Énfasis6 25 4 2" xfId="8034" xr:uid="{00000000-0005-0000-0000-0000661F0000}"/>
    <cellStyle name="20% - Énfasis6 25 5" xfId="8035" xr:uid="{00000000-0005-0000-0000-0000671F0000}"/>
    <cellStyle name="20% - Énfasis6 25 5 2" xfId="8036" xr:uid="{00000000-0005-0000-0000-0000681F0000}"/>
    <cellStyle name="20% - Énfasis6 25 6" xfId="8037" xr:uid="{00000000-0005-0000-0000-0000691F0000}"/>
    <cellStyle name="20% - Énfasis6 25 6 2" xfId="8038" xr:uid="{00000000-0005-0000-0000-00006A1F0000}"/>
    <cellStyle name="20% - Énfasis6 25 7" xfId="8039" xr:uid="{00000000-0005-0000-0000-00006B1F0000}"/>
    <cellStyle name="20% - Énfasis6 25 7 2" xfId="8040" xr:uid="{00000000-0005-0000-0000-00006C1F0000}"/>
    <cellStyle name="20% - Énfasis6 25 8" xfId="8041" xr:uid="{00000000-0005-0000-0000-00006D1F0000}"/>
    <cellStyle name="20% - Énfasis6 25 8 2" xfId="8042" xr:uid="{00000000-0005-0000-0000-00006E1F0000}"/>
    <cellStyle name="20% - Énfasis6 25 9" xfId="8043" xr:uid="{00000000-0005-0000-0000-00006F1F0000}"/>
    <cellStyle name="20% - Énfasis6 25 9 2" xfId="8044" xr:uid="{00000000-0005-0000-0000-0000701F0000}"/>
    <cellStyle name="20% - Énfasis6 26" xfId="8045" xr:uid="{00000000-0005-0000-0000-0000711F0000}"/>
    <cellStyle name="20% - Énfasis6 26 10" xfId="8046" xr:uid="{00000000-0005-0000-0000-0000721F0000}"/>
    <cellStyle name="20% - Énfasis6 26 10 2" xfId="8047" xr:uid="{00000000-0005-0000-0000-0000731F0000}"/>
    <cellStyle name="20% - Énfasis6 26 11" xfId="8048" xr:uid="{00000000-0005-0000-0000-0000741F0000}"/>
    <cellStyle name="20% - Énfasis6 26 11 2" xfId="8049" xr:uid="{00000000-0005-0000-0000-0000751F0000}"/>
    <cellStyle name="20% - Énfasis6 26 12" xfId="8050" xr:uid="{00000000-0005-0000-0000-0000761F0000}"/>
    <cellStyle name="20% - Énfasis6 26 12 2" xfId="8051" xr:uid="{00000000-0005-0000-0000-0000771F0000}"/>
    <cellStyle name="20% - Énfasis6 26 13" xfId="8052" xr:uid="{00000000-0005-0000-0000-0000781F0000}"/>
    <cellStyle name="20% - Énfasis6 26 13 2" xfId="8053" xr:uid="{00000000-0005-0000-0000-0000791F0000}"/>
    <cellStyle name="20% - Énfasis6 26 14" xfId="8054" xr:uid="{00000000-0005-0000-0000-00007A1F0000}"/>
    <cellStyle name="20% - Énfasis6 26 14 2" xfId="8055" xr:uid="{00000000-0005-0000-0000-00007B1F0000}"/>
    <cellStyle name="20% - Énfasis6 26 15" xfId="8056" xr:uid="{00000000-0005-0000-0000-00007C1F0000}"/>
    <cellStyle name="20% - Énfasis6 26 15 2" xfId="8057" xr:uid="{00000000-0005-0000-0000-00007D1F0000}"/>
    <cellStyle name="20% - Énfasis6 26 16" xfId="8058" xr:uid="{00000000-0005-0000-0000-00007E1F0000}"/>
    <cellStyle name="20% - Énfasis6 26 16 2" xfId="8059" xr:uid="{00000000-0005-0000-0000-00007F1F0000}"/>
    <cellStyle name="20% - Énfasis6 26 17" xfId="8060" xr:uid="{00000000-0005-0000-0000-0000801F0000}"/>
    <cellStyle name="20% - Énfasis6 26 17 2" xfId="8061" xr:uid="{00000000-0005-0000-0000-0000811F0000}"/>
    <cellStyle name="20% - Énfasis6 26 18" xfId="8062" xr:uid="{00000000-0005-0000-0000-0000821F0000}"/>
    <cellStyle name="20% - Énfasis6 26 18 2" xfId="8063" xr:uid="{00000000-0005-0000-0000-0000831F0000}"/>
    <cellStyle name="20% - Énfasis6 26 19" xfId="8064" xr:uid="{00000000-0005-0000-0000-0000841F0000}"/>
    <cellStyle name="20% - Énfasis6 26 2" xfId="8065" xr:uid="{00000000-0005-0000-0000-0000851F0000}"/>
    <cellStyle name="20% - Énfasis6 26 20" xfId="8066" xr:uid="{00000000-0005-0000-0000-0000861F0000}"/>
    <cellStyle name="20% - Énfasis6 26 3" xfId="8067" xr:uid="{00000000-0005-0000-0000-0000871F0000}"/>
    <cellStyle name="20% - Énfasis6 26 4" xfId="8068" xr:uid="{00000000-0005-0000-0000-0000881F0000}"/>
    <cellStyle name="20% - Énfasis6 26 5" xfId="8069" xr:uid="{00000000-0005-0000-0000-0000891F0000}"/>
    <cellStyle name="20% - Énfasis6 26 6" xfId="8070" xr:uid="{00000000-0005-0000-0000-00008A1F0000}"/>
    <cellStyle name="20% - Énfasis6 26 7" xfId="8071" xr:uid="{00000000-0005-0000-0000-00008B1F0000}"/>
    <cellStyle name="20% - Énfasis6 26 8" xfId="8072" xr:uid="{00000000-0005-0000-0000-00008C1F0000}"/>
    <cellStyle name="20% - Énfasis6 26 9" xfId="8073" xr:uid="{00000000-0005-0000-0000-00008D1F0000}"/>
    <cellStyle name="20% - Énfasis6 27" xfId="8074" xr:uid="{00000000-0005-0000-0000-00008E1F0000}"/>
    <cellStyle name="20% - Énfasis6 27 10" xfId="8075" xr:uid="{00000000-0005-0000-0000-00008F1F0000}"/>
    <cellStyle name="20% - Énfasis6 27 11" xfId="8076" xr:uid="{00000000-0005-0000-0000-0000901F0000}"/>
    <cellStyle name="20% - Énfasis6 27 12" xfId="8077" xr:uid="{00000000-0005-0000-0000-0000911F0000}"/>
    <cellStyle name="20% - Énfasis6 27 13" xfId="8078" xr:uid="{00000000-0005-0000-0000-0000921F0000}"/>
    <cellStyle name="20% - Énfasis6 27 14" xfId="8079" xr:uid="{00000000-0005-0000-0000-0000931F0000}"/>
    <cellStyle name="20% - Énfasis6 27 15" xfId="8080" xr:uid="{00000000-0005-0000-0000-0000941F0000}"/>
    <cellStyle name="20% - Énfasis6 27 16" xfId="8081" xr:uid="{00000000-0005-0000-0000-0000951F0000}"/>
    <cellStyle name="20% - Énfasis6 27 17" xfId="8082" xr:uid="{00000000-0005-0000-0000-0000961F0000}"/>
    <cellStyle name="20% - Énfasis6 27 18" xfId="8083" xr:uid="{00000000-0005-0000-0000-0000971F0000}"/>
    <cellStyle name="20% - Énfasis6 27 19" xfId="8084" xr:uid="{00000000-0005-0000-0000-0000981F0000}"/>
    <cellStyle name="20% - Énfasis6 27 2" xfId="8085" xr:uid="{00000000-0005-0000-0000-0000991F0000}"/>
    <cellStyle name="20% - Énfasis6 27 3" xfId="8086" xr:uid="{00000000-0005-0000-0000-00009A1F0000}"/>
    <cellStyle name="20% - Énfasis6 27 4" xfId="8087" xr:uid="{00000000-0005-0000-0000-00009B1F0000}"/>
    <cellStyle name="20% - Énfasis6 27 5" xfId="8088" xr:uid="{00000000-0005-0000-0000-00009C1F0000}"/>
    <cellStyle name="20% - Énfasis6 27 6" xfId="8089" xr:uid="{00000000-0005-0000-0000-00009D1F0000}"/>
    <cellStyle name="20% - Énfasis6 27 7" xfId="8090" xr:uid="{00000000-0005-0000-0000-00009E1F0000}"/>
    <cellStyle name="20% - Énfasis6 27 8" xfId="8091" xr:uid="{00000000-0005-0000-0000-00009F1F0000}"/>
    <cellStyle name="20% - Énfasis6 27 9" xfId="8092" xr:uid="{00000000-0005-0000-0000-0000A01F0000}"/>
    <cellStyle name="20% - Énfasis6 28" xfId="8093" xr:uid="{00000000-0005-0000-0000-0000A11F0000}"/>
    <cellStyle name="20% - Énfasis6 28 10" xfId="8094" xr:uid="{00000000-0005-0000-0000-0000A21F0000}"/>
    <cellStyle name="20% - Énfasis6 28 11" xfId="8095" xr:uid="{00000000-0005-0000-0000-0000A31F0000}"/>
    <cellStyle name="20% - Énfasis6 28 12" xfId="8096" xr:uid="{00000000-0005-0000-0000-0000A41F0000}"/>
    <cellStyle name="20% - Énfasis6 28 13" xfId="8097" xr:uid="{00000000-0005-0000-0000-0000A51F0000}"/>
    <cellStyle name="20% - Énfasis6 28 14" xfId="8098" xr:uid="{00000000-0005-0000-0000-0000A61F0000}"/>
    <cellStyle name="20% - Énfasis6 28 15" xfId="8099" xr:uid="{00000000-0005-0000-0000-0000A71F0000}"/>
    <cellStyle name="20% - Énfasis6 28 16" xfId="8100" xr:uid="{00000000-0005-0000-0000-0000A81F0000}"/>
    <cellStyle name="20% - Énfasis6 28 17" xfId="8101" xr:uid="{00000000-0005-0000-0000-0000A91F0000}"/>
    <cellStyle name="20% - Énfasis6 28 18" xfId="8102" xr:uid="{00000000-0005-0000-0000-0000AA1F0000}"/>
    <cellStyle name="20% - Énfasis6 28 19" xfId="8103" xr:uid="{00000000-0005-0000-0000-0000AB1F0000}"/>
    <cellStyle name="20% - Énfasis6 28 2" xfId="8104" xr:uid="{00000000-0005-0000-0000-0000AC1F0000}"/>
    <cellStyle name="20% - Énfasis6 28 3" xfId="8105" xr:uid="{00000000-0005-0000-0000-0000AD1F0000}"/>
    <cellStyle name="20% - Énfasis6 28 4" xfId="8106" xr:uid="{00000000-0005-0000-0000-0000AE1F0000}"/>
    <cellStyle name="20% - Énfasis6 28 5" xfId="8107" xr:uid="{00000000-0005-0000-0000-0000AF1F0000}"/>
    <cellStyle name="20% - Énfasis6 28 6" xfId="8108" xr:uid="{00000000-0005-0000-0000-0000B01F0000}"/>
    <cellStyle name="20% - Énfasis6 28 7" xfId="8109" xr:uid="{00000000-0005-0000-0000-0000B11F0000}"/>
    <cellStyle name="20% - Énfasis6 28 8" xfId="8110" xr:uid="{00000000-0005-0000-0000-0000B21F0000}"/>
    <cellStyle name="20% - Énfasis6 28 9" xfId="8111" xr:uid="{00000000-0005-0000-0000-0000B31F0000}"/>
    <cellStyle name="20% - Énfasis6 29" xfId="8112" xr:uid="{00000000-0005-0000-0000-0000B41F0000}"/>
    <cellStyle name="20% - Énfasis6 29 10" xfId="8113" xr:uid="{00000000-0005-0000-0000-0000B51F0000}"/>
    <cellStyle name="20% - Énfasis6 29 11" xfId="8114" xr:uid="{00000000-0005-0000-0000-0000B61F0000}"/>
    <cellStyle name="20% - Énfasis6 29 12" xfId="8115" xr:uid="{00000000-0005-0000-0000-0000B71F0000}"/>
    <cellStyle name="20% - Énfasis6 29 13" xfId="8116" xr:uid="{00000000-0005-0000-0000-0000B81F0000}"/>
    <cellStyle name="20% - Énfasis6 29 14" xfId="8117" xr:uid="{00000000-0005-0000-0000-0000B91F0000}"/>
    <cellStyle name="20% - Énfasis6 29 15" xfId="8118" xr:uid="{00000000-0005-0000-0000-0000BA1F0000}"/>
    <cellStyle name="20% - Énfasis6 29 16" xfId="8119" xr:uid="{00000000-0005-0000-0000-0000BB1F0000}"/>
    <cellStyle name="20% - Énfasis6 29 17" xfId="8120" xr:uid="{00000000-0005-0000-0000-0000BC1F0000}"/>
    <cellStyle name="20% - Énfasis6 29 18" xfId="8121" xr:uid="{00000000-0005-0000-0000-0000BD1F0000}"/>
    <cellStyle name="20% - Énfasis6 29 19" xfId="8122" xr:uid="{00000000-0005-0000-0000-0000BE1F0000}"/>
    <cellStyle name="20% - Énfasis6 29 2" xfId="8123" xr:uid="{00000000-0005-0000-0000-0000BF1F0000}"/>
    <cellStyle name="20% - Énfasis6 29 3" xfId="8124" xr:uid="{00000000-0005-0000-0000-0000C01F0000}"/>
    <cellStyle name="20% - Énfasis6 29 4" xfId="8125" xr:uid="{00000000-0005-0000-0000-0000C11F0000}"/>
    <cellStyle name="20% - Énfasis6 29 5" xfId="8126" xr:uid="{00000000-0005-0000-0000-0000C21F0000}"/>
    <cellStyle name="20% - Énfasis6 29 6" xfId="8127" xr:uid="{00000000-0005-0000-0000-0000C31F0000}"/>
    <cellStyle name="20% - Énfasis6 29 7" xfId="8128" xr:uid="{00000000-0005-0000-0000-0000C41F0000}"/>
    <cellStyle name="20% - Énfasis6 29 8" xfId="8129" xr:uid="{00000000-0005-0000-0000-0000C51F0000}"/>
    <cellStyle name="20% - Énfasis6 29 9" xfId="8130" xr:uid="{00000000-0005-0000-0000-0000C61F0000}"/>
    <cellStyle name="20% - Énfasis6 3" xfId="8131" xr:uid="{00000000-0005-0000-0000-0000C71F0000}"/>
    <cellStyle name="20% - Énfasis6 3 10" xfId="8132" xr:uid="{00000000-0005-0000-0000-0000C81F0000}"/>
    <cellStyle name="20% - Énfasis6 3 11" xfId="8133" xr:uid="{00000000-0005-0000-0000-0000C91F0000}"/>
    <cellStyle name="20% - Énfasis6 3 12" xfId="8134" xr:uid="{00000000-0005-0000-0000-0000CA1F0000}"/>
    <cellStyle name="20% - Énfasis6 3 13" xfId="8135" xr:uid="{00000000-0005-0000-0000-0000CB1F0000}"/>
    <cellStyle name="20% - Énfasis6 3 14" xfId="8136" xr:uid="{00000000-0005-0000-0000-0000CC1F0000}"/>
    <cellStyle name="20% - Énfasis6 3 15" xfId="8137" xr:uid="{00000000-0005-0000-0000-0000CD1F0000}"/>
    <cellStyle name="20% - Énfasis6 3 16" xfId="8138" xr:uid="{00000000-0005-0000-0000-0000CE1F0000}"/>
    <cellStyle name="20% - Énfasis6 3 17" xfId="8139" xr:uid="{00000000-0005-0000-0000-0000CF1F0000}"/>
    <cellStyle name="20% - Énfasis6 3 18" xfId="8140" xr:uid="{00000000-0005-0000-0000-0000D01F0000}"/>
    <cellStyle name="20% - Énfasis6 3 19" xfId="8141" xr:uid="{00000000-0005-0000-0000-0000D11F0000}"/>
    <cellStyle name="20% - Énfasis6 3 2" xfId="8142" xr:uid="{00000000-0005-0000-0000-0000D21F0000}"/>
    <cellStyle name="20% - Énfasis6 3 20" xfId="8143" xr:uid="{00000000-0005-0000-0000-0000D31F0000}"/>
    <cellStyle name="20% - Énfasis6 3 3" xfId="8144" xr:uid="{00000000-0005-0000-0000-0000D41F0000}"/>
    <cellStyle name="20% - Énfasis6 3 4" xfId="8145" xr:uid="{00000000-0005-0000-0000-0000D51F0000}"/>
    <cellStyle name="20% - Énfasis6 3 5" xfId="8146" xr:uid="{00000000-0005-0000-0000-0000D61F0000}"/>
    <cellStyle name="20% - Énfasis6 3 6" xfId="8147" xr:uid="{00000000-0005-0000-0000-0000D71F0000}"/>
    <cellStyle name="20% - Énfasis6 3 7" xfId="8148" xr:uid="{00000000-0005-0000-0000-0000D81F0000}"/>
    <cellStyle name="20% - Énfasis6 3 8" xfId="8149" xr:uid="{00000000-0005-0000-0000-0000D91F0000}"/>
    <cellStyle name="20% - Énfasis6 3 9" xfId="8150" xr:uid="{00000000-0005-0000-0000-0000DA1F0000}"/>
    <cellStyle name="20% - Énfasis6 30" xfId="8151" xr:uid="{00000000-0005-0000-0000-0000DB1F0000}"/>
    <cellStyle name="20% - Énfasis6 30 10" xfId="8152" xr:uid="{00000000-0005-0000-0000-0000DC1F0000}"/>
    <cellStyle name="20% - Énfasis6 30 11" xfId="8153" xr:uid="{00000000-0005-0000-0000-0000DD1F0000}"/>
    <cellStyle name="20% - Énfasis6 30 12" xfId="8154" xr:uid="{00000000-0005-0000-0000-0000DE1F0000}"/>
    <cellStyle name="20% - Énfasis6 30 13" xfId="8155" xr:uid="{00000000-0005-0000-0000-0000DF1F0000}"/>
    <cellStyle name="20% - Énfasis6 30 14" xfId="8156" xr:uid="{00000000-0005-0000-0000-0000E01F0000}"/>
    <cellStyle name="20% - Énfasis6 30 15" xfId="8157" xr:uid="{00000000-0005-0000-0000-0000E11F0000}"/>
    <cellStyle name="20% - Énfasis6 30 16" xfId="8158" xr:uid="{00000000-0005-0000-0000-0000E21F0000}"/>
    <cellStyle name="20% - Énfasis6 30 17" xfId="8159" xr:uid="{00000000-0005-0000-0000-0000E31F0000}"/>
    <cellStyle name="20% - Énfasis6 30 18" xfId="8160" xr:uid="{00000000-0005-0000-0000-0000E41F0000}"/>
    <cellStyle name="20% - Énfasis6 30 19" xfId="8161" xr:uid="{00000000-0005-0000-0000-0000E51F0000}"/>
    <cellStyle name="20% - Énfasis6 30 2" xfId="8162" xr:uid="{00000000-0005-0000-0000-0000E61F0000}"/>
    <cellStyle name="20% - Énfasis6 30 3" xfId="8163" xr:uid="{00000000-0005-0000-0000-0000E71F0000}"/>
    <cellStyle name="20% - Énfasis6 30 4" xfId="8164" xr:uid="{00000000-0005-0000-0000-0000E81F0000}"/>
    <cellStyle name="20% - Énfasis6 30 5" xfId="8165" xr:uid="{00000000-0005-0000-0000-0000E91F0000}"/>
    <cellStyle name="20% - Énfasis6 30 6" xfId="8166" xr:uid="{00000000-0005-0000-0000-0000EA1F0000}"/>
    <cellStyle name="20% - Énfasis6 30 7" xfId="8167" xr:uid="{00000000-0005-0000-0000-0000EB1F0000}"/>
    <cellStyle name="20% - Énfasis6 30 8" xfId="8168" xr:uid="{00000000-0005-0000-0000-0000EC1F0000}"/>
    <cellStyle name="20% - Énfasis6 30 9" xfId="8169" xr:uid="{00000000-0005-0000-0000-0000ED1F0000}"/>
    <cellStyle name="20% - Énfasis6 31" xfId="8170" xr:uid="{00000000-0005-0000-0000-0000EE1F0000}"/>
    <cellStyle name="20% - Énfasis6 31 10" xfId="8171" xr:uid="{00000000-0005-0000-0000-0000EF1F0000}"/>
    <cellStyle name="20% - Énfasis6 31 11" xfId="8172" xr:uid="{00000000-0005-0000-0000-0000F01F0000}"/>
    <cellStyle name="20% - Énfasis6 31 12" xfId="8173" xr:uid="{00000000-0005-0000-0000-0000F11F0000}"/>
    <cellStyle name="20% - Énfasis6 31 13" xfId="8174" xr:uid="{00000000-0005-0000-0000-0000F21F0000}"/>
    <cellStyle name="20% - Énfasis6 31 14" xfId="8175" xr:uid="{00000000-0005-0000-0000-0000F31F0000}"/>
    <cellStyle name="20% - Énfasis6 31 15" xfId="8176" xr:uid="{00000000-0005-0000-0000-0000F41F0000}"/>
    <cellStyle name="20% - Énfasis6 31 16" xfId="8177" xr:uid="{00000000-0005-0000-0000-0000F51F0000}"/>
    <cellStyle name="20% - Énfasis6 31 17" xfId="8178" xr:uid="{00000000-0005-0000-0000-0000F61F0000}"/>
    <cellStyle name="20% - Énfasis6 31 18" xfId="8179" xr:uid="{00000000-0005-0000-0000-0000F71F0000}"/>
    <cellStyle name="20% - Énfasis6 31 19" xfId="8180" xr:uid="{00000000-0005-0000-0000-0000F81F0000}"/>
    <cellStyle name="20% - Énfasis6 31 2" xfId="8181" xr:uid="{00000000-0005-0000-0000-0000F91F0000}"/>
    <cellStyle name="20% - Énfasis6 31 3" xfId="8182" xr:uid="{00000000-0005-0000-0000-0000FA1F0000}"/>
    <cellStyle name="20% - Énfasis6 31 4" xfId="8183" xr:uid="{00000000-0005-0000-0000-0000FB1F0000}"/>
    <cellStyle name="20% - Énfasis6 31 5" xfId="8184" xr:uid="{00000000-0005-0000-0000-0000FC1F0000}"/>
    <cellStyle name="20% - Énfasis6 31 6" xfId="8185" xr:uid="{00000000-0005-0000-0000-0000FD1F0000}"/>
    <cellStyle name="20% - Énfasis6 31 7" xfId="8186" xr:uid="{00000000-0005-0000-0000-0000FE1F0000}"/>
    <cellStyle name="20% - Énfasis6 31 8" xfId="8187" xr:uid="{00000000-0005-0000-0000-0000FF1F0000}"/>
    <cellStyle name="20% - Énfasis6 31 9" xfId="8188" xr:uid="{00000000-0005-0000-0000-000000200000}"/>
    <cellStyle name="20% - Énfasis6 32" xfId="8189" xr:uid="{00000000-0005-0000-0000-000001200000}"/>
    <cellStyle name="20% - Énfasis6 32 10" xfId="8190" xr:uid="{00000000-0005-0000-0000-000002200000}"/>
    <cellStyle name="20% - Énfasis6 32 11" xfId="8191" xr:uid="{00000000-0005-0000-0000-000003200000}"/>
    <cellStyle name="20% - Énfasis6 32 12" xfId="8192" xr:uid="{00000000-0005-0000-0000-000004200000}"/>
    <cellStyle name="20% - Énfasis6 32 13" xfId="8193" xr:uid="{00000000-0005-0000-0000-000005200000}"/>
    <cellStyle name="20% - Énfasis6 32 14" xfId="8194" xr:uid="{00000000-0005-0000-0000-000006200000}"/>
    <cellStyle name="20% - Énfasis6 32 15" xfId="8195" xr:uid="{00000000-0005-0000-0000-000007200000}"/>
    <cellStyle name="20% - Énfasis6 32 16" xfId="8196" xr:uid="{00000000-0005-0000-0000-000008200000}"/>
    <cellStyle name="20% - Énfasis6 32 17" xfId="8197" xr:uid="{00000000-0005-0000-0000-000009200000}"/>
    <cellStyle name="20% - Énfasis6 32 18" xfId="8198" xr:uid="{00000000-0005-0000-0000-00000A200000}"/>
    <cellStyle name="20% - Énfasis6 32 19" xfId="8199" xr:uid="{00000000-0005-0000-0000-00000B200000}"/>
    <cellStyle name="20% - Énfasis6 32 2" xfId="8200" xr:uid="{00000000-0005-0000-0000-00000C200000}"/>
    <cellStyle name="20% - Énfasis6 32 3" xfId="8201" xr:uid="{00000000-0005-0000-0000-00000D200000}"/>
    <cellStyle name="20% - Énfasis6 32 4" xfId="8202" xr:uid="{00000000-0005-0000-0000-00000E200000}"/>
    <cellStyle name="20% - Énfasis6 32 5" xfId="8203" xr:uid="{00000000-0005-0000-0000-00000F200000}"/>
    <cellStyle name="20% - Énfasis6 32 6" xfId="8204" xr:uid="{00000000-0005-0000-0000-000010200000}"/>
    <cellStyle name="20% - Énfasis6 32 7" xfId="8205" xr:uid="{00000000-0005-0000-0000-000011200000}"/>
    <cellStyle name="20% - Énfasis6 32 8" xfId="8206" xr:uid="{00000000-0005-0000-0000-000012200000}"/>
    <cellStyle name="20% - Énfasis6 32 9" xfId="8207" xr:uid="{00000000-0005-0000-0000-000013200000}"/>
    <cellStyle name="20% - Énfasis6 33" xfId="8208" xr:uid="{00000000-0005-0000-0000-000014200000}"/>
    <cellStyle name="20% - Énfasis6 33 10" xfId="8209" xr:uid="{00000000-0005-0000-0000-000015200000}"/>
    <cellStyle name="20% - Énfasis6 33 11" xfId="8210" xr:uid="{00000000-0005-0000-0000-000016200000}"/>
    <cellStyle name="20% - Énfasis6 33 12" xfId="8211" xr:uid="{00000000-0005-0000-0000-000017200000}"/>
    <cellStyle name="20% - Énfasis6 33 13" xfId="8212" xr:uid="{00000000-0005-0000-0000-000018200000}"/>
    <cellStyle name="20% - Énfasis6 33 14" xfId="8213" xr:uid="{00000000-0005-0000-0000-000019200000}"/>
    <cellStyle name="20% - Énfasis6 33 15" xfId="8214" xr:uid="{00000000-0005-0000-0000-00001A200000}"/>
    <cellStyle name="20% - Énfasis6 33 16" xfId="8215" xr:uid="{00000000-0005-0000-0000-00001B200000}"/>
    <cellStyle name="20% - Énfasis6 33 17" xfId="8216" xr:uid="{00000000-0005-0000-0000-00001C200000}"/>
    <cellStyle name="20% - Énfasis6 33 18" xfId="8217" xr:uid="{00000000-0005-0000-0000-00001D200000}"/>
    <cellStyle name="20% - Énfasis6 33 19" xfId="8218" xr:uid="{00000000-0005-0000-0000-00001E200000}"/>
    <cellStyle name="20% - Énfasis6 33 2" xfId="8219" xr:uid="{00000000-0005-0000-0000-00001F200000}"/>
    <cellStyle name="20% - Énfasis6 33 3" xfId="8220" xr:uid="{00000000-0005-0000-0000-000020200000}"/>
    <cellStyle name="20% - Énfasis6 33 4" xfId="8221" xr:uid="{00000000-0005-0000-0000-000021200000}"/>
    <cellStyle name="20% - Énfasis6 33 5" xfId="8222" xr:uid="{00000000-0005-0000-0000-000022200000}"/>
    <cellStyle name="20% - Énfasis6 33 6" xfId="8223" xr:uid="{00000000-0005-0000-0000-000023200000}"/>
    <cellStyle name="20% - Énfasis6 33 7" xfId="8224" xr:uid="{00000000-0005-0000-0000-000024200000}"/>
    <cellStyle name="20% - Énfasis6 33 8" xfId="8225" xr:uid="{00000000-0005-0000-0000-000025200000}"/>
    <cellStyle name="20% - Énfasis6 33 9" xfId="8226" xr:uid="{00000000-0005-0000-0000-000026200000}"/>
    <cellStyle name="20% - Énfasis6 34" xfId="8227" xr:uid="{00000000-0005-0000-0000-000027200000}"/>
    <cellStyle name="20% - Énfasis6 34 10" xfId="8228" xr:uid="{00000000-0005-0000-0000-000028200000}"/>
    <cellStyle name="20% - Énfasis6 34 11" xfId="8229" xr:uid="{00000000-0005-0000-0000-000029200000}"/>
    <cellStyle name="20% - Énfasis6 34 12" xfId="8230" xr:uid="{00000000-0005-0000-0000-00002A200000}"/>
    <cellStyle name="20% - Énfasis6 34 13" xfId="8231" xr:uid="{00000000-0005-0000-0000-00002B200000}"/>
    <cellStyle name="20% - Énfasis6 34 14" xfId="8232" xr:uid="{00000000-0005-0000-0000-00002C200000}"/>
    <cellStyle name="20% - Énfasis6 34 15" xfId="8233" xr:uid="{00000000-0005-0000-0000-00002D200000}"/>
    <cellStyle name="20% - Énfasis6 34 16" xfId="8234" xr:uid="{00000000-0005-0000-0000-00002E200000}"/>
    <cellStyle name="20% - Énfasis6 34 17" xfId="8235" xr:uid="{00000000-0005-0000-0000-00002F200000}"/>
    <cellStyle name="20% - Énfasis6 34 18" xfId="8236" xr:uid="{00000000-0005-0000-0000-000030200000}"/>
    <cellStyle name="20% - Énfasis6 34 19" xfId="8237" xr:uid="{00000000-0005-0000-0000-000031200000}"/>
    <cellStyle name="20% - Énfasis6 34 2" xfId="8238" xr:uid="{00000000-0005-0000-0000-000032200000}"/>
    <cellStyle name="20% - Énfasis6 34 3" xfId="8239" xr:uid="{00000000-0005-0000-0000-000033200000}"/>
    <cellStyle name="20% - Énfasis6 34 4" xfId="8240" xr:uid="{00000000-0005-0000-0000-000034200000}"/>
    <cellStyle name="20% - Énfasis6 34 5" xfId="8241" xr:uid="{00000000-0005-0000-0000-000035200000}"/>
    <cellStyle name="20% - Énfasis6 34 6" xfId="8242" xr:uid="{00000000-0005-0000-0000-000036200000}"/>
    <cellStyle name="20% - Énfasis6 34 7" xfId="8243" xr:uid="{00000000-0005-0000-0000-000037200000}"/>
    <cellStyle name="20% - Énfasis6 34 8" xfId="8244" xr:uid="{00000000-0005-0000-0000-000038200000}"/>
    <cellStyle name="20% - Énfasis6 34 9" xfId="8245" xr:uid="{00000000-0005-0000-0000-000039200000}"/>
    <cellStyle name="20% - Énfasis6 35" xfId="8246" xr:uid="{00000000-0005-0000-0000-00003A200000}"/>
    <cellStyle name="20% - Énfasis6 35 10" xfId="8247" xr:uid="{00000000-0005-0000-0000-00003B200000}"/>
    <cellStyle name="20% - Énfasis6 35 11" xfId="8248" xr:uid="{00000000-0005-0000-0000-00003C200000}"/>
    <cellStyle name="20% - Énfasis6 35 12" xfId="8249" xr:uid="{00000000-0005-0000-0000-00003D200000}"/>
    <cellStyle name="20% - Énfasis6 35 13" xfId="8250" xr:uid="{00000000-0005-0000-0000-00003E200000}"/>
    <cellStyle name="20% - Énfasis6 35 14" xfId="8251" xr:uid="{00000000-0005-0000-0000-00003F200000}"/>
    <cellStyle name="20% - Énfasis6 35 15" xfId="8252" xr:uid="{00000000-0005-0000-0000-000040200000}"/>
    <cellStyle name="20% - Énfasis6 35 16" xfId="8253" xr:uid="{00000000-0005-0000-0000-000041200000}"/>
    <cellStyle name="20% - Énfasis6 35 17" xfId="8254" xr:uid="{00000000-0005-0000-0000-000042200000}"/>
    <cellStyle name="20% - Énfasis6 35 18" xfId="8255" xr:uid="{00000000-0005-0000-0000-000043200000}"/>
    <cellStyle name="20% - Énfasis6 35 19" xfId="8256" xr:uid="{00000000-0005-0000-0000-000044200000}"/>
    <cellStyle name="20% - Énfasis6 35 2" xfId="8257" xr:uid="{00000000-0005-0000-0000-000045200000}"/>
    <cellStyle name="20% - Énfasis6 35 3" xfId="8258" xr:uid="{00000000-0005-0000-0000-000046200000}"/>
    <cellStyle name="20% - Énfasis6 35 4" xfId="8259" xr:uid="{00000000-0005-0000-0000-000047200000}"/>
    <cellStyle name="20% - Énfasis6 35 5" xfId="8260" xr:uid="{00000000-0005-0000-0000-000048200000}"/>
    <cellStyle name="20% - Énfasis6 35 6" xfId="8261" xr:uid="{00000000-0005-0000-0000-000049200000}"/>
    <cellStyle name="20% - Énfasis6 35 7" xfId="8262" xr:uid="{00000000-0005-0000-0000-00004A200000}"/>
    <cellStyle name="20% - Énfasis6 35 8" xfId="8263" xr:uid="{00000000-0005-0000-0000-00004B200000}"/>
    <cellStyle name="20% - Énfasis6 35 9" xfId="8264" xr:uid="{00000000-0005-0000-0000-00004C200000}"/>
    <cellStyle name="20% - Énfasis6 36" xfId="8265" xr:uid="{00000000-0005-0000-0000-00004D200000}"/>
    <cellStyle name="20% - Énfasis6 36 10" xfId="8266" xr:uid="{00000000-0005-0000-0000-00004E200000}"/>
    <cellStyle name="20% - Énfasis6 36 11" xfId="8267" xr:uid="{00000000-0005-0000-0000-00004F200000}"/>
    <cellStyle name="20% - Énfasis6 36 12" xfId="8268" xr:uid="{00000000-0005-0000-0000-000050200000}"/>
    <cellStyle name="20% - Énfasis6 36 13" xfId="8269" xr:uid="{00000000-0005-0000-0000-000051200000}"/>
    <cellStyle name="20% - Énfasis6 36 14" xfId="8270" xr:uid="{00000000-0005-0000-0000-000052200000}"/>
    <cellStyle name="20% - Énfasis6 36 15" xfId="8271" xr:uid="{00000000-0005-0000-0000-000053200000}"/>
    <cellStyle name="20% - Énfasis6 36 16" xfId="8272" xr:uid="{00000000-0005-0000-0000-000054200000}"/>
    <cellStyle name="20% - Énfasis6 36 17" xfId="8273" xr:uid="{00000000-0005-0000-0000-000055200000}"/>
    <cellStyle name="20% - Énfasis6 36 18" xfId="8274" xr:uid="{00000000-0005-0000-0000-000056200000}"/>
    <cellStyle name="20% - Énfasis6 36 19" xfId="8275" xr:uid="{00000000-0005-0000-0000-000057200000}"/>
    <cellStyle name="20% - Énfasis6 36 2" xfId="8276" xr:uid="{00000000-0005-0000-0000-000058200000}"/>
    <cellStyle name="20% - Énfasis6 36 3" xfId="8277" xr:uid="{00000000-0005-0000-0000-000059200000}"/>
    <cellStyle name="20% - Énfasis6 36 4" xfId="8278" xr:uid="{00000000-0005-0000-0000-00005A200000}"/>
    <cellStyle name="20% - Énfasis6 36 5" xfId="8279" xr:uid="{00000000-0005-0000-0000-00005B200000}"/>
    <cellStyle name="20% - Énfasis6 36 6" xfId="8280" xr:uid="{00000000-0005-0000-0000-00005C200000}"/>
    <cellStyle name="20% - Énfasis6 36 7" xfId="8281" xr:uid="{00000000-0005-0000-0000-00005D200000}"/>
    <cellStyle name="20% - Énfasis6 36 8" xfId="8282" xr:uid="{00000000-0005-0000-0000-00005E200000}"/>
    <cellStyle name="20% - Énfasis6 36 9" xfId="8283" xr:uid="{00000000-0005-0000-0000-00005F200000}"/>
    <cellStyle name="20% - Énfasis6 37" xfId="8284" xr:uid="{00000000-0005-0000-0000-000060200000}"/>
    <cellStyle name="20% - Énfasis6 38" xfId="8285" xr:uid="{00000000-0005-0000-0000-000061200000}"/>
    <cellStyle name="20% - Énfasis6 39" xfId="8286" xr:uid="{00000000-0005-0000-0000-000062200000}"/>
    <cellStyle name="20% - Énfasis6 4" xfId="8287" xr:uid="{00000000-0005-0000-0000-000063200000}"/>
    <cellStyle name="20% - Énfasis6 4 10" xfId="8288" xr:uid="{00000000-0005-0000-0000-000064200000}"/>
    <cellStyle name="20% - Énfasis6 4 11" xfId="8289" xr:uid="{00000000-0005-0000-0000-000065200000}"/>
    <cellStyle name="20% - Énfasis6 4 12" xfId="8290" xr:uid="{00000000-0005-0000-0000-000066200000}"/>
    <cellStyle name="20% - Énfasis6 4 13" xfId="8291" xr:uid="{00000000-0005-0000-0000-000067200000}"/>
    <cellStyle name="20% - Énfasis6 4 14" xfId="8292" xr:uid="{00000000-0005-0000-0000-000068200000}"/>
    <cellStyle name="20% - Énfasis6 4 15" xfId="8293" xr:uid="{00000000-0005-0000-0000-000069200000}"/>
    <cellStyle name="20% - Énfasis6 4 16" xfId="8294" xr:uid="{00000000-0005-0000-0000-00006A200000}"/>
    <cellStyle name="20% - Énfasis6 4 17" xfId="8295" xr:uid="{00000000-0005-0000-0000-00006B200000}"/>
    <cellStyle name="20% - Énfasis6 4 18" xfId="8296" xr:uid="{00000000-0005-0000-0000-00006C200000}"/>
    <cellStyle name="20% - Énfasis6 4 19" xfId="8297" xr:uid="{00000000-0005-0000-0000-00006D200000}"/>
    <cellStyle name="20% - Énfasis6 4 2" xfId="8298" xr:uid="{00000000-0005-0000-0000-00006E200000}"/>
    <cellStyle name="20% - Énfasis6 4 20" xfId="8299" xr:uid="{00000000-0005-0000-0000-00006F200000}"/>
    <cellStyle name="20% - Énfasis6 4 3" xfId="8300" xr:uid="{00000000-0005-0000-0000-000070200000}"/>
    <cellStyle name="20% - Énfasis6 4 4" xfId="8301" xr:uid="{00000000-0005-0000-0000-000071200000}"/>
    <cellStyle name="20% - Énfasis6 4 5" xfId="8302" xr:uid="{00000000-0005-0000-0000-000072200000}"/>
    <cellStyle name="20% - Énfasis6 4 6" xfId="8303" xr:uid="{00000000-0005-0000-0000-000073200000}"/>
    <cellStyle name="20% - Énfasis6 4 7" xfId="8304" xr:uid="{00000000-0005-0000-0000-000074200000}"/>
    <cellStyle name="20% - Énfasis6 4 8" xfId="8305" xr:uid="{00000000-0005-0000-0000-000075200000}"/>
    <cellStyle name="20% - Énfasis6 4 9" xfId="8306" xr:uid="{00000000-0005-0000-0000-000076200000}"/>
    <cellStyle name="20% - Énfasis6 40" xfId="8307" xr:uid="{00000000-0005-0000-0000-000077200000}"/>
    <cellStyle name="20% - Énfasis6 41" xfId="8308" xr:uid="{00000000-0005-0000-0000-000078200000}"/>
    <cellStyle name="20% - Énfasis6 42" xfId="8309" xr:uid="{00000000-0005-0000-0000-000079200000}"/>
    <cellStyle name="20% - Énfasis6 43" xfId="8310" xr:uid="{00000000-0005-0000-0000-00007A200000}"/>
    <cellStyle name="20% - Énfasis6 44" xfId="8311" xr:uid="{00000000-0005-0000-0000-00007B200000}"/>
    <cellStyle name="20% - Énfasis6 45" xfId="8312" xr:uid="{00000000-0005-0000-0000-00007C200000}"/>
    <cellStyle name="20% - Énfasis6 46" xfId="8313" xr:uid="{00000000-0005-0000-0000-00007D200000}"/>
    <cellStyle name="20% - Énfasis6 47" xfId="8314" xr:uid="{00000000-0005-0000-0000-00007E200000}"/>
    <cellStyle name="20% - Énfasis6 48" xfId="8315" xr:uid="{00000000-0005-0000-0000-00007F200000}"/>
    <cellStyle name="20% - Énfasis6 49" xfId="8316" xr:uid="{00000000-0005-0000-0000-000080200000}"/>
    <cellStyle name="20% - Énfasis6 5" xfId="8317" xr:uid="{00000000-0005-0000-0000-000081200000}"/>
    <cellStyle name="20% - Énfasis6 5 10" xfId="8318" xr:uid="{00000000-0005-0000-0000-000082200000}"/>
    <cellStyle name="20% - Énfasis6 5 11" xfId="8319" xr:uid="{00000000-0005-0000-0000-000083200000}"/>
    <cellStyle name="20% - Énfasis6 5 12" xfId="8320" xr:uid="{00000000-0005-0000-0000-000084200000}"/>
    <cellStyle name="20% - Énfasis6 5 13" xfId="8321" xr:uid="{00000000-0005-0000-0000-000085200000}"/>
    <cellStyle name="20% - Énfasis6 5 14" xfId="8322" xr:uid="{00000000-0005-0000-0000-000086200000}"/>
    <cellStyle name="20% - Énfasis6 5 15" xfId="8323" xr:uid="{00000000-0005-0000-0000-000087200000}"/>
    <cellStyle name="20% - Énfasis6 5 16" xfId="8324" xr:uid="{00000000-0005-0000-0000-000088200000}"/>
    <cellStyle name="20% - Énfasis6 5 17" xfId="8325" xr:uid="{00000000-0005-0000-0000-000089200000}"/>
    <cellStyle name="20% - Énfasis6 5 18" xfId="8326" xr:uid="{00000000-0005-0000-0000-00008A200000}"/>
    <cellStyle name="20% - Énfasis6 5 19" xfId="8327" xr:uid="{00000000-0005-0000-0000-00008B200000}"/>
    <cellStyle name="20% - Énfasis6 5 2" xfId="8328" xr:uid="{00000000-0005-0000-0000-00008C200000}"/>
    <cellStyle name="20% - Énfasis6 5 20" xfId="8329" xr:uid="{00000000-0005-0000-0000-00008D200000}"/>
    <cellStyle name="20% - Énfasis6 5 3" xfId="8330" xr:uid="{00000000-0005-0000-0000-00008E200000}"/>
    <cellStyle name="20% - Énfasis6 5 4" xfId="8331" xr:uid="{00000000-0005-0000-0000-00008F200000}"/>
    <cellStyle name="20% - Énfasis6 5 5" xfId="8332" xr:uid="{00000000-0005-0000-0000-000090200000}"/>
    <cellStyle name="20% - Énfasis6 5 6" xfId="8333" xr:uid="{00000000-0005-0000-0000-000091200000}"/>
    <cellStyle name="20% - Énfasis6 5 7" xfId="8334" xr:uid="{00000000-0005-0000-0000-000092200000}"/>
    <cellStyle name="20% - Énfasis6 5 8" xfId="8335" xr:uid="{00000000-0005-0000-0000-000093200000}"/>
    <cellStyle name="20% - Énfasis6 5 9" xfId="8336" xr:uid="{00000000-0005-0000-0000-000094200000}"/>
    <cellStyle name="20% - Énfasis6 50" xfId="8337" xr:uid="{00000000-0005-0000-0000-000095200000}"/>
    <cellStyle name="20% - Énfasis6 51" xfId="8338" xr:uid="{00000000-0005-0000-0000-000096200000}"/>
    <cellStyle name="20% - Énfasis6 52" xfId="8339" xr:uid="{00000000-0005-0000-0000-000097200000}"/>
    <cellStyle name="20% - Énfasis6 53" xfId="8340" xr:uid="{00000000-0005-0000-0000-000098200000}"/>
    <cellStyle name="20% - Énfasis6 54" xfId="8341" xr:uid="{00000000-0005-0000-0000-000099200000}"/>
    <cellStyle name="20% - Énfasis6 55" xfId="8342" xr:uid="{00000000-0005-0000-0000-00009A200000}"/>
    <cellStyle name="20% - Énfasis6 56" xfId="8343" xr:uid="{00000000-0005-0000-0000-00009B200000}"/>
    <cellStyle name="20% - Énfasis6 57" xfId="8344" xr:uid="{00000000-0005-0000-0000-00009C200000}"/>
    <cellStyle name="20% - Énfasis6 58" xfId="8345" xr:uid="{00000000-0005-0000-0000-00009D200000}"/>
    <cellStyle name="20% - Énfasis6 59" xfId="8346" xr:uid="{00000000-0005-0000-0000-00009E200000}"/>
    <cellStyle name="20% - Énfasis6 6" xfId="8347" xr:uid="{00000000-0005-0000-0000-00009F200000}"/>
    <cellStyle name="20% - Énfasis6 6 10" xfId="8348" xr:uid="{00000000-0005-0000-0000-0000A0200000}"/>
    <cellStyle name="20% - Énfasis6 6 11" xfId="8349" xr:uid="{00000000-0005-0000-0000-0000A1200000}"/>
    <cellStyle name="20% - Énfasis6 6 12" xfId="8350" xr:uid="{00000000-0005-0000-0000-0000A2200000}"/>
    <cellStyle name="20% - Énfasis6 6 13" xfId="8351" xr:uid="{00000000-0005-0000-0000-0000A3200000}"/>
    <cellStyle name="20% - Énfasis6 6 14" xfId="8352" xr:uid="{00000000-0005-0000-0000-0000A4200000}"/>
    <cellStyle name="20% - Énfasis6 6 15" xfId="8353" xr:uid="{00000000-0005-0000-0000-0000A5200000}"/>
    <cellStyle name="20% - Énfasis6 6 16" xfId="8354" xr:uid="{00000000-0005-0000-0000-0000A6200000}"/>
    <cellStyle name="20% - Énfasis6 6 17" xfId="8355" xr:uid="{00000000-0005-0000-0000-0000A7200000}"/>
    <cellStyle name="20% - Énfasis6 6 18" xfId="8356" xr:uid="{00000000-0005-0000-0000-0000A8200000}"/>
    <cellStyle name="20% - Énfasis6 6 19" xfId="8357" xr:uid="{00000000-0005-0000-0000-0000A9200000}"/>
    <cellStyle name="20% - Énfasis6 6 2" xfId="8358" xr:uid="{00000000-0005-0000-0000-0000AA200000}"/>
    <cellStyle name="20% - Énfasis6 6 20" xfId="8359" xr:uid="{00000000-0005-0000-0000-0000AB200000}"/>
    <cellStyle name="20% - Énfasis6 6 3" xfId="8360" xr:uid="{00000000-0005-0000-0000-0000AC200000}"/>
    <cellStyle name="20% - Énfasis6 6 4" xfId="8361" xr:uid="{00000000-0005-0000-0000-0000AD200000}"/>
    <cellStyle name="20% - Énfasis6 6 5" xfId="8362" xr:uid="{00000000-0005-0000-0000-0000AE200000}"/>
    <cellStyle name="20% - Énfasis6 6 6" xfId="8363" xr:uid="{00000000-0005-0000-0000-0000AF200000}"/>
    <cellStyle name="20% - Énfasis6 6 7" xfId="8364" xr:uid="{00000000-0005-0000-0000-0000B0200000}"/>
    <cellStyle name="20% - Énfasis6 6 8" xfId="8365" xr:uid="{00000000-0005-0000-0000-0000B1200000}"/>
    <cellStyle name="20% - Énfasis6 6 9" xfId="8366" xr:uid="{00000000-0005-0000-0000-0000B2200000}"/>
    <cellStyle name="20% - Énfasis6 60" xfId="8367" xr:uid="{00000000-0005-0000-0000-0000B3200000}"/>
    <cellStyle name="20% - Énfasis6 61" xfId="8368" xr:uid="{00000000-0005-0000-0000-0000B4200000}"/>
    <cellStyle name="20% - Énfasis6 62" xfId="8369" xr:uid="{00000000-0005-0000-0000-0000B5200000}"/>
    <cellStyle name="20% - Énfasis6 63" xfId="8370" xr:uid="{00000000-0005-0000-0000-0000B6200000}"/>
    <cellStyle name="20% - Énfasis6 64" xfId="8371" xr:uid="{00000000-0005-0000-0000-0000B7200000}"/>
    <cellStyle name="20% - Énfasis6 65" xfId="8372" xr:uid="{00000000-0005-0000-0000-0000B8200000}"/>
    <cellStyle name="20% - Énfasis6 66" xfId="8373" xr:uid="{00000000-0005-0000-0000-0000B9200000}"/>
    <cellStyle name="20% - Énfasis6 67" xfId="8374" xr:uid="{00000000-0005-0000-0000-0000BA200000}"/>
    <cellStyle name="20% - Énfasis6 68" xfId="8375" xr:uid="{00000000-0005-0000-0000-0000BB200000}"/>
    <cellStyle name="20% - Énfasis6 69" xfId="8376" xr:uid="{00000000-0005-0000-0000-0000BC200000}"/>
    <cellStyle name="20% - Énfasis6 7" xfId="8377" xr:uid="{00000000-0005-0000-0000-0000BD200000}"/>
    <cellStyle name="20% - Énfasis6 7 10" xfId="8378" xr:uid="{00000000-0005-0000-0000-0000BE200000}"/>
    <cellStyle name="20% - Énfasis6 7 11" xfId="8379" xr:uid="{00000000-0005-0000-0000-0000BF200000}"/>
    <cellStyle name="20% - Énfasis6 7 12" xfId="8380" xr:uid="{00000000-0005-0000-0000-0000C0200000}"/>
    <cellStyle name="20% - Énfasis6 7 13" xfId="8381" xr:uid="{00000000-0005-0000-0000-0000C1200000}"/>
    <cellStyle name="20% - Énfasis6 7 14" xfId="8382" xr:uid="{00000000-0005-0000-0000-0000C2200000}"/>
    <cellStyle name="20% - Énfasis6 7 15" xfId="8383" xr:uid="{00000000-0005-0000-0000-0000C3200000}"/>
    <cellStyle name="20% - Énfasis6 7 16" xfId="8384" xr:uid="{00000000-0005-0000-0000-0000C4200000}"/>
    <cellStyle name="20% - Énfasis6 7 17" xfId="8385" xr:uid="{00000000-0005-0000-0000-0000C5200000}"/>
    <cellStyle name="20% - Énfasis6 7 18" xfId="8386" xr:uid="{00000000-0005-0000-0000-0000C6200000}"/>
    <cellStyle name="20% - Énfasis6 7 19" xfId="8387" xr:uid="{00000000-0005-0000-0000-0000C7200000}"/>
    <cellStyle name="20% - Énfasis6 7 2" xfId="8388" xr:uid="{00000000-0005-0000-0000-0000C8200000}"/>
    <cellStyle name="20% - Énfasis6 7 20" xfId="8389" xr:uid="{00000000-0005-0000-0000-0000C9200000}"/>
    <cellStyle name="20% - Énfasis6 7 3" xfId="8390" xr:uid="{00000000-0005-0000-0000-0000CA200000}"/>
    <cellStyle name="20% - Énfasis6 7 4" xfId="8391" xr:uid="{00000000-0005-0000-0000-0000CB200000}"/>
    <cellStyle name="20% - Énfasis6 7 5" xfId="8392" xr:uid="{00000000-0005-0000-0000-0000CC200000}"/>
    <cellStyle name="20% - Énfasis6 7 6" xfId="8393" xr:uid="{00000000-0005-0000-0000-0000CD200000}"/>
    <cellStyle name="20% - Énfasis6 7 7" xfId="8394" xr:uid="{00000000-0005-0000-0000-0000CE200000}"/>
    <cellStyle name="20% - Énfasis6 7 8" xfId="8395" xr:uid="{00000000-0005-0000-0000-0000CF200000}"/>
    <cellStyle name="20% - Énfasis6 7 9" xfId="8396" xr:uid="{00000000-0005-0000-0000-0000D0200000}"/>
    <cellStyle name="20% - Énfasis6 70" xfId="8397" xr:uid="{00000000-0005-0000-0000-0000D1200000}"/>
    <cellStyle name="20% - Énfasis6 71" xfId="8398" xr:uid="{00000000-0005-0000-0000-0000D2200000}"/>
    <cellStyle name="20% - Énfasis6 72" xfId="8399" xr:uid="{00000000-0005-0000-0000-0000D3200000}"/>
    <cellStyle name="20% - Énfasis6 73" xfId="8400" xr:uid="{00000000-0005-0000-0000-0000D4200000}"/>
    <cellStyle name="20% - Énfasis6 74" xfId="8401" xr:uid="{00000000-0005-0000-0000-0000D5200000}"/>
    <cellStyle name="20% - Énfasis6 75" xfId="8402" xr:uid="{00000000-0005-0000-0000-0000D6200000}"/>
    <cellStyle name="20% - Énfasis6 76" xfId="8403" xr:uid="{00000000-0005-0000-0000-0000D7200000}"/>
    <cellStyle name="20% - Énfasis6 77" xfId="8404" xr:uid="{00000000-0005-0000-0000-0000D8200000}"/>
    <cellStyle name="20% - Énfasis6 78" xfId="8405" xr:uid="{00000000-0005-0000-0000-0000D9200000}"/>
    <cellStyle name="20% - Énfasis6 79" xfId="8406" xr:uid="{00000000-0005-0000-0000-0000DA200000}"/>
    <cellStyle name="20% - Énfasis6 8" xfId="8407" xr:uid="{00000000-0005-0000-0000-0000DB200000}"/>
    <cellStyle name="20% - Énfasis6 8 10" xfId="8408" xr:uid="{00000000-0005-0000-0000-0000DC200000}"/>
    <cellStyle name="20% - Énfasis6 8 11" xfId="8409" xr:uid="{00000000-0005-0000-0000-0000DD200000}"/>
    <cellStyle name="20% - Énfasis6 8 12" xfId="8410" xr:uid="{00000000-0005-0000-0000-0000DE200000}"/>
    <cellStyle name="20% - Énfasis6 8 13" xfId="8411" xr:uid="{00000000-0005-0000-0000-0000DF200000}"/>
    <cellStyle name="20% - Énfasis6 8 14" xfId="8412" xr:uid="{00000000-0005-0000-0000-0000E0200000}"/>
    <cellStyle name="20% - Énfasis6 8 15" xfId="8413" xr:uid="{00000000-0005-0000-0000-0000E1200000}"/>
    <cellStyle name="20% - Énfasis6 8 16" xfId="8414" xr:uid="{00000000-0005-0000-0000-0000E2200000}"/>
    <cellStyle name="20% - Énfasis6 8 17" xfId="8415" xr:uid="{00000000-0005-0000-0000-0000E3200000}"/>
    <cellStyle name="20% - Énfasis6 8 18" xfId="8416" xr:uid="{00000000-0005-0000-0000-0000E4200000}"/>
    <cellStyle name="20% - Énfasis6 8 19" xfId="8417" xr:uid="{00000000-0005-0000-0000-0000E5200000}"/>
    <cellStyle name="20% - Énfasis6 8 2" xfId="8418" xr:uid="{00000000-0005-0000-0000-0000E6200000}"/>
    <cellStyle name="20% - Énfasis6 8 20" xfId="8419" xr:uid="{00000000-0005-0000-0000-0000E7200000}"/>
    <cellStyle name="20% - Énfasis6 8 3" xfId="8420" xr:uid="{00000000-0005-0000-0000-0000E8200000}"/>
    <cellStyle name="20% - Énfasis6 8 4" xfId="8421" xr:uid="{00000000-0005-0000-0000-0000E9200000}"/>
    <cellStyle name="20% - Énfasis6 8 5" xfId="8422" xr:uid="{00000000-0005-0000-0000-0000EA200000}"/>
    <cellStyle name="20% - Énfasis6 8 6" xfId="8423" xr:uid="{00000000-0005-0000-0000-0000EB200000}"/>
    <cellStyle name="20% - Énfasis6 8 7" xfId="8424" xr:uid="{00000000-0005-0000-0000-0000EC200000}"/>
    <cellStyle name="20% - Énfasis6 8 8" xfId="8425" xr:uid="{00000000-0005-0000-0000-0000ED200000}"/>
    <cellStyle name="20% - Énfasis6 8 9" xfId="8426" xr:uid="{00000000-0005-0000-0000-0000EE200000}"/>
    <cellStyle name="20% - Énfasis6 80" xfId="8427" xr:uid="{00000000-0005-0000-0000-0000EF200000}"/>
    <cellStyle name="20% - Énfasis6 81" xfId="8428" xr:uid="{00000000-0005-0000-0000-0000F0200000}"/>
    <cellStyle name="20% - Énfasis6 82" xfId="8429" xr:uid="{00000000-0005-0000-0000-0000F1200000}"/>
    <cellStyle name="20% - Énfasis6 83" xfId="8430" xr:uid="{00000000-0005-0000-0000-0000F2200000}"/>
    <cellStyle name="20% - Énfasis6 84" xfId="8431" xr:uid="{00000000-0005-0000-0000-0000F3200000}"/>
    <cellStyle name="20% - Énfasis6 85" xfId="8432" xr:uid="{00000000-0005-0000-0000-0000F4200000}"/>
    <cellStyle name="20% - Énfasis6 86" xfId="8433" xr:uid="{00000000-0005-0000-0000-0000F5200000}"/>
    <cellStyle name="20% - Énfasis6 87" xfId="8434" xr:uid="{00000000-0005-0000-0000-0000F6200000}"/>
    <cellStyle name="20% - Énfasis6 88" xfId="8435" xr:uid="{00000000-0005-0000-0000-0000F7200000}"/>
    <cellStyle name="20% - Énfasis6 89" xfId="8436" xr:uid="{00000000-0005-0000-0000-0000F8200000}"/>
    <cellStyle name="20% - Énfasis6 9" xfId="8437" xr:uid="{00000000-0005-0000-0000-0000F9200000}"/>
    <cellStyle name="20% - Énfasis6 9 10" xfId="8438" xr:uid="{00000000-0005-0000-0000-0000FA200000}"/>
    <cellStyle name="20% - Énfasis6 9 11" xfId="8439" xr:uid="{00000000-0005-0000-0000-0000FB200000}"/>
    <cellStyle name="20% - Énfasis6 9 12" xfId="8440" xr:uid="{00000000-0005-0000-0000-0000FC200000}"/>
    <cellStyle name="20% - Énfasis6 9 13" xfId="8441" xr:uid="{00000000-0005-0000-0000-0000FD200000}"/>
    <cellStyle name="20% - Énfasis6 9 14" xfId="8442" xr:uid="{00000000-0005-0000-0000-0000FE200000}"/>
    <cellStyle name="20% - Énfasis6 9 15" xfId="8443" xr:uid="{00000000-0005-0000-0000-0000FF200000}"/>
    <cellStyle name="20% - Énfasis6 9 16" xfId="8444" xr:uid="{00000000-0005-0000-0000-000000210000}"/>
    <cellStyle name="20% - Énfasis6 9 17" xfId="8445" xr:uid="{00000000-0005-0000-0000-000001210000}"/>
    <cellStyle name="20% - Énfasis6 9 18" xfId="8446" xr:uid="{00000000-0005-0000-0000-000002210000}"/>
    <cellStyle name="20% - Énfasis6 9 19" xfId="8447" xr:uid="{00000000-0005-0000-0000-000003210000}"/>
    <cellStyle name="20% - Énfasis6 9 2" xfId="8448" xr:uid="{00000000-0005-0000-0000-000004210000}"/>
    <cellStyle name="20% - Énfasis6 9 20" xfId="8449" xr:uid="{00000000-0005-0000-0000-000005210000}"/>
    <cellStyle name="20% - Énfasis6 9 3" xfId="8450" xr:uid="{00000000-0005-0000-0000-000006210000}"/>
    <cellStyle name="20% - Énfasis6 9 4" xfId="8451" xr:uid="{00000000-0005-0000-0000-000007210000}"/>
    <cellStyle name="20% - Énfasis6 9 5" xfId="8452" xr:uid="{00000000-0005-0000-0000-000008210000}"/>
    <cellStyle name="20% - Énfasis6 9 6" xfId="8453" xr:uid="{00000000-0005-0000-0000-000009210000}"/>
    <cellStyle name="20% - Énfasis6 9 7" xfId="8454" xr:uid="{00000000-0005-0000-0000-00000A210000}"/>
    <cellStyle name="20% - Énfasis6 9 8" xfId="8455" xr:uid="{00000000-0005-0000-0000-00000B210000}"/>
    <cellStyle name="20% - Énfasis6 9 9" xfId="8456" xr:uid="{00000000-0005-0000-0000-00000C210000}"/>
    <cellStyle name="20% - Énfasis6 90" xfId="8457" xr:uid="{00000000-0005-0000-0000-00000D210000}"/>
    <cellStyle name="20% - Énfasis6 91" xfId="8458" xr:uid="{00000000-0005-0000-0000-00000E210000}"/>
    <cellStyle name="20% - Énfasis6 92" xfId="8459" xr:uid="{00000000-0005-0000-0000-00000F210000}"/>
    <cellStyle name="20% - Énfasis6 93" xfId="8460" xr:uid="{00000000-0005-0000-0000-000010210000}"/>
    <cellStyle name="20% - Énfasis6 94" xfId="8461" xr:uid="{00000000-0005-0000-0000-000011210000}"/>
    <cellStyle name="20% - Énfasis6 95" xfId="8462" xr:uid="{00000000-0005-0000-0000-000012210000}"/>
    <cellStyle name="20% - Énfasis6 96" xfId="8463" xr:uid="{00000000-0005-0000-0000-000013210000}"/>
    <cellStyle name="20% - Énfasis6 97" xfId="8464" xr:uid="{00000000-0005-0000-0000-000014210000}"/>
    <cellStyle name="20% - Énfasis6 98" xfId="15643" xr:uid="{00000000-0005-0000-0000-000015210000}"/>
    <cellStyle name="40% - Accent1" xfId="8465" xr:uid="{00000000-0005-0000-0000-000016210000}"/>
    <cellStyle name="40% - Accent2" xfId="8466" xr:uid="{00000000-0005-0000-0000-000017210000}"/>
    <cellStyle name="40% - Accent3" xfId="8467" xr:uid="{00000000-0005-0000-0000-000018210000}"/>
    <cellStyle name="40% - Accent4" xfId="8468" xr:uid="{00000000-0005-0000-0000-000019210000}"/>
    <cellStyle name="40% - Accent5" xfId="8469" xr:uid="{00000000-0005-0000-0000-00001A210000}"/>
    <cellStyle name="40% - Accent6" xfId="8470" xr:uid="{00000000-0005-0000-0000-00001B210000}"/>
    <cellStyle name="40% - Ênfase1" xfId="8471" xr:uid="{00000000-0005-0000-0000-00001C210000}"/>
    <cellStyle name="40% - Ênfase2" xfId="8472" xr:uid="{00000000-0005-0000-0000-00001D210000}"/>
    <cellStyle name="40% - Ênfase3" xfId="8473" xr:uid="{00000000-0005-0000-0000-00001E210000}"/>
    <cellStyle name="40% - Ênfase4" xfId="8474" xr:uid="{00000000-0005-0000-0000-00001F210000}"/>
    <cellStyle name="40% - Ênfase5" xfId="8475" xr:uid="{00000000-0005-0000-0000-000020210000}"/>
    <cellStyle name="40% - Ênfase6" xfId="8476" xr:uid="{00000000-0005-0000-0000-000021210000}"/>
    <cellStyle name="40% - Énfasis1" xfId="8477" builtinId="31" customBuiltin="1"/>
    <cellStyle name="40% - Énfasis1 10" xfId="8478" xr:uid="{00000000-0005-0000-0000-000023210000}"/>
    <cellStyle name="40% - Énfasis1 10 10" xfId="8479" xr:uid="{00000000-0005-0000-0000-000024210000}"/>
    <cellStyle name="40% - Énfasis1 10 11" xfId="8480" xr:uid="{00000000-0005-0000-0000-000025210000}"/>
    <cellStyle name="40% - Énfasis1 10 12" xfId="8481" xr:uid="{00000000-0005-0000-0000-000026210000}"/>
    <cellStyle name="40% - Énfasis1 10 13" xfId="8482" xr:uid="{00000000-0005-0000-0000-000027210000}"/>
    <cellStyle name="40% - Énfasis1 10 14" xfId="8483" xr:uid="{00000000-0005-0000-0000-000028210000}"/>
    <cellStyle name="40% - Énfasis1 10 15" xfId="8484" xr:uid="{00000000-0005-0000-0000-000029210000}"/>
    <cellStyle name="40% - Énfasis1 10 16" xfId="8485" xr:uid="{00000000-0005-0000-0000-00002A210000}"/>
    <cellStyle name="40% - Énfasis1 10 17" xfId="8486" xr:uid="{00000000-0005-0000-0000-00002B210000}"/>
    <cellStyle name="40% - Énfasis1 10 18" xfId="8487" xr:uid="{00000000-0005-0000-0000-00002C210000}"/>
    <cellStyle name="40% - Énfasis1 10 19" xfId="8488" xr:uid="{00000000-0005-0000-0000-00002D210000}"/>
    <cellStyle name="40% - Énfasis1 10 2" xfId="8489" xr:uid="{00000000-0005-0000-0000-00002E210000}"/>
    <cellStyle name="40% - Énfasis1 10 20" xfId="8490" xr:uid="{00000000-0005-0000-0000-00002F210000}"/>
    <cellStyle name="40% - Énfasis1 10 3" xfId="8491" xr:uid="{00000000-0005-0000-0000-000030210000}"/>
    <cellStyle name="40% - Énfasis1 10 4" xfId="8492" xr:uid="{00000000-0005-0000-0000-000031210000}"/>
    <cellStyle name="40% - Énfasis1 10 5" xfId="8493" xr:uid="{00000000-0005-0000-0000-000032210000}"/>
    <cellStyle name="40% - Énfasis1 10 6" xfId="8494" xr:uid="{00000000-0005-0000-0000-000033210000}"/>
    <cellStyle name="40% - Énfasis1 10 7" xfId="8495" xr:uid="{00000000-0005-0000-0000-000034210000}"/>
    <cellStyle name="40% - Énfasis1 10 8" xfId="8496" xr:uid="{00000000-0005-0000-0000-000035210000}"/>
    <cellStyle name="40% - Énfasis1 10 9" xfId="8497" xr:uid="{00000000-0005-0000-0000-000036210000}"/>
    <cellStyle name="40% - Énfasis1 11" xfId="8498" xr:uid="{00000000-0005-0000-0000-000037210000}"/>
    <cellStyle name="40% - Énfasis1 11 10" xfId="8499" xr:uid="{00000000-0005-0000-0000-000038210000}"/>
    <cellStyle name="40% - Énfasis1 11 11" xfId="8500" xr:uid="{00000000-0005-0000-0000-000039210000}"/>
    <cellStyle name="40% - Énfasis1 11 12" xfId="8501" xr:uid="{00000000-0005-0000-0000-00003A210000}"/>
    <cellStyle name="40% - Énfasis1 11 13" xfId="8502" xr:uid="{00000000-0005-0000-0000-00003B210000}"/>
    <cellStyle name="40% - Énfasis1 11 14" xfId="8503" xr:uid="{00000000-0005-0000-0000-00003C210000}"/>
    <cellStyle name="40% - Énfasis1 11 15" xfId="8504" xr:uid="{00000000-0005-0000-0000-00003D210000}"/>
    <cellStyle name="40% - Énfasis1 11 16" xfId="8505" xr:uid="{00000000-0005-0000-0000-00003E210000}"/>
    <cellStyle name="40% - Énfasis1 11 17" xfId="8506" xr:uid="{00000000-0005-0000-0000-00003F210000}"/>
    <cellStyle name="40% - Énfasis1 11 18" xfId="8507" xr:uid="{00000000-0005-0000-0000-000040210000}"/>
    <cellStyle name="40% - Énfasis1 11 19" xfId="8508" xr:uid="{00000000-0005-0000-0000-000041210000}"/>
    <cellStyle name="40% - Énfasis1 11 2" xfId="8509" xr:uid="{00000000-0005-0000-0000-000042210000}"/>
    <cellStyle name="40% - Énfasis1 11 20" xfId="8510" xr:uid="{00000000-0005-0000-0000-000043210000}"/>
    <cellStyle name="40% - Énfasis1 11 3" xfId="8511" xr:uid="{00000000-0005-0000-0000-000044210000}"/>
    <cellStyle name="40% - Énfasis1 11 4" xfId="8512" xr:uid="{00000000-0005-0000-0000-000045210000}"/>
    <cellStyle name="40% - Énfasis1 11 5" xfId="8513" xr:uid="{00000000-0005-0000-0000-000046210000}"/>
    <cellStyle name="40% - Énfasis1 11 6" xfId="8514" xr:uid="{00000000-0005-0000-0000-000047210000}"/>
    <cellStyle name="40% - Énfasis1 11 7" xfId="8515" xr:uid="{00000000-0005-0000-0000-000048210000}"/>
    <cellStyle name="40% - Énfasis1 11 8" xfId="8516" xr:uid="{00000000-0005-0000-0000-000049210000}"/>
    <cellStyle name="40% - Énfasis1 11 9" xfId="8517" xr:uid="{00000000-0005-0000-0000-00004A210000}"/>
    <cellStyle name="40% - Énfasis1 12" xfId="8518" xr:uid="{00000000-0005-0000-0000-00004B210000}"/>
    <cellStyle name="40% - Énfasis1 12 10" xfId="8519" xr:uid="{00000000-0005-0000-0000-00004C210000}"/>
    <cellStyle name="40% - Énfasis1 12 11" xfId="8520" xr:uid="{00000000-0005-0000-0000-00004D210000}"/>
    <cellStyle name="40% - Énfasis1 12 12" xfId="8521" xr:uid="{00000000-0005-0000-0000-00004E210000}"/>
    <cellStyle name="40% - Énfasis1 12 13" xfId="8522" xr:uid="{00000000-0005-0000-0000-00004F210000}"/>
    <cellStyle name="40% - Énfasis1 12 14" xfId="8523" xr:uid="{00000000-0005-0000-0000-000050210000}"/>
    <cellStyle name="40% - Énfasis1 12 15" xfId="8524" xr:uid="{00000000-0005-0000-0000-000051210000}"/>
    <cellStyle name="40% - Énfasis1 12 16" xfId="8525" xr:uid="{00000000-0005-0000-0000-000052210000}"/>
    <cellStyle name="40% - Énfasis1 12 17" xfId="8526" xr:uid="{00000000-0005-0000-0000-000053210000}"/>
    <cellStyle name="40% - Énfasis1 12 18" xfId="8527" xr:uid="{00000000-0005-0000-0000-000054210000}"/>
    <cellStyle name="40% - Énfasis1 12 19" xfId="8528" xr:uid="{00000000-0005-0000-0000-000055210000}"/>
    <cellStyle name="40% - Énfasis1 12 2" xfId="8529" xr:uid="{00000000-0005-0000-0000-000056210000}"/>
    <cellStyle name="40% - Énfasis1 12 20" xfId="8530" xr:uid="{00000000-0005-0000-0000-000057210000}"/>
    <cellStyle name="40% - Énfasis1 12 3" xfId="8531" xr:uid="{00000000-0005-0000-0000-000058210000}"/>
    <cellStyle name="40% - Énfasis1 12 4" xfId="8532" xr:uid="{00000000-0005-0000-0000-000059210000}"/>
    <cellStyle name="40% - Énfasis1 12 5" xfId="8533" xr:uid="{00000000-0005-0000-0000-00005A210000}"/>
    <cellStyle name="40% - Énfasis1 12 6" xfId="8534" xr:uid="{00000000-0005-0000-0000-00005B210000}"/>
    <cellStyle name="40% - Énfasis1 12 7" xfId="8535" xr:uid="{00000000-0005-0000-0000-00005C210000}"/>
    <cellStyle name="40% - Énfasis1 12 8" xfId="8536" xr:uid="{00000000-0005-0000-0000-00005D210000}"/>
    <cellStyle name="40% - Énfasis1 12 9" xfId="8537" xr:uid="{00000000-0005-0000-0000-00005E210000}"/>
    <cellStyle name="40% - Énfasis1 13" xfId="8538" xr:uid="{00000000-0005-0000-0000-00005F210000}"/>
    <cellStyle name="40% - Énfasis1 13 10" xfId="8539" xr:uid="{00000000-0005-0000-0000-000060210000}"/>
    <cellStyle name="40% - Énfasis1 13 11" xfId="8540" xr:uid="{00000000-0005-0000-0000-000061210000}"/>
    <cellStyle name="40% - Énfasis1 13 12" xfId="8541" xr:uid="{00000000-0005-0000-0000-000062210000}"/>
    <cellStyle name="40% - Énfasis1 13 13" xfId="8542" xr:uid="{00000000-0005-0000-0000-000063210000}"/>
    <cellStyle name="40% - Énfasis1 13 14" xfId="8543" xr:uid="{00000000-0005-0000-0000-000064210000}"/>
    <cellStyle name="40% - Énfasis1 13 15" xfId="8544" xr:uid="{00000000-0005-0000-0000-000065210000}"/>
    <cellStyle name="40% - Énfasis1 13 16" xfId="8545" xr:uid="{00000000-0005-0000-0000-000066210000}"/>
    <cellStyle name="40% - Énfasis1 13 17" xfId="8546" xr:uid="{00000000-0005-0000-0000-000067210000}"/>
    <cellStyle name="40% - Énfasis1 13 18" xfId="8547" xr:uid="{00000000-0005-0000-0000-000068210000}"/>
    <cellStyle name="40% - Énfasis1 13 19" xfId="8548" xr:uid="{00000000-0005-0000-0000-000069210000}"/>
    <cellStyle name="40% - Énfasis1 13 2" xfId="8549" xr:uid="{00000000-0005-0000-0000-00006A210000}"/>
    <cellStyle name="40% - Énfasis1 13 20" xfId="8550" xr:uid="{00000000-0005-0000-0000-00006B210000}"/>
    <cellStyle name="40% - Énfasis1 13 3" xfId="8551" xr:uid="{00000000-0005-0000-0000-00006C210000}"/>
    <cellStyle name="40% - Énfasis1 13 4" xfId="8552" xr:uid="{00000000-0005-0000-0000-00006D210000}"/>
    <cellStyle name="40% - Énfasis1 13 5" xfId="8553" xr:uid="{00000000-0005-0000-0000-00006E210000}"/>
    <cellStyle name="40% - Énfasis1 13 6" xfId="8554" xr:uid="{00000000-0005-0000-0000-00006F210000}"/>
    <cellStyle name="40% - Énfasis1 13 7" xfId="8555" xr:uid="{00000000-0005-0000-0000-000070210000}"/>
    <cellStyle name="40% - Énfasis1 13 8" xfId="8556" xr:uid="{00000000-0005-0000-0000-000071210000}"/>
    <cellStyle name="40% - Énfasis1 13 9" xfId="8557" xr:uid="{00000000-0005-0000-0000-000072210000}"/>
    <cellStyle name="40% - Énfasis1 14" xfId="8558" xr:uid="{00000000-0005-0000-0000-000073210000}"/>
    <cellStyle name="40% - Énfasis1 14 10" xfId="8559" xr:uid="{00000000-0005-0000-0000-000074210000}"/>
    <cellStyle name="40% - Énfasis1 14 11" xfId="8560" xr:uid="{00000000-0005-0000-0000-000075210000}"/>
    <cellStyle name="40% - Énfasis1 14 12" xfId="8561" xr:uid="{00000000-0005-0000-0000-000076210000}"/>
    <cellStyle name="40% - Énfasis1 14 13" xfId="8562" xr:uid="{00000000-0005-0000-0000-000077210000}"/>
    <cellStyle name="40% - Énfasis1 14 14" xfId="8563" xr:uid="{00000000-0005-0000-0000-000078210000}"/>
    <cellStyle name="40% - Énfasis1 14 15" xfId="8564" xr:uid="{00000000-0005-0000-0000-000079210000}"/>
    <cellStyle name="40% - Énfasis1 14 16" xfId="8565" xr:uid="{00000000-0005-0000-0000-00007A210000}"/>
    <cellStyle name="40% - Énfasis1 14 17" xfId="8566" xr:uid="{00000000-0005-0000-0000-00007B210000}"/>
    <cellStyle name="40% - Énfasis1 14 18" xfId="8567" xr:uid="{00000000-0005-0000-0000-00007C210000}"/>
    <cellStyle name="40% - Énfasis1 14 19" xfId="8568" xr:uid="{00000000-0005-0000-0000-00007D210000}"/>
    <cellStyle name="40% - Énfasis1 14 2" xfId="8569" xr:uid="{00000000-0005-0000-0000-00007E210000}"/>
    <cellStyle name="40% - Énfasis1 14 3" xfId="8570" xr:uid="{00000000-0005-0000-0000-00007F210000}"/>
    <cellStyle name="40% - Énfasis1 14 4" xfId="8571" xr:uid="{00000000-0005-0000-0000-000080210000}"/>
    <cellStyle name="40% - Énfasis1 14 5" xfId="8572" xr:uid="{00000000-0005-0000-0000-000081210000}"/>
    <cellStyle name="40% - Énfasis1 14 6" xfId="8573" xr:uid="{00000000-0005-0000-0000-000082210000}"/>
    <cellStyle name="40% - Énfasis1 14 7" xfId="8574" xr:uid="{00000000-0005-0000-0000-000083210000}"/>
    <cellStyle name="40% - Énfasis1 14 8" xfId="8575" xr:uid="{00000000-0005-0000-0000-000084210000}"/>
    <cellStyle name="40% - Énfasis1 14 9" xfId="8576" xr:uid="{00000000-0005-0000-0000-000085210000}"/>
    <cellStyle name="40% - Énfasis1 15" xfId="8577" xr:uid="{00000000-0005-0000-0000-000086210000}"/>
    <cellStyle name="40% - Énfasis1 15 10" xfId="8578" xr:uid="{00000000-0005-0000-0000-000087210000}"/>
    <cellStyle name="40% - Énfasis1 15 11" xfId="8579" xr:uid="{00000000-0005-0000-0000-000088210000}"/>
    <cellStyle name="40% - Énfasis1 15 12" xfId="8580" xr:uid="{00000000-0005-0000-0000-000089210000}"/>
    <cellStyle name="40% - Énfasis1 15 13" xfId="8581" xr:uid="{00000000-0005-0000-0000-00008A210000}"/>
    <cellStyle name="40% - Énfasis1 15 14" xfId="8582" xr:uid="{00000000-0005-0000-0000-00008B210000}"/>
    <cellStyle name="40% - Énfasis1 15 15" xfId="8583" xr:uid="{00000000-0005-0000-0000-00008C210000}"/>
    <cellStyle name="40% - Énfasis1 15 16" xfId="8584" xr:uid="{00000000-0005-0000-0000-00008D210000}"/>
    <cellStyle name="40% - Énfasis1 15 17" xfId="8585" xr:uid="{00000000-0005-0000-0000-00008E210000}"/>
    <cellStyle name="40% - Énfasis1 15 18" xfId="8586" xr:uid="{00000000-0005-0000-0000-00008F210000}"/>
    <cellStyle name="40% - Énfasis1 15 19" xfId="8587" xr:uid="{00000000-0005-0000-0000-000090210000}"/>
    <cellStyle name="40% - Énfasis1 15 2" xfId="8588" xr:uid="{00000000-0005-0000-0000-000091210000}"/>
    <cellStyle name="40% - Énfasis1 15 3" xfId="8589" xr:uid="{00000000-0005-0000-0000-000092210000}"/>
    <cellStyle name="40% - Énfasis1 15 4" xfId="8590" xr:uid="{00000000-0005-0000-0000-000093210000}"/>
    <cellStyle name="40% - Énfasis1 15 5" xfId="8591" xr:uid="{00000000-0005-0000-0000-000094210000}"/>
    <cellStyle name="40% - Énfasis1 15 6" xfId="8592" xr:uid="{00000000-0005-0000-0000-000095210000}"/>
    <cellStyle name="40% - Énfasis1 15 7" xfId="8593" xr:uid="{00000000-0005-0000-0000-000096210000}"/>
    <cellStyle name="40% - Énfasis1 15 8" xfId="8594" xr:uid="{00000000-0005-0000-0000-000097210000}"/>
    <cellStyle name="40% - Énfasis1 15 9" xfId="8595" xr:uid="{00000000-0005-0000-0000-000098210000}"/>
    <cellStyle name="40% - Énfasis1 16" xfId="8596" xr:uid="{00000000-0005-0000-0000-000099210000}"/>
    <cellStyle name="40% - Énfasis1 16 10" xfId="8597" xr:uid="{00000000-0005-0000-0000-00009A210000}"/>
    <cellStyle name="40% - Énfasis1 16 11" xfId="8598" xr:uid="{00000000-0005-0000-0000-00009B210000}"/>
    <cellStyle name="40% - Énfasis1 16 12" xfId="8599" xr:uid="{00000000-0005-0000-0000-00009C210000}"/>
    <cellStyle name="40% - Énfasis1 16 13" xfId="8600" xr:uid="{00000000-0005-0000-0000-00009D210000}"/>
    <cellStyle name="40% - Énfasis1 16 14" xfId="8601" xr:uid="{00000000-0005-0000-0000-00009E210000}"/>
    <cellStyle name="40% - Énfasis1 16 15" xfId="8602" xr:uid="{00000000-0005-0000-0000-00009F210000}"/>
    <cellStyle name="40% - Énfasis1 16 16" xfId="8603" xr:uid="{00000000-0005-0000-0000-0000A0210000}"/>
    <cellStyle name="40% - Énfasis1 16 17" xfId="8604" xr:uid="{00000000-0005-0000-0000-0000A1210000}"/>
    <cellStyle name="40% - Énfasis1 16 18" xfId="8605" xr:uid="{00000000-0005-0000-0000-0000A2210000}"/>
    <cellStyle name="40% - Énfasis1 16 19" xfId="8606" xr:uid="{00000000-0005-0000-0000-0000A3210000}"/>
    <cellStyle name="40% - Énfasis1 16 2" xfId="8607" xr:uid="{00000000-0005-0000-0000-0000A4210000}"/>
    <cellStyle name="40% - Énfasis1 16 3" xfId="8608" xr:uid="{00000000-0005-0000-0000-0000A5210000}"/>
    <cellStyle name="40% - Énfasis1 16 4" xfId="8609" xr:uid="{00000000-0005-0000-0000-0000A6210000}"/>
    <cellStyle name="40% - Énfasis1 16 5" xfId="8610" xr:uid="{00000000-0005-0000-0000-0000A7210000}"/>
    <cellStyle name="40% - Énfasis1 16 6" xfId="8611" xr:uid="{00000000-0005-0000-0000-0000A8210000}"/>
    <cellStyle name="40% - Énfasis1 16 7" xfId="8612" xr:uid="{00000000-0005-0000-0000-0000A9210000}"/>
    <cellStyle name="40% - Énfasis1 16 8" xfId="8613" xr:uid="{00000000-0005-0000-0000-0000AA210000}"/>
    <cellStyle name="40% - Énfasis1 16 9" xfId="8614" xr:uid="{00000000-0005-0000-0000-0000AB210000}"/>
    <cellStyle name="40% - Énfasis1 17" xfId="8615" xr:uid="{00000000-0005-0000-0000-0000AC210000}"/>
    <cellStyle name="40% - Énfasis1 17 10" xfId="8616" xr:uid="{00000000-0005-0000-0000-0000AD210000}"/>
    <cellStyle name="40% - Énfasis1 17 11" xfId="8617" xr:uid="{00000000-0005-0000-0000-0000AE210000}"/>
    <cellStyle name="40% - Énfasis1 17 12" xfId="8618" xr:uid="{00000000-0005-0000-0000-0000AF210000}"/>
    <cellStyle name="40% - Énfasis1 17 13" xfId="8619" xr:uid="{00000000-0005-0000-0000-0000B0210000}"/>
    <cellStyle name="40% - Énfasis1 17 14" xfId="8620" xr:uid="{00000000-0005-0000-0000-0000B1210000}"/>
    <cellStyle name="40% - Énfasis1 17 15" xfId="8621" xr:uid="{00000000-0005-0000-0000-0000B2210000}"/>
    <cellStyle name="40% - Énfasis1 17 16" xfId="8622" xr:uid="{00000000-0005-0000-0000-0000B3210000}"/>
    <cellStyle name="40% - Énfasis1 17 17" xfId="8623" xr:uid="{00000000-0005-0000-0000-0000B4210000}"/>
    <cellStyle name="40% - Énfasis1 17 18" xfId="8624" xr:uid="{00000000-0005-0000-0000-0000B5210000}"/>
    <cellStyle name="40% - Énfasis1 17 19" xfId="8625" xr:uid="{00000000-0005-0000-0000-0000B6210000}"/>
    <cellStyle name="40% - Énfasis1 17 2" xfId="8626" xr:uid="{00000000-0005-0000-0000-0000B7210000}"/>
    <cellStyle name="40% - Énfasis1 17 3" xfId="8627" xr:uid="{00000000-0005-0000-0000-0000B8210000}"/>
    <cellStyle name="40% - Énfasis1 17 4" xfId="8628" xr:uid="{00000000-0005-0000-0000-0000B9210000}"/>
    <cellStyle name="40% - Énfasis1 17 5" xfId="8629" xr:uid="{00000000-0005-0000-0000-0000BA210000}"/>
    <cellStyle name="40% - Énfasis1 17 6" xfId="8630" xr:uid="{00000000-0005-0000-0000-0000BB210000}"/>
    <cellStyle name="40% - Énfasis1 17 7" xfId="8631" xr:uid="{00000000-0005-0000-0000-0000BC210000}"/>
    <cellStyle name="40% - Énfasis1 17 8" xfId="8632" xr:uid="{00000000-0005-0000-0000-0000BD210000}"/>
    <cellStyle name="40% - Énfasis1 17 9" xfId="8633" xr:uid="{00000000-0005-0000-0000-0000BE210000}"/>
    <cellStyle name="40% - Énfasis1 18" xfId="8634" xr:uid="{00000000-0005-0000-0000-0000BF210000}"/>
    <cellStyle name="40% - Énfasis1 18 10" xfId="8635" xr:uid="{00000000-0005-0000-0000-0000C0210000}"/>
    <cellStyle name="40% - Énfasis1 18 11" xfId="8636" xr:uid="{00000000-0005-0000-0000-0000C1210000}"/>
    <cellStyle name="40% - Énfasis1 18 12" xfId="8637" xr:uid="{00000000-0005-0000-0000-0000C2210000}"/>
    <cellStyle name="40% - Énfasis1 18 13" xfId="8638" xr:uid="{00000000-0005-0000-0000-0000C3210000}"/>
    <cellStyle name="40% - Énfasis1 18 14" xfId="8639" xr:uid="{00000000-0005-0000-0000-0000C4210000}"/>
    <cellStyle name="40% - Énfasis1 18 15" xfId="8640" xr:uid="{00000000-0005-0000-0000-0000C5210000}"/>
    <cellStyle name="40% - Énfasis1 18 16" xfId="8641" xr:uid="{00000000-0005-0000-0000-0000C6210000}"/>
    <cellStyle name="40% - Énfasis1 18 17" xfId="8642" xr:uid="{00000000-0005-0000-0000-0000C7210000}"/>
    <cellStyle name="40% - Énfasis1 18 18" xfId="8643" xr:uid="{00000000-0005-0000-0000-0000C8210000}"/>
    <cellStyle name="40% - Énfasis1 18 19" xfId="8644" xr:uid="{00000000-0005-0000-0000-0000C9210000}"/>
    <cellStyle name="40% - Énfasis1 18 2" xfId="8645" xr:uid="{00000000-0005-0000-0000-0000CA210000}"/>
    <cellStyle name="40% - Énfasis1 18 3" xfId="8646" xr:uid="{00000000-0005-0000-0000-0000CB210000}"/>
    <cellStyle name="40% - Énfasis1 18 4" xfId="8647" xr:uid="{00000000-0005-0000-0000-0000CC210000}"/>
    <cellStyle name="40% - Énfasis1 18 5" xfId="8648" xr:uid="{00000000-0005-0000-0000-0000CD210000}"/>
    <cellStyle name="40% - Énfasis1 18 6" xfId="8649" xr:uid="{00000000-0005-0000-0000-0000CE210000}"/>
    <cellStyle name="40% - Énfasis1 18 7" xfId="8650" xr:uid="{00000000-0005-0000-0000-0000CF210000}"/>
    <cellStyle name="40% - Énfasis1 18 8" xfId="8651" xr:uid="{00000000-0005-0000-0000-0000D0210000}"/>
    <cellStyle name="40% - Énfasis1 18 9" xfId="8652" xr:uid="{00000000-0005-0000-0000-0000D1210000}"/>
    <cellStyle name="40% - Énfasis1 19" xfId="8653" xr:uid="{00000000-0005-0000-0000-0000D2210000}"/>
    <cellStyle name="40% - Énfasis1 19 10" xfId="8654" xr:uid="{00000000-0005-0000-0000-0000D3210000}"/>
    <cellStyle name="40% - Énfasis1 19 11" xfId="8655" xr:uid="{00000000-0005-0000-0000-0000D4210000}"/>
    <cellStyle name="40% - Énfasis1 19 12" xfId="8656" xr:uid="{00000000-0005-0000-0000-0000D5210000}"/>
    <cellStyle name="40% - Énfasis1 19 13" xfId="8657" xr:uid="{00000000-0005-0000-0000-0000D6210000}"/>
    <cellStyle name="40% - Énfasis1 19 14" xfId="8658" xr:uid="{00000000-0005-0000-0000-0000D7210000}"/>
    <cellStyle name="40% - Énfasis1 19 15" xfId="8659" xr:uid="{00000000-0005-0000-0000-0000D8210000}"/>
    <cellStyle name="40% - Énfasis1 19 16" xfId="8660" xr:uid="{00000000-0005-0000-0000-0000D9210000}"/>
    <cellStyle name="40% - Énfasis1 19 17" xfId="8661" xr:uid="{00000000-0005-0000-0000-0000DA210000}"/>
    <cellStyle name="40% - Énfasis1 19 18" xfId="8662" xr:uid="{00000000-0005-0000-0000-0000DB210000}"/>
    <cellStyle name="40% - Énfasis1 19 19" xfId="8663" xr:uid="{00000000-0005-0000-0000-0000DC210000}"/>
    <cellStyle name="40% - Énfasis1 19 2" xfId="8664" xr:uid="{00000000-0005-0000-0000-0000DD210000}"/>
    <cellStyle name="40% - Énfasis1 19 3" xfId="8665" xr:uid="{00000000-0005-0000-0000-0000DE210000}"/>
    <cellStyle name="40% - Énfasis1 19 4" xfId="8666" xr:uid="{00000000-0005-0000-0000-0000DF210000}"/>
    <cellStyle name="40% - Énfasis1 19 5" xfId="8667" xr:uid="{00000000-0005-0000-0000-0000E0210000}"/>
    <cellStyle name="40% - Énfasis1 19 6" xfId="8668" xr:uid="{00000000-0005-0000-0000-0000E1210000}"/>
    <cellStyle name="40% - Énfasis1 19 7" xfId="8669" xr:uid="{00000000-0005-0000-0000-0000E2210000}"/>
    <cellStyle name="40% - Énfasis1 19 8" xfId="8670" xr:uid="{00000000-0005-0000-0000-0000E3210000}"/>
    <cellStyle name="40% - Énfasis1 19 9" xfId="8671" xr:uid="{00000000-0005-0000-0000-0000E4210000}"/>
    <cellStyle name="40% - Énfasis1 2" xfId="8672" xr:uid="{00000000-0005-0000-0000-0000E5210000}"/>
    <cellStyle name="40% - Énfasis1 2 10" xfId="8673" xr:uid="{00000000-0005-0000-0000-0000E6210000}"/>
    <cellStyle name="40% - Énfasis1 2 11" xfId="8674" xr:uid="{00000000-0005-0000-0000-0000E7210000}"/>
    <cellStyle name="40% - Énfasis1 2 12" xfId="8675" xr:uid="{00000000-0005-0000-0000-0000E8210000}"/>
    <cellStyle name="40% - Énfasis1 2 13" xfId="8676" xr:uid="{00000000-0005-0000-0000-0000E9210000}"/>
    <cellStyle name="40% - Énfasis1 2 14" xfId="8677" xr:uid="{00000000-0005-0000-0000-0000EA210000}"/>
    <cellStyle name="40% - Énfasis1 2 15" xfId="8678" xr:uid="{00000000-0005-0000-0000-0000EB210000}"/>
    <cellStyle name="40% - Énfasis1 2 16" xfId="8679" xr:uid="{00000000-0005-0000-0000-0000EC210000}"/>
    <cellStyle name="40% - Énfasis1 2 17" xfId="8680" xr:uid="{00000000-0005-0000-0000-0000ED210000}"/>
    <cellStyle name="40% - Énfasis1 2 18" xfId="8681" xr:uid="{00000000-0005-0000-0000-0000EE210000}"/>
    <cellStyle name="40% - Énfasis1 2 19" xfId="8682" xr:uid="{00000000-0005-0000-0000-0000EF210000}"/>
    <cellStyle name="40% - Énfasis1 2 2" xfId="8683" xr:uid="{00000000-0005-0000-0000-0000F0210000}"/>
    <cellStyle name="40% - Énfasis1 2 20" xfId="8684" xr:uid="{00000000-0005-0000-0000-0000F1210000}"/>
    <cellStyle name="40% - Énfasis1 2 3" xfId="8685" xr:uid="{00000000-0005-0000-0000-0000F2210000}"/>
    <cellStyle name="40% - Énfasis1 2 4" xfId="8686" xr:uid="{00000000-0005-0000-0000-0000F3210000}"/>
    <cellStyle name="40% - Énfasis1 2 5" xfId="8687" xr:uid="{00000000-0005-0000-0000-0000F4210000}"/>
    <cellStyle name="40% - Énfasis1 2 6" xfId="8688" xr:uid="{00000000-0005-0000-0000-0000F5210000}"/>
    <cellStyle name="40% - Énfasis1 2 7" xfId="8689" xr:uid="{00000000-0005-0000-0000-0000F6210000}"/>
    <cellStyle name="40% - Énfasis1 2 8" xfId="8690" xr:uid="{00000000-0005-0000-0000-0000F7210000}"/>
    <cellStyle name="40% - Énfasis1 2 9" xfId="8691" xr:uid="{00000000-0005-0000-0000-0000F8210000}"/>
    <cellStyle name="40% - Énfasis1 20" xfId="8692" xr:uid="{00000000-0005-0000-0000-0000F9210000}"/>
    <cellStyle name="40% - Énfasis1 20 10" xfId="8693" xr:uid="{00000000-0005-0000-0000-0000FA210000}"/>
    <cellStyle name="40% - Énfasis1 20 11" xfId="8694" xr:uid="{00000000-0005-0000-0000-0000FB210000}"/>
    <cellStyle name="40% - Énfasis1 20 12" xfId="8695" xr:uid="{00000000-0005-0000-0000-0000FC210000}"/>
    <cellStyle name="40% - Énfasis1 20 13" xfId="8696" xr:uid="{00000000-0005-0000-0000-0000FD210000}"/>
    <cellStyle name="40% - Énfasis1 20 14" xfId="8697" xr:uid="{00000000-0005-0000-0000-0000FE210000}"/>
    <cellStyle name="40% - Énfasis1 20 15" xfId="8698" xr:uid="{00000000-0005-0000-0000-0000FF210000}"/>
    <cellStyle name="40% - Énfasis1 20 16" xfId="8699" xr:uid="{00000000-0005-0000-0000-000000220000}"/>
    <cellStyle name="40% - Énfasis1 20 17" xfId="8700" xr:uid="{00000000-0005-0000-0000-000001220000}"/>
    <cellStyle name="40% - Énfasis1 20 18" xfId="8701" xr:uid="{00000000-0005-0000-0000-000002220000}"/>
    <cellStyle name="40% - Énfasis1 20 19" xfId="8702" xr:uid="{00000000-0005-0000-0000-000003220000}"/>
    <cellStyle name="40% - Énfasis1 20 2" xfId="8703" xr:uid="{00000000-0005-0000-0000-000004220000}"/>
    <cellStyle name="40% - Énfasis1 20 3" xfId="8704" xr:uid="{00000000-0005-0000-0000-000005220000}"/>
    <cellStyle name="40% - Énfasis1 20 4" xfId="8705" xr:uid="{00000000-0005-0000-0000-000006220000}"/>
    <cellStyle name="40% - Énfasis1 20 5" xfId="8706" xr:uid="{00000000-0005-0000-0000-000007220000}"/>
    <cellStyle name="40% - Énfasis1 20 6" xfId="8707" xr:uid="{00000000-0005-0000-0000-000008220000}"/>
    <cellStyle name="40% - Énfasis1 20 7" xfId="8708" xr:uid="{00000000-0005-0000-0000-000009220000}"/>
    <cellStyle name="40% - Énfasis1 20 8" xfId="8709" xr:uid="{00000000-0005-0000-0000-00000A220000}"/>
    <cellStyle name="40% - Énfasis1 20 9" xfId="8710" xr:uid="{00000000-0005-0000-0000-00000B220000}"/>
    <cellStyle name="40% - Énfasis1 21" xfId="8711" xr:uid="{00000000-0005-0000-0000-00000C220000}"/>
    <cellStyle name="40% - Énfasis1 21 10" xfId="8712" xr:uid="{00000000-0005-0000-0000-00000D220000}"/>
    <cellStyle name="40% - Énfasis1 21 11" xfId="8713" xr:uid="{00000000-0005-0000-0000-00000E220000}"/>
    <cellStyle name="40% - Énfasis1 21 12" xfId="8714" xr:uid="{00000000-0005-0000-0000-00000F220000}"/>
    <cellStyle name="40% - Énfasis1 21 13" xfId="8715" xr:uid="{00000000-0005-0000-0000-000010220000}"/>
    <cellStyle name="40% - Énfasis1 21 14" xfId="8716" xr:uid="{00000000-0005-0000-0000-000011220000}"/>
    <cellStyle name="40% - Énfasis1 21 15" xfId="8717" xr:uid="{00000000-0005-0000-0000-000012220000}"/>
    <cellStyle name="40% - Énfasis1 21 16" xfId="8718" xr:uid="{00000000-0005-0000-0000-000013220000}"/>
    <cellStyle name="40% - Énfasis1 21 17" xfId="8719" xr:uid="{00000000-0005-0000-0000-000014220000}"/>
    <cellStyle name="40% - Énfasis1 21 18" xfId="8720" xr:uid="{00000000-0005-0000-0000-000015220000}"/>
    <cellStyle name="40% - Énfasis1 21 19" xfId="8721" xr:uid="{00000000-0005-0000-0000-000016220000}"/>
    <cellStyle name="40% - Énfasis1 21 2" xfId="8722" xr:uid="{00000000-0005-0000-0000-000017220000}"/>
    <cellStyle name="40% - Énfasis1 21 3" xfId="8723" xr:uid="{00000000-0005-0000-0000-000018220000}"/>
    <cellStyle name="40% - Énfasis1 21 4" xfId="8724" xr:uid="{00000000-0005-0000-0000-000019220000}"/>
    <cellStyle name="40% - Énfasis1 21 5" xfId="8725" xr:uid="{00000000-0005-0000-0000-00001A220000}"/>
    <cellStyle name="40% - Énfasis1 21 6" xfId="8726" xr:uid="{00000000-0005-0000-0000-00001B220000}"/>
    <cellStyle name="40% - Énfasis1 21 7" xfId="8727" xr:uid="{00000000-0005-0000-0000-00001C220000}"/>
    <cellStyle name="40% - Énfasis1 21 8" xfId="8728" xr:uid="{00000000-0005-0000-0000-00001D220000}"/>
    <cellStyle name="40% - Énfasis1 21 9" xfId="8729" xr:uid="{00000000-0005-0000-0000-00001E220000}"/>
    <cellStyle name="40% - Énfasis1 22" xfId="8730" xr:uid="{00000000-0005-0000-0000-00001F220000}"/>
    <cellStyle name="40% - Énfasis1 22 10" xfId="8731" xr:uid="{00000000-0005-0000-0000-000020220000}"/>
    <cellStyle name="40% - Énfasis1 22 11" xfId="8732" xr:uid="{00000000-0005-0000-0000-000021220000}"/>
    <cellStyle name="40% - Énfasis1 22 12" xfId="8733" xr:uid="{00000000-0005-0000-0000-000022220000}"/>
    <cellStyle name="40% - Énfasis1 22 13" xfId="8734" xr:uid="{00000000-0005-0000-0000-000023220000}"/>
    <cellStyle name="40% - Énfasis1 22 14" xfId="8735" xr:uid="{00000000-0005-0000-0000-000024220000}"/>
    <cellStyle name="40% - Énfasis1 22 15" xfId="8736" xr:uid="{00000000-0005-0000-0000-000025220000}"/>
    <cellStyle name="40% - Énfasis1 22 16" xfId="8737" xr:uid="{00000000-0005-0000-0000-000026220000}"/>
    <cellStyle name="40% - Énfasis1 22 17" xfId="8738" xr:uid="{00000000-0005-0000-0000-000027220000}"/>
    <cellStyle name="40% - Énfasis1 22 18" xfId="8739" xr:uid="{00000000-0005-0000-0000-000028220000}"/>
    <cellStyle name="40% - Énfasis1 22 19" xfId="8740" xr:uid="{00000000-0005-0000-0000-000029220000}"/>
    <cellStyle name="40% - Énfasis1 22 2" xfId="8741" xr:uid="{00000000-0005-0000-0000-00002A220000}"/>
    <cellStyle name="40% - Énfasis1 22 3" xfId="8742" xr:uid="{00000000-0005-0000-0000-00002B220000}"/>
    <cellStyle name="40% - Énfasis1 22 4" xfId="8743" xr:uid="{00000000-0005-0000-0000-00002C220000}"/>
    <cellStyle name="40% - Énfasis1 22 5" xfId="8744" xr:uid="{00000000-0005-0000-0000-00002D220000}"/>
    <cellStyle name="40% - Énfasis1 22 6" xfId="8745" xr:uid="{00000000-0005-0000-0000-00002E220000}"/>
    <cellStyle name="40% - Énfasis1 22 7" xfId="8746" xr:uid="{00000000-0005-0000-0000-00002F220000}"/>
    <cellStyle name="40% - Énfasis1 22 8" xfId="8747" xr:uid="{00000000-0005-0000-0000-000030220000}"/>
    <cellStyle name="40% - Énfasis1 22 9" xfId="8748" xr:uid="{00000000-0005-0000-0000-000031220000}"/>
    <cellStyle name="40% - Énfasis1 23" xfId="8749" xr:uid="{00000000-0005-0000-0000-000032220000}"/>
    <cellStyle name="40% - Énfasis1 23 10" xfId="8750" xr:uid="{00000000-0005-0000-0000-000033220000}"/>
    <cellStyle name="40% - Énfasis1 23 11" xfId="8751" xr:uid="{00000000-0005-0000-0000-000034220000}"/>
    <cellStyle name="40% - Énfasis1 23 12" xfId="8752" xr:uid="{00000000-0005-0000-0000-000035220000}"/>
    <cellStyle name="40% - Énfasis1 23 13" xfId="8753" xr:uid="{00000000-0005-0000-0000-000036220000}"/>
    <cellStyle name="40% - Énfasis1 23 14" xfId="8754" xr:uid="{00000000-0005-0000-0000-000037220000}"/>
    <cellStyle name="40% - Énfasis1 23 15" xfId="8755" xr:uid="{00000000-0005-0000-0000-000038220000}"/>
    <cellStyle name="40% - Énfasis1 23 16" xfId="8756" xr:uid="{00000000-0005-0000-0000-000039220000}"/>
    <cellStyle name="40% - Énfasis1 23 17" xfId="8757" xr:uid="{00000000-0005-0000-0000-00003A220000}"/>
    <cellStyle name="40% - Énfasis1 23 18" xfId="8758" xr:uid="{00000000-0005-0000-0000-00003B220000}"/>
    <cellStyle name="40% - Énfasis1 23 19" xfId="8759" xr:uid="{00000000-0005-0000-0000-00003C220000}"/>
    <cellStyle name="40% - Énfasis1 23 2" xfId="8760" xr:uid="{00000000-0005-0000-0000-00003D220000}"/>
    <cellStyle name="40% - Énfasis1 23 3" xfId="8761" xr:uid="{00000000-0005-0000-0000-00003E220000}"/>
    <cellStyle name="40% - Énfasis1 23 4" xfId="8762" xr:uid="{00000000-0005-0000-0000-00003F220000}"/>
    <cellStyle name="40% - Énfasis1 23 5" xfId="8763" xr:uid="{00000000-0005-0000-0000-000040220000}"/>
    <cellStyle name="40% - Énfasis1 23 6" xfId="8764" xr:uid="{00000000-0005-0000-0000-000041220000}"/>
    <cellStyle name="40% - Énfasis1 23 7" xfId="8765" xr:uid="{00000000-0005-0000-0000-000042220000}"/>
    <cellStyle name="40% - Énfasis1 23 8" xfId="8766" xr:uid="{00000000-0005-0000-0000-000043220000}"/>
    <cellStyle name="40% - Énfasis1 23 9" xfId="8767" xr:uid="{00000000-0005-0000-0000-000044220000}"/>
    <cellStyle name="40% - Énfasis1 24" xfId="8768" xr:uid="{00000000-0005-0000-0000-000045220000}"/>
    <cellStyle name="40% - Énfasis1 24 10" xfId="8769" xr:uid="{00000000-0005-0000-0000-000046220000}"/>
    <cellStyle name="40% - Énfasis1 24 11" xfId="8770" xr:uid="{00000000-0005-0000-0000-000047220000}"/>
    <cellStyle name="40% - Énfasis1 24 12" xfId="8771" xr:uid="{00000000-0005-0000-0000-000048220000}"/>
    <cellStyle name="40% - Énfasis1 24 13" xfId="8772" xr:uid="{00000000-0005-0000-0000-000049220000}"/>
    <cellStyle name="40% - Énfasis1 24 14" xfId="8773" xr:uid="{00000000-0005-0000-0000-00004A220000}"/>
    <cellStyle name="40% - Énfasis1 24 15" xfId="8774" xr:uid="{00000000-0005-0000-0000-00004B220000}"/>
    <cellStyle name="40% - Énfasis1 24 16" xfId="8775" xr:uid="{00000000-0005-0000-0000-00004C220000}"/>
    <cellStyle name="40% - Énfasis1 24 17" xfId="8776" xr:uid="{00000000-0005-0000-0000-00004D220000}"/>
    <cellStyle name="40% - Énfasis1 24 18" xfId="8777" xr:uid="{00000000-0005-0000-0000-00004E220000}"/>
    <cellStyle name="40% - Énfasis1 24 19" xfId="8778" xr:uid="{00000000-0005-0000-0000-00004F220000}"/>
    <cellStyle name="40% - Énfasis1 24 2" xfId="8779" xr:uid="{00000000-0005-0000-0000-000050220000}"/>
    <cellStyle name="40% - Énfasis1 24 3" xfId="8780" xr:uid="{00000000-0005-0000-0000-000051220000}"/>
    <cellStyle name="40% - Énfasis1 24 4" xfId="8781" xr:uid="{00000000-0005-0000-0000-000052220000}"/>
    <cellStyle name="40% - Énfasis1 24 5" xfId="8782" xr:uid="{00000000-0005-0000-0000-000053220000}"/>
    <cellStyle name="40% - Énfasis1 24 6" xfId="8783" xr:uid="{00000000-0005-0000-0000-000054220000}"/>
    <cellStyle name="40% - Énfasis1 24 7" xfId="8784" xr:uid="{00000000-0005-0000-0000-000055220000}"/>
    <cellStyle name="40% - Énfasis1 24 8" xfId="8785" xr:uid="{00000000-0005-0000-0000-000056220000}"/>
    <cellStyle name="40% - Énfasis1 24 9" xfId="8786" xr:uid="{00000000-0005-0000-0000-000057220000}"/>
    <cellStyle name="40% - Énfasis1 25" xfId="8787" xr:uid="{00000000-0005-0000-0000-000058220000}"/>
    <cellStyle name="40% - Énfasis1 25 10" xfId="8788" xr:uid="{00000000-0005-0000-0000-000059220000}"/>
    <cellStyle name="40% - Énfasis1 25 11" xfId="8789" xr:uid="{00000000-0005-0000-0000-00005A220000}"/>
    <cellStyle name="40% - Énfasis1 25 12" xfId="8790" xr:uid="{00000000-0005-0000-0000-00005B220000}"/>
    <cellStyle name="40% - Énfasis1 25 13" xfId="8791" xr:uid="{00000000-0005-0000-0000-00005C220000}"/>
    <cellStyle name="40% - Énfasis1 25 14" xfId="8792" xr:uid="{00000000-0005-0000-0000-00005D220000}"/>
    <cellStyle name="40% - Énfasis1 25 15" xfId="8793" xr:uid="{00000000-0005-0000-0000-00005E220000}"/>
    <cellStyle name="40% - Énfasis1 25 16" xfId="8794" xr:uid="{00000000-0005-0000-0000-00005F220000}"/>
    <cellStyle name="40% - Énfasis1 25 17" xfId="8795" xr:uid="{00000000-0005-0000-0000-000060220000}"/>
    <cellStyle name="40% - Énfasis1 25 18" xfId="8796" xr:uid="{00000000-0005-0000-0000-000061220000}"/>
    <cellStyle name="40% - Énfasis1 25 19" xfId="8797" xr:uid="{00000000-0005-0000-0000-000062220000}"/>
    <cellStyle name="40% - Énfasis1 25 2" xfId="8798" xr:uid="{00000000-0005-0000-0000-000063220000}"/>
    <cellStyle name="40% - Énfasis1 25 3" xfId="8799" xr:uid="{00000000-0005-0000-0000-000064220000}"/>
    <cellStyle name="40% - Énfasis1 25 4" xfId="8800" xr:uid="{00000000-0005-0000-0000-000065220000}"/>
    <cellStyle name="40% - Énfasis1 25 5" xfId="8801" xr:uid="{00000000-0005-0000-0000-000066220000}"/>
    <cellStyle name="40% - Énfasis1 25 6" xfId="8802" xr:uid="{00000000-0005-0000-0000-000067220000}"/>
    <cellStyle name="40% - Énfasis1 25 7" xfId="8803" xr:uid="{00000000-0005-0000-0000-000068220000}"/>
    <cellStyle name="40% - Énfasis1 25 8" xfId="8804" xr:uid="{00000000-0005-0000-0000-000069220000}"/>
    <cellStyle name="40% - Énfasis1 25 9" xfId="8805" xr:uid="{00000000-0005-0000-0000-00006A220000}"/>
    <cellStyle name="40% - Énfasis1 26" xfId="8806" xr:uid="{00000000-0005-0000-0000-00006B220000}"/>
    <cellStyle name="40% - Énfasis1 26 10" xfId="8807" xr:uid="{00000000-0005-0000-0000-00006C220000}"/>
    <cellStyle name="40% - Énfasis1 26 11" xfId="8808" xr:uid="{00000000-0005-0000-0000-00006D220000}"/>
    <cellStyle name="40% - Énfasis1 26 12" xfId="8809" xr:uid="{00000000-0005-0000-0000-00006E220000}"/>
    <cellStyle name="40% - Énfasis1 26 13" xfId="8810" xr:uid="{00000000-0005-0000-0000-00006F220000}"/>
    <cellStyle name="40% - Énfasis1 26 14" xfId="8811" xr:uid="{00000000-0005-0000-0000-000070220000}"/>
    <cellStyle name="40% - Énfasis1 26 15" xfId="8812" xr:uid="{00000000-0005-0000-0000-000071220000}"/>
    <cellStyle name="40% - Énfasis1 26 16" xfId="8813" xr:uid="{00000000-0005-0000-0000-000072220000}"/>
    <cellStyle name="40% - Énfasis1 26 17" xfId="8814" xr:uid="{00000000-0005-0000-0000-000073220000}"/>
    <cellStyle name="40% - Énfasis1 26 18" xfId="8815" xr:uid="{00000000-0005-0000-0000-000074220000}"/>
    <cellStyle name="40% - Énfasis1 26 19" xfId="8816" xr:uid="{00000000-0005-0000-0000-000075220000}"/>
    <cellStyle name="40% - Énfasis1 26 2" xfId="8817" xr:uid="{00000000-0005-0000-0000-000076220000}"/>
    <cellStyle name="40% - Énfasis1 26 3" xfId="8818" xr:uid="{00000000-0005-0000-0000-000077220000}"/>
    <cellStyle name="40% - Énfasis1 26 4" xfId="8819" xr:uid="{00000000-0005-0000-0000-000078220000}"/>
    <cellStyle name="40% - Énfasis1 26 5" xfId="8820" xr:uid="{00000000-0005-0000-0000-000079220000}"/>
    <cellStyle name="40% - Énfasis1 26 6" xfId="8821" xr:uid="{00000000-0005-0000-0000-00007A220000}"/>
    <cellStyle name="40% - Énfasis1 26 7" xfId="8822" xr:uid="{00000000-0005-0000-0000-00007B220000}"/>
    <cellStyle name="40% - Énfasis1 26 8" xfId="8823" xr:uid="{00000000-0005-0000-0000-00007C220000}"/>
    <cellStyle name="40% - Énfasis1 26 9" xfId="8824" xr:uid="{00000000-0005-0000-0000-00007D220000}"/>
    <cellStyle name="40% - Énfasis1 27" xfId="8825" xr:uid="{00000000-0005-0000-0000-00007E220000}"/>
    <cellStyle name="40% - Énfasis1 27 10" xfId="8826" xr:uid="{00000000-0005-0000-0000-00007F220000}"/>
    <cellStyle name="40% - Énfasis1 27 11" xfId="8827" xr:uid="{00000000-0005-0000-0000-000080220000}"/>
    <cellStyle name="40% - Énfasis1 27 12" xfId="8828" xr:uid="{00000000-0005-0000-0000-000081220000}"/>
    <cellStyle name="40% - Énfasis1 27 13" xfId="8829" xr:uid="{00000000-0005-0000-0000-000082220000}"/>
    <cellStyle name="40% - Énfasis1 27 14" xfId="8830" xr:uid="{00000000-0005-0000-0000-000083220000}"/>
    <cellStyle name="40% - Énfasis1 27 15" xfId="8831" xr:uid="{00000000-0005-0000-0000-000084220000}"/>
    <cellStyle name="40% - Énfasis1 27 16" xfId="8832" xr:uid="{00000000-0005-0000-0000-000085220000}"/>
    <cellStyle name="40% - Énfasis1 27 17" xfId="8833" xr:uid="{00000000-0005-0000-0000-000086220000}"/>
    <cellStyle name="40% - Énfasis1 27 18" xfId="8834" xr:uid="{00000000-0005-0000-0000-000087220000}"/>
    <cellStyle name="40% - Énfasis1 27 19" xfId="8835" xr:uid="{00000000-0005-0000-0000-000088220000}"/>
    <cellStyle name="40% - Énfasis1 27 2" xfId="8836" xr:uid="{00000000-0005-0000-0000-000089220000}"/>
    <cellStyle name="40% - Énfasis1 27 3" xfId="8837" xr:uid="{00000000-0005-0000-0000-00008A220000}"/>
    <cellStyle name="40% - Énfasis1 27 4" xfId="8838" xr:uid="{00000000-0005-0000-0000-00008B220000}"/>
    <cellStyle name="40% - Énfasis1 27 5" xfId="8839" xr:uid="{00000000-0005-0000-0000-00008C220000}"/>
    <cellStyle name="40% - Énfasis1 27 6" xfId="8840" xr:uid="{00000000-0005-0000-0000-00008D220000}"/>
    <cellStyle name="40% - Énfasis1 27 7" xfId="8841" xr:uid="{00000000-0005-0000-0000-00008E220000}"/>
    <cellStyle name="40% - Énfasis1 27 8" xfId="8842" xr:uid="{00000000-0005-0000-0000-00008F220000}"/>
    <cellStyle name="40% - Énfasis1 27 9" xfId="8843" xr:uid="{00000000-0005-0000-0000-000090220000}"/>
    <cellStyle name="40% - Énfasis1 28" xfId="8844" xr:uid="{00000000-0005-0000-0000-000091220000}"/>
    <cellStyle name="40% - Énfasis1 28 10" xfId="8845" xr:uid="{00000000-0005-0000-0000-000092220000}"/>
    <cellStyle name="40% - Énfasis1 28 11" xfId="8846" xr:uid="{00000000-0005-0000-0000-000093220000}"/>
    <cellStyle name="40% - Énfasis1 28 12" xfId="8847" xr:uid="{00000000-0005-0000-0000-000094220000}"/>
    <cellStyle name="40% - Énfasis1 28 13" xfId="8848" xr:uid="{00000000-0005-0000-0000-000095220000}"/>
    <cellStyle name="40% - Énfasis1 28 14" xfId="8849" xr:uid="{00000000-0005-0000-0000-000096220000}"/>
    <cellStyle name="40% - Énfasis1 28 15" xfId="8850" xr:uid="{00000000-0005-0000-0000-000097220000}"/>
    <cellStyle name="40% - Énfasis1 28 16" xfId="8851" xr:uid="{00000000-0005-0000-0000-000098220000}"/>
    <cellStyle name="40% - Énfasis1 28 17" xfId="8852" xr:uid="{00000000-0005-0000-0000-000099220000}"/>
    <cellStyle name="40% - Énfasis1 28 18" xfId="8853" xr:uid="{00000000-0005-0000-0000-00009A220000}"/>
    <cellStyle name="40% - Énfasis1 28 19" xfId="8854" xr:uid="{00000000-0005-0000-0000-00009B220000}"/>
    <cellStyle name="40% - Énfasis1 28 2" xfId="8855" xr:uid="{00000000-0005-0000-0000-00009C220000}"/>
    <cellStyle name="40% - Énfasis1 28 3" xfId="8856" xr:uid="{00000000-0005-0000-0000-00009D220000}"/>
    <cellStyle name="40% - Énfasis1 28 4" xfId="8857" xr:uid="{00000000-0005-0000-0000-00009E220000}"/>
    <cellStyle name="40% - Énfasis1 28 5" xfId="8858" xr:uid="{00000000-0005-0000-0000-00009F220000}"/>
    <cellStyle name="40% - Énfasis1 28 6" xfId="8859" xr:uid="{00000000-0005-0000-0000-0000A0220000}"/>
    <cellStyle name="40% - Énfasis1 28 7" xfId="8860" xr:uid="{00000000-0005-0000-0000-0000A1220000}"/>
    <cellStyle name="40% - Énfasis1 28 8" xfId="8861" xr:uid="{00000000-0005-0000-0000-0000A2220000}"/>
    <cellStyle name="40% - Énfasis1 28 9" xfId="8862" xr:uid="{00000000-0005-0000-0000-0000A3220000}"/>
    <cellStyle name="40% - Énfasis1 29" xfId="8863" xr:uid="{00000000-0005-0000-0000-0000A4220000}"/>
    <cellStyle name="40% - Énfasis1 29 10" xfId="8864" xr:uid="{00000000-0005-0000-0000-0000A5220000}"/>
    <cellStyle name="40% - Énfasis1 29 11" xfId="8865" xr:uid="{00000000-0005-0000-0000-0000A6220000}"/>
    <cellStyle name="40% - Énfasis1 29 12" xfId="8866" xr:uid="{00000000-0005-0000-0000-0000A7220000}"/>
    <cellStyle name="40% - Énfasis1 29 13" xfId="8867" xr:uid="{00000000-0005-0000-0000-0000A8220000}"/>
    <cellStyle name="40% - Énfasis1 29 14" xfId="8868" xr:uid="{00000000-0005-0000-0000-0000A9220000}"/>
    <cellStyle name="40% - Énfasis1 29 15" xfId="8869" xr:uid="{00000000-0005-0000-0000-0000AA220000}"/>
    <cellStyle name="40% - Énfasis1 29 16" xfId="8870" xr:uid="{00000000-0005-0000-0000-0000AB220000}"/>
    <cellStyle name="40% - Énfasis1 29 17" xfId="8871" xr:uid="{00000000-0005-0000-0000-0000AC220000}"/>
    <cellStyle name="40% - Énfasis1 29 18" xfId="8872" xr:uid="{00000000-0005-0000-0000-0000AD220000}"/>
    <cellStyle name="40% - Énfasis1 29 19" xfId="8873" xr:uid="{00000000-0005-0000-0000-0000AE220000}"/>
    <cellStyle name="40% - Énfasis1 29 2" xfId="8874" xr:uid="{00000000-0005-0000-0000-0000AF220000}"/>
    <cellStyle name="40% - Énfasis1 29 3" xfId="8875" xr:uid="{00000000-0005-0000-0000-0000B0220000}"/>
    <cellStyle name="40% - Énfasis1 29 4" xfId="8876" xr:uid="{00000000-0005-0000-0000-0000B1220000}"/>
    <cellStyle name="40% - Énfasis1 29 5" xfId="8877" xr:uid="{00000000-0005-0000-0000-0000B2220000}"/>
    <cellStyle name="40% - Énfasis1 29 6" xfId="8878" xr:uid="{00000000-0005-0000-0000-0000B3220000}"/>
    <cellStyle name="40% - Énfasis1 29 7" xfId="8879" xr:uid="{00000000-0005-0000-0000-0000B4220000}"/>
    <cellStyle name="40% - Énfasis1 29 8" xfId="8880" xr:uid="{00000000-0005-0000-0000-0000B5220000}"/>
    <cellStyle name="40% - Énfasis1 29 9" xfId="8881" xr:uid="{00000000-0005-0000-0000-0000B6220000}"/>
    <cellStyle name="40% - Énfasis1 3" xfId="8882" xr:uid="{00000000-0005-0000-0000-0000B7220000}"/>
    <cellStyle name="40% - Énfasis1 3 10" xfId="8883" xr:uid="{00000000-0005-0000-0000-0000B8220000}"/>
    <cellStyle name="40% - Énfasis1 3 11" xfId="8884" xr:uid="{00000000-0005-0000-0000-0000B9220000}"/>
    <cellStyle name="40% - Énfasis1 3 12" xfId="8885" xr:uid="{00000000-0005-0000-0000-0000BA220000}"/>
    <cellStyle name="40% - Énfasis1 3 13" xfId="8886" xr:uid="{00000000-0005-0000-0000-0000BB220000}"/>
    <cellStyle name="40% - Énfasis1 3 14" xfId="8887" xr:uid="{00000000-0005-0000-0000-0000BC220000}"/>
    <cellStyle name="40% - Énfasis1 3 15" xfId="8888" xr:uid="{00000000-0005-0000-0000-0000BD220000}"/>
    <cellStyle name="40% - Énfasis1 3 16" xfId="8889" xr:uid="{00000000-0005-0000-0000-0000BE220000}"/>
    <cellStyle name="40% - Énfasis1 3 17" xfId="8890" xr:uid="{00000000-0005-0000-0000-0000BF220000}"/>
    <cellStyle name="40% - Énfasis1 3 18" xfId="8891" xr:uid="{00000000-0005-0000-0000-0000C0220000}"/>
    <cellStyle name="40% - Énfasis1 3 19" xfId="8892" xr:uid="{00000000-0005-0000-0000-0000C1220000}"/>
    <cellStyle name="40% - Énfasis1 3 2" xfId="8893" xr:uid="{00000000-0005-0000-0000-0000C2220000}"/>
    <cellStyle name="40% - Énfasis1 3 20" xfId="8894" xr:uid="{00000000-0005-0000-0000-0000C3220000}"/>
    <cellStyle name="40% - Énfasis1 3 3" xfId="8895" xr:uid="{00000000-0005-0000-0000-0000C4220000}"/>
    <cellStyle name="40% - Énfasis1 3 4" xfId="8896" xr:uid="{00000000-0005-0000-0000-0000C5220000}"/>
    <cellStyle name="40% - Énfasis1 3 5" xfId="8897" xr:uid="{00000000-0005-0000-0000-0000C6220000}"/>
    <cellStyle name="40% - Énfasis1 3 6" xfId="8898" xr:uid="{00000000-0005-0000-0000-0000C7220000}"/>
    <cellStyle name="40% - Énfasis1 3 7" xfId="8899" xr:uid="{00000000-0005-0000-0000-0000C8220000}"/>
    <cellStyle name="40% - Énfasis1 3 8" xfId="8900" xr:uid="{00000000-0005-0000-0000-0000C9220000}"/>
    <cellStyle name="40% - Énfasis1 3 9" xfId="8901" xr:uid="{00000000-0005-0000-0000-0000CA220000}"/>
    <cellStyle name="40% - Énfasis1 30" xfId="8902" xr:uid="{00000000-0005-0000-0000-0000CB220000}"/>
    <cellStyle name="40% - Énfasis1 30 10" xfId="8903" xr:uid="{00000000-0005-0000-0000-0000CC220000}"/>
    <cellStyle name="40% - Énfasis1 30 11" xfId="8904" xr:uid="{00000000-0005-0000-0000-0000CD220000}"/>
    <cellStyle name="40% - Énfasis1 30 12" xfId="8905" xr:uid="{00000000-0005-0000-0000-0000CE220000}"/>
    <cellStyle name="40% - Énfasis1 30 13" xfId="8906" xr:uid="{00000000-0005-0000-0000-0000CF220000}"/>
    <cellStyle name="40% - Énfasis1 30 14" xfId="8907" xr:uid="{00000000-0005-0000-0000-0000D0220000}"/>
    <cellStyle name="40% - Énfasis1 30 15" xfId="8908" xr:uid="{00000000-0005-0000-0000-0000D1220000}"/>
    <cellStyle name="40% - Énfasis1 30 16" xfId="8909" xr:uid="{00000000-0005-0000-0000-0000D2220000}"/>
    <cellStyle name="40% - Énfasis1 30 17" xfId="8910" xr:uid="{00000000-0005-0000-0000-0000D3220000}"/>
    <cellStyle name="40% - Énfasis1 30 18" xfId="8911" xr:uid="{00000000-0005-0000-0000-0000D4220000}"/>
    <cellStyle name="40% - Énfasis1 30 19" xfId="8912" xr:uid="{00000000-0005-0000-0000-0000D5220000}"/>
    <cellStyle name="40% - Énfasis1 30 2" xfId="8913" xr:uid="{00000000-0005-0000-0000-0000D6220000}"/>
    <cellStyle name="40% - Énfasis1 30 3" xfId="8914" xr:uid="{00000000-0005-0000-0000-0000D7220000}"/>
    <cellStyle name="40% - Énfasis1 30 4" xfId="8915" xr:uid="{00000000-0005-0000-0000-0000D8220000}"/>
    <cellStyle name="40% - Énfasis1 30 5" xfId="8916" xr:uid="{00000000-0005-0000-0000-0000D9220000}"/>
    <cellStyle name="40% - Énfasis1 30 6" xfId="8917" xr:uid="{00000000-0005-0000-0000-0000DA220000}"/>
    <cellStyle name="40% - Énfasis1 30 7" xfId="8918" xr:uid="{00000000-0005-0000-0000-0000DB220000}"/>
    <cellStyle name="40% - Énfasis1 30 8" xfId="8919" xr:uid="{00000000-0005-0000-0000-0000DC220000}"/>
    <cellStyle name="40% - Énfasis1 30 9" xfId="8920" xr:uid="{00000000-0005-0000-0000-0000DD220000}"/>
    <cellStyle name="40% - Énfasis1 31" xfId="8921" xr:uid="{00000000-0005-0000-0000-0000DE220000}"/>
    <cellStyle name="40% - Énfasis1 31 10" xfId="8922" xr:uid="{00000000-0005-0000-0000-0000DF220000}"/>
    <cellStyle name="40% - Énfasis1 31 11" xfId="8923" xr:uid="{00000000-0005-0000-0000-0000E0220000}"/>
    <cellStyle name="40% - Énfasis1 31 12" xfId="8924" xr:uid="{00000000-0005-0000-0000-0000E1220000}"/>
    <cellStyle name="40% - Énfasis1 31 13" xfId="8925" xr:uid="{00000000-0005-0000-0000-0000E2220000}"/>
    <cellStyle name="40% - Énfasis1 31 14" xfId="8926" xr:uid="{00000000-0005-0000-0000-0000E3220000}"/>
    <cellStyle name="40% - Énfasis1 31 15" xfId="8927" xr:uid="{00000000-0005-0000-0000-0000E4220000}"/>
    <cellStyle name="40% - Énfasis1 31 16" xfId="8928" xr:uid="{00000000-0005-0000-0000-0000E5220000}"/>
    <cellStyle name="40% - Énfasis1 31 17" xfId="8929" xr:uid="{00000000-0005-0000-0000-0000E6220000}"/>
    <cellStyle name="40% - Énfasis1 31 18" xfId="8930" xr:uid="{00000000-0005-0000-0000-0000E7220000}"/>
    <cellStyle name="40% - Énfasis1 31 19" xfId="8931" xr:uid="{00000000-0005-0000-0000-0000E8220000}"/>
    <cellStyle name="40% - Énfasis1 31 2" xfId="8932" xr:uid="{00000000-0005-0000-0000-0000E9220000}"/>
    <cellStyle name="40% - Énfasis1 31 3" xfId="8933" xr:uid="{00000000-0005-0000-0000-0000EA220000}"/>
    <cellStyle name="40% - Énfasis1 31 4" xfId="8934" xr:uid="{00000000-0005-0000-0000-0000EB220000}"/>
    <cellStyle name="40% - Énfasis1 31 5" xfId="8935" xr:uid="{00000000-0005-0000-0000-0000EC220000}"/>
    <cellStyle name="40% - Énfasis1 31 6" xfId="8936" xr:uid="{00000000-0005-0000-0000-0000ED220000}"/>
    <cellStyle name="40% - Énfasis1 31 7" xfId="8937" xr:uid="{00000000-0005-0000-0000-0000EE220000}"/>
    <cellStyle name="40% - Énfasis1 31 8" xfId="8938" xr:uid="{00000000-0005-0000-0000-0000EF220000}"/>
    <cellStyle name="40% - Énfasis1 31 9" xfId="8939" xr:uid="{00000000-0005-0000-0000-0000F0220000}"/>
    <cellStyle name="40% - Énfasis1 32" xfId="8940" xr:uid="{00000000-0005-0000-0000-0000F1220000}"/>
    <cellStyle name="40% - Énfasis1 32 10" xfId="8941" xr:uid="{00000000-0005-0000-0000-0000F2220000}"/>
    <cellStyle name="40% - Énfasis1 32 11" xfId="8942" xr:uid="{00000000-0005-0000-0000-0000F3220000}"/>
    <cellStyle name="40% - Énfasis1 32 12" xfId="8943" xr:uid="{00000000-0005-0000-0000-0000F4220000}"/>
    <cellStyle name="40% - Énfasis1 32 13" xfId="8944" xr:uid="{00000000-0005-0000-0000-0000F5220000}"/>
    <cellStyle name="40% - Énfasis1 32 14" xfId="8945" xr:uid="{00000000-0005-0000-0000-0000F6220000}"/>
    <cellStyle name="40% - Énfasis1 32 15" xfId="8946" xr:uid="{00000000-0005-0000-0000-0000F7220000}"/>
    <cellStyle name="40% - Énfasis1 32 16" xfId="8947" xr:uid="{00000000-0005-0000-0000-0000F8220000}"/>
    <cellStyle name="40% - Énfasis1 32 17" xfId="8948" xr:uid="{00000000-0005-0000-0000-0000F9220000}"/>
    <cellStyle name="40% - Énfasis1 32 18" xfId="8949" xr:uid="{00000000-0005-0000-0000-0000FA220000}"/>
    <cellStyle name="40% - Énfasis1 32 19" xfId="8950" xr:uid="{00000000-0005-0000-0000-0000FB220000}"/>
    <cellStyle name="40% - Énfasis1 32 2" xfId="8951" xr:uid="{00000000-0005-0000-0000-0000FC220000}"/>
    <cellStyle name="40% - Énfasis1 32 3" xfId="8952" xr:uid="{00000000-0005-0000-0000-0000FD220000}"/>
    <cellStyle name="40% - Énfasis1 32 4" xfId="8953" xr:uid="{00000000-0005-0000-0000-0000FE220000}"/>
    <cellStyle name="40% - Énfasis1 32 5" xfId="8954" xr:uid="{00000000-0005-0000-0000-0000FF220000}"/>
    <cellStyle name="40% - Énfasis1 32 6" xfId="8955" xr:uid="{00000000-0005-0000-0000-000000230000}"/>
    <cellStyle name="40% - Énfasis1 32 7" xfId="8956" xr:uid="{00000000-0005-0000-0000-000001230000}"/>
    <cellStyle name="40% - Énfasis1 32 8" xfId="8957" xr:uid="{00000000-0005-0000-0000-000002230000}"/>
    <cellStyle name="40% - Énfasis1 32 9" xfId="8958" xr:uid="{00000000-0005-0000-0000-000003230000}"/>
    <cellStyle name="40% - Énfasis1 33" xfId="8959" xr:uid="{00000000-0005-0000-0000-000004230000}"/>
    <cellStyle name="40% - Énfasis1 33 10" xfId="8960" xr:uid="{00000000-0005-0000-0000-000005230000}"/>
    <cellStyle name="40% - Énfasis1 33 11" xfId="8961" xr:uid="{00000000-0005-0000-0000-000006230000}"/>
    <cellStyle name="40% - Énfasis1 33 12" xfId="8962" xr:uid="{00000000-0005-0000-0000-000007230000}"/>
    <cellStyle name="40% - Énfasis1 33 13" xfId="8963" xr:uid="{00000000-0005-0000-0000-000008230000}"/>
    <cellStyle name="40% - Énfasis1 33 14" xfId="8964" xr:uid="{00000000-0005-0000-0000-000009230000}"/>
    <cellStyle name="40% - Énfasis1 33 15" xfId="8965" xr:uid="{00000000-0005-0000-0000-00000A230000}"/>
    <cellStyle name="40% - Énfasis1 33 16" xfId="8966" xr:uid="{00000000-0005-0000-0000-00000B230000}"/>
    <cellStyle name="40% - Énfasis1 33 17" xfId="8967" xr:uid="{00000000-0005-0000-0000-00000C230000}"/>
    <cellStyle name="40% - Énfasis1 33 18" xfId="8968" xr:uid="{00000000-0005-0000-0000-00000D230000}"/>
    <cellStyle name="40% - Énfasis1 33 19" xfId="8969" xr:uid="{00000000-0005-0000-0000-00000E230000}"/>
    <cellStyle name="40% - Énfasis1 33 2" xfId="8970" xr:uid="{00000000-0005-0000-0000-00000F230000}"/>
    <cellStyle name="40% - Énfasis1 33 3" xfId="8971" xr:uid="{00000000-0005-0000-0000-000010230000}"/>
    <cellStyle name="40% - Énfasis1 33 4" xfId="8972" xr:uid="{00000000-0005-0000-0000-000011230000}"/>
    <cellStyle name="40% - Énfasis1 33 5" xfId="8973" xr:uid="{00000000-0005-0000-0000-000012230000}"/>
    <cellStyle name="40% - Énfasis1 33 6" xfId="8974" xr:uid="{00000000-0005-0000-0000-000013230000}"/>
    <cellStyle name="40% - Énfasis1 33 7" xfId="8975" xr:uid="{00000000-0005-0000-0000-000014230000}"/>
    <cellStyle name="40% - Énfasis1 33 8" xfId="8976" xr:uid="{00000000-0005-0000-0000-000015230000}"/>
    <cellStyle name="40% - Énfasis1 33 9" xfId="8977" xr:uid="{00000000-0005-0000-0000-000016230000}"/>
    <cellStyle name="40% - Énfasis1 34" xfId="8978" xr:uid="{00000000-0005-0000-0000-000017230000}"/>
    <cellStyle name="40% - Énfasis1 34 10" xfId="8979" xr:uid="{00000000-0005-0000-0000-000018230000}"/>
    <cellStyle name="40% - Énfasis1 34 11" xfId="8980" xr:uid="{00000000-0005-0000-0000-000019230000}"/>
    <cellStyle name="40% - Énfasis1 34 12" xfId="8981" xr:uid="{00000000-0005-0000-0000-00001A230000}"/>
    <cellStyle name="40% - Énfasis1 34 13" xfId="8982" xr:uid="{00000000-0005-0000-0000-00001B230000}"/>
    <cellStyle name="40% - Énfasis1 34 14" xfId="8983" xr:uid="{00000000-0005-0000-0000-00001C230000}"/>
    <cellStyle name="40% - Énfasis1 34 15" xfId="8984" xr:uid="{00000000-0005-0000-0000-00001D230000}"/>
    <cellStyle name="40% - Énfasis1 34 16" xfId="8985" xr:uid="{00000000-0005-0000-0000-00001E230000}"/>
    <cellStyle name="40% - Énfasis1 34 17" xfId="8986" xr:uid="{00000000-0005-0000-0000-00001F230000}"/>
    <cellStyle name="40% - Énfasis1 34 18" xfId="8987" xr:uid="{00000000-0005-0000-0000-000020230000}"/>
    <cellStyle name="40% - Énfasis1 34 19" xfId="8988" xr:uid="{00000000-0005-0000-0000-000021230000}"/>
    <cellStyle name="40% - Énfasis1 34 2" xfId="8989" xr:uid="{00000000-0005-0000-0000-000022230000}"/>
    <cellStyle name="40% - Énfasis1 34 3" xfId="8990" xr:uid="{00000000-0005-0000-0000-000023230000}"/>
    <cellStyle name="40% - Énfasis1 34 4" xfId="8991" xr:uid="{00000000-0005-0000-0000-000024230000}"/>
    <cellStyle name="40% - Énfasis1 34 5" xfId="8992" xr:uid="{00000000-0005-0000-0000-000025230000}"/>
    <cellStyle name="40% - Énfasis1 34 6" xfId="8993" xr:uid="{00000000-0005-0000-0000-000026230000}"/>
    <cellStyle name="40% - Énfasis1 34 7" xfId="8994" xr:uid="{00000000-0005-0000-0000-000027230000}"/>
    <cellStyle name="40% - Énfasis1 34 8" xfId="8995" xr:uid="{00000000-0005-0000-0000-000028230000}"/>
    <cellStyle name="40% - Énfasis1 34 9" xfId="8996" xr:uid="{00000000-0005-0000-0000-000029230000}"/>
    <cellStyle name="40% - Énfasis1 35" xfId="8997" xr:uid="{00000000-0005-0000-0000-00002A230000}"/>
    <cellStyle name="40% - Énfasis1 35 10" xfId="8998" xr:uid="{00000000-0005-0000-0000-00002B230000}"/>
    <cellStyle name="40% - Énfasis1 35 11" xfId="8999" xr:uid="{00000000-0005-0000-0000-00002C230000}"/>
    <cellStyle name="40% - Énfasis1 35 12" xfId="9000" xr:uid="{00000000-0005-0000-0000-00002D230000}"/>
    <cellStyle name="40% - Énfasis1 35 13" xfId="9001" xr:uid="{00000000-0005-0000-0000-00002E230000}"/>
    <cellStyle name="40% - Énfasis1 35 14" xfId="9002" xr:uid="{00000000-0005-0000-0000-00002F230000}"/>
    <cellStyle name="40% - Énfasis1 35 15" xfId="9003" xr:uid="{00000000-0005-0000-0000-000030230000}"/>
    <cellStyle name="40% - Énfasis1 35 16" xfId="9004" xr:uid="{00000000-0005-0000-0000-000031230000}"/>
    <cellStyle name="40% - Énfasis1 35 17" xfId="9005" xr:uid="{00000000-0005-0000-0000-000032230000}"/>
    <cellStyle name="40% - Énfasis1 35 18" xfId="9006" xr:uid="{00000000-0005-0000-0000-000033230000}"/>
    <cellStyle name="40% - Énfasis1 35 19" xfId="9007" xr:uid="{00000000-0005-0000-0000-000034230000}"/>
    <cellStyle name="40% - Énfasis1 35 2" xfId="9008" xr:uid="{00000000-0005-0000-0000-000035230000}"/>
    <cellStyle name="40% - Énfasis1 35 3" xfId="9009" xr:uid="{00000000-0005-0000-0000-000036230000}"/>
    <cellStyle name="40% - Énfasis1 35 4" xfId="9010" xr:uid="{00000000-0005-0000-0000-000037230000}"/>
    <cellStyle name="40% - Énfasis1 35 5" xfId="9011" xr:uid="{00000000-0005-0000-0000-000038230000}"/>
    <cellStyle name="40% - Énfasis1 35 6" xfId="9012" xr:uid="{00000000-0005-0000-0000-000039230000}"/>
    <cellStyle name="40% - Énfasis1 35 7" xfId="9013" xr:uid="{00000000-0005-0000-0000-00003A230000}"/>
    <cellStyle name="40% - Énfasis1 35 8" xfId="9014" xr:uid="{00000000-0005-0000-0000-00003B230000}"/>
    <cellStyle name="40% - Énfasis1 35 9" xfId="9015" xr:uid="{00000000-0005-0000-0000-00003C230000}"/>
    <cellStyle name="40% - Énfasis1 36" xfId="9016" xr:uid="{00000000-0005-0000-0000-00003D230000}"/>
    <cellStyle name="40% - Énfasis1 36 10" xfId="9017" xr:uid="{00000000-0005-0000-0000-00003E230000}"/>
    <cellStyle name="40% - Énfasis1 36 11" xfId="9018" xr:uid="{00000000-0005-0000-0000-00003F230000}"/>
    <cellStyle name="40% - Énfasis1 36 12" xfId="9019" xr:uid="{00000000-0005-0000-0000-000040230000}"/>
    <cellStyle name="40% - Énfasis1 36 13" xfId="9020" xr:uid="{00000000-0005-0000-0000-000041230000}"/>
    <cellStyle name="40% - Énfasis1 36 14" xfId="9021" xr:uid="{00000000-0005-0000-0000-000042230000}"/>
    <cellStyle name="40% - Énfasis1 36 15" xfId="9022" xr:uid="{00000000-0005-0000-0000-000043230000}"/>
    <cellStyle name="40% - Énfasis1 36 16" xfId="9023" xr:uid="{00000000-0005-0000-0000-000044230000}"/>
    <cellStyle name="40% - Énfasis1 36 17" xfId="9024" xr:uid="{00000000-0005-0000-0000-000045230000}"/>
    <cellStyle name="40% - Énfasis1 36 18" xfId="9025" xr:uid="{00000000-0005-0000-0000-000046230000}"/>
    <cellStyle name="40% - Énfasis1 36 19" xfId="9026" xr:uid="{00000000-0005-0000-0000-000047230000}"/>
    <cellStyle name="40% - Énfasis1 36 2" xfId="9027" xr:uid="{00000000-0005-0000-0000-000048230000}"/>
    <cellStyle name="40% - Énfasis1 36 3" xfId="9028" xr:uid="{00000000-0005-0000-0000-000049230000}"/>
    <cellStyle name="40% - Énfasis1 36 4" xfId="9029" xr:uid="{00000000-0005-0000-0000-00004A230000}"/>
    <cellStyle name="40% - Énfasis1 36 5" xfId="9030" xr:uid="{00000000-0005-0000-0000-00004B230000}"/>
    <cellStyle name="40% - Énfasis1 36 6" xfId="9031" xr:uid="{00000000-0005-0000-0000-00004C230000}"/>
    <cellStyle name="40% - Énfasis1 36 7" xfId="9032" xr:uid="{00000000-0005-0000-0000-00004D230000}"/>
    <cellStyle name="40% - Énfasis1 36 8" xfId="9033" xr:uid="{00000000-0005-0000-0000-00004E230000}"/>
    <cellStyle name="40% - Énfasis1 36 9" xfId="9034" xr:uid="{00000000-0005-0000-0000-00004F230000}"/>
    <cellStyle name="40% - Énfasis1 37" xfId="9035" xr:uid="{00000000-0005-0000-0000-000050230000}"/>
    <cellStyle name="40% - Énfasis1 38" xfId="9036" xr:uid="{00000000-0005-0000-0000-000051230000}"/>
    <cellStyle name="40% - Énfasis1 39" xfId="9037" xr:uid="{00000000-0005-0000-0000-000052230000}"/>
    <cellStyle name="40% - Énfasis1 4" xfId="9038" xr:uid="{00000000-0005-0000-0000-000053230000}"/>
    <cellStyle name="40% - Énfasis1 4 10" xfId="9039" xr:uid="{00000000-0005-0000-0000-000054230000}"/>
    <cellStyle name="40% - Énfasis1 4 11" xfId="9040" xr:uid="{00000000-0005-0000-0000-000055230000}"/>
    <cellStyle name="40% - Énfasis1 4 12" xfId="9041" xr:uid="{00000000-0005-0000-0000-000056230000}"/>
    <cellStyle name="40% - Énfasis1 4 13" xfId="9042" xr:uid="{00000000-0005-0000-0000-000057230000}"/>
    <cellStyle name="40% - Énfasis1 4 14" xfId="9043" xr:uid="{00000000-0005-0000-0000-000058230000}"/>
    <cellStyle name="40% - Énfasis1 4 15" xfId="9044" xr:uid="{00000000-0005-0000-0000-000059230000}"/>
    <cellStyle name="40% - Énfasis1 4 16" xfId="9045" xr:uid="{00000000-0005-0000-0000-00005A230000}"/>
    <cellStyle name="40% - Énfasis1 4 17" xfId="9046" xr:uid="{00000000-0005-0000-0000-00005B230000}"/>
    <cellStyle name="40% - Énfasis1 4 18" xfId="9047" xr:uid="{00000000-0005-0000-0000-00005C230000}"/>
    <cellStyle name="40% - Énfasis1 4 19" xfId="9048" xr:uid="{00000000-0005-0000-0000-00005D230000}"/>
    <cellStyle name="40% - Énfasis1 4 2" xfId="9049" xr:uid="{00000000-0005-0000-0000-00005E230000}"/>
    <cellStyle name="40% - Énfasis1 4 20" xfId="9050" xr:uid="{00000000-0005-0000-0000-00005F230000}"/>
    <cellStyle name="40% - Énfasis1 4 3" xfId="9051" xr:uid="{00000000-0005-0000-0000-000060230000}"/>
    <cellStyle name="40% - Énfasis1 4 4" xfId="9052" xr:uid="{00000000-0005-0000-0000-000061230000}"/>
    <cellStyle name="40% - Énfasis1 4 5" xfId="9053" xr:uid="{00000000-0005-0000-0000-000062230000}"/>
    <cellStyle name="40% - Énfasis1 4 6" xfId="9054" xr:uid="{00000000-0005-0000-0000-000063230000}"/>
    <cellStyle name="40% - Énfasis1 4 7" xfId="9055" xr:uid="{00000000-0005-0000-0000-000064230000}"/>
    <cellStyle name="40% - Énfasis1 4 8" xfId="9056" xr:uid="{00000000-0005-0000-0000-000065230000}"/>
    <cellStyle name="40% - Énfasis1 4 9" xfId="9057" xr:uid="{00000000-0005-0000-0000-000066230000}"/>
    <cellStyle name="40% - Énfasis1 40" xfId="9058" xr:uid="{00000000-0005-0000-0000-000067230000}"/>
    <cellStyle name="40% - Énfasis1 41" xfId="9059" xr:uid="{00000000-0005-0000-0000-000068230000}"/>
    <cellStyle name="40% - Énfasis1 42" xfId="9060" xr:uid="{00000000-0005-0000-0000-000069230000}"/>
    <cellStyle name="40% - Énfasis1 43" xfId="9061" xr:uid="{00000000-0005-0000-0000-00006A230000}"/>
    <cellStyle name="40% - Énfasis1 44" xfId="9062" xr:uid="{00000000-0005-0000-0000-00006B230000}"/>
    <cellStyle name="40% - Énfasis1 45" xfId="9063" xr:uid="{00000000-0005-0000-0000-00006C230000}"/>
    <cellStyle name="40% - Énfasis1 46" xfId="9064" xr:uid="{00000000-0005-0000-0000-00006D230000}"/>
    <cellStyle name="40% - Énfasis1 47" xfId="9065" xr:uid="{00000000-0005-0000-0000-00006E230000}"/>
    <cellStyle name="40% - Énfasis1 48" xfId="9066" xr:uid="{00000000-0005-0000-0000-00006F230000}"/>
    <cellStyle name="40% - Énfasis1 49" xfId="9067" xr:uid="{00000000-0005-0000-0000-000070230000}"/>
    <cellStyle name="40% - Énfasis1 5" xfId="9068" xr:uid="{00000000-0005-0000-0000-000071230000}"/>
    <cellStyle name="40% - Énfasis1 5 10" xfId="9069" xr:uid="{00000000-0005-0000-0000-000072230000}"/>
    <cellStyle name="40% - Énfasis1 5 11" xfId="9070" xr:uid="{00000000-0005-0000-0000-000073230000}"/>
    <cellStyle name="40% - Énfasis1 5 12" xfId="9071" xr:uid="{00000000-0005-0000-0000-000074230000}"/>
    <cellStyle name="40% - Énfasis1 5 13" xfId="9072" xr:uid="{00000000-0005-0000-0000-000075230000}"/>
    <cellStyle name="40% - Énfasis1 5 14" xfId="9073" xr:uid="{00000000-0005-0000-0000-000076230000}"/>
    <cellStyle name="40% - Énfasis1 5 15" xfId="9074" xr:uid="{00000000-0005-0000-0000-000077230000}"/>
    <cellStyle name="40% - Énfasis1 5 16" xfId="9075" xr:uid="{00000000-0005-0000-0000-000078230000}"/>
    <cellStyle name="40% - Énfasis1 5 17" xfId="9076" xr:uid="{00000000-0005-0000-0000-000079230000}"/>
    <cellStyle name="40% - Énfasis1 5 18" xfId="9077" xr:uid="{00000000-0005-0000-0000-00007A230000}"/>
    <cellStyle name="40% - Énfasis1 5 19" xfId="9078" xr:uid="{00000000-0005-0000-0000-00007B230000}"/>
    <cellStyle name="40% - Énfasis1 5 2" xfId="9079" xr:uid="{00000000-0005-0000-0000-00007C230000}"/>
    <cellStyle name="40% - Énfasis1 5 20" xfId="9080" xr:uid="{00000000-0005-0000-0000-00007D230000}"/>
    <cellStyle name="40% - Énfasis1 5 3" xfId="9081" xr:uid="{00000000-0005-0000-0000-00007E230000}"/>
    <cellStyle name="40% - Énfasis1 5 4" xfId="9082" xr:uid="{00000000-0005-0000-0000-00007F230000}"/>
    <cellStyle name="40% - Énfasis1 5 5" xfId="9083" xr:uid="{00000000-0005-0000-0000-000080230000}"/>
    <cellStyle name="40% - Énfasis1 5 6" xfId="9084" xr:uid="{00000000-0005-0000-0000-000081230000}"/>
    <cellStyle name="40% - Énfasis1 5 7" xfId="9085" xr:uid="{00000000-0005-0000-0000-000082230000}"/>
    <cellStyle name="40% - Énfasis1 5 8" xfId="9086" xr:uid="{00000000-0005-0000-0000-000083230000}"/>
    <cellStyle name="40% - Énfasis1 5 9" xfId="9087" xr:uid="{00000000-0005-0000-0000-000084230000}"/>
    <cellStyle name="40% - Énfasis1 50" xfId="9088" xr:uid="{00000000-0005-0000-0000-000085230000}"/>
    <cellStyle name="40% - Énfasis1 51" xfId="9089" xr:uid="{00000000-0005-0000-0000-000086230000}"/>
    <cellStyle name="40% - Énfasis1 52" xfId="9090" xr:uid="{00000000-0005-0000-0000-000087230000}"/>
    <cellStyle name="40% - Énfasis1 53" xfId="9091" xr:uid="{00000000-0005-0000-0000-000088230000}"/>
    <cellStyle name="40% - Énfasis1 54" xfId="9092" xr:uid="{00000000-0005-0000-0000-000089230000}"/>
    <cellStyle name="40% - Énfasis1 55" xfId="9093" xr:uid="{00000000-0005-0000-0000-00008A230000}"/>
    <cellStyle name="40% - Énfasis1 56" xfId="9094" xr:uid="{00000000-0005-0000-0000-00008B230000}"/>
    <cellStyle name="40% - Énfasis1 57" xfId="9095" xr:uid="{00000000-0005-0000-0000-00008C230000}"/>
    <cellStyle name="40% - Énfasis1 58" xfId="9096" xr:uid="{00000000-0005-0000-0000-00008D230000}"/>
    <cellStyle name="40% - Énfasis1 59" xfId="9097" xr:uid="{00000000-0005-0000-0000-00008E230000}"/>
    <cellStyle name="40% - Énfasis1 6" xfId="9098" xr:uid="{00000000-0005-0000-0000-00008F230000}"/>
    <cellStyle name="40% - Énfasis1 6 10" xfId="9099" xr:uid="{00000000-0005-0000-0000-000090230000}"/>
    <cellStyle name="40% - Énfasis1 6 11" xfId="9100" xr:uid="{00000000-0005-0000-0000-000091230000}"/>
    <cellStyle name="40% - Énfasis1 6 12" xfId="9101" xr:uid="{00000000-0005-0000-0000-000092230000}"/>
    <cellStyle name="40% - Énfasis1 6 13" xfId="9102" xr:uid="{00000000-0005-0000-0000-000093230000}"/>
    <cellStyle name="40% - Énfasis1 6 14" xfId="9103" xr:uid="{00000000-0005-0000-0000-000094230000}"/>
    <cellStyle name="40% - Énfasis1 6 15" xfId="9104" xr:uid="{00000000-0005-0000-0000-000095230000}"/>
    <cellStyle name="40% - Énfasis1 6 16" xfId="9105" xr:uid="{00000000-0005-0000-0000-000096230000}"/>
    <cellStyle name="40% - Énfasis1 6 17" xfId="9106" xr:uid="{00000000-0005-0000-0000-000097230000}"/>
    <cellStyle name="40% - Énfasis1 6 18" xfId="9107" xr:uid="{00000000-0005-0000-0000-000098230000}"/>
    <cellStyle name="40% - Énfasis1 6 19" xfId="9108" xr:uid="{00000000-0005-0000-0000-000099230000}"/>
    <cellStyle name="40% - Énfasis1 6 2" xfId="9109" xr:uid="{00000000-0005-0000-0000-00009A230000}"/>
    <cellStyle name="40% - Énfasis1 6 20" xfId="9110" xr:uid="{00000000-0005-0000-0000-00009B230000}"/>
    <cellStyle name="40% - Énfasis1 6 3" xfId="9111" xr:uid="{00000000-0005-0000-0000-00009C230000}"/>
    <cellStyle name="40% - Énfasis1 6 4" xfId="9112" xr:uid="{00000000-0005-0000-0000-00009D230000}"/>
    <cellStyle name="40% - Énfasis1 6 5" xfId="9113" xr:uid="{00000000-0005-0000-0000-00009E230000}"/>
    <cellStyle name="40% - Énfasis1 6 6" xfId="9114" xr:uid="{00000000-0005-0000-0000-00009F230000}"/>
    <cellStyle name="40% - Énfasis1 6 7" xfId="9115" xr:uid="{00000000-0005-0000-0000-0000A0230000}"/>
    <cellStyle name="40% - Énfasis1 6 8" xfId="9116" xr:uid="{00000000-0005-0000-0000-0000A1230000}"/>
    <cellStyle name="40% - Énfasis1 6 9" xfId="9117" xr:uid="{00000000-0005-0000-0000-0000A2230000}"/>
    <cellStyle name="40% - Énfasis1 60" xfId="9118" xr:uid="{00000000-0005-0000-0000-0000A3230000}"/>
    <cellStyle name="40% - Énfasis1 61" xfId="9119" xr:uid="{00000000-0005-0000-0000-0000A4230000}"/>
    <cellStyle name="40% - Énfasis1 62" xfId="9120" xr:uid="{00000000-0005-0000-0000-0000A5230000}"/>
    <cellStyle name="40% - Énfasis1 63" xfId="9121" xr:uid="{00000000-0005-0000-0000-0000A6230000}"/>
    <cellStyle name="40% - Énfasis1 64" xfId="9122" xr:uid="{00000000-0005-0000-0000-0000A7230000}"/>
    <cellStyle name="40% - Énfasis1 65" xfId="9123" xr:uid="{00000000-0005-0000-0000-0000A8230000}"/>
    <cellStyle name="40% - Énfasis1 66" xfId="9124" xr:uid="{00000000-0005-0000-0000-0000A9230000}"/>
    <cellStyle name="40% - Énfasis1 67" xfId="9125" xr:uid="{00000000-0005-0000-0000-0000AA230000}"/>
    <cellStyle name="40% - Énfasis1 68" xfId="9126" xr:uid="{00000000-0005-0000-0000-0000AB230000}"/>
    <cellStyle name="40% - Énfasis1 69" xfId="9127" xr:uid="{00000000-0005-0000-0000-0000AC230000}"/>
    <cellStyle name="40% - Énfasis1 7" xfId="9128" xr:uid="{00000000-0005-0000-0000-0000AD230000}"/>
    <cellStyle name="40% - Énfasis1 7 10" xfId="9129" xr:uid="{00000000-0005-0000-0000-0000AE230000}"/>
    <cellStyle name="40% - Énfasis1 7 11" xfId="9130" xr:uid="{00000000-0005-0000-0000-0000AF230000}"/>
    <cellStyle name="40% - Énfasis1 7 12" xfId="9131" xr:uid="{00000000-0005-0000-0000-0000B0230000}"/>
    <cellStyle name="40% - Énfasis1 7 13" xfId="9132" xr:uid="{00000000-0005-0000-0000-0000B1230000}"/>
    <cellStyle name="40% - Énfasis1 7 14" xfId="9133" xr:uid="{00000000-0005-0000-0000-0000B2230000}"/>
    <cellStyle name="40% - Énfasis1 7 15" xfId="9134" xr:uid="{00000000-0005-0000-0000-0000B3230000}"/>
    <cellStyle name="40% - Énfasis1 7 16" xfId="9135" xr:uid="{00000000-0005-0000-0000-0000B4230000}"/>
    <cellStyle name="40% - Énfasis1 7 17" xfId="9136" xr:uid="{00000000-0005-0000-0000-0000B5230000}"/>
    <cellStyle name="40% - Énfasis1 7 18" xfId="9137" xr:uid="{00000000-0005-0000-0000-0000B6230000}"/>
    <cellStyle name="40% - Énfasis1 7 19" xfId="9138" xr:uid="{00000000-0005-0000-0000-0000B7230000}"/>
    <cellStyle name="40% - Énfasis1 7 2" xfId="9139" xr:uid="{00000000-0005-0000-0000-0000B8230000}"/>
    <cellStyle name="40% - Énfasis1 7 20" xfId="9140" xr:uid="{00000000-0005-0000-0000-0000B9230000}"/>
    <cellStyle name="40% - Énfasis1 7 3" xfId="9141" xr:uid="{00000000-0005-0000-0000-0000BA230000}"/>
    <cellStyle name="40% - Énfasis1 7 4" xfId="9142" xr:uid="{00000000-0005-0000-0000-0000BB230000}"/>
    <cellStyle name="40% - Énfasis1 7 5" xfId="9143" xr:uid="{00000000-0005-0000-0000-0000BC230000}"/>
    <cellStyle name="40% - Énfasis1 7 6" xfId="9144" xr:uid="{00000000-0005-0000-0000-0000BD230000}"/>
    <cellStyle name="40% - Énfasis1 7 7" xfId="9145" xr:uid="{00000000-0005-0000-0000-0000BE230000}"/>
    <cellStyle name="40% - Énfasis1 7 8" xfId="9146" xr:uid="{00000000-0005-0000-0000-0000BF230000}"/>
    <cellStyle name="40% - Énfasis1 7 9" xfId="9147" xr:uid="{00000000-0005-0000-0000-0000C0230000}"/>
    <cellStyle name="40% - Énfasis1 70" xfId="9148" xr:uid="{00000000-0005-0000-0000-0000C1230000}"/>
    <cellStyle name="40% - Énfasis1 71" xfId="9149" xr:uid="{00000000-0005-0000-0000-0000C2230000}"/>
    <cellStyle name="40% - Énfasis1 72" xfId="9150" xr:uid="{00000000-0005-0000-0000-0000C3230000}"/>
    <cellStyle name="40% - Énfasis1 73" xfId="9151" xr:uid="{00000000-0005-0000-0000-0000C4230000}"/>
    <cellStyle name="40% - Énfasis1 74" xfId="9152" xr:uid="{00000000-0005-0000-0000-0000C5230000}"/>
    <cellStyle name="40% - Énfasis1 75" xfId="9153" xr:uid="{00000000-0005-0000-0000-0000C6230000}"/>
    <cellStyle name="40% - Énfasis1 76" xfId="9154" xr:uid="{00000000-0005-0000-0000-0000C7230000}"/>
    <cellStyle name="40% - Énfasis1 77" xfId="9155" xr:uid="{00000000-0005-0000-0000-0000C8230000}"/>
    <cellStyle name="40% - Énfasis1 78" xfId="9156" xr:uid="{00000000-0005-0000-0000-0000C9230000}"/>
    <cellStyle name="40% - Énfasis1 79" xfId="9157" xr:uid="{00000000-0005-0000-0000-0000CA230000}"/>
    <cellStyle name="40% - Énfasis1 8" xfId="9158" xr:uid="{00000000-0005-0000-0000-0000CB230000}"/>
    <cellStyle name="40% - Énfasis1 8 10" xfId="9159" xr:uid="{00000000-0005-0000-0000-0000CC230000}"/>
    <cellStyle name="40% - Énfasis1 8 11" xfId="9160" xr:uid="{00000000-0005-0000-0000-0000CD230000}"/>
    <cellStyle name="40% - Énfasis1 8 12" xfId="9161" xr:uid="{00000000-0005-0000-0000-0000CE230000}"/>
    <cellStyle name="40% - Énfasis1 8 13" xfId="9162" xr:uid="{00000000-0005-0000-0000-0000CF230000}"/>
    <cellStyle name="40% - Énfasis1 8 14" xfId="9163" xr:uid="{00000000-0005-0000-0000-0000D0230000}"/>
    <cellStyle name="40% - Énfasis1 8 15" xfId="9164" xr:uid="{00000000-0005-0000-0000-0000D1230000}"/>
    <cellStyle name="40% - Énfasis1 8 16" xfId="9165" xr:uid="{00000000-0005-0000-0000-0000D2230000}"/>
    <cellStyle name="40% - Énfasis1 8 17" xfId="9166" xr:uid="{00000000-0005-0000-0000-0000D3230000}"/>
    <cellStyle name="40% - Énfasis1 8 18" xfId="9167" xr:uid="{00000000-0005-0000-0000-0000D4230000}"/>
    <cellStyle name="40% - Énfasis1 8 19" xfId="9168" xr:uid="{00000000-0005-0000-0000-0000D5230000}"/>
    <cellStyle name="40% - Énfasis1 8 2" xfId="9169" xr:uid="{00000000-0005-0000-0000-0000D6230000}"/>
    <cellStyle name="40% - Énfasis1 8 20" xfId="9170" xr:uid="{00000000-0005-0000-0000-0000D7230000}"/>
    <cellStyle name="40% - Énfasis1 8 3" xfId="9171" xr:uid="{00000000-0005-0000-0000-0000D8230000}"/>
    <cellStyle name="40% - Énfasis1 8 4" xfId="9172" xr:uid="{00000000-0005-0000-0000-0000D9230000}"/>
    <cellStyle name="40% - Énfasis1 8 5" xfId="9173" xr:uid="{00000000-0005-0000-0000-0000DA230000}"/>
    <cellStyle name="40% - Énfasis1 8 6" xfId="9174" xr:uid="{00000000-0005-0000-0000-0000DB230000}"/>
    <cellStyle name="40% - Énfasis1 8 7" xfId="9175" xr:uid="{00000000-0005-0000-0000-0000DC230000}"/>
    <cellStyle name="40% - Énfasis1 8 8" xfId="9176" xr:uid="{00000000-0005-0000-0000-0000DD230000}"/>
    <cellStyle name="40% - Énfasis1 8 9" xfId="9177" xr:uid="{00000000-0005-0000-0000-0000DE230000}"/>
    <cellStyle name="40% - Énfasis1 80" xfId="9178" xr:uid="{00000000-0005-0000-0000-0000DF230000}"/>
    <cellStyle name="40% - Énfasis1 81" xfId="9179" xr:uid="{00000000-0005-0000-0000-0000E0230000}"/>
    <cellStyle name="40% - Énfasis1 82" xfId="9180" xr:uid="{00000000-0005-0000-0000-0000E1230000}"/>
    <cellStyle name="40% - Énfasis1 83" xfId="9181" xr:uid="{00000000-0005-0000-0000-0000E2230000}"/>
    <cellStyle name="40% - Énfasis1 84" xfId="9182" xr:uid="{00000000-0005-0000-0000-0000E3230000}"/>
    <cellStyle name="40% - Énfasis1 85" xfId="9183" xr:uid="{00000000-0005-0000-0000-0000E4230000}"/>
    <cellStyle name="40% - Énfasis1 86" xfId="9184" xr:uid="{00000000-0005-0000-0000-0000E5230000}"/>
    <cellStyle name="40% - Énfasis1 87" xfId="9185" xr:uid="{00000000-0005-0000-0000-0000E6230000}"/>
    <cellStyle name="40% - Énfasis1 88" xfId="9186" xr:uid="{00000000-0005-0000-0000-0000E7230000}"/>
    <cellStyle name="40% - Énfasis1 89" xfId="9187" xr:uid="{00000000-0005-0000-0000-0000E8230000}"/>
    <cellStyle name="40% - Énfasis1 9" xfId="9188" xr:uid="{00000000-0005-0000-0000-0000E9230000}"/>
    <cellStyle name="40% - Énfasis1 9 10" xfId="9189" xr:uid="{00000000-0005-0000-0000-0000EA230000}"/>
    <cellStyle name="40% - Énfasis1 9 11" xfId="9190" xr:uid="{00000000-0005-0000-0000-0000EB230000}"/>
    <cellStyle name="40% - Énfasis1 9 12" xfId="9191" xr:uid="{00000000-0005-0000-0000-0000EC230000}"/>
    <cellStyle name="40% - Énfasis1 9 13" xfId="9192" xr:uid="{00000000-0005-0000-0000-0000ED230000}"/>
    <cellStyle name="40% - Énfasis1 9 14" xfId="9193" xr:uid="{00000000-0005-0000-0000-0000EE230000}"/>
    <cellStyle name="40% - Énfasis1 9 15" xfId="9194" xr:uid="{00000000-0005-0000-0000-0000EF230000}"/>
    <cellStyle name="40% - Énfasis1 9 16" xfId="9195" xr:uid="{00000000-0005-0000-0000-0000F0230000}"/>
    <cellStyle name="40% - Énfasis1 9 17" xfId="9196" xr:uid="{00000000-0005-0000-0000-0000F1230000}"/>
    <cellStyle name="40% - Énfasis1 9 18" xfId="9197" xr:uid="{00000000-0005-0000-0000-0000F2230000}"/>
    <cellStyle name="40% - Énfasis1 9 19" xfId="9198" xr:uid="{00000000-0005-0000-0000-0000F3230000}"/>
    <cellStyle name="40% - Énfasis1 9 2" xfId="9199" xr:uid="{00000000-0005-0000-0000-0000F4230000}"/>
    <cellStyle name="40% - Énfasis1 9 20" xfId="9200" xr:uid="{00000000-0005-0000-0000-0000F5230000}"/>
    <cellStyle name="40% - Énfasis1 9 3" xfId="9201" xr:uid="{00000000-0005-0000-0000-0000F6230000}"/>
    <cellStyle name="40% - Énfasis1 9 4" xfId="9202" xr:uid="{00000000-0005-0000-0000-0000F7230000}"/>
    <cellStyle name="40% - Énfasis1 9 5" xfId="9203" xr:uid="{00000000-0005-0000-0000-0000F8230000}"/>
    <cellStyle name="40% - Énfasis1 9 6" xfId="9204" xr:uid="{00000000-0005-0000-0000-0000F9230000}"/>
    <cellStyle name="40% - Énfasis1 9 7" xfId="9205" xr:uid="{00000000-0005-0000-0000-0000FA230000}"/>
    <cellStyle name="40% - Énfasis1 9 8" xfId="9206" xr:uid="{00000000-0005-0000-0000-0000FB230000}"/>
    <cellStyle name="40% - Énfasis1 9 9" xfId="9207" xr:uid="{00000000-0005-0000-0000-0000FC230000}"/>
    <cellStyle name="40% - Énfasis1 90" xfId="9208" xr:uid="{00000000-0005-0000-0000-0000FD230000}"/>
    <cellStyle name="40% - Énfasis1 91" xfId="9209" xr:uid="{00000000-0005-0000-0000-0000FE230000}"/>
    <cellStyle name="40% - Énfasis1 92" xfId="9210" xr:uid="{00000000-0005-0000-0000-0000FF230000}"/>
    <cellStyle name="40% - Énfasis1 93" xfId="9211" xr:uid="{00000000-0005-0000-0000-000000240000}"/>
    <cellStyle name="40% - Énfasis1 94" xfId="9212" xr:uid="{00000000-0005-0000-0000-000001240000}"/>
    <cellStyle name="40% - Énfasis1 95" xfId="9213" xr:uid="{00000000-0005-0000-0000-000002240000}"/>
    <cellStyle name="40% - Énfasis1 96" xfId="9214" xr:uid="{00000000-0005-0000-0000-000003240000}"/>
    <cellStyle name="40% - Énfasis1 97" xfId="9215" xr:uid="{00000000-0005-0000-0000-000004240000}"/>
    <cellStyle name="40% - Énfasis1 98" xfId="15624" xr:uid="{00000000-0005-0000-0000-000005240000}"/>
    <cellStyle name="40% - Énfasis2" xfId="9216" builtinId="35" customBuiltin="1"/>
    <cellStyle name="40% - Énfasis2 10" xfId="9217" xr:uid="{00000000-0005-0000-0000-000007240000}"/>
    <cellStyle name="40% - Énfasis2 10 10" xfId="9218" xr:uid="{00000000-0005-0000-0000-000008240000}"/>
    <cellStyle name="40% - Énfasis2 10 11" xfId="9219" xr:uid="{00000000-0005-0000-0000-000009240000}"/>
    <cellStyle name="40% - Énfasis2 10 12" xfId="9220" xr:uid="{00000000-0005-0000-0000-00000A240000}"/>
    <cellStyle name="40% - Énfasis2 10 13" xfId="9221" xr:uid="{00000000-0005-0000-0000-00000B240000}"/>
    <cellStyle name="40% - Énfasis2 10 14" xfId="9222" xr:uid="{00000000-0005-0000-0000-00000C240000}"/>
    <cellStyle name="40% - Énfasis2 10 15" xfId="9223" xr:uid="{00000000-0005-0000-0000-00000D240000}"/>
    <cellStyle name="40% - Énfasis2 10 16" xfId="9224" xr:uid="{00000000-0005-0000-0000-00000E240000}"/>
    <cellStyle name="40% - Énfasis2 10 17" xfId="9225" xr:uid="{00000000-0005-0000-0000-00000F240000}"/>
    <cellStyle name="40% - Énfasis2 10 18" xfId="9226" xr:uid="{00000000-0005-0000-0000-000010240000}"/>
    <cellStyle name="40% - Énfasis2 10 19" xfId="9227" xr:uid="{00000000-0005-0000-0000-000011240000}"/>
    <cellStyle name="40% - Énfasis2 10 2" xfId="9228" xr:uid="{00000000-0005-0000-0000-000012240000}"/>
    <cellStyle name="40% - Énfasis2 10 20" xfId="9229" xr:uid="{00000000-0005-0000-0000-000013240000}"/>
    <cellStyle name="40% - Énfasis2 10 3" xfId="9230" xr:uid="{00000000-0005-0000-0000-000014240000}"/>
    <cellStyle name="40% - Énfasis2 10 4" xfId="9231" xr:uid="{00000000-0005-0000-0000-000015240000}"/>
    <cellStyle name="40% - Énfasis2 10 5" xfId="9232" xr:uid="{00000000-0005-0000-0000-000016240000}"/>
    <cellStyle name="40% - Énfasis2 10 6" xfId="9233" xr:uid="{00000000-0005-0000-0000-000017240000}"/>
    <cellStyle name="40% - Énfasis2 10 7" xfId="9234" xr:uid="{00000000-0005-0000-0000-000018240000}"/>
    <cellStyle name="40% - Énfasis2 10 8" xfId="9235" xr:uid="{00000000-0005-0000-0000-000019240000}"/>
    <cellStyle name="40% - Énfasis2 10 9" xfId="9236" xr:uid="{00000000-0005-0000-0000-00001A240000}"/>
    <cellStyle name="40% - Énfasis2 11" xfId="9237" xr:uid="{00000000-0005-0000-0000-00001B240000}"/>
    <cellStyle name="40% - Énfasis2 11 10" xfId="9238" xr:uid="{00000000-0005-0000-0000-00001C240000}"/>
    <cellStyle name="40% - Énfasis2 11 11" xfId="9239" xr:uid="{00000000-0005-0000-0000-00001D240000}"/>
    <cellStyle name="40% - Énfasis2 11 12" xfId="9240" xr:uid="{00000000-0005-0000-0000-00001E240000}"/>
    <cellStyle name="40% - Énfasis2 11 13" xfId="9241" xr:uid="{00000000-0005-0000-0000-00001F240000}"/>
    <cellStyle name="40% - Énfasis2 11 14" xfId="9242" xr:uid="{00000000-0005-0000-0000-000020240000}"/>
    <cellStyle name="40% - Énfasis2 11 15" xfId="9243" xr:uid="{00000000-0005-0000-0000-000021240000}"/>
    <cellStyle name="40% - Énfasis2 11 16" xfId="9244" xr:uid="{00000000-0005-0000-0000-000022240000}"/>
    <cellStyle name="40% - Énfasis2 11 17" xfId="9245" xr:uid="{00000000-0005-0000-0000-000023240000}"/>
    <cellStyle name="40% - Énfasis2 11 18" xfId="9246" xr:uid="{00000000-0005-0000-0000-000024240000}"/>
    <cellStyle name="40% - Énfasis2 11 19" xfId="9247" xr:uid="{00000000-0005-0000-0000-000025240000}"/>
    <cellStyle name="40% - Énfasis2 11 2" xfId="9248" xr:uid="{00000000-0005-0000-0000-000026240000}"/>
    <cellStyle name="40% - Énfasis2 11 20" xfId="9249" xr:uid="{00000000-0005-0000-0000-000027240000}"/>
    <cellStyle name="40% - Énfasis2 11 3" xfId="9250" xr:uid="{00000000-0005-0000-0000-000028240000}"/>
    <cellStyle name="40% - Énfasis2 11 4" xfId="9251" xr:uid="{00000000-0005-0000-0000-000029240000}"/>
    <cellStyle name="40% - Énfasis2 11 5" xfId="9252" xr:uid="{00000000-0005-0000-0000-00002A240000}"/>
    <cellStyle name="40% - Énfasis2 11 6" xfId="9253" xr:uid="{00000000-0005-0000-0000-00002B240000}"/>
    <cellStyle name="40% - Énfasis2 11 7" xfId="9254" xr:uid="{00000000-0005-0000-0000-00002C240000}"/>
    <cellStyle name="40% - Énfasis2 11 8" xfId="9255" xr:uid="{00000000-0005-0000-0000-00002D240000}"/>
    <cellStyle name="40% - Énfasis2 11 9" xfId="9256" xr:uid="{00000000-0005-0000-0000-00002E240000}"/>
    <cellStyle name="40% - Énfasis2 12" xfId="9257" xr:uid="{00000000-0005-0000-0000-00002F240000}"/>
    <cellStyle name="40% - Énfasis2 12 10" xfId="9258" xr:uid="{00000000-0005-0000-0000-000030240000}"/>
    <cellStyle name="40% - Énfasis2 12 11" xfId="9259" xr:uid="{00000000-0005-0000-0000-000031240000}"/>
    <cellStyle name="40% - Énfasis2 12 12" xfId="9260" xr:uid="{00000000-0005-0000-0000-000032240000}"/>
    <cellStyle name="40% - Énfasis2 12 13" xfId="9261" xr:uid="{00000000-0005-0000-0000-000033240000}"/>
    <cellStyle name="40% - Énfasis2 12 14" xfId="9262" xr:uid="{00000000-0005-0000-0000-000034240000}"/>
    <cellStyle name="40% - Énfasis2 12 15" xfId="9263" xr:uid="{00000000-0005-0000-0000-000035240000}"/>
    <cellStyle name="40% - Énfasis2 12 16" xfId="9264" xr:uid="{00000000-0005-0000-0000-000036240000}"/>
    <cellStyle name="40% - Énfasis2 12 17" xfId="9265" xr:uid="{00000000-0005-0000-0000-000037240000}"/>
    <cellStyle name="40% - Énfasis2 12 18" xfId="9266" xr:uid="{00000000-0005-0000-0000-000038240000}"/>
    <cellStyle name="40% - Énfasis2 12 19" xfId="9267" xr:uid="{00000000-0005-0000-0000-000039240000}"/>
    <cellStyle name="40% - Énfasis2 12 2" xfId="9268" xr:uid="{00000000-0005-0000-0000-00003A240000}"/>
    <cellStyle name="40% - Énfasis2 12 20" xfId="9269" xr:uid="{00000000-0005-0000-0000-00003B240000}"/>
    <cellStyle name="40% - Énfasis2 12 3" xfId="9270" xr:uid="{00000000-0005-0000-0000-00003C240000}"/>
    <cellStyle name="40% - Énfasis2 12 4" xfId="9271" xr:uid="{00000000-0005-0000-0000-00003D240000}"/>
    <cellStyle name="40% - Énfasis2 12 5" xfId="9272" xr:uid="{00000000-0005-0000-0000-00003E240000}"/>
    <cellStyle name="40% - Énfasis2 12 6" xfId="9273" xr:uid="{00000000-0005-0000-0000-00003F240000}"/>
    <cellStyle name="40% - Énfasis2 12 7" xfId="9274" xr:uid="{00000000-0005-0000-0000-000040240000}"/>
    <cellStyle name="40% - Énfasis2 12 8" xfId="9275" xr:uid="{00000000-0005-0000-0000-000041240000}"/>
    <cellStyle name="40% - Énfasis2 12 9" xfId="9276" xr:uid="{00000000-0005-0000-0000-000042240000}"/>
    <cellStyle name="40% - Énfasis2 13" xfId="9277" xr:uid="{00000000-0005-0000-0000-000043240000}"/>
    <cellStyle name="40% - Énfasis2 13 10" xfId="9278" xr:uid="{00000000-0005-0000-0000-000044240000}"/>
    <cellStyle name="40% - Énfasis2 13 11" xfId="9279" xr:uid="{00000000-0005-0000-0000-000045240000}"/>
    <cellStyle name="40% - Énfasis2 13 12" xfId="9280" xr:uid="{00000000-0005-0000-0000-000046240000}"/>
    <cellStyle name="40% - Énfasis2 13 13" xfId="9281" xr:uid="{00000000-0005-0000-0000-000047240000}"/>
    <cellStyle name="40% - Énfasis2 13 14" xfId="9282" xr:uid="{00000000-0005-0000-0000-000048240000}"/>
    <cellStyle name="40% - Énfasis2 13 15" xfId="9283" xr:uid="{00000000-0005-0000-0000-000049240000}"/>
    <cellStyle name="40% - Énfasis2 13 16" xfId="9284" xr:uid="{00000000-0005-0000-0000-00004A240000}"/>
    <cellStyle name="40% - Énfasis2 13 17" xfId="9285" xr:uid="{00000000-0005-0000-0000-00004B240000}"/>
    <cellStyle name="40% - Énfasis2 13 18" xfId="9286" xr:uid="{00000000-0005-0000-0000-00004C240000}"/>
    <cellStyle name="40% - Énfasis2 13 19" xfId="9287" xr:uid="{00000000-0005-0000-0000-00004D240000}"/>
    <cellStyle name="40% - Énfasis2 13 2" xfId="9288" xr:uid="{00000000-0005-0000-0000-00004E240000}"/>
    <cellStyle name="40% - Énfasis2 13 20" xfId="9289" xr:uid="{00000000-0005-0000-0000-00004F240000}"/>
    <cellStyle name="40% - Énfasis2 13 3" xfId="9290" xr:uid="{00000000-0005-0000-0000-000050240000}"/>
    <cellStyle name="40% - Énfasis2 13 4" xfId="9291" xr:uid="{00000000-0005-0000-0000-000051240000}"/>
    <cellStyle name="40% - Énfasis2 13 5" xfId="9292" xr:uid="{00000000-0005-0000-0000-000052240000}"/>
    <cellStyle name="40% - Énfasis2 13 6" xfId="9293" xr:uid="{00000000-0005-0000-0000-000053240000}"/>
    <cellStyle name="40% - Énfasis2 13 7" xfId="9294" xr:uid="{00000000-0005-0000-0000-000054240000}"/>
    <cellStyle name="40% - Énfasis2 13 8" xfId="9295" xr:uid="{00000000-0005-0000-0000-000055240000}"/>
    <cellStyle name="40% - Énfasis2 13 9" xfId="9296" xr:uid="{00000000-0005-0000-0000-000056240000}"/>
    <cellStyle name="40% - Énfasis2 14" xfId="9297" xr:uid="{00000000-0005-0000-0000-000057240000}"/>
    <cellStyle name="40% - Énfasis2 14 10" xfId="9298" xr:uid="{00000000-0005-0000-0000-000058240000}"/>
    <cellStyle name="40% - Énfasis2 14 11" xfId="9299" xr:uid="{00000000-0005-0000-0000-000059240000}"/>
    <cellStyle name="40% - Énfasis2 14 12" xfId="9300" xr:uid="{00000000-0005-0000-0000-00005A240000}"/>
    <cellStyle name="40% - Énfasis2 14 13" xfId="9301" xr:uid="{00000000-0005-0000-0000-00005B240000}"/>
    <cellStyle name="40% - Énfasis2 14 14" xfId="9302" xr:uid="{00000000-0005-0000-0000-00005C240000}"/>
    <cellStyle name="40% - Énfasis2 14 15" xfId="9303" xr:uid="{00000000-0005-0000-0000-00005D240000}"/>
    <cellStyle name="40% - Énfasis2 14 16" xfId="9304" xr:uid="{00000000-0005-0000-0000-00005E240000}"/>
    <cellStyle name="40% - Énfasis2 14 17" xfId="9305" xr:uid="{00000000-0005-0000-0000-00005F240000}"/>
    <cellStyle name="40% - Énfasis2 14 18" xfId="9306" xr:uid="{00000000-0005-0000-0000-000060240000}"/>
    <cellStyle name="40% - Énfasis2 14 19" xfId="9307" xr:uid="{00000000-0005-0000-0000-000061240000}"/>
    <cellStyle name="40% - Énfasis2 14 2" xfId="9308" xr:uid="{00000000-0005-0000-0000-000062240000}"/>
    <cellStyle name="40% - Énfasis2 14 3" xfId="9309" xr:uid="{00000000-0005-0000-0000-000063240000}"/>
    <cellStyle name="40% - Énfasis2 14 4" xfId="9310" xr:uid="{00000000-0005-0000-0000-000064240000}"/>
    <cellStyle name="40% - Énfasis2 14 5" xfId="9311" xr:uid="{00000000-0005-0000-0000-000065240000}"/>
    <cellStyle name="40% - Énfasis2 14 6" xfId="9312" xr:uid="{00000000-0005-0000-0000-000066240000}"/>
    <cellStyle name="40% - Énfasis2 14 7" xfId="9313" xr:uid="{00000000-0005-0000-0000-000067240000}"/>
    <cellStyle name="40% - Énfasis2 14 8" xfId="9314" xr:uid="{00000000-0005-0000-0000-000068240000}"/>
    <cellStyle name="40% - Énfasis2 14 9" xfId="9315" xr:uid="{00000000-0005-0000-0000-000069240000}"/>
    <cellStyle name="40% - Énfasis2 15" xfId="9316" xr:uid="{00000000-0005-0000-0000-00006A240000}"/>
    <cellStyle name="40% - Énfasis2 15 10" xfId="9317" xr:uid="{00000000-0005-0000-0000-00006B240000}"/>
    <cellStyle name="40% - Énfasis2 15 11" xfId="9318" xr:uid="{00000000-0005-0000-0000-00006C240000}"/>
    <cellStyle name="40% - Énfasis2 15 12" xfId="9319" xr:uid="{00000000-0005-0000-0000-00006D240000}"/>
    <cellStyle name="40% - Énfasis2 15 13" xfId="9320" xr:uid="{00000000-0005-0000-0000-00006E240000}"/>
    <cellStyle name="40% - Énfasis2 15 14" xfId="9321" xr:uid="{00000000-0005-0000-0000-00006F240000}"/>
    <cellStyle name="40% - Énfasis2 15 15" xfId="9322" xr:uid="{00000000-0005-0000-0000-000070240000}"/>
    <cellStyle name="40% - Énfasis2 15 16" xfId="9323" xr:uid="{00000000-0005-0000-0000-000071240000}"/>
    <cellStyle name="40% - Énfasis2 15 17" xfId="9324" xr:uid="{00000000-0005-0000-0000-000072240000}"/>
    <cellStyle name="40% - Énfasis2 15 18" xfId="9325" xr:uid="{00000000-0005-0000-0000-000073240000}"/>
    <cellStyle name="40% - Énfasis2 15 19" xfId="9326" xr:uid="{00000000-0005-0000-0000-000074240000}"/>
    <cellStyle name="40% - Énfasis2 15 2" xfId="9327" xr:uid="{00000000-0005-0000-0000-000075240000}"/>
    <cellStyle name="40% - Énfasis2 15 3" xfId="9328" xr:uid="{00000000-0005-0000-0000-000076240000}"/>
    <cellStyle name="40% - Énfasis2 15 4" xfId="9329" xr:uid="{00000000-0005-0000-0000-000077240000}"/>
    <cellStyle name="40% - Énfasis2 15 5" xfId="9330" xr:uid="{00000000-0005-0000-0000-000078240000}"/>
    <cellStyle name="40% - Énfasis2 15 6" xfId="9331" xr:uid="{00000000-0005-0000-0000-000079240000}"/>
    <cellStyle name="40% - Énfasis2 15 7" xfId="9332" xr:uid="{00000000-0005-0000-0000-00007A240000}"/>
    <cellStyle name="40% - Énfasis2 15 8" xfId="9333" xr:uid="{00000000-0005-0000-0000-00007B240000}"/>
    <cellStyle name="40% - Énfasis2 15 9" xfId="9334" xr:uid="{00000000-0005-0000-0000-00007C240000}"/>
    <cellStyle name="40% - Énfasis2 16" xfId="9335" xr:uid="{00000000-0005-0000-0000-00007D240000}"/>
    <cellStyle name="40% - Énfasis2 16 10" xfId="9336" xr:uid="{00000000-0005-0000-0000-00007E240000}"/>
    <cellStyle name="40% - Énfasis2 16 11" xfId="9337" xr:uid="{00000000-0005-0000-0000-00007F240000}"/>
    <cellStyle name="40% - Énfasis2 16 12" xfId="9338" xr:uid="{00000000-0005-0000-0000-000080240000}"/>
    <cellStyle name="40% - Énfasis2 16 13" xfId="9339" xr:uid="{00000000-0005-0000-0000-000081240000}"/>
    <cellStyle name="40% - Énfasis2 16 14" xfId="9340" xr:uid="{00000000-0005-0000-0000-000082240000}"/>
    <cellStyle name="40% - Énfasis2 16 15" xfId="9341" xr:uid="{00000000-0005-0000-0000-000083240000}"/>
    <cellStyle name="40% - Énfasis2 16 16" xfId="9342" xr:uid="{00000000-0005-0000-0000-000084240000}"/>
    <cellStyle name="40% - Énfasis2 16 17" xfId="9343" xr:uid="{00000000-0005-0000-0000-000085240000}"/>
    <cellStyle name="40% - Énfasis2 16 18" xfId="9344" xr:uid="{00000000-0005-0000-0000-000086240000}"/>
    <cellStyle name="40% - Énfasis2 16 19" xfId="9345" xr:uid="{00000000-0005-0000-0000-000087240000}"/>
    <cellStyle name="40% - Énfasis2 16 2" xfId="9346" xr:uid="{00000000-0005-0000-0000-000088240000}"/>
    <cellStyle name="40% - Énfasis2 16 3" xfId="9347" xr:uid="{00000000-0005-0000-0000-000089240000}"/>
    <cellStyle name="40% - Énfasis2 16 4" xfId="9348" xr:uid="{00000000-0005-0000-0000-00008A240000}"/>
    <cellStyle name="40% - Énfasis2 16 5" xfId="9349" xr:uid="{00000000-0005-0000-0000-00008B240000}"/>
    <cellStyle name="40% - Énfasis2 16 6" xfId="9350" xr:uid="{00000000-0005-0000-0000-00008C240000}"/>
    <cellStyle name="40% - Énfasis2 16 7" xfId="9351" xr:uid="{00000000-0005-0000-0000-00008D240000}"/>
    <cellStyle name="40% - Énfasis2 16 8" xfId="9352" xr:uid="{00000000-0005-0000-0000-00008E240000}"/>
    <cellStyle name="40% - Énfasis2 16 9" xfId="9353" xr:uid="{00000000-0005-0000-0000-00008F240000}"/>
    <cellStyle name="40% - Énfasis2 17" xfId="9354" xr:uid="{00000000-0005-0000-0000-000090240000}"/>
    <cellStyle name="40% - Énfasis2 17 10" xfId="9355" xr:uid="{00000000-0005-0000-0000-000091240000}"/>
    <cellStyle name="40% - Énfasis2 17 11" xfId="9356" xr:uid="{00000000-0005-0000-0000-000092240000}"/>
    <cellStyle name="40% - Énfasis2 17 12" xfId="9357" xr:uid="{00000000-0005-0000-0000-000093240000}"/>
    <cellStyle name="40% - Énfasis2 17 13" xfId="9358" xr:uid="{00000000-0005-0000-0000-000094240000}"/>
    <cellStyle name="40% - Énfasis2 17 14" xfId="9359" xr:uid="{00000000-0005-0000-0000-000095240000}"/>
    <cellStyle name="40% - Énfasis2 17 15" xfId="9360" xr:uid="{00000000-0005-0000-0000-000096240000}"/>
    <cellStyle name="40% - Énfasis2 17 16" xfId="9361" xr:uid="{00000000-0005-0000-0000-000097240000}"/>
    <cellStyle name="40% - Énfasis2 17 17" xfId="9362" xr:uid="{00000000-0005-0000-0000-000098240000}"/>
    <cellStyle name="40% - Énfasis2 17 18" xfId="9363" xr:uid="{00000000-0005-0000-0000-000099240000}"/>
    <cellStyle name="40% - Énfasis2 17 19" xfId="9364" xr:uid="{00000000-0005-0000-0000-00009A240000}"/>
    <cellStyle name="40% - Énfasis2 17 2" xfId="9365" xr:uid="{00000000-0005-0000-0000-00009B240000}"/>
    <cellStyle name="40% - Énfasis2 17 3" xfId="9366" xr:uid="{00000000-0005-0000-0000-00009C240000}"/>
    <cellStyle name="40% - Énfasis2 17 4" xfId="9367" xr:uid="{00000000-0005-0000-0000-00009D240000}"/>
    <cellStyle name="40% - Énfasis2 17 5" xfId="9368" xr:uid="{00000000-0005-0000-0000-00009E240000}"/>
    <cellStyle name="40% - Énfasis2 17 6" xfId="9369" xr:uid="{00000000-0005-0000-0000-00009F240000}"/>
    <cellStyle name="40% - Énfasis2 17 7" xfId="9370" xr:uid="{00000000-0005-0000-0000-0000A0240000}"/>
    <cellStyle name="40% - Énfasis2 17 8" xfId="9371" xr:uid="{00000000-0005-0000-0000-0000A1240000}"/>
    <cellStyle name="40% - Énfasis2 17 9" xfId="9372" xr:uid="{00000000-0005-0000-0000-0000A2240000}"/>
    <cellStyle name="40% - Énfasis2 18" xfId="9373" xr:uid="{00000000-0005-0000-0000-0000A3240000}"/>
    <cellStyle name="40% - Énfasis2 18 10" xfId="9374" xr:uid="{00000000-0005-0000-0000-0000A4240000}"/>
    <cellStyle name="40% - Énfasis2 18 11" xfId="9375" xr:uid="{00000000-0005-0000-0000-0000A5240000}"/>
    <cellStyle name="40% - Énfasis2 18 12" xfId="9376" xr:uid="{00000000-0005-0000-0000-0000A6240000}"/>
    <cellStyle name="40% - Énfasis2 18 13" xfId="9377" xr:uid="{00000000-0005-0000-0000-0000A7240000}"/>
    <cellStyle name="40% - Énfasis2 18 14" xfId="9378" xr:uid="{00000000-0005-0000-0000-0000A8240000}"/>
    <cellStyle name="40% - Énfasis2 18 15" xfId="9379" xr:uid="{00000000-0005-0000-0000-0000A9240000}"/>
    <cellStyle name="40% - Énfasis2 18 16" xfId="9380" xr:uid="{00000000-0005-0000-0000-0000AA240000}"/>
    <cellStyle name="40% - Énfasis2 18 17" xfId="9381" xr:uid="{00000000-0005-0000-0000-0000AB240000}"/>
    <cellStyle name="40% - Énfasis2 18 18" xfId="9382" xr:uid="{00000000-0005-0000-0000-0000AC240000}"/>
    <cellStyle name="40% - Énfasis2 18 19" xfId="9383" xr:uid="{00000000-0005-0000-0000-0000AD240000}"/>
    <cellStyle name="40% - Énfasis2 18 2" xfId="9384" xr:uid="{00000000-0005-0000-0000-0000AE240000}"/>
    <cellStyle name="40% - Énfasis2 18 3" xfId="9385" xr:uid="{00000000-0005-0000-0000-0000AF240000}"/>
    <cellStyle name="40% - Énfasis2 18 4" xfId="9386" xr:uid="{00000000-0005-0000-0000-0000B0240000}"/>
    <cellStyle name="40% - Énfasis2 18 5" xfId="9387" xr:uid="{00000000-0005-0000-0000-0000B1240000}"/>
    <cellStyle name="40% - Énfasis2 18 6" xfId="9388" xr:uid="{00000000-0005-0000-0000-0000B2240000}"/>
    <cellStyle name="40% - Énfasis2 18 7" xfId="9389" xr:uid="{00000000-0005-0000-0000-0000B3240000}"/>
    <cellStyle name="40% - Énfasis2 18 8" xfId="9390" xr:uid="{00000000-0005-0000-0000-0000B4240000}"/>
    <cellStyle name="40% - Énfasis2 18 9" xfId="9391" xr:uid="{00000000-0005-0000-0000-0000B5240000}"/>
    <cellStyle name="40% - Énfasis2 19" xfId="9392" xr:uid="{00000000-0005-0000-0000-0000B6240000}"/>
    <cellStyle name="40% - Énfasis2 19 10" xfId="9393" xr:uid="{00000000-0005-0000-0000-0000B7240000}"/>
    <cellStyle name="40% - Énfasis2 19 11" xfId="9394" xr:uid="{00000000-0005-0000-0000-0000B8240000}"/>
    <cellStyle name="40% - Énfasis2 19 12" xfId="9395" xr:uid="{00000000-0005-0000-0000-0000B9240000}"/>
    <cellStyle name="40% - Énfasis2 19 13" xfId="9396" xr:uid="{00000000-0005-0000-0000-0000BA240000}"/>
    <cellStyle name="40% - Énfasis2 19 14" xfId="9397" xr:uid="{00000000-0005-0000-0000-0000BB240000}"/>
    <cellStyle name="40% - Énfasis2 19 15" xfId="9398" xr:uid="{00000000-0005-0000-0000-0000BC240000}"/>
    <cellStyle name="40% - Énfasis2 19 16" xfId="9399" xr:uid="{00000000-0005-0000-0000-0000BD240000}"/>
    <cellStyle name="40% - Énfasis2 19 17" xfId="9400" xr:uid="{00000000-0005-0000-0000-0000BE240000}"/>
    <cellStyle name="40% - Énfasis2 19 18" xfId="9401" xr:uid="{00000000-0005-0000-0000-0000BF240000}"/>
    <cellStyle name="40% - Énfasis2 19 19" xfId="9402" xr:uid="{00000000-0005-0000-0000-0000C0240000}"/>
    <cellStyle name="40% - Énfasis2 19 2" xfId="9403" xr:uid="{00000000-0005-0000-0000-0000C1240000}"/>
    <cellStyle name="40% - Énfasis2 19 3" xfId="9404" xr:uid="{00000000-0005-0000-0000-0000C2240000}"/>
    <cellStyle name="40% - Énfasis2 19 4" xfId="9405" xr:uid="{00000000-0005-0000-0000-0000C3240000}"/>
    <cellStyle name="40% - Énfasis2 19 5" xfId="9406" xr:uid="{00000000-0005-0000-0000-0000C4240000}"/>
    <cellStyle name="40% - Énfasis2 19 6" xfId="9407" xr:uid="{00000000-0005-0000-0000-0000C5240000}"/>
    <cellStyle name="40% - Énfasis2 19 7" xfId="9408" xr:uid="{00000000-0005-0000-0000-0000C6240000}"/>
    <cellStyle name="40% - Énfasis2 19 8" xfId="9409" xr:uid="{00000000-0005-0000-0000-0000C7240000}"/>
    <cellStyle name="40% - Énfasis2 19 9" xfId="9410" xr:uid="{00000000-0005-0000-0000-0000C8240000}"/>
    <cellStyle name="40% - Énfasis2 2" xfId="9411" xr:uid="{00000000-0005-0000-0000-0000C9240000}"/>
    <cellStyle name="40% - Énfasis2 2 10" xfId="9412" xr:uid="{00000000-0005-0000-0000-0000CA240000}"/>
    <cellStyle name="40% - Énfasis2 2 11" xfId="9413" xr:uid="{00000000-0005-0000-0000-0000CB240000}"/>
    <cellStyle name="40% - Énfasis2 2 12" xfId="9414" xr:uid="{00000000-0005-0000-0000-0000CC240000}"/>
    <cellStyle name="40% - Énfasis2 2 13" xfId="9415" xr:uid="{00000000-0005-0000-0000-0000CD240000}"/>
    <cellStyle name="40% - Énfasis2 2 14" xfId="9416" xr:uid="{00000000-0005-0000-0000-0000CE240000}"/>
    <cellStyle name="40% - Énfasis2 2 15" xfId="9417" xr:uid="{00000000-0005-0000-0000-0000CF240000}"/>
    <cellStyle name="40% - Énfasis2 2 16" xfId="9418" xr:uid="{00000000-0005-0000-0000-0000D0240000}"/>
    <cellStyle name="40% - Énfasis2 2 17" xfId="9419" xr:uid="{00000000-0005-0000-0000-0000D1240000}"/>
    <cellStyle name="40% - Énfasis2 2 18" xfId="9420" xr:uid="{00000000-0005-0000-0000-0000D2240000}"/>
    <cellStyle name="40% - Énfasis2 2 19" xfId="9421" xr:uid="{00000000-0005-0000-0000-0000D3240000}"/>
    <cellStyle name="40% - Énfasis2 2 2" xfId="9422" xr:uid="{00000000-0005-0000-0000-0000D4240000}"/>
    <cellStyle name="40% - Énfasis2 2 20" xfId="9423" xr:uid="{00000000-0005-0000-0000-0000D5240000}"/>
    <cellStyle name="40% - Énfasis2 2 3" xfId="9424" xr:uid="{00000000-0005-0000-0000-0000D6240000}"/>
    <cellStyle name="40% - Énfasis2 2 4" xfId="9425" xr:uid="{00000000-0005-0000-0000-0000D7240000}"/>
    <cellStyle name="40% - Énfasis2 2 5" xfId="9426" xr:uid="{00000000-0005-0000-0000-0000D8240000}"/>
    <cellStyle name="40% - Énfasis2 2 6" xfId="9427" xr:uid="{00000000-0005-0000-0000-0000D9240000}"/>
    <cellStyle name="40% - Énfasis2 2 7" xfId="9428" xr:uid="{00000000-0005-0000-0000-0000DA240000}"/>
    <cellStyle name="40% - Énfasis2 2 8" xfId="9429" xr:uid="{00000000-0005-0000-0000-0000DB240000}"/>
    <cellStyle name="40% - Énfasis2 2 9" xfId="9430" xr:uid="{00000000-0005-0000-0000-0000DC240000}"/>
    <cellStyle name="40% - Énfasis2 20" xfId="9431" xr:uid="{00000000-0005-0000-0000-0000DD240000}"/>
    <cellStyle name="40% - Énfasis2 20 10" xfId="9432" xr:uid="{00000000-0005-0000-0000-0000DE240000}"/>
    <cellStyle name="40% - Énfasis2 20 11" xfId="9433" xr:uid="{00000000-0005-0000-0000-0000DF240000}"/>
    <cellStyle name="40% - Énfasis2 20 12" xfId="9434" xr:uid="{00000000-0005-0000-0000-0000E0240000}"/>
    <cellStyle name="40% - Énfasis2 20 13" xfId="9435" xr:uid="{00000000-0005-0000-0000-0000E1240000}"/>
    <cellStyle name="40% - Énfasis2 20 14" xfId="9436" xr:uid="{00000000-0005-0000-0000-0000E2240000}"/>
    <cellStyle name="40% - Énfasis2 20 15" xfId="9437" xr:uid="{00000000-0005-0000-0000-0000E3240000}"/>
    <cellStyle name="40% - Énfasis2 20 16" xfId="9438" xr:uid="{00000000-0005-0000-0000-0000E4240000}"/>
    <cellStyle name="40% - Énfasis2 20 17" xfId="9439" xr:uid="{00000000-0005-0000-0000-0000E5240000}"/>
    <cellStyle name="40% - Énfasis2 20 18" xfId="9440" xr:uid="{00000000-0005-0000-0000-0000E6240000}"/>
    <cellStyle name="40% - Énfasis2 20 19" xfId="9441" xr:uid="{00000000-0005-0000-0000-0000E7240000}"/>
    <cellStyle name="40% - Énfasis2 20 2" xfId="9442" xr:uid="{00000000-0005-0000-0000-0000E8240000}"/>
    <cellStyle name="40% - Énfasis2 20 3" xfId="9443" xr:uid="{00000000-0005-0000-0000-0000E9240000}"/>
    <cellStyle name="40% - Énfasis2 20 4" xfId="9444" xr:uid="{00000000-0005-0000-0000-0000EA240000}"/>
    <cellStyle name="40% - Énfasis2 20 5" xfId="9445" xr:uid="{00000000-0005-0000-0000-0000EB240000}"/>
    <cellStyle name="40% - Énfasis2 20 6" xfId="9446" xr:uid="{00000000-0005-0000-0000-0000EC240000}"/>
    <cellStyle name="40% - Énfasis2 20 7" xfId="9447" xr:uid="{00000000-0005-0000-0000-0000ED240000}"/>
    <cellStyle name="40% - Énfasis2 20 8" xfId="9448" xr:uid="{00000000-0005-0000-0000-0000EE240000}"/>
    <cellStyle name="40% - Énfasis2 20 9" xfId="9449" xr:uid="{00000000-0005-0000-0000-0000EF240000}"/>
    <cellStyle name="40% - Énfasis2 21" xfId="9450" xr:uid="{00000000-0005-0000-0000-0000F0240000}"/>
    <cellStyle name="40% - Énfasis2 21 10" xfId="9451" xr:uid="{00000000-0005-0000-0000-0000F1240000}"/>
    <cellStyle name="40% - Énfasis2 21 11" xfId="9452" xr:uid="{00000000-0005-0000-0000-0000F2240000}"/>
    <cellStyle name="40% - Énfasis2 21 12" xfId="9453" xr:uid="{00000000-0005-0000-0000-0000F3240000}"/>
    <cellStyle name="40% - Énfasis2 21 13" xfId="9454" xr:uid="{00000000-0005-0000-0000-0000F4240000}"/>
    <cellStyle name="40% - Énfasis2 21 14" xfId="9455" xr:uid="{00000000-0005-0000-0000-0000F5240000}"/>
    <cellStyle name="40% - Énfasis2 21 15" xfId="9456" xr:uid="{00000000-0005-0000-0000-0000F6240000}"/>
    <cellStyle name="40% - Énfasis2 21 16" xfId="9457" xr:uid="{00000000-0005-0000-0000-0000F7240000}"/>
    <cellStyle name="40% - Énfasis2 21 17" xfId="9458" xr:uid="{00000000-0005-0000-0000-0000F8240000}"/>
    <cellStyle name="40% - Énfasis2 21 18" xfId="9459" xr:uid="{00000000-0005-0000-0000-0000F9240000}"/>
    <cellStyle name="40% - Énfasis2 21 19" xfId="9460" xr:uid="{00000000-0005-0000-0000-0000FA240000}"/>
    <cellStyle name="40% - Énfasis2 21 2" xfId="9461" xr:uid="{00000000-0005-0000-0000-0000FB240000}"/>
    <cellStyle name="40% - Énfasis2 21 3" xfId="9462" xr:uid="{00000000-0005-0000-0000-0000FC240000}"/>
    <cellStyle name="40% - Énfasis2 21 4" xfId="9463" xr:uid="{00000000-0005-0000-0000-0000FD240000}"/>
    <cellStyle name="40% - Énfasis2 21 5" xfId="9464" xr:uid="{00000000-0005-0000-0000-0000FE240000}"/>
    <cellStyle name="40% - Énfasis2 21 6" xfId="9465" xr:uid="{00000000-0005-0000-0000-0000FF240000}"/>
    <cellStyle name="40% - Énfasis2 21 7" xfId="9466" xr:uid="{00000000-0005-0000-0000-000000250000}"/>
    <cellStyle name="40% - Énfasis2 21 8" xfId="9467" xr:uid="{00000000-0005-0000-0000-000001250000}"/>
    <cellStyle name="40% - Énfasis2 21 9" xfId="9468" xr:uid="{00000000-0005-0000-0000-000002250000}"/>
    <cellStyle name="40% - Énfasis2 22" xfId="9469" xr:uid="{00000000-0005-0000-0000-000003250000}"/>
    <cellStyle name="40% - Énfasis2 22 10" xfId="9470" xr:uid="{00000000-0005-0000-0000-000004250000}"/>
    <cellStyle name="40% - Énfasis2 22 11" xfId="9471" xr:uid="{00000000-0005-0000-0000-000005250000}"/>
    <cellStyle name="40% - Énfasis2 22 12" xfId="9472" xr:uid="{00000000-0005-0000-0000-000006250000}"/>
    <cellStyle name="40% - Énfasis2 22 13" xfId="9473" xr:uid="{00000000-0005-0000-0000-000007250000}"/>
    <cellStyle name="40% - Énfasis2 22 14" xfId="9474" xr:uid="{00000000-0005-0000-0000-000008250000}"/>
    <cellStyle name="40% - Énfasis2 22 15" xfId="9475" xr:uid="{00000000-0005-0000-0000-000009250000}"/>
    <cellStyle name="40% - Énfasis2 22 16" xfId="9476" xr:uid="{00000000-0005-0000-0000-00000A250000}"/>
    <cellStyle name="40% - Énfasis2 22 17" xfId="9477" xr:uid="{00000000-0005-0000-0000-00000B250000}"/>
    <cellStyle name="40% - Énfasis2 22 18" xfId="9478" xr:uid="{00000000-0005-0000-0000-00000C250000}"/>
    <cellStyle name="40% - Énfasis2 22 19" xfId="9479" xr:uid="{00000000-0005-0000-0000-00000D250000}"/>
    <cellStyle name="40% - Énfasis2 22 2" xfId="9480" xr:uid="{00000000-0005-0000-0000-00000E250000}"/>
    <cellStyle name="40% - Énfasis2 22 3" xfId="9481" xr:uid="{00000000-0005-0000-0000-00000F250000}"/>
    <cellStyle name="40% - Énfasis2 22 4" xfId="9482" xr:uid="{00000000-0005-0000-0000-000010250000}"/>
    <cellStyle name="40% - Énfasis2 22 5" xfId="9483" xr:uid="{00000000-0005-0000-0000-000011250000}"/>
    <cellStyle name="40% - Énfasis2 22 6" xfId="9484" xr:uid="{00000000-0005-0000-0000-000012250000}"/>
    <cellStyle name="40% - Énfasis2 22 7" xfId="9485" xr:uid="{00000000-0005-0000-0000-000013250000}"/>
    <cellStyle name="40% - Énfasis2 22 8" xfId="9486" xr:uid="{00000000-0005-0000-0000-000014250000}"/>
    <cellStyle name="40% - Énfasis2 22 9" xfId="9487" xr:uid="{00000000-0005-0000-0000-000015250000}"/>
    <cellStyle name="40% - Énfasis2 23" xfId="9488" xr:uid="{00000000-0005-0000-0000-000016250000}"/>
    <cellStyle name="40% - Énfasis2 23 10" xfId="9489" xr:uid="{00000000-0005-0000-0000-000017250000}"/>
    <cellStyle name="40% - Énfasis2 23 11" xfId="9490" xr:uid="{00000000-0005-0000-0000-000018250000}"/>
    <cellStyle name="40% - Énfasis2 23 12" xfId="9491" xr:uid="{00000000-0005-0000-0000-000019250000}"/>
    <cellStyle name="40% - Énfasis2 23 13" xfId="9492" xr:uid="{00000000-0005-0000-0000-00001A250000}"/>
    <cellStyle name="40% - Énfasis2 23 14" xfId="9493" xr:uid="{00000000-0005-0000-0000-00001B250000}"/>
    <cellStyle name="40% - Énfasis2 23 15" xfId="9494" xr:uid="{00000000-0005-0000-0000-00001C250000}"/>
    <cellStyle name="40% - Énfasis2 23 16" xfId="9495" xr:uid="{00000000-0005-0000-0000-00001D250000}"/>
    <cellStyle name="40% - Énfasis2 23 17" xfId="9496" xr:uid="{00000000-0005-0000-0000-00001E250000}"/>
    <cellStyle name="40% - Énfasis2 23 18" xfId="9497" xr:uid="{00000000-0005-0000-0000-00001F250000}"/>
    <cellStyle name="40% - Énfasis2 23 19" xfId="9498" xr:uid="{00000000-0005-0000-0000-000020250000}"/>
    <cellStyle name="40% - Énfasis2 23 2" xfId="9499" xr:uid="{00000000-0005-0000-0000-000021250000}"/>
    <cellStyle name="40% - Énfasis2 23 3" xfId="9500" xr:uid="{00000000-0005-0000-0000-000022250000}"/>
    <cellStyle name="40% - Énfasis2 23 4" xfId="9501" xr:uid="{00000000-0005-0000-0000-000023250000}"/>
    <cellStyle name="40% - Énfasis2 23 5" xfId="9502" xr:uid="{00000000-0005-0000-0000-000024250000}"/>
    <cellStyle name="40% - Énfasis2 23 6" xfId="9503" xr:uid="{00000000-0005-0000-0000-000025250000}"/>
    <cellStyle name="40% - Énfasis2 23 7" xfId="9504" xr:uid="{00000000-0005-0000-0000-000026250000}"/>
    <cellStyle name="40% - Énfasis2 23 8" xfId="9505" xr:uid="{00000000-0005-0000-0000-000027250000}"/>
    <cellStyle name="40% - Énfasis2 23 9" xfId="9506" xr:uid="{00000000-0005-0000-0000-000028250000}"/>
    <cellStyle name="40% - Énfasis2 24" xfId="9507" xr:uid="{00000000-0005-0000-0000-000029250000}"/>
    <cellStyle name="40% - Énfasis2 24 10" xfId="9508" xr:uid="{00000000-0005-0000-0000-00002A250000}"/>
    <cellStyle name="40% - Énfasis2 24 11" xfId="9509" xr:uid="{00000000-0005-0000-0000-00002B250000}"/>
    <cellStyle name="40% - Énfasis2 24 12" xfId="9510" xr:uid="{00000000-0005-0000-0000-00002C250000}"/>
    <cellStyle name="40% - Énfasis2 24 13" xfId="9511" xr:uid="{00000000-0005-0000-0000-00002D250000}"/>
    <cellStyle name="40% - Énfasis2 24 14" xfId="9512" xr:uid="{00000000-0005-0000-0000-00002E250000}"/>
    <cellStyle name="40% - Énfasis2 24 15" xfId="9513" xr:uid="{00000000-0005-0000-0000-00002F250000}"/>
    <cellStyle name="40% - Énfasis2 24 16" xfId="9514" xr:uid="{00000000-0005-0000-0000-000030250000}"/>
    <cellStyle name="40% - Énfasis2 24 17" xfId="9515" xr:uid="{00000000-0005-0000-0000-000031250000}"/>
    <cellStyle name="40% - Énfasis2 24 18" xfId="9516" xr:uid="{00000000-0005-0000-0000-000032250000}"/>
    <cellStyle name="40% - Énfasis2 24 19" xfId="9517" xr:uid="{00000000-0005-0000-0000-000033250000}"/>
    <cellStyle name="40% - Énfasis2 24 2" xfId="9518" xr:uid="{00000000-0005-0000-0000-000034250000}"/>
    <cellStyle name="40% - Énfasis2 24 3" xfId="9519" xr:uid="{00000000-0005-0000-0000-000035250000}"/>
    <cellStyle name="40% - Énfasis2 24 4" xfId="9520" xr:uid="{00000000-0005-0000-0000-000036250000}"/>
    <cellStyle name="40% - Énfasis2 24 5" xfId="9521" xr:uid="{00000000-0005-0000-0000-000037250000}"/>
    <cellStyle name="40% - Énfasis2 24 6" xfId="9522" xr:uid="{00000000-0005-0000-0000-000038250000}"/>
    <cellStyle name="40% - Énfasis2 24 7" xfId="9523" xr:uid="{00000000-0005-0000-0000-000039250000}"/>
    <cellStyle name="40% - Énfasis2 24 8" xfId="9524" xr:uid="{00000000-0005-0000-0000-00003A250000}"/>
    <cellStyle name="40% - Énfasis2 24 9" xfId="9525" xr:uid="{00000000-0005-0000-0000-00003B250000}"/>
    <cellStyle name="40% - Énfasis2 25" xfId="9526" xr:uid="{00000000-0005-0000-0000-00003C250000}"/>
    <cellStyle name="40% - Énfasis2 25 10" xfId="9527" xr:uid="{00000000-0005-0000-0000-00003D250000}"/>
    <cellStyle name="40% - Énfasis2 25 11" xfId="9528" xr:uid="{00000000-0005-0000-0000-00003E250000}"/>
    <cellStyle name="40% - Énfasis2 25 12" xfId="9529" xr:uid="{00000000-0005-0000-0000-00003F250000}"/>
    <cellStyle name="40% - Énfasis2 25 13" xfId="9530" xr:uid="{00000000-0005-0000-0000-000040250000}"/>
    <cellStyle name="40% - Énfasis2 25 14" xfId="9531" xr:uid="{00000000-0005-0000-0000-000041250000}"/>
    <cellStyle name="40% - Énfasis2 25 15" xfId="9532" xr:uid="{00000000-0005-0000-0000-000042250000}"/>
    <cellStyle name="40% - Énfasis2 25 16" xfId="9533" xr:uid="{00000000-0005-0000-0000-000043250000}"/>
    <cellStyle name="40% - Énfasis2 25 17" xfId="9534" xr:uid="{00000000-0005-0000-0000-000044250000}"/>
    <cellStyle name="40% - Énfasis2 25 18" xfId="9535" xr:uid="{00000000-0005-0000-0000-000045250000}"/>
    <cellStyle name="40% - Énfasis2 25 19" xfId="9536" xr:uid="{00000000-0005-0000-0000-000046250000}"/>
    <cellStyle name="40% - Énfasis2 25 2" xfId="9537" xr:uid="{00000000-0005-0000-0000-000047250000}"/>
    <cellStyle name="40% - Énfasis2 25 3" xfId="9538" xr:uid="{00000000-0005-0000-0000-000048250000}"/>
    <cellStyle name="40% - Énfasis2 25 4" xfId="9539" xr:uid="{00000000-0005-0000-0000-000049250000}"/>
    <cellStyle name="40% - Énfasis2 25 5" xfId="9540" xr:uid="{00000000-0005-0000-0000-00004A250000}"/>
    <cellStyle name="40% - Énfasis2 25 6" xfId="9541" xr:uid="{00000000-0005-0000-0000-00004B250000}"/>
    <cellStyle name="40% - Énfasis2 25 7" xfId="9542" xr:uid="{00000000-0005-0000-0000-00004C250000}"/>
    <cellStyle name="40% - Énfasis2 25 8" xfId="9543" xr:uid="{00000000-0005-0000-0000-00004D250000}"/>
    <cellStyle name="40% - Énfasis2 25 9" xfId="9544" xr:uid="{00000000-0005-0000-0000-00004E250000}"/>
    <cellStyle name="40% - Énfasis2 26" xfId="9545" xr:uid="{00000000-0005-0000-0000-00004F250000}"/>
    <cellStyle name="40% - Énfasis2 26 10" xfId="9546" xr:uid="{00000000-0005-0000-0000-000050250000}"/>
    <cellStyle name="40% - Énfasis2 26 11" xfId="9547" xr:uid="{00000000-0005-0000-0000-000051250000}"/>
    <cellStyle name="40% - Énfasis2 26 12" xfId="9548" xr:uid="{00000000-0005-0000-0000-000052250000}"/>
    <cellStyle name="40% - Énfasis2 26 13" xfId="9549" xr:uid="{00000000-0005-0000-0000-000053250000}"/>
    <cellStyle name="40% - Énfasis2 26 14" xfId="9550" xr:uid="{00000000-0005-0000-0000-000054250000}"/>
    <cellStyle name="40% - Énfasis2 26 15" xfId="9551" xr:uid="{00000000-0005-0000-0000-000055250000}"/>
    <cellStyle name="40% - Énfasis2 26 16" xfId="9552" xr:uid="{00000000-0005-0000-0000-000056250000}"/>
    <cellStyle name="40% - Énfasis2 26 17" xfId="9553" xr:uid="{00000000-0005-0000-0000-000057250000}"/>
    <cellStyle name="40% - Énfasis2 26 18" xfId="9554" xr:uid="{00000000-0005-0000-0000-000058250000}"/>
    <cellStyle name="40% - Énfasis2 26 19" xfId="9555" xr:uid="{00000000-0005-0000-0000-000059250000}"/>
    <cellStyle name="40% - Énfasis2 26 2" xfId="9556" xr:uid="{00000000-0005-0000-0000-00005A250000}"/>
    <cellStyle name="40% - Énfasis2 26 3" xfId="9557" xr:uid="{00000000-0005-0000-0000-00005B250000}"/>
    <cellStyle name="40% - Énfasis2 26 4" xfId="9558" xr:uid="{00000000-0005-0000-0000-00005C250000}"/>
    <cellStyle name="40% - Énfasis2 26 5" xfId="9559" xr:uid="{00000000-0005-0000-0000-00005D250000}"/>
    <cellStyle name="40% - Énfasis2 26 6" xfId="9560" xr:uid="{00000000-0005-0000-0000-00005E250000}"/>
    <cellStyle name="40% - Énfasis2 26 7" xfId="9561" xr:uid="{00000000-0005-0000-0000-00005F250000}"/>
    <cellStyle name="40% - Énfasis2 26 8" xfId="9562" xr:uid="{00000000-0005-0000-0000-000060250000}"/>
    <cellStyle name="40% - Énfasis2 26 9" xfId="9563" xr:uid="{00000000-0005-0000-0000-000061250000}"/>
    <cellStyle name="40% - Énfasis2 27" xfId="9564" xr:uid="{00000000-0005-0000-0000-000062250000}"/>
    <cellStyle name="40% - Énfasis2 27 10" xfId="9565" xr:uid="{00000000-0005-0000-0000-000063250000}"/>
    <cellStyle name="40% - Énfasis2 27 11" xfId="9566" xr:uid="{00000000-0005-0000-0000-000064250000}"/>
    <cellStyle name="40% - Énfasis2 27 12" xfId="9567" xr:uid="{00000000-0005-0000-0000-000065250000}"/>
    <cellStyle name="40% - Énfasis2 27 13" xfId="9568" xr:uid="{00000000-0005-0000-0000-000066250000}"/>
    <cellStyle name="40% - Énfasis2 27 14" xfId="9569" xr:uid="{00000000-0005-0000-0000-000067250000}"/>
    <cellStyle name="40% - Énfasis2 27 15" xfId="9570" xr:uid="{00000000-0005-0000-0000-000068250000}"/>
    <cellStyle name="40% - Énfasis2 27 16" xfId="9571" xr:uid="{00000000-0005-0000-0000-000069250000}"/>
    <cellStyle name="40% - Énfasis2 27 17" xfId="9572" xr:uid="{00000000-0005-0000-0000-00006A250000}"/>
    <cellStyle name="40% - Énfasis2 27 18" xfId="9573" xr:uid="{00000000-0005-0000-0000-00006B250000}"/>
    <cellStyle name="40% - Énfasis2 27 19" xfId="9574" xr:uid="{00000000-0005-0000-0000-00006C250000}"/>
    <cellStyle name="40% - Énfasis2 27 2" xfId="9575" xr:uid="{00000000-0005-0000-0000-00006D250000}"/>
    <cellStyle name="40% - Énfasis2 27 3" xfId="9576" xr:uid="{00000000-0005-0000-0000-00006E250000}"/>
    <cellStyle name="40% - Énfasis2 27 4" xfId="9577" xr:uid="{00000000-0005-0000-0000-00006F250000}"/>
    <cellStyle name="40% - Énfasis2 27 5" xfId="9578" xr:uid="{00000000-0005-0000-0000-000070250000}"/>
    <cellStyle name="40% - Énfasis2 27 6" xfId="9579" xr:uid="{00000000-0005-0000-0000-000071250000}"/>
    <cellStyle name="40% - Énfasis2 27 7" xfId="9580" xr:uid="{00000000-0005-0000-0000-000072250000}"/>
    <cellStyle name="40% - Énfasis2 27 8" xfId="9581" xr:uid="{00000000-0005-0000-0000-000073250000}"/>
    <cellStyle name="40% - Énfasis2 27 9" xfId="9582" xr:uid="{00000000-0005-0000-0000-000074250000}"/>
    <cellStyle name="40% - Énfasis2 28" xfId="9583" xr:uid="{00000000-0005-0000-0000-000075250000}"/>
    <cellStyle name="40% - Énfasis2 28 10" xfId="9584" xr:uid="{00000000-0005-0000-0000-000076250000}"/>
    <cellStyle name="40% - Énfasis2 28 11" xfId="9585" xr:uid="{00000000-0005-0000-0000-000077250000}"/>
    <cellStyle name="40% - Énfasis2 28 12" xfId="9586" xr:uid="{00000000-0005-0000-0000-000078250000}"/>
    <cellStyle name="40% - Énfasis2 28 13" xfId="9587" xr:uid="{00000000-0005-0000-0000-000079250000}"/>
    <cellStyle name="40% - Énfasis2 28 14" xfId="9588" xr:uid="{00000000-0005-0000-0000-00007A250000}"/>
    <cellStyle name="40% - Énfasis2 28 15" xfId="9589" xr:uid="{00000000-0005-0000-0000-00007B250000}"/>
    <cellStyle name="40% - Énfasis2 28 16" xfId="9590" xr:uid="{00000000-0005-0000-0000-00007C250000}"/>
    <cellStyle name="40% - Énfasis2 28 17" xfId="9591" xr:uid="{00000000-0005-0000-0000-00007D250000}"/>
    <cellStyle name="40% - Énfasis2 28 18" xfId="9592" xr:uid="{00000000-0005-0000-0000-00007E250000}"/>
    <cellStyle name="40% - Énfasis2 28 19" xfId="9593" xr:uid="{00000000-0005-0000-0000-00007F250000}"/>
    <cellStyle name="40% - Énfasis2 28 2" xfId="9594" xr:uid="{00000000-0005-0000-0000-000080250000}"/>
    <cellStyle name="40% - Énfasis2 28 3" xfId="9595" xr:uid="{00000000-0005-0000-0000-000081250000}"/>
    <cellStyle name="40% - Énfasis2 28 4" xfId="9596" xr:uid="{00000000-0005-0000-0000-000082250000}"/>
    <cellStyle name="40% - Énfasis2 28 5" xfId="9597" xr:uid="{00000000-0005-0000-0000-000083250000}"/>
    <cellStyle name="40% - Énfasis2 28 6" xfId="9598" xr:uid="{00000000-0005-0000-0000-000084250000}"/>
    <cellStyle name="40% - Énfasis2 28 7" xfId="9599" xr:uid="{00000000-0005-0000-0000-000085250000}"/>
    <cellStyle name="40% - Énfasis2 28 8" xfId="9600" xr:uid="{00000000-0005-0000-0000-000086250000}"/>
    <cellStyle name="40% - Énfasis2 28 9" xfId="9601" xr:uid="{00000000-0005-0000-0000-000087250000}"/>
    <cellStyle name="40% - Énfasis2 29" xfId="9602" xr:uid="{00000000-0005-0000-0000-000088250000}"/>
    <cellStyle name="40% - Énfasis2 29 10" xfId="9603" xr:uid="{00000000-0005-0000-0000-000089250000}"/>
    <cellStyle name="40% - Énfasis2 29 11" xfId="9604" xr:uid="{00000000-0005-0000-0000-00008A250000}"/>
    <cellStyle name="40% - Énfasis2 29 12" xfId="9605" xr:uid="{00000000-0005-0000-0000-00008B250000}"/>
    <cellStyle name="40% - Énfasis2 29 13" xfId="9606" xr:uid="{00000000-0005-0000-0000-00008C250000}"/>
    <cellStyle name="40% - Énfasis2 29 14" xfId="9607" xr:uid="{00000000-0005-0000-0000-00008D250000}"/>
    <cellStyle name="40% - Énfasis2 29 15" xfId="9608" xr:uid="{00000000-0005-0000-0000-00008E250000}"/>
    <cellStyle name="40% - Énfasis2 29 16" xfId="9609" xr:uid="{00000000-0005-0000-0000-00008F250000}"/>
    <cellStyle name="40% - Énfasis2 29 17" xfId="9610" xr:uid="{00000000-0005-0000-0000-000090250000}"/>
    <cellStyle name="40% - Énfasis2 29 18" xfId="9611" xr:uid="{00000000-0005-0000-0000-000091250000}"/>
    <cellStyle name="40% - Énfasis2 29 19" xfId="9612" xr:uid="{00000000-0005-0000-0000-000092250000}"/>
    <cellStyle name="40% - Énfasis2 29 2" xfId="9613" xr:uid="{00000000-0005-0000-0000-000093250000}"/>
    <cellStyle name="40% - Énfasis2 29 3" xfId="9614" xr:uid="{00000000-0005-0000-0000-000094250000}"/>
    <cellStyle name="40% - Énfasis2 29 4" xfId="9615" xr:uid="{00000000-0005-0000-0000-000095250000}"/>
    <cellStyle name="40% - Énfasis2 29 5" xfId="9616" xr:uid="{00000000-0005-0000-0000-000096250000}"/>
    <cellStyle name="40% - Énfasis2 29 6" xfId="9617" xr:uid="{00000000-0005-0000-0000-000097250000}"/>
    <cellStyle name="40% - Énfasis2 29 7" xfId="9618" xr:uid="{00000000-0005-0000-0000-000098250000}"/>
    <cellStyle name="40% - Énfasis2 29 8" xfId="9619" xr:uid="{00000000-0005-0000-0000-000099250000}"/>
    <cellStyle name="40% - Énfasis2 29 9" xfId="9620" xr:uid="{00000000-0005-0000-0000-00009A250000}"/>
    <cellStyle name="40% - Énfasis2 3" xfId="9621" xr:uid="{00000000-0005-0000-0000-00009B250000}"/>
    <cellStyle name="40% - Énfasis2 3 10" xfId="9622" xr:uid="{00000000-0005-0000-0000-00009C250000}"/>
    <cellStyle name="40% - Énfasis2 3 11" xfId="9623" xr:uid="{00000000-0005-0000-0000-00009D250000}"/>
    <cellStyle name="40% - Énfasis2 3 12" xfId="9624" xr:uid="{00000000-0005-0000-0000-00009E250000}"/>
    <cellStyle name="40% - Énfasis2 3 13" xfId="9625" xr:uid="{00000000-0005-0000-0000-00009F250000}"/>
    <cellStyle name="40% - Énfasis2 3 14" xfId="9626" xr:uid="{00000000-0005-0000-0000-0000A0250000}"/>
    <cellStyle name="40% - Énfasis2 3 15" xfId="9627" xr:uid="{00000000-0005-0000-0000-0000A1250000}"/>
    <cellStyle name="40% - Énfasis2 3 16" xfId="9628" xr:uid="{00000000-0005-0000-0000-0000A2250000}"/>
    <cellStyle name="40% - Énfasis2 3 17" xfId="9629" xr:uid="{00000000-0005-0000-0000-0000A3250000}"/>
    <cellStyle name="40% - Énfasis2 3 18" xfId="9630" xr:uid="{00000000-0005-0000-0000-0000A4250000}"/>
    <cellStyle name="40% - Énfasis2 3 19" xfId="9631" xr:uid="{00000000-0005-0000-0000-0000A5250000}"/>
    <cellStyle name="40% - Énfasis2 3 2" xfId="9632" xr:uid="{00000000-0005-0000-0000-0000A6250000}"/>
    <cellStyle name="40% - Énfasis2 3 20" xfId="9633" xr:uid="{00000000-0005-0000-0000-0000A7250000}"/>
    <cellStyle name="40% - Énfasis2 3 3" xfId="9634" xr:uid="{00000000-0005-0000-0000-0000A8250000}"/>
    <cellStyle name="40% - Énfasis2 3 4" xfId="9635" xr:uid="{00000000-0005-0000-0000-0000A9250000}"/>
    <cellStyle name="40% - Énfasis2 3 5" xfId="9636" xr:uid="{00000000-0005-0000-0000-0000AA250000}"/>
    <cellStyle name="40% - Énfasis2 3 6" xfId="9637" xr:uid="{00000000-0005-0000-0000-0000AB250000}"/>
    <cellStyle name="40% - Énfasis2 3 7" xfId="9638" xr:uid="{00000000-0005-0000-0000-0000AC250000}"/>
    <cellStyle name="40% - Énfasis2 3 8" xfId="9639" xr:uid="{00000000-0005-0000-0000-0000AD250000}"/>
    <cellStyle name="40% - Énfasis2 3 9" xfId="9640" xr:uid="{00000000-0005-0000-0000-0000AE250000}"/>
    <cellStyle name="40% - Énfasis2 30" xfId="9641" xr:uid="{00000000-0005-0000-0000-0000AF250000}"/>
    <cellStyle name="40% - Énfasis2 30 10" xfId="9642" xr:uid="{00000000-0005-0000-0000-0000B0250000}"/>
    <cellStyle name="40% - Énfasis2 30 11" xfId="9643" xr:uid="{00000000-0005-0000-0000-0000B1250000}"/>
    <cellStyle name="40% - Énfasis2 30 12" xfId="9644" xr:uid="{00000000-0005-0000-0000-0000B2250000}"/>
    <cellStyle name="40% - Énfasis2 30 13" xfId="9645" xr:uid="{00000000-0005-0000-0000-0000B3250000}"/>
    <cellStyle name="40% - Énfasis2 30 14" xfId="9646" xr:uid="{00000000-0005-0000-0000-0000B4250000}"/>
    <cellStyle name="40% - Énfasis2 30 15" xfId="9647" xr:uid="{00000000-0005-0000-0000-0000B5250000}"/>
    <cellStyle name="40% - Énfasis2 30 16" xfId="9648" xr:uid="{00000000-0005-0000-0000-0000B6250000}"/>
    <cellStyle name="40% - Énfasis2 30 17" xfId="9649" xr:uid="{00000000-0005-0000-0000-0000B7250000}"/>
    <cellStyle name="40% - Énfasis2 30 18" xfId="9650" xr:uid="{00000000-0005-0000-0000-0000B8250000}"/>
    <cellStyle name="40% - Énfasis2 30 19" xfId="9651" xr:uid="{00000000-0005-0000-0000-0000B9250000}"/>
    <cellStyle name="40% - Énfasis2 30 2" xfId="9652" xr:uid="{00000000-0005-0000-0000-0000BA250000}"/>
    <cellStyle name="40% - Énfasis2 30 3" xfId="9653" xr:uid="{00000000-0005-0000-0000-0000BB250000}"/>
    <cellStyle name="40% - Énfasis2 30 4" xfId="9654" xr:uid="{00000000-0005-0000-0000-0000BC250000}"/>
    <cellStyle name="40% - Énfasis2 30 5" xfId="9655" xr:uid="{00000000-0005-0000-0000-0000BD250000}"/>
    <cellStyle name="40% - Énfasis2 30 6" xfId="9656" xr:uid="{00000000-0005-0000-0000-0000BE250000}"/>
    <cellStyle name="40% - Énfasis2 30 7" xfId="9657" xr:uid="{00000000-0005-0000-0000-0000BF250000}"/>
    <cellStyle name="40% - Énfasis2 30 8" xfId="9658" xr:uid="{00000000-0005-0000-0000-0000C0250000}"/>
    <cellStyle name="40% - Énfasis2 30 9" xfId="9659" xr:uid="{00000000-0005-0000-0000-0000C1250000}"/>
    <cellStyle name="40% - Énfasis2 31" xfId="9660" xr:uid="{00000000-0005-0000-0000-0000C2250000}"/>
    <cellStyle name="40% - Énfasis2 31 10" xfId="9661" xr:uid="{00000000-0005-0000-0000-0000C3250000}"/>
    <cellStyle name="40% - Énfasis2 31 11" xfId="9662" xr:uid="{00000000-0005-0000-0000-0000C4250000}"/>
    <cellStyle name="40% - Énfasis2 31 12" xfId="9663" xr:uid="{00000000-0005-0000-0000-0000C5250000}"/>
    <cellStyle name="40% - Énfasis2 31 13" xfId="9664" xr:uid="{00000000-0005-0000-0000-0000C6250000}"/>
    <cellStyle name="40% - Énfasis2 31 14" xfId="9665" xr:uid="{00000000-0005-0000-0000-0000C7250000}"/>
    <cellStyle name="40% - Énfasis2 31 15" xfId="9666" xr:uid="{00000000-0005-0000-0000-0000C8250000}"/>
    <cellStyle name="40% - Énfasis2 31 16" xfId="9667" xr:uid="{00000000-0005-0000-0000-0000C9250000}"/>
    <cellStyle name="40% - Énfasis2 31 17" xfId="9668" xr:uid="{00000000-0005-0000-0000-0000CA250000}"/>
    <cellStyle name="40% - Énfasis2 31 18" xfId="9669" xr:uid="{00000000-0005-0000-0000-0000CB250000}"/>
    <cellStyle name="40% - Énfasis2 31 19" xfId="9670" xr:uid="{00000000-0005-0000-0000-0000CC250000}"/>
    <cellStyle name="40% - Énfasis2 31 2" xfId="9671" xr:uid="{00000000-0005-0000-0000-0000CD250000}"/>
    <cellStyle name="40% - Énfasis2 31 3" xfId="9672" xr:uid="{00000000-0005-0000-0000-0000CE250000}"/>
    <cellStyle name="40% - Énfasis2 31 4" xfId="9673" xr:uid="{00000000-0005-0000-0000-0000CF250000}"/>
    <cellStyle name="40% - Énfasis2 31 5" xfId="9674" xr:uid="{00000000-0005-0000-0000-0000D0250000}"/>
    <cellStyle name="40% - Énfasis2 31 6" xfId="9675" xr:uid="{00000000-0005-0000-0000-0000D1250000}"/>
    <cellStyle name="40% - Énfasis2 31 7" xfId="9676" xr:uid="{00000000-0005-0000-0000-0000D2250000}"/>
    <cellStyle name="40% - Énfasis2 31 8" xfId="9677" xr:uid="{00000000-0005-0000-0000-0000D3250000}"/>
    <cellStyle name="40% - Énfasis2 31 9" xfId="9678" xr:uid="{00000000-0005-0000-0000-0000D4250000}"/>
    <cellStyle name="40% - Énfasis2 32" xfId="9679" xr:uid="{00000000-0005-0000-0000-0000D5250000}"/>
    <cellStyle name="40% - Énfasis2 32 10" xfId="9680" xr:uid="{00000000-0005-0000-0000-0000D6250000}"/>
    <cellStyle name="40% - Énfasis2 32 11" xfId="9681" xr:uid="{00000000-0005-0000-0000-0000D7250000}"/>
    <cellStyle name="40% - Énfasis2 32 12" xfId="9682" xr:uid="{00000000-0005-0000-0000-0000D8250000}"/>
    <cellStyle name="40% - Énfasis2 32 13" xfId="9683" xr:uid="{00000000-0005-0000-0000-0000D9250000}"/>
    <cellStyle name="40% - Énfasis2 32 14" xfId="9684" xr:uid="{00000000-0005-0000-0000-0000DA250000}"/>
    <cellStyle name="40% - Énfasis2 32 15" xfId="9685" xr:uid="{00000000-0005-0000-0000-0000DB250000}"/>
    <cellStyle name="40% - Énfasis2 32 16" xfId="9686" xr:uid="{00000000-0005-0000-0000-0000DC250000}"/>
    <cellStyle name="40% - Énfasis2 32 17" xfId="9687" xr:uid="{00000000-0005-0000-0000-0000DD250000}"/>
    <cellStyle name="40% - Énfasis2 32 18" xfId="9688" xr:uid="{00000000-0005-0000-0000-0000DE250000}"/>
    <cellStyle name="40% - Énfasis2 32 19" xfId="9689" xr:uid="{00000000-0005-0000-0000-0000DF250000}"/>
    <cellStyle name="40% - Énfasis2 32 2" xfId="9690" xr:uid="{00000000-0005-0000-0000-0000E0250000}"/>
    <cellStyle name="40% - Énfasis2 32 3" xfId="9691" xr:uid="{00000000-0005-0000-0000-0000E1250000}"/>
    <cellStyle name="40% - Énfasis2 32 4" xfId="9692" xr:uid="{00000000-0005-0000-0000-0000E2250000}"/>
    <cellStyle name="40% - Énfasis2 32 5" xfId="9693" xr:uid="{00000000-0005-0000-0000-0000E3250000}"/>
    <cellStyle name="40% - Énfasis2 32 6" xfId="9694" xr:uid="{00000000-0005-0000-0000-0000E4250000}"/>
    <cellStyle name="40% - Énfasis2 32 7" xfId="9695" xr:uid="{00000000-0005-0000-0000-0000E5250000}"/>
    <cellStyle name="40% - Énfasis2 32 8" xfId="9696" xr:uid="{00000000-0005-0000-0000-0000E6250000}"/>
    <cellStyle name="40% - Énfasis2 32 9" xfId="9697" xr:uid="{00000000-0005-0000-0000-0000E7250000}"/>
    <cellStyle name="40% - Énfasis2 33" xfId="9698" xr:uid="{00000000-0005-0000-0000-0000E8250000}"/>
    <cellStyle name="40% - Énfasis2 33 10" xfId="9699" xr:uid="{00000000-0005-0000-0000-0000E9250000}"/>
    <cellStyle name="40% - Énfasis2 33 11" xfId="9700" xr:uid="{00000000-0005-0000-0000-0000EA250000}"/>
    <cellStyle name="40% - Énfasis2 33 12" xfId="9701" xr:uid="{00000000-0005-0000-0000-0000EB250000}"/>
    <cellStyle name="40% - Énfasis2 33 13" xfId="9702" xr:uid="{00000000-0005-0000-0000-0000EC250000}"/>
    <cellStyle name="40% - Énfasis2 33 14" xfId="9703" xr:uid="{00000000-0005-0000-0000-0000ED250000}"/>
    <cellStyle name="40% - Énfasis2 33 15" xfId="9704" xr:uid="{00000000-0005-0000-0000-0000EE250000}"/>
    <cellStyle name="40% - Énfasis2 33 16" xfId="9705" xr:uid="{00000000-0005-0000-0000-0000EF250000}"/>
    <cellStyle name="40% - Énfasis2 33 17" xfId="9706" xr:uid="{00000000-0005-0000-0000-0000F0250000}"/>
    <cellStyle name="40% - Énfasis2 33 18" xfId="9707" xr:uid="{00000000-0005-0000-0000-0000F1250000}"/>
    <cellStyle name="40% - Énfasis2 33 19" xfId="9708" xr:uid="{00000000-0005-0000-0000-0000F2250000}"/>
    <cellStyle name="40% - Énfasis2 33 2" xfId="9709" xr:uid="{00000000-0005-0000-0000-0000F3250000}"/>
    <cellStyle name="40% - Énfasis2 33 3" xfId="9710" xr:uid="{00000000-0005-0000-0000-0000F4250000}"/>
    <cellStyle name="40% - Énfasis2 33 4" xfId="9711" xr:uid="{00000000-0005-0000-0000-0000F5250000}"/>
    <cellStyle name="40% - Énfasis2 33 5" xfId="9712" xr:uid="{00000000-0005-0000-0000-0000F6250000}"/>
    <cellStyle name="40% - Énfasis2 33 6" xfId="9713" xr:uid="{00000000-0005-0000-0000-0000F7250000}"/>
    <cellStyle name="40% - Énfasis2 33 7" xfId="9714" xr:uid="{00000000-0005-0000-0000-0000F8250000}"/>
    <cellStyle name="40% - Énfasis2 33 8" xfId="9715" xr:uid="{00000000-0005-0000-0000-0000F9250000}"/>
    <cellStyle name="40% - Énfasis2 33 9" xfId="9716" xr:uid="{00000000-0005-0000-0000-0000FA250000}"/>
    <cellStyle name="40% - Énfasis2 34" xfId="9717" xr:uid="{00000000-0005-0000-0000-0000FB250000}"/>
    <cellStyle name="40% - Énfasis2 34 10" xfId="9718" xr:uid="{00000000-0005-0000-0000-0000FC250000}"/>
    <cellStyle name="40% - Énfasis2 34 11" xfId="9719" xr:uid="{00000000-0005-0000-0000-0000FD250000}"/>
    <cellStyle name="40% - Énfasis2 34 12" xfId="9720" xr:uid="{00000000-0005-0000-0000-0000FE250000}"/>
    <cellStyle name="40% - Énfasis2 34 13" xfId="9721" xr:uid="{00000000-0005-0000-0000-0000FF250000}"/>
    <cellStyle name="40% - Énfasis2 34 14" xfId="9722" xr:uid="{00000000-0005-0000-0000-000000260000}"/>
    <cellStyle name="40% - Énfasis2 34 15" xfId="9723" xr:uid="{00000000-0005-0000-0000-000001260000}"/>
    <cellStyle name="40% - Énfasis2 34 16" xfId="9724" xr:uid="{00000000-0005-0000-0000-000002260000}"/>
    <cellStyle name="40% - Énfasis2 34 17" xfId="9725" xr:uid="{00000000-0005-0000-0000-000003260000}"/>
    <cellStyle name="40% - Énfasis2 34 18" xfId="9726" xr:uid="{00000000-0005-0000-0000-000004260000}"/>
    <cellStyle name="40% - Énfasis2 34 19" xfId="9727" xr:uid="{00000000-0005-0000-0000-000005260000}"/>
    <cellStyle name="40% - Énfasis2 34 2" xfId="9728" xr:uid="{00000000-0005-0000-0000-000006260000}"/>
    <cellStyle name="40% - Énfasis2 34 3" xfId="9729" xr:uid="{00000000-0005-0000-0000-000007260000}"/>
    <cellStyle name="40% - Énfasis2 34 4" xfId="9730" xr:uid="{00000000-0005-0000-0000-000008260000}"/>
    <cellStyle name="40% - Énfasis2 34 5" xfId="9731" xr:uid="{00000000-0005-0000-0000-000009260000}"/>
    <cellStyle name="40% - Énfasis2 34 6" xfId="9732" xr:uid="{00000000-0005-0000-0000-00000A260000}"/>
    <cellStyle name="40% - Énfasis2 34 7" xfId="9733" xr:uid="{00000000-0005-0000-0000-00000B260000}"/>
    <cellStyle name="40% - Énfasis2 34 8" xfId="9734" xr:uid="{00000000-0005-0000-0000-00000C260000}"/>
    <cellStyle name="40% - Énfasis2 34 9" xfId="9735" xr:uid="{00000000-0005-0000-0000-00000D260000}"/>
    <cellStyle name="40% - Énfasis2 35" xfId="9736" xr:uid="{00000000-0005-0000-0000-00000E260000}"/>
    <cellStyle name="40% - Énfasis2 35 10" xfId="9737" xr:uid="{00000000-0005-0000-0000-00000F260000}"/>
    <cellStyle name="40% - Énfasis2 35 11" xfId="9738" xr:uid="{00000000-0005-0000-0000-000010260000}"/>
    <cellStyle name="40% - Énfasis2 35 12" xfId="9739" xr:uid="{00000000-0005-0000-0000-000011260000}"/>
    <cellStyle name="40% - Énfasis2 35 13" xfId="9740" xr:uid="{00000000-0005-0000-0000-000012260000}"/>
    <cellStyle name="40% - Énfasis2 35 14" xfId="9741" xr:uid="{00000000-0005-0000-0000-000013260000}"/>
    <cellStyle name="40% - Énfasis2 35 15" xfId="9742" xr:uid="{00000000-0005-0000-0000-000014260000}"/>
    <cellStyle name="40% - Énfasis2 35 16" xfId="9743" xr:uid="{00000000-0005-0000-0000-000015260000}"/>
    <cellStyle name="40% - Énfasis2 35 17" xfId="9744" xr:uid="{00000000-0005-0000-0000-000016260000}"/>
    <cellStyle name="40% - Énfasis2 35 18" xfId="9745" xr:uid="{00000000-0005-0000-0000-000017260000}"/>
    <cellStyle name="40% - Énfasis2 35 19" xfId="9746" xr:uid="{00000000-0005-0000-0000-000018260000}"/>
    <cellStyle name="40% - Énfasis2 35 2" xfId="9747" xr:uid="{00000000-0005-0000-0000-000019260000}"/>
    <cellStyle name="40% - Énfasis2 35 3" xfId="9748" xr:uid="{00000000-0005-0000-0000-00001A260000}"/>
    <cellStyle name="40% - Énfasis2 35 4" xfId="9749" xr:uid="{00000000-0005-0000-0000-00001B260000}"/>
    <cellStyle name="40% - Énfasis2 35 5" xfId="9750" xr:uid="{00000000-0005-0000-0000-00001C260000}"/>
    <cellStyle name="40% - Énfasis2 35 6" xfId="9751" xr:uid="{00000000-0005-0000-0000-00001D260000}"/>
    <cellStyle name="40% - Énfasis2 35 7" xfId="9752" xr:uid="{00000000-0005-0000-0000-00001E260000}"/>
    <cellStyle name="40% - Énfasis2 35 8" xfId="9753" xr:uid="{00000000-0005-0000-0000-00001F260000}"/>
    <cellStyle name="40% - Énfasis2 35 9" xfId="9754" xr:uid="{00000000-0005-0000-0000-000020260000}"/>
    <cellStyle name="40% - Énfasis2 36" xfId="9755" xr:uid="{00000000-0005-0000-0000-000021260000}"/>
    <cellStyle name="40% - Énfasis2 36 10" xfId="9756" xr:uid="{00000000-0005-0000-0000-000022260000}"/>
    <cellStyle name="40% - Énfasis2 36 11" xfId="9757" xr:uid="{00000000-0005-0000-0000-000023260000}"/>
    <cellStyle name="40% - Énfasis2 36 12" xfId="9758" xr:uid="{00000000-0005-0000-0000-000024260000}"/>
    <cellStyle name="40% - Énfasis2 36 13" xfId="9759" xr:uid="{00000000-0005-0000-0000-000025260000}"/>
    <cellStyle name="40% - Énfasis2 36 14" xfId="9760" xr:uid="{00000000-0005-0000-0000-000026260000}"/>
    <cellStyle name="40% - Énfasis2 36 15" xfId="9761" xr:uid="{00000000-0005-0000-0000-000027260000}"/>
    <cellStyle name="40% - Énfasis2 36 16" xfId="9762" xr:uid="{00000000-0005-0000-0000-000028260000}"/>
    <cellStyle name="40% - Énfasis2 36 17" xfId="9763" xr:uid="{00000000-0005-0000-0000-000029260000}"/>
    <cellStyle name="40% - Énfasis2 36 18" xfId="9764" xr:uid="{00000000-0005-0000-0000-00002A260000}"/>
    <cellStyle name="40% - Énfasis2 36 19" xfId="9765" xr:uid="{00000000-0005-0000-0000-00002B260000}"/>
    <cellStyle name="40% - Énfasis2 36 2" xfId="9766" xr:uid="{00000000-0005-0000-0000-00002C260000}"/>
    <cellStyle name="40% - Énfasis2 36 3" xfId="9767" xr:uid="{00000000-0005-0000-0000-00002D260000}"/>
    <cellStyle name="40% - Énfasis2 36 4" xfId="9768" xr:uid="{00000000-0005-0000-0000-00002E260000}"/>
    <cellStyle name="40% - Énfasis2 36 5" xfId="9769" xr:uid="{00000000-0005-0000-0000-00002F260000}"/>
    <cellStyle name="40% - Énfasis2 36 6" xfId="9770" xr:uid="{00000000-0005-0000-0000-000030260000}"/>
    <cellStyle name="40% - Énfasis2 36 7" xfId="9771" xr:uid="{00000000-0005-0000-0000-000031260000}"/>
    <cellStyle name="40% - Énfasis2 36 8" xfId="9772" xr:uid="{00000000-0005-0000-0000-000032260000}"/>
    <cellStyle name="40% - Énfasis2 36 9" xfId="9773" xr:uid="{00000000-0005-0000-0000-000033260000}"/>
    <cellStyle name="40% - Énfasis2 37" xfId="9774" xr:uid="{00000000-0005-0000-0000-000034260000}"/>
    <cellStyle name="40% - Énfasis2 38" xfId="9775" xr:uid="{00000000-0005-0000-0000-000035260000}"/>
    <cellStyle name="40% - Énfasis2 39" xfId="9776" xr:uid="{00000000-0005-0000-0000-000036260000}"/>
    <cellStyle name="40% - Énfasis2 4" xfId="9777" xr:uid="{00000000-0005-0000-0000-000037260000}"/>
    <cellStyle name="40% - Énfasis2 4 10" xfId="9778" xr:uid="{00000000-0005-0000-0000-000038260000}"/>
    <cellStyle name="40% - Énfasis2 4 11" xfId="9779" xr:uid="{00000000-0005-0000-0000-000039260000}"/>
    <cellStyle name="40% - Énfasis2 4 12" xfId="9780" xr:uid="{00000000-0005-0000-0000-00003A260000}"/>
    <cellStyle name="40% - Énfasis2 4 13" xfId="9781" xr:uid="{00000000-0005-0000-0000-00003B260000}"/>
    <cellStyle name="40% - Énfasis2 4 14" xfId="9782" xr:uid="{00000000-0005-0000-0000-00003C260000}"/>
    <cellStyle name="40% - Énfasis2 4 15" xfId="9783" xr:uid="{00000000-0005-0000-0000-00003D260000}"/>
    <cellStyle name="40% - Énfasis2 4 16" xfId="9784" xr:uid="{00000000-0005-0000-0000-00003E260000}"/>
    <cellStyle name="40% - Énfasis2 4 17" xfId="9785" xr:uid="{00000000-0005-0000-0000-00003F260000}"/>
    <cellStyle name="40% - Énfasis2 4 18" xfId="9786" xr:uid="{00000000-0005-0000-0000-000040260000}"/>
    <cellStyle name="40% - Énfasis2 4 19" xfId="9787" xr:uid="{00000000-0005-0000-0000-000041260000}"/>
    <cellStyle name="40% - Énfasis2 4 2" xfId="9788" xr:uid="{00000000-0005-0000-0000-000042260000}"/>
    <cellStyle name="40% - Énfasis2 4 20" xfId="9789" xr:uid="{00000000-0005-0000-0000-000043260000}"/>
    <cellStyle name="40% - Énfasis2 4 3" xfId="9790" xr:uid="{00000000-0005-0000-0000-000044260000}"/>
    <cellStyle name="40% - Énfasis2 4 4" xfId="9791" xr:uid="{00000000-0005-0000-0000-000045260000}"/>
    <cellStyle name="40% - Énfasis2 4 5" xfId="9792" xr:uid="{00000000-0005-0000-0000-000046260000}"/>
    <cellStyle name="40% - Énfasis2 4 6" xfId="9793" xr:uid="{00000000-0005-0000-0000-000047260000}"/>
    <cellStyle name="40% - Énfasis2 4 7" xfId="9794" xr:uid="{00000000-0005-0000-0000-000048260000}"/>
    <cellStyle name="40% - Énfasis2 4 8" xfId="9795" xr:uid="{00000000-0005-0000-0000-000049260000}"/>
    <cellStyle name="40% - Énfasis2 4 9" xfId="9796" xr:uid="{00000000-0005-0000-0000-00004A260000}"/>
    <cellStyle name="40% - Énfasis2 40" xfId="9797" xr:uid="{00000000-0005-0000-0000-00004B260000}"/>
    <cellStyle name="40% - Énfasis2 41" xfId="9798" xr:uid="{00000000-0005-0000-0000-00004C260000}"/>
    <cellStyle name="40% - Énfasis2 42" xfId="9799" xr:uid="{00000000-0005-0000-0000-00004D260000}"/>
    <cellStyle name="40% - Énfasis2 43" xfId="9800" xr:uid="{00000000-0005-0000-0000-00004E260000}"/>
    <cellStyle name="40% - Énfasis2 44" xfId="9801" xr:uid="{00000000-0005-0000-0000-00004F260000}"/>
    <cellStyle name="40% - Énfasis2 45" xfId="9802" xr:uid="{00000000-0005-0000-0000-000050260000}"/>
    <cellStyle name="40% - Énfasis2 46" xfId="9803" xr:uid="{00000000-0005-0000-0000-000051260000}"/>
    <cellStyle name="40% - Énfasis2 47" xfId="9804" xr:uid="{00000000-0005-0000-0000-000052260000}"/>
    <cellStyle name="40% - Énfasis2 48" xfId="9805" xr:uid="{00000000-0005-0000-0000-000053260000}"/>
    <cellStyle name="40% - Énfasis2 49" xfId="9806" xr:uid="{00000000-0005-0000-0000-000054260000}"/>
    <cellStyle name="40% - Énfasis2 5" xfId="9807" xr:uid="{00000000-0005-0000-0000-000055260000}"/>
    <cellStyle name="40% - Énfasis2 5 10" xfId="9808" xr:uid="{00000000-0005-0000-0000-000056260000}"/>
    <cellStyle name="40% - Énfasis2 5 11" xfId="9809" xr:uid="{00000000-0005-0000-0000-000057260000}"/>
    <cellStyle name="40% - Énfasis2 5 12" xfId="9810" xr:uid="{00000000-0005-0000-0000-000058260000}"/>
    <cellStyle name="40% - Énfasis2 5 13" xfId="9811" xr:uid="{00000000-0005-0000-0000-000059260000}"/>
    <cellStyle name="40% - Énfasis2 5 14" xfId="9812" xr:uid="{00000000-0005-0000-0000-00005A260000}"/>
    <cellStyle name="40% - Énfasis2 5 15" xfId="9813" xr:uid="{00000000-0005-0000-0000-00005B260000}"/>
    <cellStyle name="40% - Énfasis2 5 16" xfId="9814" xr:uid="{00000000-0005-0000-0000-00005C260000}"/>
    <cellStyle name="40% - Énfasis2 5 17" xfId="9815" xr:uid="{00000000-0005-0000-0000-00005D260000}"/>
    <cellStyle name="40% - Énfasis2 5 18" xfId="9816" xr:uid="{00000000-0005-0000-0000-00005E260000}"/>
    <cellStyle name="40% - Énfasis2 5 19" xfId="9817" xr:uid="{00000000-0005-0000-0000-00005F260000}"/>
    <cellStyle name="40% - Énfasis2 5 2" xfId="9818" xr:uid="{00000000-0005-0000-0000-000060260000}"/>
    <cellStyle name="40% - Énfasis2 5 20" xfId="9819" xr:uid="{00000000-0005-0000-0000-000061260000}"/>
    <cellStyle name="40% - Énfasis2 5 3" xfId="9820" xr:uid="{00000000-0005-0000-0000-000062260000}"/>
    <cellStyle name="40% - Énfasis2 5 4" xfId="9821" xr:uid="{00000000-0005-0000-0000-000063260000}"/>
    <cellStyle name="40% - Énfasis2 5 5" xfId="9822" xr:uid="{00000000-0005-0000-0000-000064260000}"/>
    <cellStyle name="40% - Énfasis2 5 6" xfId="9823" xr:uid="{00000000-0005-0000-0000-000065260000}"/>
    <cellStyle name="40% - Énfasis2 5 7" xfId="9824" xr:uid="{00000000-0005-0000-0000-000066260000}"/>
    <cellStyle name="40% - Énfasis2 5 8" xfId="9825" xr:uid="{00000000-0005-0000-0000-000067260000}"/>
    <cellStyle name="40% - Énfasis2 5 9" xfId="9826" xr:uid="{00000000-0005-0000-0000-000068260000}"/>
    <cellStyle name="40% - Énfasis2 50" xfId="9827" xr:uid="{00000000-0005-0000-0000-000069260000}"/>
    <cellStyle name="40% - Énfasis2 51" xfId="9828" xr:uid="{00000000-0005-0000-0000-00006A260000}"/>
    <cellStyle name="40% - Énfasis2 52" xfId="9829" xr:uid="{00000000-0005-0000-0000-00006B260000}"/>
    <cellStyle name="40% - Énfasis2 53" xfId="9830" xr:uid="{00000000-0005-0000-0000-00006C260000}"/>
    <cellStyle name="40% - Énfasis2 54" xfId="9831" xr:uid="{00000000-0005-0000-0000-00006D260000}"/>
    <cellStyle name="40% - Énfasis2 55" xfId="9832" xr:uid="{00000000-0005-0000-0000-00006E260000}"/>
    <cellStyle name="40% - Énfasis2 56" xfId="9833" xr:uid="{00000000-0005-0000-0000-00006F260000}"/>
    <cellStyle name="40% - Énfasis2 57" xfId="9834" xr:uid="{00000000-0005-0000-0000-000070260000}"/>
    <cellStyle name="40% - Énfasis2 58" xfId="9835" xr:uid="{00000000-0005-0000-0000-000071260000}"/>
    <cellStyle name="40% - Énfasis2 59" xfId="9836" xr:uid="{00000000-0005-0000-0000-000072260000}"/>
    <cellStyle name="40% - Énfasis2 6" xfId="9837" xr:uid="{00000000-0005-0000-0000-000073260000}"/>
    <cellStyle name="40% - Énfasis2 6 10" xfId="9838" xr:uid="{00000000-0005-0000-0000-000074260000}"/>
    <cellStyle name="40% - Énfasis2 6 11" xfId="9839" xr:uid="{00000000-0005-0000-0000-000075260000}"/>
    <cellStyle name="40% - Énfasis2 6 12" xfId="9840" xr:uid="{00000000-0005-0000-0000-000076260000}"/>
    <cellStyle name="40% - Énfasis2 6 13" xfId="9841" xr:uid="{00000000-0005-0000-0000-000077260000}"/>
    <cellStyle name="40% - Énfasis2 6 14" xfId="9842" xr:uid="{00000000-0005-0000-0000-000078260000}"/>
    <cellStyle name="40% - Énfasis2 6 15" xfId="9843" xr:uid="{00000000-0005-0000-0000-000079260000}"/>
    <cellStyle name="40% - Énfasis2 6 16" xfId="9844" xr:uid="{00000000-0005-0000-0000-00007A260000}"/>
    <cellStyle name="40% - Énfasis2 6 17" xfId="9845" xr:uid="{00000000-0005-0000-0000-00007B260000}"/>
    <cellStyle name="40% - Énfasis2 6 18" xfId="9846" xr:uid="{00000000-0005-0000-0000-00007C260000}"/>
    <cellStyle name="40% - Énfasis2 6 19" xfId="9847" xr:uid="{00000000-0005-0000-0000-00007D260000}"/>
    <cellStyle name="40% - Énfasis2 6 2" xfId="9848" xr:uid="{00000000-0005-0000-0000-00007E260000}"/>
    <cellStyle name="40% - Énfasis2 6 20" xfId="9849" xr:uid="{00000000-0005-0000-0000-00007F260000}"/>
    <cellStyle name="40% - Énfasis2 6 3" xfId="9850" xr:uid="{00000000-0005-0000-0000-000080260000}"/>
    <cellStyle name="40% - Énfasis2 6 4" xfId="9851" xr:uid="{00000000-0005-0000-0000-000081260000}"/>
    <cellStyle name="40% - Énfasis2 6 5" xfId="9852" xr:uid="{00000000-0005-0000-0000-000082260000}"/>
    <cellStyle name="40% - Énfasis2 6 6" xfId="9853" xr:uid="{00000000-0005-0000-0000-000083260000}"/>
    <cellStyle name="40% - Énfasis2 6 7" xfId="9854" xr:uid="{00000000-0005-0000-0000-000084260000}"/>
    <cellStyle name="40% - Énfasis2 6 8" xfId="9855" xr:uid="{00000000-0005-0000-0000-000085260000}"/>
    <cellStyle name="40% - Énfasis2 6 9" xfId="9856" xr:uid="{00000000-0005-0000-0000-000086260000}"/>
    <cellStyle name="40% - Énfasis2 60" xfId="9857" xr:uid="{00000000-0005-0000-0000-000087260000}"/>
    <cellStyle name="40% - Énfasis2 61" xfId="9858" xr:uid="{00000000-0005-0000-0000-000088260000}"/>
    <cellStyle name="40% - Énfasis2 62" xfId="9859" xr:uid="{00000000-0005-0000-0000-000089260000}"/>
    <cellStyle name="40% - Énfasis2 63" xfId="9860" xr:uid="{00000000-0005-0000-0000-00008A260000}"/>
    <cellStyle name="40% - Énfasis2 64" xfId="9861" xr:uid="{00000000-0005-0000-0000-00008B260000}"/>
    <cellStyle name="40% - Énfasis2 65" xfId="9862" xr:uid="{00000000-0005-0000-0000-00008C260000}"/>
    <cellStyle name="40% - Énfasis2 66" xfId="9863" xr:uid="{00000000-0005-0000-0000-00008D260000}"/>
    <cellStyle name="40% - Énfasis2 67" xfId="9864" xr:uid="{00000000-0005-0000-0000-00008E260000}"/>
    <cellStyle name="40% - Énfasis2 68" xfId="9865" xr:uid="{00000000-0005-0000-0000-00008F260000}"/>
    <cellStyle name="40% - Énfasis2 69" xfId="9866" xr:uid="{00000000-0005-0000-0000-000090260000}"/>
    <cellStyle name="40% - Énfasis2 7" xfId="9867" xr:uid="{00000000-0005-0000-0000-000091260000}"/>
    <cellStyle name="40% - Énfasis2 7 10" xfId="9868" xr:uid="{00000000-0005-0000-0000-000092260000}"/>
    <cellStyle name="40% - Énfasis2 7 11" xfId="9869" xr:uid="{00000000-0005-0000-0000-000093260000}"/>
    <cellStyle name="40% - Énfasis2 7 12" xfId="9870" xr:uid="{00000000-0005-0000-0000-000094260000}"/>
    <cellStyle name="40% - Énfasis2 7 13" xfId="9871" xr:uid="{00000000-0005-0000-0000-000095260000}"/>
    <cellStyle name="40% - Énfasis2 7 14" xfId="9872" xr:uid="{00000000-0005-0000-0000-000096260000}"/>
    <cellStyle name="40% - Énfasis2 7 15" xfId="9873" xr:uid="{00000000-0005-0000-0000-000097260000}"/>
    <cellStyle name="40% - Énfasis2 7 16" xfId="9874" xr:uid="{00000000-0005-0000-0000-000098260000}"/>
    <cellStyle name="40% - Énfasis2 7 17" xfId="9875" xr:uid="{00000000-0005-0000-0000-000099260000}"/>
    <cellStyle name="40% - Énfasis2 7 18" xfId="9876" xr:uid="{00000000-0005-0000-0000-00009A260000}"/>
    <cellStyle name="40% - Énfasis2 7 19" xfId="9877" xr:uid="{00000000-0005-0000-0000-00009B260000}"/>
    <cellStyle name="40% - Énfasis2 7 2" xfId="9878" xr:uid="{00000000-0005-0000-0000-00009C260000}"/>
    <cellStyle name="40% - Énfasis2 7 20" xfId="9879" xr:uid="{00000000-0005-0000-0000-00009D260000}"/>
    <cellStyle name="40% - Énfasis2 7 3" xfId="9880" xr:uid="{00000000-0005-0000-0000-00009E260000}"/>
    <cellStyle name="40% - Énfasis2 7 4" xfId="9881" xr:uid="{00000000-0005-0000-0000-00009F260000}"/>
    <cellStyle name="40% - Énfasis2 7 5" xfId="9882" xr:uid="{00000000-0005-0000-0000-0000A0260000}"/>
    <cellStyle name="40% - Énfasis2 7 6" xfId="9883" xr:uid="{00000000-0005-0000-0000-0000A1260000}"/>
    <cellStyle name="40% - Énfasis2 7 7" xfId="9884" xr:uid="{00000000-0005-0000-0000-0000A2260000}"/>
    <cellStyle name="40% - Énfasis2 7 8" xfId="9885" xr:uid="{00000000-0005-0000-0000-0000A3260000}"/>
    <cellStyle name="40% - Énfasis2 7 9" xfId="9886" xr:uid="{00000000-0005-0000-0000-0000A4260000}"/>
    <cellStyle name="40% - Énfasis2 70" xfId="9887" xr:uid="{00000000-0005-0000-0000-0000A5260000}"/>
    <cellStyle name="40% - Énfasis2 71" xfId="9888" xr:uid="{00000000-0005-0000-0000-0000A6260000}"/>
    <cellStyle name="40% - Énfasis2 72" xfId="9889" xr:uid="{00000000-0005-0000-0000-0000A7260000}"/>
    <cellStyle name="40% - Énfasis2 73" xfId="9890" xr:uid="{00000000-0005-0000-0000-0000A8260000}"/>
    <cellStyle name="40% - Énfasis2 74" xfId="9891" xr:uid="{00000000-0005-0000-0000-0000A9260000}"/>
    <cellStyle name="40% - Énfasis2 75" xfId="9892" xr:uid="{00000000-0005-0000-0000-0000AA260000}"/>
    <cellStyle name="40% - Énfasis2 76" xfId="9893" xr:uid="{00000000-0005-0000-0000-0000AB260000}"/>
    <cellStyle name="40% - Énfasis2 77" xfId="9894" xr:uid="{00000000-0005-0000-0000-0000AC260000}"/>
    <cellStyle name="40% - Énfasis2 78" xfId="9895" xr:uid="{00000000-0005-0000-0000-0000AD260000}"/>
    <cellStyle name="40% - Énfasis2 79" xfId="9896" xr:uid="{00000000-0005-0000-0000-0000AE260000}"/>
    <cellStyle name="40% - Énfasis2 8" xfId="9897" xr:uid="{00000000-0005-0000-0000-0000AF260000}"/>
    <cellStyle name="40% - Énfasis2 8 10" xfId="9898" xr:uid="{00000000-0005-0000-0000-0000B0260000}"/>
    <cellStyle name="40% - Énfasis2 8 11" xfId="9899" xr:uid="{00000000-0005-0000-0000-0000B1260000}"/>
    <cellStyle name="40% - Énfasis2 8 12" xfId="9900" xr:uid="{00000000-0005-0000-0000-0000B2260000}"/>
    <cellStyle name="40% - Énfasis2 8 13" xfId="9901" xr:uid="{00000000-0005-0000-0000-0000B3260000}"/>
    <cellStyle name="40% - Énfasis2 8 14" xfId="9902" xr:uid="{00000000-0005-0000-0000-0000B4260000}"/>
    <cellStyle name="40% - Énfasis2 8 15" xfId="9903" xr:uid="{00000000-0005-0000-0000-0000B5260000}"/>
    <cellStyle name="40% - Énfasis2 8 16" xfId="9904" xr:uid="{00000000-0005-0000-0000-0000B6260000}"/>
    <cellStyle name="40% - Énfasis2 8 17" xfId="9905" xr:uid="{00000000-0005-0000-0000-0000B7260000}"/>
    <cellStyle name="40% - Énfasis2 8 18" xfId="9906" xr:uid="{00000000-0005-0000-0000-0000B8260000}"/>
    <cellStyle name="40% - Énfasis2 8 19" xfId="9907" xr:uid="{00000000-0005-0000-0000-0000B9260000}"/>
    <cellStyle name="40% - Énfasis2 8 2" xfId="9908" xr:uid="{00000000-0005-0000-0000-0000BA260000}"/>
    <cellStyle name="40% - Énfasis2 8 20" xfId="9909" xr:uid="{00000000-0005-0000-0000-0000BB260000}"/>
    <cellStyle name="40% - Énfasis2 8 3" xfId="9910" xr:uid="{00000000-0005-0000-0000-0000BC260000}"/>
    <cellStyle name="40% - Énfasis2 8 4" xfId="9911" xr:uid="{00000000-0005-0000-0000-0000BD260000}"/>
    <cellStyle name="40% - Énfasis2 8 5" xfId="9912" xr:uid="{00000000-0005-0000-0000-0000BE260000}"/>
    <cellStyle name="40% - Énfasis2 8 6" xfId="9913" xr:uid="{00000000-0005-0000-0000-0000BF260000}"/>
    <cellStyle name="40% - Énfasis2 8 7" xfId="9914" xr:uid="{00000000-0005-0000-0000-0000C0260000}"/>
    <cellStyle name="40% - Énfasis2 8 8" xfId="9915" xr:uid="{00000000-0005-0000-0000-0000C1260000}"/>
    <cellStyle name="40% - Énfasis2 8 9" xfId="9916" xr:uid="{00000000-0005-0000-0000-0000C2260000}"/>
    <cellStyle name="40% - Énfasis2 80" xfId="9917" xr:uid="{00000000-0005-0000-0000-0000C3260000}"/>
    <cellStyle name="40% - Énfasis2 81" xfId="9918" xr:uid="{00000000-0005-0000-0000-0000C4260000}"/>
    <cellStyle name="40% - Énfasis2 82" xfId="9919" xr:uid="{00000000-0005-0000-0000-0000C5260000}"/>
    <cellStyle name="40% - Énfasis2 83" xfId="9920" xr:uid="{00000000-0005-0000-0000-0000C6260000}"/>
    <cellStyle name="40% - Énfasis2 84" xfId="9921" xr:uid="{00000000-0005-0000-0000-0000C7260000}"/>
    <cellStyle name="40% - Énfasis2 85" xfId="9922" xr:uid="{00000000-0005-0000-0000-0000C8260000}"/>
    <cellStyle name="40% - Énfasis2 86" xfId="9923" xr:uid="{00000000-0005-0000-0000-0000C9260000}"/>
    <cellStyle name="40% - Énfasis2 87" xfId="9924" xr:uid="{00000000-0005-0000-0000-0000CA260000}"/>
    <cellStyle name="40% - Énfasis2 88" xfId="9925" xr:uid="{00000000-0005-0000-0000-0000CB260000}"/>
    <cellStyle name="40% - Énfasis2 89" xfId="9926" xr:uid="{00000000-0005-0000-0000-0000CC260000}"/>
    <cellStyle name="40% - Énfasis2 9" xfId="9927" xr:uid="{00000000-0005-0000-0000-0000CD260000}"/>
    <cellStyle name="40% - Énfasis2 9 10" xfId="9928" xr:uid="{00000000-0005-0000-0000-0000CE260000}"/>
    <cellStyle name="40% - Énfasis2 9 11" xfId="9929" xr:uid="{00000000-0005-0000-0000-0000CF260000}"/>
    <cellStyle name="40% - Énfasis2 9 12" xfId="9930" xr:uid="{00000000-0005-0000-0000-0000D0260000}"/>
    <cellStyle name="40% - Énfasis2 9 13" xfId="9931" xr:uid="{00000000-0005-0000-0000-0000D1260000}"/>
    <cellStyle name="40% - Énfasis2 9 14" xfId="9932" xr:uid="{00000000-0005-0000-0000-0000D2260000}"/>
    <cellStyle name="40% - Énfasis2 9 15" xfId="9933" xr:uid="{00000000-0005-0000-0000-0000D3260000}"/>
    <cellStyle name="40% - Énfasis2 9 16" xfId="9934" xr:uid="{00000000-0005-0000-0000-0000D4260000}"/>
    <cellStyle name="40% - Énfasis2 9 17" xfId="9935" xr:uid="{00000000-0005-0000-0000-0000D5260000}"/>
    <cellStyle name="40% - Énfasis2 9 18" xfId="9936" xr:uid="{00000000-0005-0000-0000-0000D6260000}"/>
    <cellStyle name="40% - Énfasis2 9 19" xfId="9937" xr:uid="{00000000-0005-0000-0000-0000D7260000}"/>
    <cellStyle name="40% - Énfasis2 9 2" xfId="9938" xr:uid="{00000000-0005-0000-0000-0000D8260000}"/>
    <cellStyle name="40% - Énfasis2 9 20" xfId="9939" xr:uid="{00000000-0005-0000-0000-0000D9260000}"/>
    <cellStyle name="40% - Énfasis2 9 3" xfId="9940" xr:uid="{00000000-0005-0000-0000-0000DA260000}"/>
    <cellStyle name="40% - Énfasis2 9 4" xfId="9941" xr:uid="{00000000-0005-0000-0000-0000DB260000}"/>
    <cellStyle name="40% - Énfasis2 9 5" xfId="9942" xr:uid="{00000000-0005-0000-0000-0000DC260000}"/>
    <cellStyle name="40% - Énfasis2 9 6" xfId="9943" xr:uid="{00000000-0005-0000-0000-0000DD260000}"/>
    <cellStyle name="40% - Énfasis2 9 7" xfId="9944" xr:uid="{00000000-0005-0000-0000-0000DE260000}"/>
    <cellStyle name="40% - Énfasis2 9 8" xfId="9945" xr:uid="{00000000-0005-0000-0000-0000DF260000}"/>
    <cellStyle name="40% - Énfasis2 9 9" xfId="9946" xr:uid="{00000000-0005-0000-0000-0000E0260000}"/>
    <cellStyle name="40% - Énfasis2 90" xfId="9947" xr:uid="{00000000-0005-0000-0000-0000E1260000}"/>
    <cellStyle name="40% - Énfasis2 91" xfId="9948" xr:uid="{00000000-0005-0000-0000-0000E2260000}"/>
    <cellStyle name="40% - Énfasis2 92" xfId="9949" xr:uid="{00000000-0005-0000-0000-0000E3260000}"/>
    <cellStyle name="40% - Énfasis2 93" xfId="9950" xr:uid="{00000000-0005-0000-0000-0000E4260000}"/>
    <cellStyle name="40% - Énfasis2 94" xfId="9951" xr:uid="{00000000-0005-0000-0000-0000E5260000}"/>
    <cellStyle name="40% - Énfasis2 95" xfId="9952" xr:uid="{00000000-0005-0000-0000-0000E6260000}"/>
    <cellStyle name="40% - Énfasis2 96" xfId="9953" xr:uid="{00000000-0005-0000-0000-0000E7260000}"/>
    <cellStyle name="40% - Énfasis2 97" xfId="9954" xr:uid="{00000000-0005-0000-0000-0000E8260000}"/>
    <cellStyle name="40% - Énfasis2 98" xfId="15628" xr:uid="{00000000-0005-0000-0000-0000E9260000}"/>
    <cellStyle name="40% - Énfasis3" xfId="9955" builtinId="39" customBuiltin="1"/>
    <cellStyle name="40% - Énfasis3 10" xfId="9956" xr:uid="{00000000-0005-0000-0000-0000EB260000}"/>
    <cellStyle name="40% - Énfasis3 10 10" xfId="9957" xr:uid="{00000000-0005-0000-0000-0000EC260000}"/>
    <cellStyle name="40% - Énfasis3 10 11" xfId="9958" xr:uid="{00000000-0005-0000-0000-0000ED260000}"/>
    <cellStyle name="40% - Énfasis3 10 12" xfId="9959" xr:uid="{00000000-0005-0000-0000-0000EE260000}"/>
    <cellStyle name="40% - Énfasis3 10 13" xfId="9960" xr:uid="{00000000-0005-0000-0000-0000EF260000}"/>
    <cellStyle name="40% - Énfasis3 10 14" xfId="9961" xr:uid="{00000000-0005-0000-0000-0000F0260000}"/>
    <cellStyle name="40% - Énfasis3 10 15" xfId="9962" xr:uid="{00000000-0005-0000-0000-0000F1260000}"/>
    <cellStyle name="40% - Énfasis3 10 16" xfId="9963" xr:uid="{00000000-0005-0000-0000-0000F2260000}"/>
    <cellStyle name="40% - Énfasis3 10 17" xfId="9964" xr:uid="{00000000-0005-0000-0000-0000F3260000}"/>
    <cellStyle name="40% - Énfasis3 10 18" xfId="9965" xr:uid="{00000000-0005-0000-0000-0000F4260000}"/>
    <cellStyle name="40% - Énfasis3 10 19" xfId="9966" xr:uid="{00000000-0005-0000-0000-0000F5260000}"/>
    <cellStyle name="40% - Énfasis3 10 2" xfId="9967" xr:uid="{00000000-0005-0000-0000-0000F6260000}"/>
    <cellStyle name="40% - Énfasis3 10 20" xfId="9968" xr:uid="{00000000-0005-0000-0000-0000F7260000}"/>
    <cellStyle name="40% - Énfasis3 10 3" xfId="9969" xr:uid="{00000000-0005-0000-0000-0000F8260000}"/>
    <cellStyle name="40% - Énfasis3 10 4" xfId="9970" xr:uid="{00000000-0005-0000-0000-0000F9260000}"/>
    <cellStyle name="40% - Énfasis3 10 5" xfId="9971" xr:uid="{00000000-0005-0000-0000-0000FA260000}"/>
    <cellStyle name="40% - Énfasis3 10 6" xfId="9972" xr:uid="{00000000-0005-0000-0000-0000FB260000}"/>
    <cellStyle name="40% - Énfasis3 10 7" xfId="9973" xr:uid="{00000000-0005-0000-0000-0000FC260000}"/>
    <cellStyle name="40% - Énfasis3 10 8" xfId="9974" xr:uid="{00000000-0005-0000-0000-0000FD260000}"/>
    <cellStyle name="40% - Énfasis3 10 9" xfId="9975" xr:uid="{00000000-0005-0000-0000-0000FE260000}"/>
    <cellStyle name="40% - Énfasis3 11" xfId="9976" xr:uid="{00000000-0005-0000-0000-0000FF260000}"/>
    <cellStyle name="40% - Énfasis3 11 10" xfId="9977" xr:uid="{00000000-0005-0000-0000-000000270000}"/>
    <cellStyle name="40% - Énfasis3 11 11" xfId="9978" xr:uid="{00000000-0005-0000-0000-000001270000}"/>
    <cellStyle name="40% - Énfasis3 11 12" xfId="9979" xr:uid="{00000000-0005-0000-0000-000002270000}"/>
    <cellStyle name="40% - Énfasis3 11 13" xfId="9980" xr:uid="{00000000-0005-0000-0000-000003270000}"/>
    <cellStyle name="40% - Énfasis3 11 14" xfId="9981" xr:uid="{00000000-0005-0000-0000-000004270000}"/>
    <cellStyle name="40% - Énfasis3 11 15" xfId="9982" xr:uid="{00000000-0005-0000-0000-000005270000}"/>
    <cellStyle name="40% - Énfasis3 11 16" xfId="9983" xr:uid="{00000000-0005-0000-0000-000006270000}"/>
    <cellStyle name="40% - Énfasis3 11 17" xfId="9984" xr:uid="{00000000-0005-0000-0000-000007270000}"/>
    <cellStyle name="40% - Énfasis3 11 18" xfId="9985" xr:uid="{00000000-0005-0000-0000-000008270000}"/>
    <cellStyle name="40% - Énfasis3 11 19" xfId="9986" xr:uid="{00000000-0005-0000-0000-000009270000}"/>
    <cellStyle name="40% - Énfasis3 11 2" xfId="9987" xr:uid="{00000000-0005-0000-0000-00000A270000}"/>
    <cellStyle name="40% - Énfasis3 11 20" xfId="9988" xr:uid="{00000000-0005-0000-0000-00000B270000}"/>
    <cellStyle name="40% - Énfasis3 11 3" xfId="9989" xr:uid="{00000000-0005-0000-0000-00000C270000}"/>
    <cellStyle name="40% - Énfasis3 11 4" xfId="9990" xr:uid="{00000000-0005-0000-0000-00000D270000}"/>
    <cellStyle name="40% - Énfasis3 11 5" xfId="9991" xr:uid="{00000000-0005-0000-0000-00000E270000}"/>
    <cellStyle name="40% - Énfasis3 11 6" xfId="9992" xr:uid="{00000000-0005-0000-0000-00000F270000}"/>
    <cellStyle name="40% - Énfasis3 11 7" xfId="9993" xr:uid="{00000000-0005-0000-0000-000010270000}"/>
    <cellStyle name="40% - Énfasis3 11 8" xfId="9994" xr:uid="{00000000-0005-0000-0000-000011270000}"/>
    <cellStyle name="40% - Énfasis3 11 9" xfId="9995" xr:uid="{00000000-0005-0000-0000-000012270000}"/>
    <cellStyle name="40% - Énfasis3 12" xfId="9996" xr:uid="{00000000-0005-0000-0000-000013270000}"/>
    <cellStyle name="40% - Énfasis3 12 10" xfId="9997" xr:uid="{00000000-0005-0000-0000-000014270000}"/>
    <cellStyle name="40% - Énfasis3 12 11" xfId="9998" xr:uid="{00000000-0005-0000-0000-000015270000}"/>
    <cellStyle name="40% - Énfasis3 12 12" xfId="9999" xr:uid="{00000000-0005-0000-0000-000016270000}"/>
    <cellStyle name="40% - Énfasis3 12 13" xfId="10000" xr:uid="{00000000-0005-0000-0000-000017270000}"/>
    <cellStyle name="40% - Énfasis3 12 14" xfId="10001" xr:uid="{00000000-0005-0000-0000-000018270000}"/>
    <cellStyle name="40% - Énfasis3 12 15" xfId="10002" xr:uid="{00000000-0005-0000-0000-000019270000}"/>
    <cellStyle name="40% - Énfasis3 12 16" xfId="10003" xr:uid="{00000000-0005-0000-0000-00001A270000}"/>
    <cellStyle name="40% - Énfasis3 12 17" xfId="10004" xr:uid="{00000000-0005-0000-0000-00001B270000}"/>
    <cellStyle name="40% - Énfasis3 12 18" xfId="10005" xr:uid="{00000000-0005-0000-0000-00001C270000}"/>
    <cellStyle name="40% - Énfasis3 12 19" xfId="10006" xr:uid="{00000000-0005-0000-0000-00001D270000}"/>
    <cellStyle name="40% - Énfasis3 12 2" xfId="10007" xr:uid="{00000000-0005-0000-0000-00001E270000}"/>
    <cellStyle name="40% - Énfasis3 12 20" xfId="10008" xr:uid="{00000000-0005-0000-0000-00001F270000}"/>
    <cellStyle name="40% - Énfasis3 12 3" xfId="10009" xr:uid="{00000000-0005-0000-0000-000020270000}"/>
    <cellStyle name="40% - Énfasis3 12 4" xfId="10010" xr:uid="{00000000-0005-0000-0000-000021270000}"/>
    <cellStyle name="40% - Énfasis3 12 5" xfId="10011" xr:uid="{00000000-0005-0000-0000-000022270000}"/>
    <cellStyle name="40% - Énfasis3 12 6" xfId="10012" xr:uid="{00000000-0005-0000-0000-000023270000}"/>
    <cellStyle name="40% - Énfasis3 12 7" xfId="10013" xr:uid="{00000000-0005-0000-0000-000024270000}"/>
    <cellStyle name="40% - Énfasis3 12 8" xfId="10014" xr:uid="{00000000-0005-0000-0000-000025270000}"/>
    <cellStyle name="40% - Énfasis3 12 9" xfId="10015" xr:uid="{00000000-0005-0000-0000-000026270000}"/>
    <cellStyle name="40% - Énfasis3 13" xfId="10016" xr:uid="{00000000-0005-0000-0000-000027270000}"/>
    <cellStyle name="40% - Énfasis3 13 10" xfId="10017" xr:uid="{00000000-0005-0000-0000-000028270000}"/>
    <cellStyle name="40% - Énfasis3 13 11" xfId="10018" xr:uid="{00000000-0005-0000-0000-000029270000}"/>
    <cellStyle name="40% - Énfasis3 13 12" xfId="10019" xr:uid="{00000000-0005-0000-0000-00002A270000}"/>
    <cellStyle name="40% - Énfasis3 13 13" xfId="10020" xr:uid="{00000000-0005-0000-0000-00002B270000}"/>
    <cellStyle name="40% - Énfasis3 13 14" xfId="10021" xr:uid="{00000000-0005-0000-0000-00002C270000}"/>
    <cellStyle name="40% - Énfasis3 13 15" xfId="10022" xr:uid="{00000000-0005-0000-0000-00002D270000}"/>
    <cellStyle name="40% - Énfasis3 13 16" xfId="10023" xr:uid="{00000000-0005-0000-0000-00002E270000}"/>
    <cellStyle name="40% - Énfasis3 13 17" xfId="10024" xr:uid="{00000000-0005-0000-0000-00002F270000}"/>
    <cellStyle name="40% - Énfasis3 13 18" xfId="10025" xr:uid="{00000000-0005-0000-0000-000030270000}"/>
    <cellStyle name="40% - Énfasis3 13 19" xfId="10026" xr:uid="{00000000-0005-0000-0000-000031270000}"/>
    <cellStyle name="40% - Énfasis3 13 2" xfId="10027" xr:uid="{00000000-0005-0000-0000-000032270000}"/>
    <cellStyle name="40% - Énfasis3 13 20" xfId="10028" xr:uid="{00000000-0005-0000-0000-000033270000}"/>
    <cellStyle name="40% - Énfasis3 13 3" xfId="10029" xr:uid="{00000000-0005-0000-0000-000034270000}"/>
    <cellStyle name="40% - Énfasis3 13 4" xfId="10030" xr:uid="{00000000-0005-0000-0000-000035270000}"/>
    <cellStyle name="40% - Énfasis3 13 5" xfId="10031" xr:uid="{00000000-0005-0000-0000-000036270000}"/>
    <cellStyle name="40% - Énfasis3 13 6" xfId="10032" xr:uid="{00000000-0005-0000-0000-000037270000}"/>
    <cellStyle name="40% - Énfasis3 13 7" xfId="10033" xr:uid="{00000000-0005-0000-0000-000038270000}"/>
    <cellStyle name="40% - Énfasis3 13 8" xfId="10034" xr:uid="{00000000-0005-0000-0000-000039270000}"/>
    <cellStyle name="40% - Énfasis3 13 9" xfId="10035" xr:uid="{00000000-0005-0000-0000-00003A270000}"/>
    <cellStyle name="40% - Énfasis3 14" xfId="10036" xr:uid="{00000000-0005-0000-0000-00003B270000}"/>
    <cellStyle name="40% - Énfasis3 14 10" xfId="10037" xr:uid="{00000000-0005-0000-0000-00003C270000}"/>
    <cellStyle name="40% - Énfasis3 14 11" xfId="10038" xr:uid="{00000000-0005-0000-0000-00003D270000}"/>
    <cellStyle name="40% - Énfasis3 14 12" xfId="10039" xr:uid="{00000000-0005-0000-0000-00003E270000}"/>
    <cellStyle name="40% - Énfasis3 14 13" xfId="10040" xr:uid="{00000000-0005-0000-0000-00003F270000}"/>
    <cellStyle name="40% - Énfasis3 14 14" xfId="10041" xr:uid="{00000000-0005-0000-0000-000040270000}"/>
    <cellStyle name="40% - Énfasis3 14 15" xfId="10042" xr:uid="{00000000-0005-0000-0000-000041270000}"/>
    <cellStyle name="40% - Énfasis3 14 16" xfId="10043" xr:uid="{00000000-0005-0000-0000-000042270000}"/>
    <cellStyle name="40% - Énfasis3 14 17" xfId="10044" xr:uid="{00000000-0005-0000-0000-000043270000}"/>
    <cellStyle name="40% - Énfasis3 14 18" xfId="10045" xr:uid="{00000000-0005-0000-0000-000044270000}"/>
    <cellStyle name="40% - Énfasis3 14 19" xfId="10046" xr:uid="{00000000-0005-0000-0000-000045270000}"/>
    <cellStyle name="40% - Énfasis3 14 2" xfId="10047" xr:uid="{00000000-0005-0000-0000-000046270000}"/>
    <cellStyle name="40% - Énfasis3 14 3" xfId="10048" xr:uid="{00000000-0005-0000-0000-000047270000}"/>
    <cellStyle name="40% - Énfasis3 14 4" xfId="10049" xr:uid="{00000000-0005-0000-0000-000048270000}"/>
    <cellStyle name="40% - Énfasis3 14 5" xfId="10050" xr:uid="{00000000-0005-0000-0000-000049270000}"/>
    <cellStyle name="40% - Énfasis3 14 6" xfId="10051" xr:uid="{00000000-0005-0000-0000-00004A270000}"/>
    <cellStyle name="40% - Énfasis3 14 7" xfId="10052" xr:uid="{00000000-0005-0000-0000-00004B270000}"/>
    <cellStyle name="40% - Énfasis3 14 8" xfId="10053" xr:uid="{00000000-0005-0000-0000-00004C270000}"/>
    <cellStyle name="40% - Énfasis3 14 9" xfId="10054" xr:uid="{00000000-0005-0000-0000-00004D270000}"/>
    <cellStyle name="40% - Énfasis3 15" xfId="10055" xr:uid="{00000000-0005-0000-0000-00004E270000}"/>
    <cellStyle name="40% - Énfasis3 15 10" xfId="10056" xr:uid="{00000000-0005-0000-0000-00004F270000}"/>
    <cellStyle name="40% - Énfasis3 15 11" xfId="10057" xr:uid="{00000000-0005-0000-0000-000050270000}"/>
    <cellStyle name="40% - Énfasis3 15 12" xfId="10058" xr:uid="{00000000-0005-0000-0000-000051270000}"/>
    <cellStyle name="40% - Énfasis3 15 13" xfId="10059" xr:uid="{00000000-0005-0000-0000-000052270000}"/>
    <cellStyle name="40% - Énfasis3 15 14" xfId="10060" xr:uid="{00000000-0005-0000-0000-000053270000}"/>
    <cellStyle name="40% - Énfasis3 15 15" xfId="10061" xr:uid="{00000000-0005-0000-0000-000054270000}"/>
    <cellStyle name="40% - Énfasis3 15 16" xfId="10062" xr:uid="{00000000-0005-0000-0000-000055270000}"/>
    <cellStyle name="40% - Énfasis3 15 17" xfId="10063" xr:uid="{00000000-0005-0000-0000-000056270000}"/>
    <cellStyle name="40% - Énfasis3 15 18" xfId="10064" xr:uid="{00000000-0005-0000-0000-000057270000}"/>
    <cellStyle name="40% - Énfasis3 15 19" xfId="10065" xr:uid="{00000000-0005-0000-0000-000058270000}"/>
    <cellStyle name="40% - Énfasis3 15 2" xfId="10066" xr:uid="{00000000-0005-0000-0000-000059270000}"/>
    <cellStyle name="40% - Énfasis3 15 3" xfId="10067" xr:uid="{00000000-0005-0000-0000-00005A270000}"/>
    <cellStyle name="40% - Énfasis3 15 4" xfId="10068" xr:uid="{00000000-0005-0000-0000-00005B270000}"/>
    <cellStyle name="40% - Énfasis3 15 5" xfId="10069" xr:uid="{00000000-0005-0000-0000-00005C270000}"/>
    <cellStyle name="40% - Énfasis3 15 6" xfId="10070" xr:uid="{00000000-0005-0000-0000-00005D270000}"/>
    <cellStyle name="40% - Énfasis3 15 7" xfId="10071" xr:uid="{00000000-0005-0000-0000-00005E270000}"/>
    <cellStyle name="40% - Énfasis3 15 8" xfId="10072" xr:uid="{00000000-0005-0000-0000-00005F270000}"/>
    <cellStyle name="40% - Énfasis3 15 9" xfId="10073" xr:uid="{00000000-0005-0000-0000-000060270000}"/>
    <cellStyle name="40% - Énfasis3 16" xfId="10074" xr:uid="{00000000-0005-0000-0000-000061270000}"/>
    <cellStyle name="40% - Énfasis3 16 10" xfId="10075" xr:uid="{00000000-0005-0000-0000-000062270000}"/>
    <cellStyle name="40% - Énfasis3 16 11" xfId="10076" xr:uid="{00000000-0005-0000-0000-000063270000}"/>
    <cellStyle name="40% - Énfasis3 16 12" xfId="10077" xr:uid="{00000000-0005-0000-0000-000064270000}"/>
    <cellStyle name="40% - Énfasis3 16 13" xfId="10078" xr:uid="{00000000-0005-0000-0000-000065270000}"/>
    <cellStyle name="40% - Énfasis3 16 14" xfId="10079" xr:uid="{00000000-0005-0000-0000-000066270000}"/>
    <cellStyle name="40% - Énfasis3 16 15" xfId="10080" xr:uid="{00000000-0005-0000-0000-000067270000}"/>
    <cellStyle name="40% - Énfasis3 16 16" xfId="10081" xr:uid="{00000000-0005-0000-0000-000068270000}"/>
    <cellStyle name="40% - Énfasis3 16 17" xfId="10082" xr:uid="{00000000-0005-0000-0000-000069270000}"/>
    <cellStyle name="40% - Énfasis3 16 18" xfId="10083" xr:uid="{00000000-0005-0000-0000-00006A270000}"/>
    <cellStyle name="40% - Énfasis3 16 19" xfId="10084" xr:uid="{00000000-0005-0000-0000-00006B270000}"/>
    <cellStyle name="40% - Énfasis3 16 2" xfId="10085" xr:uid="{00000000-0005-0000-0000-00006C270000}"/>
    <cellStyle name="40% - Énfasis3 16 3" xfId="10086" xr:uid="{00000000-0005-0000-0000-00006D270000}"/>
    <cellStyle name="40% - Énfasis3 16 4" xfId="10087" xr:uid="{00000000-0005-0000-0000-00006E270000}"/>
    <cellStyle name="40% - Énfasis3 16 5" xfId="10088" xr:uid="{00000000-0005-0000-0000-00006F270000}"/>
    <cellStyle name="40% - Énfasis3 16 6" xfId="10089" xr:uid="{00000000-0005-0000-0000-000070270000}"/>
    <cellStyle name="40% - Énfasis3 16 7" xfId="10090" xr:uid="{00000000-0005-0000-0000-000071270000}"/>
    <cellStyle name="40% - Énfasis3 16 8" xfId="10091" xr:uid="{00000000-0005-0000-0000-000072270000}"/>
    <cellStyle name="40% - Énfasis3 16 9" xfId="10092" xr:uid="{00000000-0005-0000-0000-000073270000}"/>
    <cellStyle name="40% - Énfasis3 17" xfId="10093" xr:uid="{00000000-0005-0000-0000-000074270000}"/>
    <cellStyle name="40% - Énfasis3 17 10" xfId="10094" xr:uid="{00000000-0005-0000-0000-000075270000}"/>
    <cellStyle name="40% - Énfasis3 17 11" xfId="10095" xr:uid="{00000000-0005-0000-0000-000076270000}"/>
    <cellStyle name="40% - Énfasis3 17 12" xfId="10096" xr:uid="{00000000-0005-0000-0000-000077270000}"/>
    <cellStyle name="40% - Énfasis3 17 13" xfId="10097" xr:uid="{00000000-0005-0000-0000-000078270000}"/>
    <cellStyle name="40% - Énfasis3 17 14" xfId="10098" xr:uid="{00000000-0005-0000-0000-000079270000}"/>
    <cellStyle name="40% - Énfasis3 17 15" xfId="10099" xr:uid="{00000000-0005-0000-0000-00007A270000}"/>
    <cellStyle name="40% - Énfasis3 17 16" xfId="10100" xr:uid="{00000000-0005-0000-0000-00007B270000}"/>
    <cellStyle name="40% - Énfasis3 17 17" xfId="10101" xr:uid="{00000000-0005-0000-0000-00007C270000}"/>
    <cellStyle name="40% - Énfasis3 17 18" xfId="10102" xr:uid="{00000000-0005-0000-0000-00007D270000}"/>
    <cellStyle name="40% - Énfasis3 17 19" xfId="10103" xr:uid="{00000000-0005-0000-0000-00007E270000}"/>
    <cellStyle name="40% - Énfasis3 17 2" xfId="10104" xr:uid="{00000000-0005-0000-0000-00007F270000}"/>
    <cellStyle name="40% - Énfasis3 17 3" xfId="10105" xr:uid="{00000000-0005-0000-0000-000080270000}"/>
    <cellStyle name="40% - Énfasis3 17 4" xfId="10106" xr:uid="{00000000-0005-0000-0000-000081270000}"/>
    <cellStyle name="40% - Énfasis3 17 5" xfId="10107" xr:uid="{00000000-0005-0000-0000-000082270000}"/>
    <cellStyle name="40% - Énfasis3 17 6" xfId="10108" xr:uid="{00000000-0005-0000-0000-000083270000}"/>
    <cellStyle name="40% - Énfasis3 17 7" xfId="10109" xr:uid="{00000000-0005-0000-0000-000084270000}"/>
    <cellStyle name="40% - Énfasis3 17 8" xfId="10110" xr:uid="{00000000-0005-0000-0000-000085270000}"/>
    <cellStyle name="40% - Énfasis3 17 9" xfId="10111" xr:uid="{00000000-0005-0000-0000-000086270000}"/>
    <cellStyle name="40% - Énfasis3 18" xfId="10112" xr:uid="{00000000-0005-0000-0000-000087270000}"/>
    <cellStyle name="40% - Énfasis3 18 10" xfId="10113" xr:uid="{00000000-0005-0000-0000-000088270000}"/>
    <cellStyle name="40% - Énfasis3 18 11" xfId="10114" xr:uid="{00000000-0005-0000-0000-000089270000}"/>
    <cellStyle name="40% - Énfasis3 18 12" xfId="10115" xr:uid="{00000000-0005-0000-0000-00008A270000}"/>
    <cellStyle name="40% - Énfasis3 18 13" xfId="10116" xr:uid="{00000000-0005-0000-0000-00008B270000}"/>
    <cellStyle name="40% - Énfasis3 18 14" xfId="10117" xr:uid="{00000000-0005-0000-0000-00008C270000}"/>
    <cellStyle name="40% - Énfasis3 18 15" xfId="10118" xr:uid="{00000000-0005-0000-0000-00008D270000}"/>
    <cellStyle name="40% - Énfasis3 18 16" xfId="10119" xr:uid="{00000000-0005-0000-0000-00008E270000}"/>
    <cellStyle name="40% - Énfasis3 18 17" xfId="10120" xr:uid="{00000000-0005-0000-0000-00008F270000}"/>
    <cellStyle name="40% - Énfasis3 18 18" xfId="10121" xr:uid="{00000000-0005-0000-0000-000090270000}"/>
    <cellStyle name="40% - Énfasis3 18 19" xfId="10122" xr:uid="{00000000-0005-0000-0000-000091270000}"/>
    <cellStyle name="40% - Énfasis3 18 2" xfId="10123" xr:uid="{00000000-0005-0000-0000-000092270000}"/>
    <cellStyle name="40% - Énfasis3 18 3" xfId="10124" xr:uid="{00000000-0005-0000-0000-000093270000}"/>
    <cellStyle name="40% - Énfasis3 18 4" xfId="10125" xr:uid="{00000000-0005-0000-0000-000094270000}"/>
    <cellStyle name="40% - Énfasis3 18 5" xfId="10126" xr:uid="{00000000-0005-0000-0000-000095270000}"/>
    <cellStyle name="40% - Énfasis3 18 6" xfId="10127" xr:uid="{00000000-0005-0000-0000-000096270000}"/>
    <cellStyle name="40% - Énfasis3 18 7" xfId="10128" xr:uid="{00000000-0005-0000-0000-000097270000}"/>
    <cellStyle name="40% - Énfasis3 18 8" xfId="10129" xr:uid="{00000000-0005-0000-0000-000098270000}"/>
    <cellStyle name="40% - Énfasis3 18 9" xfId="10130" xr:uid="{00000000-0005-0000-0000-000099270000}"/>
    <cellStyle name="40% - Énfasis3 19" xfId="10131" xr:uid="{00000000-0005-0000-0000-00009A270000}"/>
    <cellStyle name="40% - Énfasis3 19 10" xfId="10132" xr:uid="{00000000-0005-0000-0000-00009B270000}"/>
    <cellStyle name="40% - Énfasis3 19 11" xfId="10133" xr:uid="{00000000-0005-0000-0000-00009C270000}"/>
    <cellStyle name="40% - Énfasis3 19 12" xfId="10134" xr:uid="{00000000-0005-0000-0000-00009D270000}"/>
    <cellStyle name="40% - Énfasis3 19 13" xfId="10135" xr:uid="{00000000-0005-0000-0000-00009E270000}"/>
    <cellStyle name="40% - Énfasis3 19 14" xfId="10136" xr:uid="{00000000-0005-0000-0000-00009F270000}"/>
    <cellStyle name="40% - Énfasis3 19 15" xfId="10137" xr:uid="{00000000-0005-0000-0000-0000A0270000}"/>
    <cellStyle name="40% - Énfasis3 19 16" xfId="10138" xr:uid="{00000000-0005-0000-0000-0000A1270000}"/>
    <cellStyle name="40% - Énfasis3 19 17" xfId="10139" xr:uid="{00000000-0005-0000-0000-0000A2270000}"/>
    <cellStyle name="40% - Énfasis3 19 18" xfId="10140" xr:uid="{00000000-0005-0000-0000-0000A3270000}"/>
    <cellStyle name="40% - Énfasis3 19 19" xfId="10141" xr:uid="{00000000-0005-0000-0000-0000A4270000}"/>
    <cellStyle name="40% - Énfasis3 19 2" xfId="10142" xr:uid="{00000000-0005-0000-0000-0000A5270000}"/>
    <cellStyle name="40% - Énfasis3 19 3" xfId="10143" xr:uid="{00000000-0005-0000-0000-0000A6270000}"/>
    <cellStyle name="40% - Énfasis3 19 4" xfId="10144" xr:uid="{00000000-0005-0000-0000-0000A7270000}"/>
    <cellStyle name="40% - Énfasis3 19 5" xfId="10145" xr:uid="{00000000-0005-0000-0000-0000A8270000}"/>
    <cellStyle name="40% - Énfasis3 19 6" xfId="10146" xr:uid="{00000000-0005-0000-0000-0000A9270000}"/>
    <cellStyle name="40% - Énfasis3 19 7" xfId="10147" xr:uid="{00000000-0005-0000-0000-0000AA270000}"/>
    <cellStyle name="40% - Énfasis3 19 8" xfId="10148" xr:uid="{00000000-0005-0000-0000-0000AB270000}"/>
    <cellStyle name="40% - Énfasis3 19 9" xfId="10149" xr:uid="{00000000-0005-0000-0000-0000AC270000}"/>
    <cellStyle name="40% - Énfasis3 2" xfId="10150" xr:uid="{00000000-0005-0000-0000-0000AD270000}"/>
    <cellStyle name="40% - Énfasis3 2 10" xfId="10151" xr:uid="{00000000-0005-0000-0000-0000AE270000}"/>
    <cellStyle name="40% - Énfasis3 2 11" xfId="10152" xr:uid="{00000000-0005-0000-0000-0000AF270000}"/>
    <cellStyle name="40% - Énfasis3 2 12" xfId="10153" xr:uid="{00000000-0005-0000-0000-0000B0270000}"/>
    <cellStyle name="40% - Énfasis3 2 13" xfId="10154" xr:uid="{00000000-0005-0000-0000-0000B1270000}"/>
    <cellStyle name="40% - Énfasis3 2 14" xfId="10155" xr:uid="{00000000-0005-0000-0000-0000B2270000}"/>
    <cellStyle name="40% - Énfasis3 2 15" xfId="10156" xr:uid="{00000000-0005-0000-0000-0000B3270000}"/>
    <cellStyle name="40% - Énfasis3 2 16" xfId="10157" xr:uid="{00000000-0005-0000-0000-0000B4270000}"/>
    <cellStyle name="40% - Énfasis3 2 17" xfId="10158" xr:uid="{00000000-0005-0000-0000-0000B5270000}"/>
    <cellStyle name="40% - Énfasis3 2 18" xfId="10159" xr:uid="{00000000-0005-0000-0000-0000B6270000}"/>
    <cellStyle name="40% - Énfasis3 2 19" xfId="10160" xr:uid="{00000000-0005-0000-0000-0000B7270000}"/>
    <cellStyle name="40% - Énfasis3 2 2" xfId="10161" xr:uid="{00000000-0005-0000-0000-0000B8270000}"/>
    <cellStyle name="40% - Énfasis3 2 20" xfId="10162" xr:uid="{00000000-0005-0000-0000-0000B9270000}"/>
    <cellStyle name="40% - Énfasis3 2 3" xfId="10163" xr:uid="{00000000-0005-0000-0000-0000BA270000}"/>
    <cellStyle name="40% - Énfasis3 2 4" xfId="10164" xr:uid="{00000000-0005-0000-0000-0000BB270000}"/>
    <cellStyle name="40% - Énfasis3 2 5" xfId="10165" xr:uid="{00000000-0005-0000-0000-0000BC270000}"/>
    <cellStyle name="40% - Énfasis3 2 6" xfId="10166" xr:uid="{00000000-0005-0000-0000-0000BD270000}"/>
    <cellStyle name="40% - Énfasis3 2 7" xfId="10167" xr:uid="{00000000-0005-0000-0000-0000BE270000}"/>
    <cellStyle name="40% - Énfasis3 2 8" xfId="10168" xr:uid="{00000000-0005-0000-0000-0000BF270000}"/>
    <cellStyle name="40% - Énfasis3 2 9" xfId="10169" xr:uid="{00000000-0005-0000-0000-0000C0270000}"/>
    <cellStyle name="40% - Énfasis3 20" xfId="10170" xr:uid="{00000000-0005-0000-0000-0000C1270000}"/>
    <cellStyle name="40% - Énfasis3 20 10" xfId="10171" xr:uid="{00000000-0005-0000-0000-0000C2270000}"/>
    <cellStyle name="40% - Énfasis3 20 11" xfId="10172" xr:uid="{00000000-0005-0000-0000-0000C3270000}"/>
    <cellStyle name="40% - Énfasis3 20 12" xfId="10173" xr:uid="{00000000-0005-0000-0000-0000C4270000}"/>
    <cellStyle name="40% - Énfasis3 20 13" xfId="10174" xr:uid="{00000000-0005-0000-0000-0000C5270000}"/>
    <cellStyle name="40% - Énfasis3 20 14" xfId="10175" xr:uid="{00000000-0005-0000-0000-0000C6270000}"/>
    <cellStyle name="40% - Énfasis3 20 15" xfId="10176" xr:uid="{00000000-0005-0000-0000-0000C7270000}"/>
    <cellStyle name="40% - Énfasis3 20 16" xfId="10177" xr:uid="{00000000-0005-0000-0000-0000C8270000}"/>
    <cellStyle name="40% - Énfasis3 20 17" xfId="10178" xr:uid="{00000000-0005-0000-0000-0000C9270000}"/>
    <cellStyle name="40% - Énfasis3 20 18" xfId="10179" xr:uid="{00000000-0005-0000-0000-0000CA270000}"/>
    <cellStyle name="40% - Énfasis3 20 19" xfId="10180" xr:uid="{00000000-0005-0000-0000-0000CB270000}"/>
    <cellStyle name="40% - Énfasis3 20 2" xfId="10181" xr:uid="{00000000-0005-0000-0000-0000CC270000}"/>
    <cellStyle name="40% - Énfasis3 20 3" xfId="10182" xr:uid="{00000000-0005-0000-0000-0000CD270000}"/>
    <cellStyle name="40% - Énfasis3 20 4" xfId="10183" xr:uid="{00000000-0005-0000-0000-0000CE270000}"/>
    <cellStyle name="40% - Énfasis3 20 5" xfId="10184" xr:uid="{00000000-0005-0000-0000-0000CF270000}"/>
    <cellStyle name="40% - Énfasis3 20 6" xfId="10185" xr:uid="{00000000-0005-0000-0000-0000D0270000}"/>
    <cellStyle name="40% - Énfasis3 20 7" xfId="10186" xr:uid="{00000000-0005-0000-0000-0000D1270000}"/>
    <cellStyle name="40% - Énfasis3 20 8" xfId="10187" xr:uid="{00000000-0005-0000-0000-0000D2270000}"/>
    <cellStyle name="40% - Énfasis3 20 9" xfId="10188" xr:uid="{00000000-0005-0000-0000-0000D3270000}"/>
    <cellStyle name="40% - Énfasis3 21" xfId="10189" xr:uid="{00000000-0005-0000-0000-0000D4270000}"/>
    <cellStyle name="40% - Énfasis3 21 10" xfId="10190" xr:uid="{00000000-0005-0000-0000-0000D5270000}"/>
    <cellStyle name="40% - Énfasis3 21 11" xfId="10191" xr:uid="{00000000-0005-0000-0000-0000D6270000}"/>
    <cellStyle name="40% - Énfasis3 21 12" xfId="10192" xr:uid="{00000000-0005-0000-0000-0000D7270000}"/>
    <cellStyle name="40% - Énfasis3 21 13" xfId="10193" xr:uid="{00000000-0005-0000-0000-0000D8270000}"/>
    <cellStyle name="40% - Énfasis3 21 14" xfId="10194" xr:uid="{00000000-0005-0000-0000-0000D9270000}"/>
    <cellStyle name="40% - Énfasis3 21 15" xfId="10195" xr:uid="{00000000-0005-0000-0000-0000DA270000}"/>
    <cellStyle name="40% - Énfasis3 21 16" xfId="10196" xr:uid="{00000000-0005-0000-0000-0000DB270000}"/>
    <cellStyle name="40% - Énfasis3 21 17" xfId="10197" xr:uid="{00000000-0005-0000-0000-0000DC270000}"/>
    <cellStyle name="40% - Énfasis3 21 18" xfId="10198" xr:uid="{00000000-0005-0000-0000-0000DD270000}"/>
    <cellStyle name="40% - Énfasis3 21 19" xfId="10199" xr:uid="{00000000-0005-0000-0000-0000DE270000}"/>
    <cellStyle name="40% - Énfasis3 21 2" xfId="10200" xr:uid="{00000000-0005-0000-0000-0000DF270000}"/>
    <cellStyle name="40% - Énfasis3 21 3" xfId="10201" xr:uid="{00000000-0005-0000-0000-0000E0270000}"/>
    <cellStyle name="40% - Énfasis3 21 4" xfId="10202" xr:uid="{00000000-0005-0000-0000-0000E1270000}"/>
    <cellStyle name="40% - Énfasis3 21 5" xfId="10203" xr:uid="{00000000-0005-0000-0000-0000E2270000}"/>
    <cellStyle name="40% - Énfasis3 21 6" xfId="10204" xr:uid="{00000000-0005-0000-0000-0000E3270000}"/>
    <cellStyle name="40% - Énfasis3 21 7" xfId="10205" xr:uid="{00000000-0005-0000-0000-0000E4270000}"/>
    <cellStyle name="40% - Énfasis3 21 8" xfId="10206" xr:uid="{00000000-0005-0000-0000-0000E5270000}"/>
    <cellStyle name="40% - Énfasis3 21 9" xfId="10207" xr:uid="{00000000-0005-0000-0000-0000E6270000}"/>
    <cellStyle name="40% - Énfasis3 22" xfId="10208" xr:uid="{00000000-0005-0000-0000-0000E7270000}"/>
    <cellStyle name="40% - Énfasis3 22 10" xfId="10209" xr:uid="{00000000-0005-0000-0000-0000E8270000}"/>
    <cellStyle name="40% - Énfasis3 22 11" xfId="10210" xr:uid="{00000000-0005-0000-0000-0000E9270000}"/>
    <cellStyle name="40% - Énfasis3 22 12" xfId="10211" xr:uid="{00000000-0005-0000-0000-0000EA270000}"/>
    <cellStyle name="40% - Énfasis3 22 13" xfId="10212" xr:uid="{00000000-0005-0000-0000-0000EB270000}"/>
    <cellStyle name="40% - Énfasis3 22 14" xfId="10213" xr:uid="{00000000-0005-0000-0000-0000EC270000}"/>
    <cellStyle name="40% - Énfasis3 22 15" xfId="10214" xr:uid="{00000000-0005-0000-0000-0000ED270000}"/>
    <cellStyle name="40% - Énfasis3 22 16" xfId="10215" xr:uid="{00000000-0005-0000-0000-0000EE270000}"/>
    <cellStyle name="40% - Énfasis3 22 17" xfId="10216" xr:uid="{00000000-0005-0000-0000-0000EF270000}"/>
    <cellStyle name="40% - Énfasis3 22 18" xfId="10217" xr:uid="{00000000-0005-0000-0000-0000F0270000}"/>
    <cellStyle name="40% - Énfasis3 22 19" xfId="10218" xr:uid="{00000000-0005-0000-0000-0000F1270000}"/>
    <cellStyle name="40% - Énfasis3 22 2" xfId="10219" xr:uid="{00000000-0005-0000-0000-0000F2270000}"/>
    <cellStyle name="40% - Énfasis3 22 3" xfId="10220" xr:uid="{00000000-0005-0000-0000-0000F3270000}"/>
    <cellStyle name="40% - Énfasis3 22 4" xfId="10221" xr:uid="{00000000-0005-0000-0000-0000F4270000}"/>
    <cellStyle name="40% - Énfasis3 22 5" xfId="10222" xr:uid="{00000000-0005-0000-0000-0000F5270000}"/>
    <cellStyle name="40% - Énfasis3 22 6" xfId="10223" xr:uid="{00000000-0005-0000-0000-0000F6270000}"/>
    <cellStyle name="40% - Énfasis3 22 7" xfId="10224" xr:uid="{00000000-0005-0000-0000-0000F7270000}"/>
    <cellStyle name="40% - Énfasis3 22 8" xfId="10225" xr:uid="{00000000-0005-0000-0000-0000F8270000}"/>
    <cellStyle name="40% - Énfasis3 22 9" xfId="10226" xr:uid="{00000000-0005-0000-0000-0000F9270000}"/>
    <cellStyle name="40% - Énfasis3 23" xfId="10227" xr:uid="{00000000-0005-0000-0000-0000FA270000}"/>
    <cellStyle name="40% - Énfasis3 23 10" xfId="10228" xr:uid="{00000000-0005-0000-0000-0000FB270000}"/>
    <cellStyle name="40% - Énfasis3 23 11" xfId="10229" xr:uid="{00000000-0005-0000-0000-0000FC270000}"/>
    <cellStyle name="40% - Énfasis3 23 12" xfId="10230" xr:uid="{00000000-0005-0000-0000-0000FD270000}"/>
    <cellStyle name="40% - Énfasis3 23 13" xfId="10231" xr:uid="{00000000-0005-0000-0000-0000FE270000}"/>
    <cellStyle name="40% - Énfasis3 23 14" xfId="10232" xr:uid="{00000000-0005-0000-0000-0000FF270000}"/>
    <cellStyle name="40% - Énfasis3 23 15" xfId="10233" xr:uid="{00000000-0005-0000-0000-000000280000}"/>
    <cellStyle name="40% - Énfasis3 23 16" xfId="10234" xr:uid="{00000000-0005-0000-0000-000001280000}"/>
    <cellStyle name="40% - Énfasis3 23 17" xfId="10235" xr:uid="{00000000-0005-0000-0000-000002280000}"/>
    <cellStyle name="40% - Énfasis3 23 18" xfId="10236" xr:uid="{00000000-0005-0000-0000-000003280000}"/>
    <cellStyle name="40% - Énfasis3 23 19" xfId="10237" xr:uid="{00000000-0005-0000-0000-000004280000}"/>
    <cellStyle name="40% - Énfasis3 23 2" xfId="10238" xr:uid="{00000000-0005-0000-0000-000005280000}"/>
    <cellStyle name="40% - Énfasis3 23 3" xfId="10239" xr:uid="{00000000-0005-0000-0000-000006280000}"/>
    <cellStyle name="40% - Énfasis3 23 4" xfId="10240" xr:uid="{00000000-0005-0000-0000-000007280000}"/>
    <cellStyle name="40% - Énfasis3 23 5" xfId="10241" xr:uid="{00000000-0005-0000-0000-000008280000}"/>
    <cellStyle name="40% - Énfasis3 23 6" xfId="10242" xr:uid="{00000000-0005-0000-0000-000009280000}"/>
    <cellStyle name="40% - Énfasis3 23 7" xfId="10243" xr:uid="{00000000-0005-0000-0000-00000A280000}"/>
    <cellStyle name="40% - Énfasis3 23 8" xfId="10244" xr:uid="{00000000-0005-0000-0000-00000B280000}"/>
    <cellStyle name="40% - Énfasis3 23 9" xfId="10245" xr:uid="{00000000-0005-0000-0000-00000C280000}"/>
    <cellStyle name="40% - Énfasis3 24" xfId="10246" xr:uid="{00000000-0005-0000-0000-00000D280000}"/>
    <cellStyle name="40% - Énfasis3 24 10" xfId="10247" xr:uid="{00000000-0005-0000-0000-00000E280000}"/>
    <cellStyle name="40% - Énfasis3 24 11" xfId="10248" xr:uid="{00000000-0005-0000-0000-00000F280000}"/>
    <cellStyle name="40% - Énfasis3 24 12" xfId="10249" xr:uid="{00000000-0005-0000-0000-000010280000}"/>
    <cellStyle name="40% - Énfasis3 24 13" xfId="10250" xr:uid="{00000000-0005-0000-0000-000011280000}"/>
    <cellStyle name="40% - Énfasis3 24 14" xfId="10251" xr:uid="{00000000-0005-0000-0000-000012280000}"/>
    <cellStyle name="40% - Énfasis3 24 15" xfId="10252" xr:uid="{00000000-0005-0000-0000-000013280000}"/>
    <cellStyle name="40% - Énfasis3 24 16" xfId="10253" xr:uid="{00000000-0005-0000-0000-000014280000}"/>
    <cellStyle name="40% - Énfasis3 24 17" xfId="10254" xr:uid="{00000000-0005-0000-0000-000015280000}"/>
    <cellStyle name="40% - Énfasis3 24 18" xfId="10255" xr:uid="{00000000-0005-0000-0000-000016280000}"/>
    <cellStyle name="40% - Énfasis3 24 19" xfId="10256" xr:uid="{00000000-0005-0000-0000-000017280000}"/>
    <cellStyle name="40% - Énfasis3 24 2" xfId="10257" xr:uid="{00000000-0005-0000-0000-000018280000}"/>
    <cellStyle name="40% - Énfasis3 24 3" xfId="10258" xr:uid="{00000000-0005-0000-0000-000019280000}"/>
    <cellStyle name="40% - Énfasis3 24 4" xfId="10259" xr:uid="{00000000-0005-0000-0000-00001A280000}"/>
    <cellStyle name="40% - Énfasis3 24 5" xfId="10260" xr:uid="{00000000-0005-0000-0000-00001B280000}"/>
    <cellStyle name="40% - Énfasis3 24 6" xfId="10261" xr:uid="{00000000-0005-0000-0000-00001C280000}"/>
    <cellStyle name="40% - Énfasis3 24 7" xfId="10262" xr:uid="{00000000-0005-0000-0000-00001D280000}"/>
    <cellStyle name="40% - Énfasis3 24 8" xfId="10263" xr:uid="{00000000-0005-0000-0000-00001E280000}"/>
    <cellStyle name="40% - Énfasis3 24 9" xfId="10264" xr:uid="{00000000-0005-0000-0000-00001F280000}"/>
    <cellStyle name="40% - Énfasis3 25" xfId="10265" xr:uid="{00000000-0005-0000-0000-000020280000}"/>
    <cellStyle name="40% - Énfasis3 25 10" xfId="10266" xr:uid="{00000000-0005-0000-0000-000021280000}"/>
    <cellStyle name="40% - Énfasis3 25 11" xfId="10267" xr:uid="{00000000-0005-0000-0000-000022280000}"/>
    <cellStyle name="40% - Énfasis3 25 12" xfId="10268" xr:uid="{00000000-0005-0000-0000-000023280000}"/>
    <cellStyle name="40% - Énfasis3 25 13" xfId="10269" xr:uid="{00000000-0005-0000-0000-000024280000}"/>
    <cellStyle name="40% - Énfasis3 25 14" xfId="10270" xr:uid="{00000000-0005-0000-0000-000025280000}"/>
    <cellStyle name="40% - Énfasis3 25 15" xfId="10271" xr:uid="{00000000-0005-0000-0000-000026280000}"/>
    <cellStyle name="40% - Énfasis3 25 16" xfId="10272" xr:uid="{00000000-0005-0000-0000-000027280000}"/>
    <cellStyle name="40% - Énfasis3 25 17" xfId="10273" xr:uid="{00000000-0005-0000-0000-000028280000}"/>
    <cellStyle name="40% - Énfasis3 25 18" xfId="10274" xr:uid="{00000000-0005-0000-0000-000029280000}"/>
    <cellStyle name="40% - Énfasis3 25 19" xfId="10275" xr:uid="{00000000-0005-0000-0000-00002A280000}"/>
    <cellStyle name="40% - Énfasis3 25 2" xfId="10276" xr:uid="{00000000-0005-0000-0000-00002B280000}"/>
    <cellStyle name="40% - Énfasis3 25 3" xfId="10277" xr:uid="{00000000-0005-0000-0000-00002C280000}"/>
    <cellStyle name="40% - Énfasis3 25 4" xfId="10278" xr:uid="{00000000-0005-0000-0000-00002D280000}"/>
    <cellStyle name="40% - Énfasis3 25 5" xfId="10279" xr:uid="{00000000-0005-0000-0000-00002E280000}"/>
    <cellStyle name="40% - Énfasis3 25 6" xfId="10280" xr:uid="{00000000-0005-0000-0000-00002F280000}"/>
    <cellStyle name="40% - Énfasis3 25 7" xfId="10281" xr:uid="{00000000-0005-0000-0000-000030280000}"/>
    <cellStyle name="40% - Énfasis3 25 8" xfId="10282" xr:uid="{00000000-0005-0000-0000-000031280000}"/>
    <cellStyle name="40% - Énfasis3 25 9" xfId="10283" xr:uid="{00000000-0005-0000-0000-000032280000}"/>
    <cellStyle name="40% - Énfasis3 26" xfId="10284" xr:uid="{00000000-0005-0000-0000-000033280000}"/>
    <cellStyle name="40% - Énfasis3 26 10" xfId="10285" xr:uid="{00000000-0005-0000-0000-000034280000}"/>
    <cellStyle name="40% - Énfasis3 26 11" xfId="10286" xr:uid="{00000000-0005-0000-0000-000035280000}"/>
    <cellStyle name="40% - Énfasis3 26 12" xfId="10287" xr:uid="{00000000-0005-0000-0000-000036280000}"/>
    <cellStyle name="40% - Énfasis3 26 13" xfId="10288" xr:uid="{00000000-0005-0000-0000-000037280000}"/>
    <cellStyle name="40% - Énfasis3 26 14" xfId="10289" xr:uid="{00000000-0005-0000-0000-000038280000}"/>
    <cellStyle name="40% - Énfasis3 26 15" xfId="10290" xr:uid="{00000000-0005-0000-0000-000039280000}"/>
    <cellStyle name="40% - Énfasis3 26 16" xfId="10291" xr:uid="{00000000-0005-0000-0000-00003A280000}"/>
    <cellStyle name="40% - Énfasis3 26 17" xfId="10292" xr:uid="{00000000-0005-0000-0000-00003B280000}"/>
    <cellStyle name="40% - Énfasis3 26 18" xfId="10293" xr:uid="{00000000-0005-0000-0000-00003C280000}"/>
    <cellStyle name="40% - Énfasis3 26 19" xfId="10294" xr:uid="{00000000-0005-0000-0000-00003D280000}"/>
    <cellStyle name="40% - Énfasis3 26 2" xfId="10295" xr:uid="{00000000-0005-0000-0000-00003E280000}"/>
    <cellStyle name="40% - Énfasis3 26 3" xfId="10296" xr:uid="{00000000-0005-0000-0000-00003F280000}"/>
    <cellStyle name="40% - Énfasis3 26 4" xfId="10297" xr:uid="{00000000-0005-0000-0000-000040280000}"/>
    <cellStyle name="40% - Énfasis3 26 5" xfId="10298" xr:uid="{00000000-0005-0000-0000-000041280000}"/>
    <cellStyle name="40% - Énfasis3 26 6" xfId="10299" xr:uid="{00000000-0005-0000-0000-000042280000}"/>
    <cellStyle name="40% - Énfasis3 26 7" xfId="10300" xr:uid="{00000000-0005-0000-0000-000043280000}"/>
    <cellStyle name="40% - Énfasis3 26 8" xfId="10301" xr:uid="{00000000-0005-0000-0000-000044280000}"/>
    <cellStyle name="40% - Énfasis3 26 9" xfId="10302" xr:uid="{00000000-0005-0000-0000-000045280000}"/>
    <cellStyle name="40% - Énfasis3 27" xfId="10303" xr:uid="{00000000-0005-0000-0000-000046280000}"/>
    <cellStyle name="40% - Énfasis3 27 10" xfId="10304" xr:uid="{00000000-0005-0000-0000-000047280000}"/>
    <cellStyle name="40% - Énfasis3 27 11" xfId="10305" xr:uid="{00000000-0005-0000-0000-000048280000}"/>
    <cellStyle name="40% - Énfasis3 27 12" xfId="10306" xr:uid="{00000000-0005-0000-0000-000049280000}"/>
    <cellStyle name="40% - Énfasis3 27 13" xfId="10307" xr:uid="{00000000-0005-0000-0000-00004A280000}"/>
    <cellStyle name="40% - Énfasis3 27 14" xfId="10308" xr:uid="{00000000-0005-0000-0000-00004B280000}"/>
    <cellStyle name="40% - Énfasis3 27 15" xfId="10309" xr:uid="{00000000-0005-0000-0000-00004C280000}"/>
    <cellStyle name="40% - Énfasis3 27 16" xfId="10310" xr:uid="{00000000-0005-0000-0000-00004D280000}"/>
    <cellStyle name="40% - Énfasis3 27 17" xfId="10311" xr:uid="{00000000-0005-0000-0000-00004E280000}"/>
    <cellStyle name="40% - Énfasis3 27 18" xfId="10312" xr:uid="{00000000-0005-0000-0000-00004F280000}"/>
    <cellStyle name="40% - Énfasis3 27 19" xfId="10313" xr:uid="{00000000-0005-0000-0000-000050280000}"/>
    <cellStyle name="40% - Énfasis3 27 2" xfId="10314" xr:uid="{00000000-0005-0000-0000-000051280000}"/>
    <cellStyle name="40% - Énfasis3 27 3" xfId="10315" xr:uid="{00000000-0005-0000-0000-000052280000}"/>
    <cellStyle name="40% - Énfasis3 27 4" xfId="10316" xr:uid="{00000000-0005-0000-0000-000053280000}"/>
    <cellStyle name="40% - Énfasis3 27 5" xfId="10317" xr:uid="{00000000-0005-0000-0000-000054280000}"/>
    <cellStyle name="40% - Énfasis3 27 6" xfId="10318" xr:uid="{00000000-0005-0000-0000-000055280000}"/>
    <cellStyle name="40% - Énfasis3 27 7" xfId="10319" xr:uid="{00000000-0005-0000-0000-000056280000}"/>
    <cellStyle name="40% - Énfasis3 27 8" xfId="10320" xr:uid="{00000000-0005-0000-0000-000057280000}"/>
    <cellStyle name="40% - Énfasis3 27 9" xfId="10321" xr:uid="{00000000-0005-0000-0000-000058280000}"/>
    <cellStyle name="40% - Énfasis3 28" xfId="10322" xr:uid="{00000000-0005-0000-0000-000059280000}"/>
    <cellStyle name="40% - Énfasis3 28 10" xfId="10323" xr:uid="{00000000-0005-0000-0000-00005A280000}"/>
    <cellStyle name="40% - Énfasis3 28 11" xfId="10324" xr:uid="{00000000-0005-0000-0000-00005B280000}"/>
    <cellStyle name="40% - Énfasis3 28 12" xfId="10325" xr:uid="{00000000-0005-0000-0000-00005C280000}"/>
    <cellStyle name="40% - Énfasis3 28 13" xfId="10326" xr:uid="{00000000-0005-0000-0000-00005D280000}"/>
    <cellStyle name="40% - Énfasis3 28 14" xfId="10327" xr:uid="{00000000-0005-0000-0000-00005E280000}"/>
    <cellStyle name="40% - Énfasis3 28 15" xfId="10328" xr:uid="{00000000-0005-0000-0000-00005F280000}"/>
    <cellStyle name="40% - Énfasis3 28 16" xfId="10329" xr:uid="{00000000-0005-0000-0000-000060280000}"/>
    <cellStyle name="40% - Énfasis3 28 17" xfId="10330" xr:uid="{00000000-0005-0000-0000-000061280000}"/>
    <cellStyle name="40% - Énfasis3 28 18" xfId="10331" xr:uid="{00000000-0005-0000-0000-000062280000}"/>
    <cellStyle name="40% - Énfasis3 28 19" xfId="10332" xr:uid="{00000000-0005-0000-0000-000063280000}"/>
    <cellStyle name="40% - Énfasis3 28 2" xfId="10333" xr:uid="{00000000-0005-0000-0000-000064280000}"/>
    <cellStyle name="40% - Énfasis3 28 3" xfId="10334" xr:uid="{00000000-0005-0000-0000-000065280000}"/>
    <cellStyle name="40% - Énfasis3 28 4" xfId="10335" xr:uid="{00000000-0005-0000-0000-000066280000}"/>
    <cellStyle name="40% - Énfasis3 28 5" xfId="10336" xr:uid="{00000000-0005-0000-0000-000067280000}"/>
    <cellStyle name="40% - Énfasis3 28 6" xfId="10337" xr:uid="{00000000-0005-0000-0000-000068280000}"/>
    <cellStyle name="40% - Énfasis3 28 7" xfId="10338" xr:uid="{00000000-0005-0000-0000-000069280000}"/>
    <cellStyle name="40% - Énfasis3 28 8" xfId="10339" xr:uid="{00000000-0005-0000-0000-00006A280000}"/>
    <cellStyle name="40% - Énfasis3 28 9" xfId="10340" xr:uid="{00000000-0005-0000-0000-00006B280000}"/>
    <cellStyle name="40% - Énfasis3 29" xfId="10341" xr:uid="{00000000-0005-0000-0000-00006C280000}"/>
    <cellStyle name="40% - Énfasis3 29 10" xfId="10342" xr:uid="{00000000-0005-0000-0000-00006D280000}"/>
    <cellStyle name="40% - Énfasis3 29 11" xfId="10343" xr:uid="{00000000-0005-0000-0000-00006E280000}"/>
    <cellStyle name="40% - Énfasis3 29 12" xfId="10344" xr:uid="{00000000-0005-0000-0000-00006F280000}"/>
    <cellStyle name="40% - Énfasis3 29 13" xfId="10345" xr:uid="{00000000-0005-0000-0000-000070280000}"/>
    <cellStyle name="40% - Énfasis3 29 14" xfId="10346" xr:uid="{00000000-0005-0000-0000-000071280000}"/>
    <cellStyle name="40% - Énfasis3 29 15" xfId="10347" xr:uid="{00000000-0005-0000-0000-000072280000}"/>
    <cellStyle name="40% - Énfasis3 29 16" xfId="10348" xr:uid="{00000000-0005-0000-0000-000073280000}"/>
    <cellStyle name="40% - Énfasis3 29 17" xfId="10349" xr:uid="{00000000-0005-0000-0000-000074280000}"/>
    <cellStyle name="40% - Énfasis3 29 18" xfId="10350" xr:uid="{00000000-0005-0000-0000-000075280000}"/>
    <cellStyle name="40% - Énfasis3 29 19" xfId="10351" xr:uid="{00000000-0005-0000-0000-000076280000}"/>
    <cellStyle name="40% - Énfasis3 29 2" xfId="10352" xr:uid="{00000000-0005-0000-0000-000077280000}"/>
    <cellStyle name="40% - Énfasis3 29 3" xfId="10353" xr:uid="{00000000-0005-0000-0000-000078280000}"/>
    <cellStyle name="40% - Énfasis3 29 4" xfId="10354" xr:uid="{00000000-0005-0000-0000-000079280000}"/>
    <cellStyle name="40% - Énfasis3 29 5" xfId="10355" xr:uid="{00000000-0005-0000-0000-00007A280000}"/>
    <cellStyle name="40% - Énfasis3 29 6" xfId="10356" xr:uid="{00000000-0005-0000-0000-00007B280000}"/>
    <cellStyle name="40% - Énfasis3 29 7" xfId="10357" xr:uid="{00000000-0005-0000-0000-00007C280000}"/>
    <cellStyle name="40% - Énfasis3 29 8" xfId="10358" xr:uid="{00000000-0005-0000-0000-00007D280000}"/>
    <cellStyle name="40% - Énfasis3 29 9" xfId="10359" xr:uid="{00000000-0005-0000-0000-00007E280000}"/>
    <cellStyle name="40% - Énfasis3 3" xfId="10360" xr:uid="{00000000-0005-0000-0000-00007F280000}"/>
    <cellStyle name="40% - Énfasis3 3 10" xfId="10361" xr:uid="{00000000-0005-0000-0000-000080280000}"/>
    <cellStyle name="40% - Énfasis3 3 11" xfId="10362" xr:uid="{00000000-0005-0000-0000-000081280000}"/>
    <cellStyle name="40% - Énfasis3 3 12" xfId="10363" xr:uid="{00000000-0005-0000-0000-000082280000}"/>
    <cellStyle name="40% - Énfasis3 3 13" xfId="10364" xr:uid="{00000000-0005-0000-0000-000083280000}"/>
    <cellStyle name="40% - Énfasis3 3 14" xfId="10365" xr:uid="{00000000-0005-0000-0000-000084280000}"/>
    <cellStyle name="40% - Énfasis3 3 15" xfId="10366" xr:uid="{00000000-0005-0000-0000-000085280000}"/>
    <cellStyle name="40% - Énfasis3 3 16" xfId="10367" xr:uid="{00000000-0005-0000-0000-000086280000}"/>
    <cellStyle name="40% - Énfasis3 3 17" xfId="10368" xr:uid="{00000000-0005-0000-0000-000087280000}"/>
    <cellStyle name="40% - Énfasis3 3 18" xfId="10369" xr:uid="{00000000-0005-0000-0000-000088280000}"/>
    <cellStyle name="40% - Énfasis3 3 19" xfId="10370" xr:uid="{00000000-0005-0000-0000-000089280000}"/>
    <cellStyle name="40% - Énfasis3 3 2" xfId="10371" xr:uid="{00000000-0005-0000-0000-00008A280000}"/>
    <cellStyle name="40% - Énfasis3 3 20" xfId="10372" xr:uid="{00000000-0005-0000-0000-00008B280000}"/>
    <cellStyle name="40% - Énfasis3 3 3" xfId="10373" xr:uid="{00000000-0005-0000-0000-00008C280000}"/>
    <cellStyle name="40% - Énfasis3 3 4" xfId="10374" xr:uid="{00000000-0005-0000-0000-00008D280000}"/>
    <cellStyle name="40% - Énfasis3 3 5" xfId="10375" xr:uid="{00000000-0005-0000-0000-00008E280000}"/>
    <cellStyle name="40% - Énfasis3 3 6" xfId="10376" xr:uid="{00000000-0005-0000-0000-00008F280000}"/>
    <cellStyle name="40% - Énfasis3 3 7" xfId="10377" xr:uid="{00000000-0005-0000-0000-000090280000}"/>
    <cellStyle name="40% - Énfasis3 3 8" xfId="10378" xr:uid="{00000000-0005-0000-0000-000091280000}"/>
    <cellStyle name="40% - Énfasis3 3 9" xfId="10379" xr:uid="{00000000-0005-0000-0000-000092280000}"/>
    <cellStyle name="40% - Énfasis3 30" xfId="10380" xr:uid="{00000000-0005-0000-0000-000093280000}"/>
    <cellStyle name="40% - Énfasis3 30 10" xfId="10381" xr:uid="{00000000-0005-0000-0000-000094280000}"/>
    <cellStyle name="40% - Énfasis3 30 11" xfId="10382" xr:uid="{00000000-0005-0000-0000-000095280000}"/>
    <cellStyle name="40% - Énfasis3 30 12" xfId="10383" xr:uid="{00000000-0005-0000-0000-000096280000}"/>
    <cellStyle name="40% - Énfasis3 30 13" xfId="10384" xr:uid="{00000000-0005-0000-0000-000097280000}"/>
    <cellStyle name="40% - Énfasis3 30 14" xfId="10385" xr:uid="{00000000-0005-0000-0000-000098280000}"/>
    <cellStyle name="40% - Énfasis3 30 15" xfId="10386" xr:uid="{00000000-0005-0000-0000-000099280000}"/>
    <cellStyle name="40% - Énfasis3 30 16" xfId="10387" xr:uid="{00000000-0005-0000-0000-00009A280000}"/>
    <cellStyle name="40% - Énfasis3 30 17" xfId="10388" xr:uid="{00000000-0005-0000-0000-00009B280000}"/>
    <cellStyle name="40% - Énfasis3 30 18" xfId="10389" xr:uid="{00000000-0005-0000-0000-00009C280000}"/>
    <cellStyle name="40% - Énfasis3 30 19" xfId="10390" xr:uid="{00000000-0005-0000-0000-00009D280000}"/>
    <cellStyle name="40% - Énfasis3 30 2" xfId="10391" xr:uid="{00000000-0005-0000-0000-00009E280000}"/>
    <cellStyle name="40% - Énfasis3 30 3" xfId="10392" xr:uid="{00000000-0005-0000-0000-00009F280000}"/>
    <cellStyle name="40% - Énfasis3 30 4" xfId="10393" xr:uid="{00000000-0005-0000-0000-0000A0280000}"/>
    <cellStyle name="40% - Énfasis3 30 5" xfId="10394" xr:uid="{00000000-0005-0000-0000-0000A1280000}"/>
    <cellStyle name="40% - Énfasis3 30 6" xfId="10395" xr:uid="{00000000-0005-0000-0000-0000A2280000}"/>
    <cellStyle name="40% - Énfasis3 30 7" xfId="10396" xr:uid="{00000000-0005-0000-0000-0000A3280000}"/>
    <cellStyle name="40% - Énfasis3 30 8" xfId="10397" xr:uid="{00000000-0005-0000-0000-0000A4280000}"/>
    <cellStyle name="40% - Énfasis3 30 9" xfId="10398" xr:uid="{00000000-0005-0000-0000-0000A5280000}"/>
    <cellStyle name="40% - Énfasis3 31" xfId="10399" xr:uid="{00000000-0005-0000-0000-0000A6280000}"/>
    <cellStyle name="40% - Énfasis3 31 10" xfId="10400" xr:uid="{00000000-0005-0000-0000-0000A7280000}"/>
    <cellStyle name="40% - Énfasis3 31 11" xfId="10401" xr:uid="{00000000-0005-0000-0000-0000A8280000}"/>
    <cellStyle name="40% - Énfasis3 31 12" xfId="10402" xr:uid="{00000000-0005-0000-0000-0000A9280000}"/>
    <cellStyle name="40% - Énfasis3 31 13" xfId="10403" xr:uid="{00000000-0005-0000-0000-0000AA280000}"/>
    <cellStyle name="40% - Énfasis3 31 14" xfId="10404" xr:uid="{00000000-0005-0000-0000-0000AB280000}"/>
    <cellStyle name="40% - Énfasis3 31 15" xfId="10405" xr:uid="{00000000-0005-0000-0000-0000AC280000}"/>
    <cellStyle name="40% - Énfasis3 31 16" xfId="10406" xr:uid="{00000000-0005-0000-0000-0000AD280000}"/>
    <cellStyle name="40% - Énfasis3 31 17" xfId="10407" xr:uid="{00000000-0005-0000-0000-0000AE280000}"/>
    <cellStyle name="40% - Énfasis3 31 18" xfId="10408" xr:uid="{00000000-0005-0000-0000-0000AF280000}"/>
    <cellStyle name="40% - Énfasis3 31 19" xfId="10409" xr:uid="{00000000-0005-0000-0000-0000B0280000}"/>
    <cellStyle name="40% - Énfasis3 31 2" xfId="10410" xr:uid="{00000000-0005-0000-0000-0000B1280000}"/>
    <cellStyle name="40% - Énfasis3 31 3" xfId="10411" xr:uid="{00000000-0005-0000-0000-0000B2280000}"/>
    <cellStyle name="40% - Énfasis3 31 4" xfId="10412" xr:uid="{00000000-0005-0000-0000-0000B3280000}"/>
    <cellStyle name="40% - Énfasis3 31 5" xfId="10413" xr:uid="{00000000-0005-0000-0000-0000B4280000}"/>
    <cellStyle name="40% - Énfasis3 31 6" xfId="10414" xr:uid="{00000000-0005-0000-0000-0000B5280000}"/>
    <cellStyle name="40% - Énfasis3 31 7" xfId="10415" xr:uid="{00000000-0005-0000-0000-0000B6280000}"/>
    <cellStyle name="40% - Énfasis3 31 8" xfId="10416" xr:uid="{00000000-0005-0000-0000-0000B7280000}"/>
    <cellStyle name="40% - Énfasis3 31 9" xfId="10417" xr:uid="{00000000-0005-0000-0000-0000B8280000}"/>
    <cellStyle name="40% - Énfasis3 32" xfId="10418" xr:uid="{00000000-0005-0000-0000-0000B9280000}"/>
    <cellStyle name="40% - Énfasis3 32 10" xfId="10419" xr:uid="{00000000-0005-0000-0000-0000BA280000}"/>
    <cellStyle name="40% - Énfasis3 32 11" xfId="10420" xr:uid="{00000000-0005-0000-0000-0000BB280000}"/>
    <cellStyle name="40% - Énfasis3 32 12" xfId="10421" xr:uid="{00000000-0005-0000-0000-0000BC280000}"/>
    <cellStyle name="40% - Énfasis3 32 13" xfId="10422" xr:uid="{00000000-0005-0000-0000-0000BD280000}"/>
    <cellStyle name="40% - Énfasis3 32 14" xfId="10423" xr:uid="{00000000-0005-0000-0000-0000BE280000}"/>
    <cellStyle name="40% - Énfasis3 32 15" xfId="10424" xr:uid="{00000000-0005-0000-0000-0000BF280000}"/>
    <cellStyle name="40% - Énfasis3 32 16" xfId="10425" xr:uid="{00000000-0005-0000-0000-0000C0280000}"/>
    <cellStyle name="40% - Énfasis3 32 17" xfId="10426" xr:uid="{00000000-0005-0000-0000-0000C1280000}"/>
    <cellStyle name="40% - Énfasis3 32 18" xfId="10427" xr:uid="{00000000-0005-0000-0000-0000C2280000}"/>
    <cellStyle name="40% - Énfasis3 32 19" xfId="10428" xr:uid="{00000000-0005-0000-0000-0000C3280000}"/>
    <cellStyle name="40% - Énfasis3 32 2" xfId="10429" xr:uid="{00000000-0005-0000-0000-0000C4280000}"/>
    <cellStyle name="40% - Énfasis3 32 3" xfId="10430" xr:uid="{00000000-0005-0000-0000-0000C5280000}"/>
    <cellStyle name="40% - Énfasis3 32 4" xfId="10431" xr:uid="{00000000-0005-0000-0000-0000C6280000}"/>
    <cellStyle name="40% - Énfasis3 32 5" xfId="10432" xr:uid="{00000000-0005-0000-0000-0000C7280000}"/>
    <cellStyle name="40% - Énfasis3 32 6" xfId="10433" xr:uid="{00000000-0005-0000-0000-0000C8280000}"/>
    <cellStyle name="40% - Énfasis3 32 7" xfId="10434" xr:uid="{00000000-0005-0000-0000-0000C9280000}"/>
    <cellStyle name="40% - Énfasis3 32 8" xfId="10435" xr:uid="{00000000-0005-0000-0000-0000CA280000}"/>
    <cellStyle name="40% - Énfasis3 32 9" xfId="10436" xr:uid="{00000000-0005-0000-0000-0000CB280000}"/>
    <cellStyle name="40% - Énfasis3 33" xfId="10437" xr:uid="{00000000-0005-0000-0000-0000CC280000}"/>
    <cellStyle name="40% - Énfasis3 33 10" xfId="10438" xr:uid="{00000000-0005-0000-0000-0000CD280000}"/>
    <cellStyle name="40% - Énfasis3 33 11" xfId="10439" xr:uid="{00000000-0005-0000-0000-0000CE280000}"/>
    <cellStyle name="40% - Énfasis3 33 12" xfId="10440" xr:uid="{00000000-0005-0000-0000-0000CF280000}"/>
    <cellStyle name="40% - Énfasis3 33 13" xfId="10441" xr:uid="{00000000-0005-0000-0000-0000D0280000}"/>
    <cellStyle name="40% - Énfasis3 33 14" xfId="10442" xr:uid="{00000000-0005-0000-0000-0000D1280000}"/>
    <cellStyle name="40% - Énfasis3 33 15" xfId="10443" xr:uid="{00000000-0005-0000-0000-0000D2280000}"/>
    <cellStyle name="40% - Énfasis3 33 16" xfId="10444" xr:uid="{00000000-0005-0000-0000-0000D3280000}"/>
    <cellStyle name="40% - Énfasis3 33 17" xfId="10445" xr:uid="{00000000-0005-0000-0000-0000D4280000}"/>
    <cellStyle name="40% - Énfasis3 33 18" xfId="10446" xr:uid="{00000000-0005-0000-0000-0000D5280000}"/>
    <cellStyle name="40% - Énfasis3 33 19" xfId="10447" xr:uid="{00000000-0005-0000-0000-0000D6280000}"/>
    <cellStyle name="40% - Énfasis3 33 2" xfId="10448" xr:uid="{00000000-0005-0000-0000-0000D7280000}"/>
    <cellStyle name="40% - Énfasis3 33 3" xfId="10449" xr:uid="{00000000-0005-0000-0000-0000D8280000}"/>
    <cellStyle name="40% - Énfasis3 33 4" xfId="10450" xr:uid="{00000000-0005-0000-0000-0000D9280000}"/>
    <cellStyle name="40% - Énfasis3 33 5" xfId="10451" xr:uid="{00000000-0005-0000-0000-0000DA280000}"/>
    <cellStyle name="40% - Énfasis3 33 6" xfId="10452" xr:uid="{00000000-0005-0000-0000-0000DB280000}"/>
    <cellStyle name="40% - Énfasis3 33 7" xfId="10453" xr:uid="{00000000-0005-0000-0000-0000DC280000}"/>
    <cellStyle name="40% - Énfasis3 33 8" xfId="10454" xr:uid="{00000000-0005-0000-0000-0000DD280000}"/>
    <cellStyle name="40% - Énfasis3 33 9" xfId="10455" xr:uid="{00000000-0005-0000-0000-0000DE280000}"/>
    <cellStyle name="40% - Énfasis3 34" xfId="10456" xr:uid="{00000000-0005-0000-0000-0000DF280000}"/>
    <cellStyle name="40% - Énfasis3 34 10" xfId="10457" xr:uid="{00000000-0005-0000-0000-0000E0280000}"/>
    <cellStyle name="40% - Énfasis3 34 11" xfId="10458" xr:uid="{00000000-0005-0000-0000-0000E1280000}"/>
    <cellStyle name="40% - Énfasis3 34 12" xfId="10459" xr:uid="{00000000-0005-0000-0000-0000E2280000}"/>
    <cellStyle name="40% - Énfasis3 34 13" xfId="10460" xr:uid="{00000000-0005-0000-0000-0000E3280000}"/>
    <cellStyle name="40% - Énfasis3 34 14" xfId="10461" xr:uid="{00000000-0005-0000-0000-0000E4280000}"/>
    <cellStyle name="40% - Énfasis3 34 15" xfId="10462" xr:uid="{00000000-0005-0000-0000-0000E5280000}"/>
    <cellStyle name="40% - Énfasis3 34 16" xfId="10463" xr:uid="{00000000-0005-0000-0000-0000E6280000}"/>
    <cellStyle name="40% - Énfasis3 34 17" xfId="10464" xr:uid="{00000000-0005-0000-0000-0000E7280000}"/>
    <cellStyle name="40% - Énfasis3 34 18" xfId="10465" xr:uid="{00000000-0005-0000-0000-0000E8280000}"/>
    <cellStyle name="40% - Énfasis3 34 19" xfId="10466" xr:uid="{00000000-0005-0000-0000-0000E9280000}"/>
    <cellStyle name="40% - Énfasis3 34 2" xfId="10467" xr:uid="{00000000-0005-0000-0000-0000EA280000}"/>
    <cellStyle name="40% - Énfasis3 34 3" xfId="10468" xr:uid="{00000000-0005-0000-0000-0000EB280000}"/>
    <cellStyle name="40% - Énfasis3 34 4" xfId="10469" xr:uid="{00000000-0005-0000-0000-0000EC280000}"/>
    <cellStyle name="40% - Énfasis3 34 5" xfId="10470" xr:uid="{00000000-0005-0000-0000-0000ED280000}"/>
    <cellStyle name="40% - Énfasis3 34 6" xfId="10471" xr:uid="{00000000-0005-0000-0000-0000EE280000}"/>
    <cellStyle name="40% - Énfasis3 34 7" xfId="10472" xr:uid="{00000000-0005-0000-0000-0000EF280000}"/>
    <cellStyle name="40% - Énfasis3 34 8" xfId="10473" xr:uid="{00000000-0005-0000-0000-0000F0280000}"/>
    <cellStyle name="40% - Énfasis3 34 9" xfId="10474" xr:uid="{00000000-0005-0000-0000-0000F1280000}"/>
    <cellStyle name="40% - Énfasis3 35" xfId="10475" xr:uid="{00000000-0005-0000-0000-0000F2280000}"/>
    <cellStyle name="40% - Énfasis3 35 10" xfId="10476" xr:uid="{00000000-0005-0000-0000-0000F3280000}"/>
    <cellStyle name="40% - Énfasis3 35 11" xfId="10477" xr:uid="{00000000-0005-0000-0000-0000F4280000}"/>
    <cellStyle name="40% - Énfasis3 35 12" xfId="10478" xr:uid="{00000000-0005-0000-0000-0000F5280000}"/>
    <cellStyle name="40% - Énfasis3 35 13" xfId="10479" xr:uid="{00000000-0005-0000-0000-0000F6280000}"/>
    <cellStyle name="40% - Énfasis3 35 14" xfId="10480" xr:uid="{00000000-0005-0000-0000-0000F7280000}"/>
    <cellStyle name="40% - Énfasis3 35 15" xfId="10481" xr:uid="{00000000-0005-0000-0000-0000F8280000}"/>
    <cellStyle name="40% - Énfasis3 35 16" xfId="10482" xr:uid="{00000000-0005-0000-0000-0000F9280000}"/>
    <cellStyle name="40% - Énfasis3 35 17" xfId="10483" xr:uid="{00000000-0005-0000-0000-0000FA280000}"/>
    <cellStyle name="40% - Énfasis3 35 18" xfId="10484" xr:uid="{00000000-0005-0000-0000-0000FB280000}"/>
    <cellStyle name="40% - Énfasis3 35 19" xfId="10485" xr:uid="{00000000-0005-0000-0000-0000FC280000}"/>
    <cellStyle name="40% - Énfasis3 35 2" xfId="10486" xr:uid="{00000000-0005-0000-0000-0000FD280000}"/>
    <cellStyle name="40% - Énfasis3 35 3" xfId="10487" xr:uid="{00000000-0005-0000-0000-0000FE280000}"/>
    <cellStyle name="40% - Énfasis3 35 4" xfId="10488" xr:uid="{00000000-0005-0000-0000-0000FF280000}"/>
    <cellStyle name="40% - Énfasis3 35 5" xfId="10489" xr:uid="{00000000-0005-0000-0000-000000290000}"/>
    <cellStyle name="40% - Énfasis3 35 6" xfId="10490" xr:uid="{00000000-0005-0000-0000-000001290000}"/>
    <cellStyle name="40% - Énfasis3 35 7" xfId="10491" xr:uid="{00000000-0005-0000-0000-000002290000}"/>
    <cellStyle name="40% - Énfasis3 35 8" xfId="10492" xr:uid="{00000000-0005-0000-0000-000003290000}"/>
    <cellStyle name="40% - Énfasis3 35 9" xfId="10493" xr:uid="{00000000-0005-0000-0000-000004290000}"/>
    <cellStyle name="40% - Énfasis3 36" xfId="10494" xr:uid="{00000000-0005-0000-0000-000005290000}"/>
    <cellStyle name="40% - Énfasis3 36 10" xfId="10495" xr:uid="{00000000-0005-0000-0000-000006290000}"/>
    <cellStyle name="40% - Énfasis3 36 11" xfId="10496" xr:uid="{00000000-0005-0000-0000-000007290000}"/>
    <cellStyle name="40% - Énfasis3 36 12" xfId="10497" xr:uid="{00000000-0005-0000-0000-000008290000}"/>
    <cellStyle name="40% - Énfasis3 36 13" xfId="10498" xr:uid="{00000000-0005-0000-0000-000009290000}"/>
    <cellStyle name="40% - Énfasis3 36 14" xfId="10499" xr:uid="{00000000-0005-0000-0000-00000A290000}"/>
    <cellStyle name="40% - Énfasis3 36 15" xfId="10500" xr:uid="{00000000-0005-0000-0000-00000B290000}"/>
    <cellStyle name="40% - Énfasis3 36 16" xfId="10501" xr:uid="{00000000-0005-0000-0000-00000C290000}"/>
    <cellStyle name="40% - Énfasis3 36 17" xfId="10502" xr:uid="{00000000-0005-0000-0000-00000D290000}"/>
    <cellStyle name="40% - Énfasis3 36 18" xfId="10503" xr:uid="{00000000-0005-0000-0000-00000E290000}"/>
    <cellStyle name="40% - Énfasis3 36 19" xfId="10504" xr:uid="{00000000-0005-0000-0000-00000F290000}"/>
    <cellStyle name="40% - Énfasis3 36 2" xfId="10505" xr:uid="{00000000-0005-0000-0000-000010290000}"/>
    <cellStyle name="40% - Énfasis3 36 3" xfId="10506" xr:uid="{00000000-0005-0000-0000-000011290000}"/>
    <cellStyle name="40% - Énfasis3 36 4" xfId="10507" xr:uid="{00000000-0005-0000-0000-000012290000}"/>
    <cellStyle name="40% - Énfasis3 36 5" xfId="10508" xr:uid="{00000000-0005-0000-0000-000013290000}"/>
    <cellStyle name="40% - Énfasis3 36 6" xfId="10509" xr:uid="{00000000-0005-0000-0000-000014290000}"/>
    <cellStyle name="40% - Énfasis3 36 7" xfId="10510" xr:uid="{00000000-0005-0000-0000-000015290000}"/>
    <cellStyle name="40% - Énfasis3 36 8" xfId="10511" xr:uid="{00000000-0005-0000-0000-000016290000}"/>
    <cellStyle name="40% - Énfasis3 36 9" xfId="10512" xr:uid="{00000000-0005-0000-0000-000017290000}"/>
    <cellStyle name="40% - Énfasis3 37" xfId="10513" xr:uid="{00000000-0005-0000-0000-000018290000}"/>
    <cellStyle name="40% - Énfasis3 38" xfId="10514" xr:uid="{00000000-0005-0000-0000-000019290000}"/>
    <cellStyle name="40% - Énfasis3 39" xfId="10515" xr:uid="{00000000-0005-0000-0000-00001A290000}"/>
    <cellStyle name="40% - Énfasis3 4" xfId="10516" xr:uid="{00000000-0005-0000-0000-00001B290000}"/>
    <cellStyle name="40% - Énfasis3 4 10" xfId="10517" xr:uid="{00000000-0005-0000-0000-00001C290000}"/>
    <cellStyle name="40% - Énfasis3 4 11" xfId="10518" xr:uid="{00000000-0005-0000-0000-00001D290000}"/>
    <cellStyle name="40% - Énfasis3 4 12" xfId="10519" xr:uid="{00000000-0005-0000-0000-00001E290000}"/>
    <cellStyle name="40% - Énfasis3 4 13" xfId="10520" xr:uid="{00000000-0005-0000-0000-00001F290000}"/>
    <cellStyle name="40% - Énfasis3 4 14" xfId="10521" xr:uid="{00000000-0005-0000-0000-000020290000}"/>
    <cellStyle name="40% - Énfasis3 4 15" xfId="10522" xr:uid="{00000000-0005-0000-0000-000021290000}"/>
    <cellStyle name="40% - Énfasis3 4 16" xfId="10523" xr:uid="{00000000-0005-0000-0000-000022290000}"/>
    <cellStyle name="40% - Énfasis3 4 17" xfId="10524" xr:uid="{00000000-0005-0000-0000-000023290000}"/>
    <cellStyle name="40% - Énfasis3 4 18" xfId="10525" xr:uid="{00000000-0005-0000-0000-000024290000}"/>
    <cellStyle name="40% - Énfasis3 4 19" xfId="10526" xr:uid="{00000000-0005-0000-0000-000025290000}"/>
    <cellStyle name="40% - Énfasis3 4 2" xfId="10527" xr:uid="{00000000-0005-0000-0000-000026290000}"/>
    <cellStyle name="40% - Énfasis3 4 20" xfId="10528" xr:uid="{00000000-0005-0000-0000-000027290000}"/>
    <cellStyle name="40% - Énfasis3 4 3" xfId="10529" xr:uid="{00000000-0005-0000-0000-000028290000}"/>
    <cellStyle name="40% - Énfasis3 4 4" xfId="10530" xr:uid="{00000000-0005-0000-0000-000029290000}"/>
    <cellStyle name="40% - Énfasis3 4 5" xfId="10531" xr:uid="{00000000-0005-0000-0000-00002A290000}"/>
    <cellStyle name="40% - Énfasis3 4 6" xfId="10532" xr:uid="{00000000-0005-0000-0000-00002B290000}"/>
    <cellStyle name="40% - Énfasis3 4 7" xfId="10533" xr:uid="{00000000-0005-0000-0000-00002C290000}"/>
    <cellStyle name="40% - Énfasis3 4 8" xfId="10534" xr:uid="{00000000-0005-0000-0000-00002D290000}"/>
    <cellStyle name="40% - Énfasis3 4 9" xfId="10535" xr:uid="{00000000-0005-0000-0000-00002E290000}"/>
    <cellStyle name="40% - Énfasis3 40" xfId="10536" xr:uid="{00000000-0005-0000-0000-00002F290000}"/>
    <cellStyle name="40% - Énfasis3 41" xfId="10537" xr:uid="{00000000-0005-0000-0000-000030290000}"/>
    <cellStyle name="40% - Énfasis3 42" xfId="10538" xr:uid="{00000000-0005-0000-0000-000031290000}"/>
    <cellStyle name="40% - Énfasis3 43" xfId="10539" xr:uid="{00000000-0005-0000-0000-000032290000}"/>
    <cellStyle name="40% - Énfasis3 44" xfId="10540" xr:uid="{00000000-0005-0000-0000-000033290000}"/>
    <cellStyle name="40% - Énfasis3 45" xfId="10541" xr:uid="{00000000-0005-0000-0000-000034290000}"/>
    <cellStyle name="40% - Énfasis3 46" xfId="10542" xr:uid="{00000000-0005-0000-0000-000035290000}"/>
    <cellStyle name="40% - Énfasis3 47" xfId="10543" xr:uid="{00000000-0005-0000-0000-000036290000}"/>
    <cellStyle name="40% - Énfasis3 48" xfId="10544" xr:uid="{00000000-0005-0000-0000-000037290000}"/>
    <cellStyle name="40% - Énfasis3 49" xfId="10545" xr:uid="{00000000-0005-0000-0000-000038290000}"/>
    <cellStyle name="40% - Énfasis3 5" xfId="10546" xr:uid="{00000000-0005-0000-0000-000039290000}"/>
    <cellStyle name="40% - Énfasis3 5 10" xfId="10547" xr:uid="{00000000-0005-0000-0000-00003A290000}"/>
    <cellStyle name="40% - Énfasis3 5 11" xfId="10548" xr:uid="{00000000-0005-0000-0000-00003B290000}"/>
    <cellStyle name="40% - Énfasis3 5 12" xfId="10549" xr:uid="{00000000-0005-0000-0000-00003C290000}"/>
    <cellStyle name="40% - Énfasis3 5 13" xfId="10550" xr:uid="{00000000-0005-0000-0000-00003D290000}"/>
    <cellStyle name="40% - Énfasis3 5 14" xfId="10551" xr:uid="{00000000-0005-0000-0000-00003E290000}"/>
    <cellStyle name="40% - Énfasis3 5 15" xfId="10552" xr:uid="{00000000-0005-0000-0000-00003F290000}"/>
    <cellStyle name="40% - Énfasis3 5 16" xfId="10553" xr:uid="{00000000-0005-0000-0000-000040290000}"/>
    <cellStyle name="40% - Énfasis3 5 17" xfId="10554" xr:uid="{00000000-0005-0000-0000-000041290000}"/>
    <cellStyle name="40% - Énfasis3 5 18" xfId="10555" xr:uid="{00000000-0005-0000-0000-000042290000}"/>
    <cellStyle name="40% - Énfasis3 5 19" xfId="10556" xr:uid="{00000000-0005-0000-0000-000043290000}"/>
    <cellStyle name="40% - Énfasis3 5 2" xfId="10557" xr:uid="{00000000-0005-0000-0000-000044290000}"/>
    <cellStyle name="40% - Énfasis3 5 20" xfId="10558" xr:uid="{00000000-0005-0000-0000-000045290000}"/>
    <cellStyle name="40% - Énfasis3 5 3" xfId="10559" xr:uid="{00000000-0005-0000-0000-000046290000}"/>
    <cellStyle name="40% - Énfasis3 5 4" xfId="10560" xr:uid="{00000000-0005-0000-0000-000047290000}"/>
    <cellStyle name="40% - Énfasis3 5 5" xfId="10561" xr:uid="{00000000-0005-0000-0000-000048290000}"/>
    <cellStyle name="40% - Énfasis3 5 6" xfId="10562" xr:uid="{00000000-0005-0000-0000-000049290000}"/>
    <cellStyle name="40% - Énfasis3 5 7" xfId="10563" xr:uid="{00000000-0005-0000-0000-00004A290000}"/>
    <cellStyle name="40% - Énfasis3 5 8" xfId="10564" xr:uid="{00000000-0005-0000-0000-00004B290000}"/>
    <cellStyle name="40% - Énfasis3 5 9" xfId="10565" xr:uid="{00000000-0005-0000-0000-00004C290000}"/>
    <cellStyle name="40% - Énfasis3 50" xfId="10566" xr:uid="{00000000-0005-0000-0000-00004D290000}"/>
    <cellStyle name="40% - Énfasis3 51" xfId="10567" xr:uid="{00000000-0005-0000-0000-00004E290000}"/>
    <cellStyle name="40% - Énfasis3 52" xfId="10568" xr:uid="{00000000-0005-0000-0000-00004F290000}"/>
    <cellStyle name="40% - Énfasis3 53" xfId="10569" xr:uid="{00000000-0005-0000-0000-000050290000}"/>
    <cellStyle name="40% - Énfasis3 54" xfId="10570" xr:uid="{00000000-0005-0000-0000-000051290000}"/>
    <cellStyle name="40% - Énfasis3 55" xfId="10571" xr:uid="{00000000-0005-0000-0000-000052290000}"/>
    <cellStyle name="40% - Énfasis3 56" xfId="10572" xr:uid="{00000000-0005-0000-0000-000053290000}"/>
    <cellStyle name="40% - Énfasis3 57" xfId="10573" xr:uid="{00000000-0005-0000-0000-000054290000}"/>
    <cellStyle name="40% - Énfasis3 58" xfId="10574" xr:uid="{00000000-0005-0000-0000-000055290000}"/>
    <cellStyle name="40% - Énfasis3 59" xfId="10575" xr:uid="{00000000-0005-0000-0000-000056290000}"/>
    <cellStyle name="40% - Énfasis3 6" xfId="10576" xr:uid="{00000000-0005-0000-0000-000057290000}"/>
    <cellStyle name="40% - Énfasis3 6 10" xfId="10577" xr:uid="{00000000-0005-0000-0000-000058290000}"/>
    <cellStyle name="40% - Énfasis3 6 11" xfId="10578" xr:uid="{00000000-0005-0000-0000-000059290000}"/>
    <cellStyle name="40% - Énfasis3 6 12" xfId="10579" xr:uid="{00000000-0005-0000-0000-00005A290000}"/>
    <cellStyle name="40% - Énfasis3 6 13" xfId="10580" xr:uid="{00000000-0005-0000-0000-00005B290000}"/>
    <cellStyle name="40% - Énfasis3 6 14" xfId="10581" xr:uid="{00000000-0005-0000-0000-00005C290000}"/>
    <cellStyle name="40% - Énfasis3 6 15" xfId="10582" xr:uid="{00000000-0005-0000-0000-00005D290000}"/>
    <cellStyle name="40% - Énfasis3 6 16" xfId="10583" xr:uid="{00000000-0005-0000-0000-00005E290000}"/>
    <cellStyle name="40% - Énfasis3 6 17" xfId="10584" xr:uid="{00000000-0005-0000-0000-00005F290000}"/>
    <cellStyle name="40% - Énfasis3 6 18" xfId="10585" xr:uid="{00000000-0005-0000-0000-000060290000}"/>
    <cellStyle name="40% - Énfasis3 6 19" xfId="10586" xr:uid="{00000000-0005-0000-0000-000061290000}"/>
    <cellStyle name="40% - Énfasis3 6 2" xfId="10587" xr:uid="{00000000-0005-0000-0000-000062290000}"/>
    <cellStyle name="40% - Énfasis3 6 20" xfId="10588" xr:uid="{00000000-0005-0000-0000-000063290000}"/>
    <cellStyle name="40% - Énfasis3 6 3" xfId="10589" xr:uid="{00000000-0005-0000-0000-000064290000}"/>
    <cellStyle name="40% - Énfasis3 6 4" xfId="10590" xr:uid="{00000000-0005-0000-0000-000065290000}"/>
    <cellStyle name="40% - Énfasis3 6 5" xfId="10591" xr:uid="{00000000-0005-0000-0000-000066290000}"/>
    <cellStyle name="40% - Énfasis3 6 6" xfId="10592" xr:uid="{00000000-0005-0000-0000-000067290000}"/>
    <cellStyle name="40% - Énfasis3 6 7" xfId="10593" xr:uid="{00000000-0005-0000-0000-000068290000}"/>
    <cellStyle name="40% - Énfasis3 6 8" xfId="10594" xr:uid="{00000000-0005-0000-0000-000069290000}"/>
    <cellStyle name="40% - Énfasis3 6 9" xfId="10595" xr:uid="{00000000-0005-0000-0000-00006A290000}"/>
    <cellStyle name="40% - Énfasis3 60" xfId="10596" xr:uid="{00000000-0005-0000-0000-00006B290000}"/>
    <cellStyle name="40% - Énfasis3 61" xfId="10597" xr:uid="{00000000-0005-0000-0000-00006C290000}"/>
    <cellStyle name="40% - Énfasis3 62" xfId="10598" xr:uid="{00000000-0005-0000-0000-00006D290000}"/>
    <cellStyle name="40% - Énfasis3 63" xfId="10599" xr:uid="{00000000-0005-0000-0000-00006E290000}"/>
    <cellStyle name="40% - Énfasis3 64" xfId="10600" xr:uid="{00000000-0005-0000-0000-00006F290000}"/>
    <cellStyle name="40% - Énfasis3 65" xfId="10601" xr:uid="{00000000-0005-0000-0000-000070290000}"/>
    <cellStyle name="40% - Énfasis3 66" xfId="10602" xr:uid="{00000000-0005-0000-0000-000071290000}"/>
    <cellStyle name="40% - Énfasis3 67" xfId="10603" xr:uid="{00000000-0005-0000-0000-000072290000}"/>
    <cellStyle name="40% - Énfasis3 68" xfId="10604" xr:uid="{00000000-0005-0000-0000-000073290000}"/>
    <cellStyle name="40% - Énfasis3 69" xfId="10605" xr:uid="{00000000-0005-0000-0000-000074290000}"/>
    <cellStyle name="40% - Énfasis3 7" xfId="10606" xr:uid="{00000000-0005-0000-0000-000075290000}"/>
    <cellStyle name="40% - Énfasis3 7 10" xfId="10607" xr:uid="{00000000-0005-0000-0000-000076290000}"/>
    <cellStyle name="40% - Énfasis3 7 11" xfId="10608" xr:uid="{00000000-0005-0000-0000-000077290000}"/>
    <cellStyle name="40% - Énfasis3 7 12" xfId="10609" xr:uid="{00000000-0005-0000-0000-000078290000}"/>
    <cellStyle name="40% - Énfasis3 7 13" xfId="10610" xr:uid="{00000000-0005-0000-0000-000079290000}"/>
    <cellStyle name="40% - Énfasis3 7 14" xfId="10611" xr:uid="{00000000-0005-0000-0000-00007A290000}"/>
    <cellStyle name="40% - Énfasis3 7 15" xfId="10612" xr:uid="{00000000-0005-0000-0000-00007B290000}"/>
    <cellStyle name="40% - Énfasis3 7 16" xfId="10613" xr:uid="{00000000-0005-0000-0000-00007C290000}"/>
    <cellStyle name="40% - Énfasis3 7 17" xfId="10614" xr:uid="{00000000-0005-0000-0000-00007D290000}"/>
    <cellStyle name="40% - Énfasis3 7 18" xfId="10615" xr:uid="{00000000-0005-0000-0000-00007E290000}"/>
    <cellStyle name="40% - Énfasis3 7 19" xfId="10616" xr:uid="{00000000-0005-0000-0000-00007F290000}"/>
    <cellStyle name="40% - Énfasis3 7 2" xfId="10617" xr:uid="{00000000-0005-0000-0000-000080290000}"/>
    <cellStyle name="40% - Énfasis3 7 20" xfId="10618" xr:uid="{00000000-0005-0000-0000-000081290000}"/>
    <cellStyle name="40% - Énfasis3 7 3" xfId="10619" xr:uid="{00000000-0005-0000-0000-000082290000}"/>
    <cellStyle name="40% - Énfasis3 7 4" xfId="10620" xr:uid="{00000000-0005-0000-0000-000083290000}"/>
    <cellStyle name="40% - Énfasis3 7 5" xfId="10621" xr:uid="{00000000-0005-0000-0000-000084290000}"/>
    <cellStyle name="40% - Énfasis3 7 6" xfId="10622" xr:uid="{00000000-0005-0000-0000-000085290000}"/>
    <cellStyle name="40% - Énfasis3 7 7" xfId="10623" xr:uid="{00000000-0005-0000-0000-000086290000}"/>
    <cellStyle name="40% - Énfasis3 7 8" xfId="10624" xr:uid="{00000000-0005-0000-0000-000087290000}"/>
    <cellStyle name="40% - Énfasis3 7 9" xfId="10625" xr:uid="{00000000-0005-0000-0000-000088290000}"/>
    <cellStyle name="40% - Énfasis3 70" xfId="10626" xr:uid="{00000000-0005-0000-0000-000089290000}"/>
    <cellStyle name="40% - Énfasis3 71" xfId="10627" xr:uid="{00000000-0005-0000-0000-00008A290000}"/>
    <cellStyle name="40% - Énfasis3 72" xfId="10628" xr:uid="{00000000-0005-0000-0000-00008B290000}"/>
    <cellStyle name="40% - Énfasis3 73" xfId="10629" xr:uid="{00000000-0005-0000-0000-00008C290000}"/>
    <cellStyle name="40% - Énfasis3 74" xfId="10630" xr:uid="{00000000-0005-0000-0000-00008D290000}"/>
    <cellStyle name="40% - Énfasis3 75" xfId="10631" xr:uid="{00000000-0005-0000-0000-00008E290000}"/>
    <cellStyle name="40% - Énfasis3 76" xfId="10632" xr:uid="{00000000-0005-0000-0000-00008F290000}"/>
    <cellStyle name="40% - Énfasis3 77" xfId="10633" xr:uid="{00000000-0005-0000-0000-000090290000}"/>
    <cellStyle name="40% - Énfasis3 78" xfId="10634" xr:uid="{00000000-0005-0000-0000-000091290000}"/>
    <cellStyle name="40% - Énfasis3 79" xfId="10635" xr:uid="{00000000-0005-0000-0000-000092290000}"/>
    <cellStyle name="40% - Énfasis3 8" xfId="10636" xr:uid="{00000000-0005-0000-0000-000093290000}"/>
    <cellStyle name="40% - Énfasis3 8 10" xfId="10637" xr:uid="{00000000-0005-0000-0000-000094290000}"/>
    <cellStyle name="40% - Énfasis3 8 11" xfId="10638" xr:uid="{00000000-0005-0000-0000-000095290000}"/>
    <cellStyle name="40% - Énfasis3 8 12" xfId="10639" xr:uid="{00000000-0005-0000-0000-000096290000}"/>
    <cellStyle name="40% - Énfasis3 8 13" xfId="10640" xr:uid="{00000000-0005-0000-0000-000097290000}"/>
    <cellStyle name="40% - Énfasis3 8 14" xfId="10641" xr:uid="{00000000-0005-0000-0000-000098290000}"/>
    <cellStyle name="40% - Énfasis3 8 15" xfId="10642" xr:uid="{00000000-0005-0000-0000-000099290000}"/>
    <cellStyle name="40% - Énfasis3 8 16" xfId="10643" xr:uid="{00000000-0005-0000-0000-00009A290000}"/>
    <cellStyle name="40% - Énfasis3 8 17" xfId="10644" xr:uid="{00000000-0005-0000-0000-00009B290000}"/>
    <cellStyle name="40% - Énfasis3 8 18" xfId="10645" xr:uid="{00000000-0005-0000-0000-00009C290000}"/>
    <cellStyle name="40% - Énfasis3 8 19" xfId="10646" xr:uid="{00000000-0005-0000-0000-00009D290000}"/>
    <cellStyle name="40% - Énfasis3 8 2" xfId="10647" xr:uid="{00000000-0005-0000-0000-00009E290000}"/>
    <cellStyle name="40% - Énfasis3 8 20" xfId="10648" xr:uid="{00000000-0005-0000-0000-00009F290000}"/>
    <cellStyle name="40% - Énfasis3 8 3" xfId="10649" xr:uid="{00000000-0005-0000-0000-0000A0290000}"/>
    <cellStyle name="40% - Énfasis3 8 4" xfId="10650" xr:uid="{00000000-0005-0000-0000-0000A1290000}"/>
    <cellStyle name="40% - Énfasis3 8 5" xfId="10651" xr:uid="{00000000-0005-0000-0000-0000A2290000}"/>
    <cellStyle name="40% - Énfasis3 8 6" xfId="10652" xr:uid="{00000000-0005-0000-0000-0000A3290000}"/>
    <cellStyle name="40% - Énfasis3 8 7" xfId="10653" xr:uid="{00000000-0005-0000-0000-0000A4290000}"/>
    <cellStyle name="40% - Énfasis3 8 8" xfId="10654" xr:uid="{00000000-0005-0000-0000-0000A5290000}"/>
    <cellStyle name="40% - Énfasis3 8 9" xfId="10655" xr:uid="{00000000-0005-0000-0000-0000A6290000}"/>
    <cellStyle name="40% - Énfasis3 80" xfId="10656" xr:uid="{00000000-0005-0000-0000-0000A7290000}"/>
    <cellStyle name="40% - Énfasis3 81" xfId="10657" xr:uid="{00000000-0005-0000-0000-0000A8290000}"/>
    <cellStyle name="40% - Énfasis3 82" xfId="10658" xr:uid="{00000000-0005-0000-0000-0000A9290000}"/>
    <cellStyle name="40% - Énfasis3 83" xfId="10659" xr:uid="{00000000-0005-0000-0000-0000AA290000}"/>
    <cellStyle name="40% - Énfasis3 84" xfId="10660" xr:uid="{00000000-0005-0000-0000-0000AB290000}"/>
    <cellStyle name="40% - Énfasis3 85" xfId="10661" xr:uid="{00000000-0005-0000-0000-0000AC290000}"/>
    <cellStyle name="40% - Énfasis3 86" xfId="10662" xr:uid="{00000000-0005-0000-0000-0000AD290000}"/>
    <cellStyle name="40% - Énfasis3 87" xfId="10663" xr:uid="{00000000-0005-0000-0000-0000AE290000}"/>
    <cellStyle name="40% - Énfasis3 88" xfId="10664" xr:uid="{00000000-0005-0000-0000-0000AF290000}"/>
    <cellStyle name="40% - Énfasis3 89" xfId="10665" xr:uid="{00000000-0005-0000-0000-0000B0290000}"/>
    <cellStyle name="40% - Énfasis3 9" xfId="10666" xr:uid="{00000000-0005-0000-0000-0000B1290000}"/>
    <cellStyle name="40% - Énfasis3 9 10" xfId="10667" xr:uid="{00000000-0005-0000-0000-0000B2290000}"/>
    <cellStyle name="40% - Énfasis3 9 11" xfId="10668" xr:uid="{00000000-0005-0000-0000-0000B3290000}"/>
    <cellStyle name="40% - Énfasis3 9 12" xfId="10669" xr:uid="{00000000-0005-0000-0000-0000B4290000}"/>
    <cellStyle name="40% - Énfasis3 9 13" xfId="10670" xr:uid="{00000000-0005-0000-0000-0000B5290000}"/>
    <cellStyle name="40% - Énfasis3 9 14" xfId="10671" xr:uid="{00000000-0005-0000-0000-0000B6290000}"/>
    <cellStyle name="40% - Énfasis3 9 15" xfId="10672" xr:uid="{00000000-0005-0000-0000-0000B7290000}"/>
    <cellStyle name="40% - Énfasis3 9 16" xfId="10673" xr:uid="{00000000-0005-0000-0000-0000B8290000}"/>
    <cellStyle name="40% - Énfasis3 9 17" xfId="10674" xr:uid="{00000000-0005-0000-0000-0000B9290000}"/>
    <cellStyle name="40% - Énfasis3 9 18" xfId="10675" xr:uid="{00000000-0005-0000-0000-0000BA290000}"/>
    <cellStyle name="40% - Énfasis3 9 19" xfId="10676" xr:uid="{00000000-0005-0000-0000-0000BB290000}"/>
    <cellStyle name="40% - Énfasis3 9 2" xfId="10677" xr:uid="{00000000-0005-0000-0000-0000BC290000}"/>
    <cellStyle name="40% - Énfasis3 9 20" xfId="10678" xr:uid="{00000000-0005-0000-0000-0000BD290000}"/>
    <cellStyle name="40% - Énfasis3 9 3" xfId="10679" xr:uid="{00000000-0005-0000-0000-0000BE290000}"/>
    <cellStyle name="40% - Énfasis3 9 4" xfId="10680" xr:uid="{00000000-0005-0000-0000-0000BF290000}"/>
    <cellStyle name="40% - Énfasis3 9 5" xfId="10681" xr:uid="{00000000-0005-0000-0000-0000C0290000}"/>
    <cellStyle name="40% - Énfasis3 9 6" xfId="10682" xr:uid="{00000000-0005-0000-0000-0000C1290000}"/>
    <cellStyle name="40% - Énfasis3 9 7" xfId="10683" xr:uid="{00000000-0005-0000-0000-0000C2290000}"/>
    <cellStyle name="40% - Énfasis3 9 8" xfId="10684" xr:uid="{00000000-0005-0000-0000-0000C3290000}"/>
    <cellStyle name="40% - Énfasis3 9 9" xfId="10685" xr:uid="{00000000-0005-0000-0000-0000C4290000}"/>
    <cellStyle name="40% - Énfasis3 90" xfId="10686" xr:uid="{00000000-0005-0000-0000-0000C5290000}"/>
    <cellStyle name="40% - Énfasis3 91" xfId="10687" xr:uid="{00000000-0005-0000-0000-0000C6290000}"/>
    <cellStyle name="40% - Énfasis3 92" xfId="10688" xr:uid="{00000000-0005-0000-0000-0000C7290000}"/>
    <cellStyle name="40% - Énfasis3 93" xfId="10689" xr:uid="{00000000-0005-0000-0000-0000C8290000}"/>
    <cellStyle name="40% - Énfasis3 94" xfId="10690" xr:uid="{00000000-0005-0000-0000-0000C9290000}"/>
    <cellStyle name="40% - Énfasis3 95" xfId="10691" xr:uid="{00000000-0005-0000-0000-0000CA290000}"/>
    <cellStyle name="40% - Énfasis3 96" xfId="10692" xr:uid="{00000000-0005-0000-0000-0000CB290000}"/>
    <cellStyle name="40% - Énfasis3 97" xfId="10693" xr:uid="{00000000-0005-0000-0000-0000CC290000}"/>
    <cellStyle name="40% - Énfasis3 98" xfId="15632" xr:uid="{00000000-0005-0000-0000-0000CD290000}"/>
    <cellStyle name="40% - Énfasis4" xfId="10694" builtinId="43" customBuiltin="1"/>
    <cellStyle name="40% - Énfasis4 10" xfId="10695" xr:uid="{00000000-0005-0000-0000-0000CF290000}"/>
    <cellStyle name="40% - Énfasis4 10 10" xfId="10696" xr:uid="{00000000-0005-0000-0000-0000D0290000}"/>
    <cellStyle name="40% - Énfasis4 10 11" xfId="10697" xr:uid="{00000000-0005-0000-0000-0000D1290000}"/>
    <cellStyle name="40% - Énfasis4 10 12" xfId="10698" xr:uid="{00000000-0005-0000-0000-0000D2290000}"/>
    <cellStyle name="40% - Énfasis4 10 13" xfId="10699" xr:uid="{00000000-0005-0000-0000-0000D3290000}"/>
    <cellStyle name="40% - Énfasis4 10 14" xfId="10700" xr:uid="{00000000-0005-0000-0000-0000D4290000}"/>
    <cellStyle name="40% - Énfasis4 10 15" xfId="10701" xr:uid="{00000000-0005-0000-0000-0000D5290000}"/>
    <cellStyle name="40% - Énfasis4 10 16" xfId="10702" xr:uid="{00000000-0005-0000-0000-0000D6290000}"/>
    <cellStyle name="40% - Énfasis4 10 17" xfId="10703" xr:uid="{00000000-0005-0000-0000-0000D7290000}"/>
    <cellStyle name="40% - Énfasis4 10 18" xfId="10704" xr:uid="{00000000-0005-0000-0000-0000D8290000}"/>
    <cellStyle name="40% - Énfasis4 10 19" xfId="10705" xr:uid="{00000000-0005-0000-0000-0000D9290000}"/>
    <cellStyle name="40% - Énfasis4 10 2" xfId="10706" xr:uid="{00000000-0005-0000-0000-0000DA290000}"/>
    <cellStyle name="40% - Énfasis4 10 20" xfId="10707" xr:uid="{00000000-0005-0000-0000-0000DB290000}"/>
    <cellStyle name="40% - Énfasis4 10 3" xfId="10708" xr:uid="{00000000-0005-0000-0000-0000DC290000}"/>
    <cellStyle name="40% - Énfasis4 10 4" xfId="10709" xr:uid="{00000000-0005-0000-0000-0000DD290000}"/>
    <cellStyle name="40% - Énfasis4 10 5" xfId="10710" xr:uid="{00000000-0005-0000-0000-0000DE290000}"/>
    <cellStyle name="40% - Énfasis4 10 6" xfId="10711" xr:uid="{00000000-0005-0000-0000-0000DF290000}"/>
    <cellStyle name="40% - Énfasis4 10 7" xfId="10712" xr:uid="{00000000-0005-0000-0000-0000E0290000}"/>
    <cellStyle name="40% - Énfasis4 10 8" xfId="10713" xr:uid="{00000000-0005-0000-0000-0000E1290000}"/>
    <cellStyle name="40% - Énfasis4 10 9" xfId="10714" xr:uid="{00000000-0005-0000-0000-0000E2290000}"/>
    <cellStyle name="40% - Énfasis4 11" xfId="10715" xr:uid="{00000000-0005-0000-0000-0000E3290000}"/>
    <cellStyle name="40% - Énfasis4 11 10" xfId="10716" xr:uid="{00000000-0005-0000-0000-0000E4290000}"/>
    <cellStyle name="40% - Énfasis4 11 11" xfId="10717" xr:uid="{00000000-0005-0000-0000-0000E5290000}"/>
    <cellStyle name="40% - Énfasis4 11 12" xfId="10718" xr:uid="{00000000-0005-0000-0000-0000E6290000}"/>
    <cellStyle name="40% - Énfasis4 11 13" xfId="10719" xr:uid="{00000000-0005-0000-0000-0000E7290000}"/>
    <cellStyle name="40% - Énfasis4 11 14" xfId="10720" xr:uid="{00000000-0005-0000-0000-0000E8290000}"/>
    <cellStyle name="40% - Énfasis4 11 15" xfId="10721" xr:uid="{00000000-0005-0000-0000-0000E9290000}"/>
    <cellStyle name="40% - Énfasis4 11 16" xfId="10722" xr:uid="{00000000-0005-0000-0000-0000EA290000}"/>
    <cellStyle name="40% - Énfasis4 11 17" xfId="10723" xr:uid="{00000000-0005-0000-0000-0000EB290000}"/>
    <cellStyle name="40% - Énfasis4 11 18" xfId="10724" xr:uid="{00000000-0005-0000-0000-0000EC290000}"/>
    <cellStyle name="40% - Énfasis4 11 19" xfId="10725" xr:uid="{00000000-0005-0000-0000-0000ED290000}"/>
    <cellStyle name="40% - Énfasis4 11 2" xfId="10726" xr:uid="{00000000-0005-0000-0000-0000EE290000}"/>
    <cellStyle name="40% - Énfasis4 11 20" xfId="10727" xr:uid="{00000000-0005-0000-0000-0000EF290000}"/>
    <cellStyle name="40% - Énfasis4 11 3" xfId="10728" xr:uid="{00000000-0005-0000-0000-0000F0290000}"/>
    <cellStyle name="40% - Énfasis4 11 4" xfId="10729" xr:uid="{00000000-0005-0000-0000-0000F1290000}"/>
    <cellStyle name="40% - Énfasis4 11 5" xfId="10730" xr:uid="{00000000-0005-0000-0000-0000F2290000}"/>
    <cellStyle name="40% - Énfasis4 11 6" xfId="10731" xr:uid="{00000000-0005-0000-0000-0000F3290000}"/>
    <cellStyle name="40% - Énfasis4 11 7" xfId="10732" xr:uid="{00000000-0005-0000-0000-0000F4290000}"/>
    <cellStyle name="40% - Énfasis4 11 8" xfId="10733" xr:uid="{00000000-0005-0000-0000-0000F5290000}"/>
    <cellStyle name="40% - Énfasis4 11 9" xfId="10734" xr:uid="{00000000-0005-0000-0000-0000F6290000}"/>
    <cellStyle name="40% - Énfasis4 12" xfId="10735" xr:uid="{00000000-0005-0000-0000-0000F7290000}"/>
    <cellStyle name="40% - Énfasis4 12 10" xfId="10736" xr:uid="{00000000-0005-0000-0000-0000F8290000}"/>
    <cellStyle name="40% - Énfasis4 12 11" xfId="10737" xr:uid="{00000000-0005-0000-0000-0000F9290000}"/>
    <cellStyle name="40% - Énfasis4 12 12" xfId="10738" xr:uid="{00000000-0005-0000-0000-0000FA290000}"/>
    <cellStyle name="40% - Énfasis4 12 13" xfId="10739" xr:uid="{00000000-0005-0000-0000-0000FB290000}"/>
    <cellStyle name="40% - Énfasis4 12 14" xfId="10740" xr:uid="{00000000-0005-0000-0000-0000FC290000}"/>
    <cellStyle name="40% - Énfasis4 12 15" xfId="10741" xr:uid="{00000000-0005-0000-0000-0000FD290000}"/>
    <cellStyle name="40% - Énfasis4 12 16" xfId="10742" xr:uid="{00000000-0005-0000-0000-0000FE290000}"/>
    <cellStyle name="40% - Énfasis4 12 17" xfId="10743" xr:uid="{00000000-0005-0000-0000-0000FF290000}"/>
    <cellStyle name="40% - Énfasis4 12 18" xfId="10744" xr:uid="{00000000-0005-0000-0000-0000002A0000}"/>
    <cellStyle name="40% - Énfasis4 12 19" xfId="10745" xr:uid="{00000000-0005-0000-0000-0000012A0000}"/>
    <cellStyle name="40% - Énfasis4 12 2" xfId="10746" xr:uid="{00000000-0005-0000-0000-0000022A0000}"/>
    <cellStyle name="40% - Énfasis4 12 20" xfId="10747" xr:uid="{00000000-0005-0000-0000-0000032A0000}"/>
    <cellStyle name="40% - Énfasis4 12 3" xfId="10748" xr:uid="{00000000-0005-0000-0000-0000042A0000}"/>
    <cellStyle name="40% - Énfasis4 12 4" xfId="10749" xr:uid="{00000000-0005-0000-0000-0000052A0000}"/>
    <cellStyle name="40% - Énfasis4 12 5" xfId="10750" xr:uid="{00000000-0005-0000-0000-0000062A0000}"/>
    <cellStyle name="40% - Énfasis4 12 6" xfId="10751" xr:uid="{00000000-0005-0000-0000-0000072A0000}"/>
    <cellStyle name="40% - Énfasis4 12 7" xfId="10752" xr:uid="{00000000-0005-0000-0000-0000082A0000}"/>
    <cellStyle name="40% - Énfasis4 12 8" xfId="10753" xr:uid="{00000000-0005-0000-0000-0000092A0000}"/>
    <cellStyle name="40% - Énfasis4 12 9" xfId="10754" xr:uid="{00000000-0005-0000-0000-00000A2A0000}"/>
    <cellStyle name="40% - Énfasis4 13" xfId="10755" xr:uid="{00000000-0005-0000-0000-00000B2A0000}"/>
    <cellStyle name="40% - Énfasis4 13 10" xfId="10756" xr:uid="{00000000-0005-0000-0000-00000C2A0000}"/>
    <cellStyle name="40% - Énfasis4 13 11" xfId="10757" xr:uid="{00000000-0005-0000-0000-00000D2A0000}"/>
    <cellStyle name="40% - Énfasis4 13 12" xfId="10758" xr:uid="{00000000-0005-0000-0000-00000E2A0000}"/>
    <cellStyle name="40% - Énfasis4 13 13" xfId="10759" xr:uid="{00000000-0005-0000-0000-00000F2A0000}"/>
    <cellStyle name="40% - Énfasis4 13 14" xfId="10760" xr:uid="{00000000-0005-0000-0000-0000102A0000}"/>
    <cellStyle name="40% - Énfasis4 13 15" xfId="10761" xr:uid="{00000000-0005-0000-0000-0000112A0000}"/>
    <cellStyle name="40% - Énfasis4 13 16" xfId="10762" xr:uid="{00000000-0005-0000-0000-0000122A0000}"/>
    <cellStyle name="40% - Énfasis4 13 17" xfId="10763" xr:uid="{00000000-0005-0000-0000-0000132A0000}"/>
    <cellStyle name="40% - Énfasis4 13 18" xfId="10764" xr:uid="{00000000-0005-0000-0000-0000142A0000}"/>
    <cellStyle name="40% - Énfasis4 13 19" xfId="10765" xr:uid="{00000000-0005-0000-0000-0000152A0000}"/>
    <cellStyle name="40% - Énfasis4 13 2" xfId="10766" xr:uid="{00000000-0005-0000-0000-0000162A0000}"/>
    <cellStyle name="40% - Énfasis4 13 20" xfId="10767" xr:uid="{00000000-0005-0000-0000-0000172A0000}"/>
    <cellStyle name="40% - Énfasis4 13 3" xfId="10768" xr:uid="{00000000-0005-0000-0000-0000182A0000}"/>
    <cellStyle name="40% - Énfasis4 13 4" xfId="10769" xr:uid="{00000000-0005-0000-0000-0000192A0000}"/>
    <cellStyle name="40% - Énfasis4 13 5" xfId="10770" xr:uid="{00000000-0005-0000-0000-00001A2A0000}"/>
    <cellStyle name="40% - Énfasis4 13 6" xfId="10771" xr:uid="{00000000-0005-0000-0000-00001B2A0000}"/>
    <cellStyle name="40% - Énfasis4 13 7" xfId="10772" xr:uid="{00000000-0005-0000-0000-00001C2A0000}"/>
    <cellStyle name="40% - Énfasis4 13 8" xfId="10773" xr:uid="{00000000-0005-0000-0000-00001D2A0000}"/>
    <cellStyle name="40% - Énfasis4 13 9" xfId="10774" xr:uid="{00000000-0005-0000-0000-00001E2A0000}"/>
    <cellStyle name="40% - Énfasis4 14" xfId="10775" xr:uid="{00000000-0005-0000-0000-00001F2A0000}"/>
    <cellStyle name="40% - Énfasis4 14 10" xfId="10776" xr:uid="{00000000-0005-0000-0000-0000202A0000}"/>
    <cellStyle name="40% - Énfasis4 14 11" xfId="10777" xr:uid="{00000000-0005-0000-0000-0000212A0000}"/>
    <cellStyle name="40% - Énfasis4 14 12" xfId="10778" xr:uid="{00000000-0005-0000-0000-0000222A0000}"/>
    <cellStyle name="40% - Énfasis4 14 13" xfId="10779" xr:uid="{00000000-0005-0000-0000-0000232A0000}"/>
    <cellStyle name="40% - Énfasis4 14 14" xfId="10780" xr:uid="{00000000-0005-0000-0000-0000242A0000}"/>
    <cellStyle name="40% - Énfasis4 14 15" xfId="10781" xr:uid="{00000000-0005-0000-0000-0000252A0000}"/>
    <cellStyle name="40% - Énfasis4 14 16" xfId="10782" xr:uid="{00000000-0005-0000-0000-0000262A0000}"/>
    <cellStyle name="40% - Énfasis4 14 17" xfId="10783" xr:uid="{00000000-0005-0000-0000-0000272A0000}"/>
    <cellStyle name="40% - Énfasis4 14 18" xfId="10784" xr:uid="{00000000-0005-0000-0000-0000282A0000}"/>
    <cellStyle name="40% - Énfasis4 14 19" xfId="10785" xr:uid="{00000000-0005-0000-0000-0000292A0000}"/>
    <cellStyle name="40% - Énfasis4 14 2" xfId="10786" xr:uid="{00000000-0005-0000-0000-00002A2A0000}"/>
    <cellStyle name="40% - Énfasis4 14 3" xfId="10787" xr:uid="{00000000-0005-0000-0000-00002B2A0000}"/>
    <cellStyle name="40% - Énfasis4 14 4" xfId="10788" xr:uid="{00000000-0005-0000-0000-00002C2A0000}"/>
    <cellStyle name="40% - Énfasis4 14 5" xfId="10789" xr:uid="{00000000-0005-0000-0000-00002D2A0000}"/>
    <cellStyle name="40% - Énfasis4 14 6" xfId="10790" xr:uid="{00000000-0005-0000-0000-00002E2A0000}"/>
    <cellStyle name="40% - Énfasis4 14 7" xfId="10791" xr:uid="{00000000-0005-0000-0000-00002F2A0000}"/>
    <cellStyle name="40% - Énfasis4 14 8" xfId="10792" xr:uid="{00000000-0005-0000-0000-0000302A0000}"/>
    <cellStyle name="40% - Énfasis4 14 9" xfId="10793" xr:uid="{00000000-0005-0000-0000-0000312A0000}"/>
    <cellStyle name="40% - Énfasis4 15" xfId="10794" xr:uid="{00000000-0005-0000-0000-0000322A0000}"/>
    <cellStyle name="40% - Énfasis4 15 10" xfId="10795" xr:uid="{00000000-0005-0000-0000-0000332A0000}"/>
    <cellStyle name="40% - Énfasis4 15 11" xfId="10796" xr:uid="{00000000-0005-0000-0000-0000342A0000}"/>
    <cellStyle name="40% - Énfasis4 15 12" xfId="10797" xr:uid="{00000000-0005-0000-0000-0000352A0000}"/>
    <cellStyle name="40% - Énfasis4 15 13" xfId="10798" xr:uid="{00000000-0005-0000-0000-0000362A0000}"/>
    <cellStyle name="40% - Énfasis4 15 14" xfId="10799" xr:uid="{00000000-0005-0000-0000-0000372A0000}"/>
    <cellStyle name="40% - Énfasis4 15 15" xfId="10800" xr:uid="{00000000-0005-0000-0000-0000382A0000}"/>
    <cellStyle name="40% - Énfasis4 15 16" xfId="10801" xr:uid="{00000000-0005-0000-0000-0000392A0000}"/>
    <cellStyle name="40% - Énfasis4 15 17" xfId="10802" xr:uid="{00000000-0005-0000-0000-00003A2A0000}"/>
    <cellStyle name="40% - Énfasis4 15 18" xfId="10803" xr:uid="{00000000-0005-0000-0000-00003B2A0000}"/>
    <cellStyle name="40% - Énfasis4 15 19" xfId="10804" xr:uid="{00000000-0005-0000-0000-00003C2A0000}"/>
    <cellStyle name="40% - Énfasis4 15 2" xfId="10805" xr:uid="{00000000-0005-0000-0000-00003D2A0000}"/>
    <cellStyle name="40% - Énfasis4 15 3" xfId="10806" xr:uid="{00000000-0005-0000-0000-00003E2A0000}"/>
    <cellStyle name="40% - Énfasis4 15 4" xfId="10807" xr:uid="{00000000-0005-0000-0000-00003F2A0000}"/>
    <cellStyle name="40% - Énfasis4 15 5" xfId="10808" xr:uid="{00000000-0005-0000-0000-0000402A0000}"/>
    <cellStyle name="40% - Énfasis4 15 6" xfId="10809" xr:uid="{00000000-0005-0000-0000-0000412A0000}"/>
    <cellStyle name="40% - Énfasis4 15 7" xfId="10810" xr:uid="{00000000-0005-0000-0000-0000422A0000}"/>
    <cellStyle name="40% - Énfasis4 15 8" xfId="10811" xr:uid="{00000000-0005-0000-0000-0000432A0000}"/>
    <cellStyle name="40% - Énfasis4 15 9" xfId="10812" xr:uid="{00000000-0005-0000-0000-0000442A0000}"/>
    <cellStyle name="40% - Énfasis4 16" xfId="10813" xr:uid="{00000000-0005-0000-0000-0000452A0000}"/>
    <cellStyle name="40% - Énfasis4 16 10" xfId="10814" xr:uid="{00000000-0005-0000-0000-0000462A0000}"/>
    <cellStyle name="40% - Énfasis4 16 11" xfId="10815" xr:uid="{00000000-0005-0000-0000-0000472A0000}"/>
    <cellStyle name="40% - Énfasis4 16 12" xfId="10816" xr:uid="{00000000-0005-0000-0000-0000482A0000}"/>
    <cellStyle name="40% - Énfasis4 16 13" xfId="10817" xr:uid="{00000000-0005-0000-0000-0000492A0000}"/>
    <cellStyle name="40% - Énfasis4 16 14" xfId="10818" xr:uid="{00000000-0005-0000-0000-00004A2A0000}"/>
    <cellStyle name="40% - Énfasis4 16 15" xfId="10819" xr:uid="{00000000-0005-0000-0000-00004B2A0000}"/>
    <cellStyle name="40% - Énfasis4 16 16" xfId="10820" xr:uid="{00000000-0005-0000-0000-00004C2A0000}"/>
    <cellStyle name="40% - Énfasis4 16 17" xfId="10821" xr:uid="{00000000-0005-0000-0000-00004D2A0000}"/>
    <cellStyle name="40% - Énfasis4 16 18" xfId="10822" xr:uid="{00000000-0005-0000-0000-00004E2A0000}"/>
    <cellStyle name="40% - Énfasis4 16 19" xfId="10823" xr:uid="{00000000-0005-0000-0000-00004F2A0000}"/>
    <cellStyle name="40% - Énfasis4 16 2" xfId="10824" xr:uid="{00000000-0005-0000-0000-0000502A0000}"/>
    <cellStyle name="40% - Énfasis4 16 3" xfId="10825" xr:uid="{00000000-0005-0000-0000-0000512A0000}"/>
    <cellStyle name="40% - Énfasis4 16 4" xfId="10826" xr:uid="{00000000-0005-0000-0000-0000522A0000}"/>
    <cellStyle name="40% - Énfasis4 16 5" xfId="10827" xr:uid="{00000000-0005-0000-0000-0000532A0000}"/>
    <cellStyle name="40% - Énfasis4 16 6" xfId="10828" xr:uid="{00000000-0005-0000-0000-0000542A0000}"/>
    <cellStyle name="40% - Énfasis4 16 7" xfId="10829" xr:uid="{00000000-0005-0000-0000-0000552A0000}"/>
    <cellStyle name="40% - Énfasis4 16 8" xfId="10830" xr:uid="{00000000-0005-0000-0000-0000562A0000}"/>
    <cellStyle name="40% - Énfasis4 16 9" xfId="10831" xr:uid="{00000000-0005-0000-0000-0000572A0000}"/>
    <cellStyle name="40% - Énfasis4 17" xfId="10832" xr:uid="{00000000-0005-0000-0000-0000582A0000}"/>
    <cellStyle name="40% - Énfasis4 17 10" xfId="10833" xr:uid="{00000000-0005-0000-0000-0000592A0000}"/>
    <cellStyle name="40% - Énfasis4 17 11" xfId="10834" xr:uid="{00000000-0005-0000-0000-00005A2A0000}"/>
    <cellStyle name="40% - Énfasis4 17 12" xfId="10835" xr:uid="{00000000-0005-0000-0000-00005B2A0000}"/>
    <cellStyle name="40% - Énfasis4 17 13" xfId="10836" xr:uid="{00000000-0005-0000-0000-00005C2A0000}"/>
    <cellStyle name="40% - Énfasis4 17 14" xfId="10837" xr:uid="{00000000-0005-0000-0000-00005D2A0000}"/>
    <cellStyle name="40% - Énfasis4 17 15" xfId="10838" xr:uid="{00000000-0005-0000-0000-00005E2A0000}"/>
    <cellStyle name="40% - Énfasis4 17 16" xfId="10839" xr:uid="{00000000-0005-0000-0000-00005F2A0000}"/>
    <cellStyle name="40% - Énfasis4 17 17" xfId="10840" xr:uid="{00000000-0005-0000-0000-0000602A0000}"/>
    <cellStyle name="40% - Énfasis4 17 18" xfId="10841" xr:uid="{00000000-0005-0000-0000-0000612A0000}"/>
    <cellStyle name="40% - Énfasis4 17 19" xfId="10842" xr:uid="{00000000-0005-0000-0000-0000622A0000}"/>
    <cellStyle name="40% - Énfasis4 17 2" xfId="10843" xr:uid="{00000000-0005-0000-0000-0000632A0000}"/>
    <cellStyle name="40% - Énfasis4 17 3" xfId="10844" xr:uid="{00000000-0005-0000-0000-0000642A0000}"/>
    <cellStyle name="40% - Énfasis4 17 4" xfId="10845" xr:uid="{00000000-0005-0000-0000-0000652A0000}"/>
    <cellStyle name="40% - Énfasis4 17 5" xfId="10846" xr:uid="{00000000-0005-0000-0000-0000662A0000}"/>
    <cellStyle name="40% - Énfasis4 17 6" xfId="10847" xr:uid="{00000000-0005-0000-0000-0000672A0000}"/>
    <cellStyle name="40% - Énfasis4 17 7" xfId="10848" xr:uid="{00000000-0005-0000-0000-0000682A0000}"/>
    <cellStyle name="40% - Énfasis4 17 8" xfId="10849" xr:uid="{00000000-0005-0000-0000-0000692A0000}"/>
    <cellStyle name="40% - Énfasis4 17 9" xfId="10850" xr:uid="{00000000-0005-0000-0000-00006A2A0000}"/>
    <cellStyle name="40% - Énfasis4 18" xfId="10851" xr:uid="{00000000-0005-0000-0000-00006B2A0000}"/>
    <cellStyle name="40% - Énfasis4 18 10" xfId="10852" xr:uid="{00000000-0005-0000-0000-00006C2A0000}"/>
    <cellStyle name="40% - Énfasis4 18 11" xfId="10853" xr:uid="{00000000-0005-0000-0000-00006D2A0000}"/>
    <cellStyle name="40% - Énfasis4 18 12" xfId="10854" xr:uid="{00000000-0005-0000-0000-00006E2A0000}"/>
    <cellStyle name="40% - Énfasis4 18 13" xfId="10855" xr:uid="{00000000-0005-0000-0000-00006F2A0000}"/>
    <cellStyle name="40% - Énfasis4 18 14" xfId="10856" xr:uid="{00000000-0005-0000-0000-0000702A0000}"/>
    <cellStyle name="40% - Énfasis4 18 15" xfId="10857" xr:uid="{00000000-0005-0000-0000-0000712A0000}"/>
    <cellStyle name="40% - Énfasis4 18 16" xfId="10858" xr:uid="{00000000-0005-0000-0000-0000722A0000}"/>
    <cellStyle name="40% - Énfasis4 18 17" xfId="10859" xr:uid="{00000000-0005-0000-0000-0000732A0000}"/>
    <cellStyle name="40% - Énfasis4 18 18" xfId="10860" xr:uid="{00000000-0005-0000-0000-0000742A0000}"/>
    <cellStyle name="40% - Énfasis4 18 19" xfId="10861" xr:uid="{00000000-0005-0000-0000-0000752A0000}"/>
    <cellStyle name="40% - Énfasis4 18 2" xfId="10862" xr:uid="{00000000-0005-0000-0000-0000762A0000}"/>
    <cellStyle name="40% - Énfasis4 18 3" xfId="10863" xr:uid="{00000000-0005-0000-0000-0000772A0000}"/>
    <cellStyle name="40% - Énfasis4 18 4" xfId="10864" xr:uid="{00000000-0005-0000-0000-0000782A0000}"/>
    <cellStyle name="40% - Énfasis4 18 5" xfId="10865" xr:uid="{00000000-0005-0000-0000-0000792A0000}"/>
    <cellStyle name="40% - Énfasis4 18 6" xfId="10866" xr:uid="{00000000-0005-0000-0000-00007A2A0000}"/>
    <cellStyle name="40% - Énfasis4 18 7" xfId="10867" xr:uid="{00000000-0005-0000-0000-00007B2A0000}"/>
    <cellStyle name="40% - Énfasis4 18 8" xfId="10868" xr:uid="{00000000-0005-0000-0000-00007C2A0000}"/>
    <cellStyle name="40% - Énfasis4 18 9" xfId="10869" xr:uid="{00000000-0005-0000-0000-00007D2A0000}"/>
    <cellStyle name="40% - Énfasis4 19" xfId="10870" xr:uid="{00000000-0005-0000-0000-00007E2A0000}"/>
    <cellStyle name="40% - Énfasis4 19 10" xfId="10871" xr:uid="{00000000-0005-0000-0000-00007F2A0000}"/>
    <cellStyle name="40% - Énfasis4 19 11" xfId="10872" xr:uid="{00000000-0005-0000-0000-0000802A0000}"/>
    <cellStyle name="40% - Énfasis4 19 12" xfId="10873" xr:uid="{00000000-0005-0000-0000-0000812A0000}"/>
    <cellStyle name="40% - Énfasis4 19 13" xfId="10874" xr:uid="{00000000-0005-0000-0000-0000822A0000}"/>
    <cellStyle name="40% - Énfasis4 19 14" xfId="10875" xr:uid="{00000000-0005-0000-0000-0000832A0000}"/>
    <cellStyle name="40% - Énfasis4 19 15" xfId="10876" xr:uid="{00000000-0005-0000-0000-0000842A0000}"/>
    <cellStyle name="40% - Énfasis4 19 16" xfId="10877" xr:uid="{00000000-0005-0000-0000-0000852A0000}"/>
    <cellStyle name="40% - Énfasis4 19 17" xfId="10878" xr:uid="{00000000-0005-0000-0000-0000862A0000}"/>
    <cellStyle name="40% - Énfasis4 19 18" xfId="10879" xr:uid="{00000000-0005-0000-0000-0000872A0000}"/>
    <cellStyle name="40% - Énfasis4 19 19" xfId="10880" xr:uid="{00000000-0005-0000-0000-0000882A0000}"/>
    <cellStyle name="40% - Énfasis4 19 2" xfId="10881" xr:uid="{00000000-0005-0000-0000-0000892A0000}"/>
    <cellStyle name="40% - Énfasis4 19 3" xfId="10882" xr:uid="{00000000-0005-0000-0000-00008A2A0000}"/>
    <cellStyle name="40% - Énfasis4 19 4" xfId="10883" xr:uid="{00000000-0005-0000-0000-00008B2A0000}"/>
    <cellStyle name="40% - Énfasis4 19 5" xfId="10884" xr:uid="{00000000-0005-0000-0000-00008C2A0000}"/>
    <cellStyle name="40% - Énfasis4 19 6" xfId="10885" xr:uid="{00000000-0005-0000-0000-00008D2A0000}"/>
    <cellStyle name="40% - Énfasis4 19 7" xfId="10886" xr:uid="{00000000-0005-0000-0000-00008E2A0000}"/>
    <cellStyle name="40% - Énfasis4 19 8" xfId="10887" xr:uid="{00000000-0005-0000-0000-00008F2A0000}"/>
    <cellStyle name="40% - Énfasis4 19 9" xfId="10888" xr:uid="{00000000-0005-0000-0000-0000902A0000}"/>
    <cellStyle name="40% - Énfasis4 2" xfId="10889" xr:uid="{00000000-0005-0000-0000-0000912A0000}"/>
    <cellStyle name="40% - Énfasis4 2 10" xfId="10890" xr:uid="{00000000-0005-0000-0000-0000922A0000}"/>
    <cellStyle name="40% - Énfasis4 2 11" xfId="10891" xr:uid="{00000000-0005-0000-0000-0000932A0000}"/>
    <cellStyle name="40% - Énfasis4 2 12" xfId="10892" xr:uid="{00000000-0005-0000-0000-0000942A0000}"/>
    <cellStyle name="40% - Énfasis4 2 13" xfId="10893" xr:uid="{00000000-0005-0000-0000-0000952A0000}"/>
    <cellStyle name="40% - Énfasis4 2 14" xfId="10894" xr:uid="{00000000-0005-0000-0000-0000962A0000}"/>
    <cellStyle name="40% - Énfasis4 2 15" xfId="10895" xr:uid="{00000000-0005-0000-0000-0000972A0000}"/>
    <cellStyle name="40% - Énfasis4 2 16" xfId="10896" xr:uid="{00000000-0005-0000-0000-0000982A0000}"/>
    <cellStyle name="40% - Énfasis4 2 17" xfId="10897" xr:uid="{00000000-0005-0000-0000-0000992A0000}"/>
    <cellStyle name="40% - Énfasis4 2 18" xfId="10898" xr:uid="{00000000-0005-0000-0000-00009A2A0000}"/>
    <cellStyle name="40% - Énfasis4 2 19" xfId="10899" xr:uid="{00000000-0005-0000-0000-00009B2A0000}"/>
    <cellStyle name="40% - Énfasis4 2 2" xfId="10900" xr:uid="{00000000-0005-0000-0000-00009C2A0000}"/>
    <cellStyle name="40% - Énfasis4 2 20" xfId="10901" xr:uid="{00000000-0005-0000-0000-00009D2A0000}"/>
    <cellStyle name="40% - Énfasis4 2 3" xfId="10902" xr:uid="{00000000-0005-0000-0000-00009E2A0000}"/>
    <cellStyle name="40% - Énfasis4 2 4" xfId="10903" xr:uid="{00000000-0005-0000-0000-00009F2A0000}"/>
    <cellStyle name="40% - Énfasis4 2 5" xfId="10904" xr:uid="{00000000-0005-0000-0000-0000A02A0000}"/>
    <cellStyle name="40% - Énfasis4 2 6" xfId="10905" xr:uid="{00000000-0005-0000-0000-0000A12A0000}"/>
    <cellStyle name="40% - Énfasis4 2 7" xfId="10906" xr:uid="{00000000-0005-0000-0000-0000A22A0000}"/>
    <cellStyle name="40% - Énfasis4 2 8" xfId="10907" xr:uid="{00000000-0005-0000-0000-0000A32A0000}"/>
    <cellStyle name="40% - Énfasis4 2 9" xfId="10908" xr:uid="{00000000-0005-0000-0000-0000A42A0000}"/>
    <cellStyle name="40% - Énfasis4 20" xfId="10909" xr:uid="{00000000-0005-0000-0000-0000A52A0000}"/>
    <cellStyle name="40% - Énfasis4 20 10" xfId="10910" xr:uid="{00000000-0005-0000-0000-0000A62A0000}"/>
    <cellStyle name="40% - Énfasis4 20 11" xfId="10911" xr:uid="{00000000-0005-0000-0000-0000A72A0000}"/>
    <cellStyle name="40% - Énfasis4 20 12" xfId="10912" xr:uid="{00000000-0005-0000-0000-0000A82A0000}"/>
    <cellStyle name="40% - Énfasis4 20 13" xfId="10913" xr:uid="{00000000-0005-0000-0000-0000A92A0000}"/>
    <cellStyle name="40% - Énfasis4 20 14" xfId="10914" xr:uid="{00000000-0005-0000-0000-0000AA2A0000}"/>
    <cellStyle name="40% - Énfasis4 20 15" xfId="10915" xr:uid="{00000000-0005-0000-0000-0000AB2A0000}"/>
    <cellStyle name="40% - Énfasis4 20 16" xfId="10916" xr:uid="{00000000-0005-0000-0000-0000AC2A0000}"/>
    <cellStyle name="40% - Énfasis4 20 17" xfId="10917" xr:uid="{00000000-0005-0000-0000-0000AD2A0000}"/>
    <cellStyle name="40% - Énfasis4 20 18" xfId="10918" xr:uid="{00000000-0005-0000-0000-0000AE2A0000}"/>
    <cellStyle name="40% - Énfasis4 20 19" xfId="10919" xr:uid="{00000000-0005-0000-0000-0000AF2A0000}"/>
    <cellStyle name="40% - Énfasis4 20 2" xfId="10920" xr:uid="{00000000-0005-0000-0000-0000B02A0000}"/>
    <cellStyle name="40% - Énfasis4 20 3" xfId="10921" xr:uid="{00000000-0005-0000-0000-0000B12A0000}"/>
    <cellStyle name="40% - Énfasis4 20 4" xfId="10922" xr:uid="{00000000-0005-0000-0000-0000B22A0000}"/>
    <cellStyle name="40% - Énfasis4 20 5" xfId="10923" xr:uid="{00000000-0005-0000-0000-0000B32A0000}"/>
    <cellStyle name="40% - Énfasis4 20 6" xfId="10924" xr:uid="{00000000-0005-0000-0000-0000B42A0000}"/>
    <cellStyle name="40% - Énfasis4 20 7" xfId="10925" xr:uid="{00000000-0005-0000-0000-0000B52A0000}"/>
    <cellStyle name="40% - Énfasis4 20 8" xfId="10926" xr:uid="{00000000-0005-0000-0000-0000B62A0000}"/>
    <cellStyle name="40% - Énfasis4 20 9" xfId="10927" xr:uid="{00000000-0005-0000-0000-0000B72A0000}"/>
    <cellStyle name="40% - Énfasis4 21" xfId="10928" xr:uid="{00000000-0005-0000-0000-0000B82A0000}"/>
    <cellStyle name="40% - Énfasis4 21 10" xfId="10929" xr:uid="{00000000-0005-0000-0000-0000B92A0000}"/>
    <cellStyle name="40% - Énfasis4 21 11" xfId="10930" xr:uid="{00000000-0005-0000-0000-0000BA2A0000}"/>
    <cellStyle name="40% - Énfasis4 21 12" xfId="10931" xr:uid="{00000000-0005-0000-0000-0000BB2A0000}"/>
    <cellStyle name="40% - Énfasis4 21 13" xfId="10932" xr:uid="{00000000-0005-0000-0000-0000BC2A0000}"/>
    <cellStyle name="40% - Énfasis4 21 14" xfId="10933" xr:uid="{00000000-0005-0000-0000-0000BD2A0000}"/>
    <cellStyle name="40% - Énfasis4 21 15" xfId="10934" xr:uid="{00000000-0005-0000-0000-0000BE2A0000}"/>
    <cellStyle name="40% - Énfasis4 21 16" xfId="10935" xr:uid="{00000000-0005-0000-0000-0000BF2A0000}"/>
    <cellStyle name="40% - Énfasis4 21 17" xfId="10936" xr:uid="{00000000-0005-0000-0000-0000C02A0000}"/>
    <cellStyle name="40% - Énfasis4 21 18" xfId="10937" xr:uid="{00000000-0005-0000-0000-0000C12A0000}"/>
    <cellStyle name="40% - Énfasis4 21 19" xfId="10938" xr:uid="{00000000-0005-0000-0000-0000C22A0000}"/>
    <cellStyle name="40% - Énfasis4 21 2" xfId="10939" xr:uid="{00000000-0005-0000-0000-0000C32A0000}"/>
    <cellStyle name="40% - Énfasis4 21 3" xfId="10940" xr:uid="{00000000-0005-0000-0000-0000C42A0000}"/>
    <cellStyle name="40% - Énfasis4 21 4" xfId="10941" xr:uid="{00000000-0005-0000-0000-0000C52A0000}"/>
    <cellStyle name="40% - Énfasis4 21 5" xfId="10942" xr:uid="{00000000-0005-0000-0000-0000C62A0000}"/>
    <cellStyle name="40% - Énfasis4 21 6" xfId="10943" xr:uid="{00000000-0005-0000-0000-0000C72A0000}"/>
    <cellStyle name="40% - Énfasis4 21 7" xfId="10944" xr:uid="{00000000-0005-0000-0000-0000C82A0000}"/>
    <cellStyle name="40% - Énfasis4 21 8" xfId="10945" xr:uid="{00000000-0005-0000-0000-0000C92A0000}"/>
    <cellStyle name="40% - Énfasis4 21 9" xfId="10946" xr:uid="{00000000-0005-0000-0000-0000CA2A0000}"/>
    <cellStyle name="40% - Énfasis4 22" xfId="10947" xr:uid="{00000000-0005-0000-0000-0000CB2A0000}"/>
    <cellStyle name="40% - Énfasis4 22 10" xfId="10948" xr:uid="{00000000-0005-0000-0000-0000CC2A0000}"/>
    <cellStyle name="40% - Énfasis4 22 11" xfId="10949" xr:uid="{00000000-0005-0000-0000-0000CD2A0000}"/>
    <cellStyle name="40% - Énfasis4 22 12" xfId="10950" xr:uid="{00000000-0005-0000-0000-0000CE2A0000}"/>
    <cellStyle name="40% - Énfasis4 22 13" xfId="10951" xr:uid="{00000000-0005-0000-0000-0000CF2A0000}"/>
    <cellStyle name="40% - Énfasis4 22 14" xfId="10952" xr:uid="{00000000-0005-0000-0000-0000D02A0000}"/>
    <cellStyle name="40% - Énfasis4 22 15" xfId="10953" xr:uid="{00000000-0005-0000-0000-0000D12A0000}"/>
    <cellStyle name="40% - Énfasis4 22 16" xfId="10954" xr:uid="{00000000-0005-0000-0000-0000D22A0000}"/>
    <cellStyle name="40% - Énfasis4 22 17" xfId="10955" xr:uid="{00000000-0005-0000-0000-0000D32A0000}"/>
    <cellStyle name="40% - Énfasis4 22 18" xfId="10956" xr:uid="{00000000-0005-0000-0000-0000D42A0000}"/>
    <cellStyle name="40% - Énfasis4 22 19" xfId="10957" xr:uid="{00000000-0005-0000-0000-0000D52A0000}"/>
    <cellStyle name="40% - Énfasis4 22 2" xfId="10958" xr:uid="{00000000-0005-0000-0000-0000D62A0000}"/>
    <cellStyle name="40% - Énfasis4 22 3" xfId="10959" xr:uid="{00000000-0005-0000-0000-0000D72A0000}"/>
    <cellStyle name="40% - Énfasis4 22 4" xfId="10960" xr:uid="{00000000-0005-0000-0000-0000D82A0000}"/>
    <cellStyle name="40% - Énfasis4 22 5" xfId="10961" xr:uid="{00000000-0005-0000-0000-0000D92A0000}"/>
    <cellStyle name="40% - Énfasis4 22 6" xfId="10962" xr:uid="{00000000-0005-0000-0000-0000DA2A0000}"/>
    <cellStyle name="40% - Énfasis4 22 7" xfId="10963" xr:uid="{00000000-0005-0000-0000-0000DB2A0000}"/>
    <cellStyle name="40% - Énfasis4 22 8" xfId="10964" xr:uid="{00000000-0005-0000-0000-0000DC2A0000}"/>
    <cellStyle name="40% - Énfasis4 22 9" xfId="10965" xr:uid="{00000000-0005-0000-0000-0000DD2A0000}"/>
    <cellStyle name="40% - Énfasis4 23" xfId="10966" xr:uid="{00000000-0005-0000-0000-0000DE2A0000}"/>
    <cellStyle name="40% - Énfasis4 23 10" xfId="10967" xr:uid="{00000000-0005-0000-0000-0000DF2A0000}"/>
    <cellStyle name="40% - Énfasis4 23 11" xfId="10968" xr:uid="{00000000-0005-0000-0000-0000E02A0000}"/>
    <cellStyle name="40% - Énfasis4 23 12" xfId="10969" xr:uid="{00000000-0005-0000-0000-0000E12A0000}"/>
    <cellStyle name="40% - Énfasis4 23 13" xfId="10970" xr:uid="{00000000-0005-0000-0000-0000E22A0000}"/>
    <cellStyle name="40% - Énfasis4 23 14" xfId="10971" xr:uid="{00000000-0005-0000-0000-0000E32A0000}"/>
    <cellStyle name="40% - Énfasis4 23 15" xfId="10972" xr:uid="{00000000-0005-0000-0000-0000E42A0000}"/>
    <cellStyle name="40% - Énfasis4 23 16" xfId="10973" xr:uid="{00000000-0005-0000-0000-0000E52A0000}"/>
    <cellStyle name="40% - Énfasis4 23 17" xfId="10974" xr:uid="{00000000-0005-0000-0000-0000E62A0000}"/>
    <cellStyle name="40% - Énfasis4 23 18" xfId="10975" xr:uid="{00000000-0005-0000-0000-0000E72A0000}"/>
    <cellStyle name="40% - Énfasis4 23 19" xfId="10976" xr:uid="{00000000-0005-0000-0000-0000E82A0000}"/>
    <cellStyle name="40% - Énfasis4 23 2" xfId="10977" xr:uid="{00000000-0005-0000-0000-0000E92A0000}"/>
    <cellStyle name="40% - Énfasis4 23 3" xfId="10978" xr:uid="{00000000-0005-0000-0000-0000EA2A0000}"/>
    <cellStyle name="40% - Énfasis4 23 4" xfId="10979" xr:uid="{00000000-0005-0000-0000-0000EB2A0000}"/>
    <cellStyle name="40% - Énfasis4 23 5" xfId="10980" xr:uid="{00000000-0005-0000-0000-0000EC2A0000}"/>
    <cellStyle name="40% - Énfasis4 23 6" xfId="10981" xr:uid="{00000000-0005-0000-0000-0000ED2A0000}"/>
    <cellStyle name="40% - Énfasis4 23 7" xfId="10982" xr:uid="{00000000-0005-0000-0000-0000EE2A0000}"/>
    <cellStyle name="40% - Énfasis4 23 8" xfId="10983" xr:uid="{00000000-0005-0000-0000-0000EF2A0000}"/>
    <cellStyle name="40% - Énfasis4 23 9" xfId="10984" xr:uid="{00000000-0005-0000-0000-0000F02A0000}"/>
    <cellStyle name="40% - Énfasis4 24" xfId="10985" xr:uid="{00000000-0005-0000-0000-0000F12A0000}"/>
    <cellStyle name="40% - Énfasis4 24 10" xfId="10986" xr:uid="{00000000-0005-0000-0000-0000F22A0000}"/>
    <cellStyle name="40% - Énfasis4 24 11" xfId="10987" xr:uid="{00000000-0005-0000-0000-0000F32A0000}"/>
    <cellStyle name="40% - Énfasis4 24 12" xfId="10988" xr:uid="{00000000-0005-0000-0000-0000F42A0000}"/>
    <cellStyle name="40% - Énfasis4 24 13" xfId="10989" xr:uid="{00000000-0005-0000-0000-0000F52A0000}"/>
    <cellStyle name="40% - Énfasis4 24 14" xfId="10990" xr:uid="{00000000-0005-0000-0000-0000F62A0000}"/>
    <cellStyle name="40% - Énfasis4 24 15" xfId="10991" xr:uid="{00000000-0005-0000-0000-0000F72A0000}"/>
    <cellStyle name="40% - Énfasis4 24 16" xfId="10992" xr:uid="{00000000-0005-0000-0000-0000F82A0000}"/>
    <cellStyle name="40% - Énfasis4 24 17" xfId="10993" xr:uid="{00000000-0005-0000-0000-0000F92A0000}"/>
    <cellStyle name="40% - Énfasis4 24 18" xfId="10994" xr:uid="{00000000-0005-0000-0000-0000FA2A0000}"/>
    <cellStyle name="40% - Énfasis4 24 19" xfId="10995" xr:uid="{00000000-0005-0000-0000-0000FB2A0000}"/>
    <cellStyle name="40% - Énfasis4 24 2" xfId="10996" xr:uid="{00000000-0005-0000-0000-0000FC2A0000}"/>
    <cellStyle name="40% - Énfasis4 24 3" xfId="10997" xr:uid="{00000000-0005-0000-0000-0000FD2A0000}"/>
    <cellStyle name="40% - Énfasis4 24 4" xfId="10998" xr:uid="{00000000-0005-0000-0000-0000FE2A0000}"/>
    <cellStyle name="40% - Énfasis4 24 5" xfId="10999" xr:uid="{00000000-0005-0000-0000-0000FF2A0000}"/>
    <cellStyle name="40% - Énfasis4 24 6" xfId="11000" xr:uid="{00000000-0005-0000-0000-0000002B0000}"/>
    <cellStyle name="40% - Énfasis4 24 7" xfId="11001" xr:uid="{00000000-0005-0000-0000-0000012B0000}"/>
    <cellStyle name="40% - Énfasis4 24 8" xfId="11002" xr:uid="{00000000-0005-0000-0000-0000022B0000}"/>
    <cellStyle name="40% - Énfasis4 24 9" xfId="11003" xr:uid="{00000000-0005-0000-0000-0000032B0000}"/>
    <cellStyle name="40% - Énfasis4 25" xfId="11004" xr:uid="{00000000-0005-0000-0000-0000042B0000}"/>
    <cellStyle name="40% - Énfasis4 25 10" xfId="11005" xr:uid="{00000000-0005-0000-0000-0000052B0000}"/>
    <cellStyle name="40% - Énfasis4 25 11" xfId="11006" xr:uid="{00000000-0005-0000-0000-0000062B0000}"/>
    <cellStyle name="40% - Énfasis4 25 12" xfId="11007" xr:uid="{00000000-0005-0000-0000-0000072B0000}"/>
    <cellStyle name="40% - Énfasis4 25 13" xfId="11008" xr:uid="{00000000-0005-0000-0000-0000082B0000}"/>
    <cellStyle name="40% - Énfasis4 25 14" xfId="11009" xr:uid="{00000000-0005-0000-0000-0000092B0000}"/>
    <cellStyle name="40% - Énfasis4 25 15" xfId="11010" xr:uid="{00000000-0005-0000-0000-00000A2B0000}"/>
    <cellStyle name="40% - Énfasis4 25 16" xfId="11011" xr:uid="{00000000-0005-0000-0000-00000B2B0000}"/>
    <cellStyle name="40% - Énfasis4 25 17" xfId="11012" xr:uid="{00000000-0005-0000-0000-00000C2B0000}"/>
    <cellStyle name="40% - Énfasis4 25 18" xfId="11013" xr:uid="{00000000-0005-0000-0000-00000D2B0000}"/>
    <cellStyle name="40% - Énfasis4 25 19" xfId="11014" xr:uid="{00000000-0005-0000-0000-00000E2B0000}"/>
    <cellStyle name="40% - Énfasis4 25 2" xfId="11015" xr:uid="{00000000-0005-0000-0000-00000F2B0000}"/>
    <cellStyle name="40% - Énfasis4 25 3" xfId="11016" xr:uid="{00000000-0005-0000-0000-0000102B0000}"/>
    <cellStyle name="40% - Énfasis4 25 4" xfId="11017" xr:uid="{00000000-0005-0000-0000-0000112B0000}"/>
    <cellStyle name="40% - Énfasis4 25 5" xfId="11018" xr:uid="{00000000-0005-0000-0000-0000122B0000}"/>
    <cellStyle name="40% - Énfasis4 25 6" xfId="11019" xr:uid="{00000000-0005-0000-0000-0000132B0000}"/>
    <cellStyle name="40% - Énfasis4 25 7" xfId="11020" xr:uid="{00000000-0005-0000-0000-0000142B0000}"/>
    <cellStyle name="40% - Énfasis4 25 8" xfId="11021" xr:uid="{00000000-0005-0000-0000-0000152B0000}"/>
    <cellStyle name="40% - Énfasis4 25 9" xfId="11022" xr:uid="{00000000-0005-0000-0000-0000162B0000}"/>
    <cellStyle name="40% - Énfasis4 26" xfId="11023" xr:uid="{00000000-0005-0000-0000-0000172B0000}"/>
    <cellStyle name="40% - Énfasis4 26 10" xfId="11024" xr:uid="{00000000-0005-0000-0000-0000182B0000}"/>
    <cellStyle name="40% - Énfasis4 26 11" xfId="11025" xr:uid="{00000000-0005-0000-0000-0000192B0000}"/>
    <cellStyle name="40% - Énfasis4 26 12" xfId="11026" xr:uid="{00000000-0005-0000-0000-00001A2B0000}"/>
    <cellStyle name="40% - Énfasis4 26 13" xfId="11027" xr:uid="{00000000-0005-0000-0000-00001B2B0000}"/>
    <cellStyle name="40% - Énfasis4 26 14" xfId="11028" xr:uid="{00000000-0005-0000-0000-00001C2B0000}"/>
    <cellStyle name="40% - Énfasis4 26 15" xfId="11029" xr:uid="{00000000-0005-0000-0000-00001D2B0000}"/>
    <cellStyle name="40% - Énfasis4 26 16" xfId="11030" xr:uid="{00000000-0005-0000-0000-00001E2B0000}"/>
    <cellStyle name="40% - Énfasis4 26 17" xfId="11031" xr:uid="{00000000-0005-0000-0000-00001F2B0000}"/>
    <cellStyle name="40% - Énfasis4 26 18" xfId="11032" xr:uid="{00000000-0005-0000-0000-0000202B0000}"/>
    <cellStyle name="40% - Énfasis4 26 19" xfId="11033" xr:uid="{00000000-0005-0000-0000-0000212B0000}"/>
    <cellStyle name="40% - Énfasis4 26 2" xfId="11034" xr:uid="{00000000-0005-0000-0000-0000222B0000}"/>
    <cellStyle name="40% - Énfasis4 26 3" xfId="11035" xr:uid="{00000000-0005-0000-0000-0000232B0000}"/>
    <cellStyle name="40% - Énfasis4 26 4" xfId="11036" xr:uid="{00000000-0005-0000-0000-0000242B0000}"/>
    <cellStyle name="40% - Énfasis4 26 5" xfId="11037" xr:uid="{00000000-0005-0000-0000-0000252B0000}"/>
    <cellStyle name="40% - Énfasis4 26 6" xfId="11038" xr:uid="{00000000-0005-0000-0000-0000262B0000}"/>
    <cellStyle name="40% - Énfasis4 26 7" xfId="11039" xr:uid="{00000000-0005-0000-0000-0000272B0000}"/>
    <cellStyle name="40% - Énfasis4 26 8" xfId="11040" xr:uid="{00000000-0005-0000-0000-0000282B0000}"/>
    <cellStyle name="40% - Énfasis4 26 9" xfId="11041" xr:uid="{00000000-0005-0000-0000-0000292B0000}"/>
    <cellStyle name="40% - Énfasis4 27" xfId="11042" xr:uid="{00000000-0005-0000-0000-00002A2B0000}"/>
    <cellStyle name="40% - Énfasis4 27 10" xfId="11043" xr:uid="{00000000-0005-0000-0000-00002B2B0000}"/>
    <cellStyle name="40% - Énfasis4 27 11" xfId="11044" xr:uid="{00000000-0005-0000-0000-00002C2B0000}"/>
    <cellStyle name="40% - Énfasis4 27 12" xfId="11045" xr:uid="{00000000-0005-0000-0000-00002D2B0000}"/>
    <cellStyle name="40% - Énfasis4 27 13" xfId="11046" xr:uid="{00000000-0005-0000-0000-00002E2B0000}"/>
    <cellStyle name="40% - Énfasis4 27 14" xfId="11047" xr:uid="{00000000-0005-0000-0000-00002F2B0000}"/>
    <cellStyle name="40% - Énfasis4 27 15" xfId="11048" xr:uid="{00000000-0005-0000-0000-0000302B0000}"/>
    <cellStyle name="40% - Énfasis4 27 16" xfId="11049" xr:uid="{00000000-0005-0000-0000-0000312B0000}"/>
    <cellStyle name="40% - Énfasis4 27 17" xfId="11050" xr:uid="{00000000-0005-0000-0000-0000322B0000}"/>
    <cellStyle name="40% - Énfasis4 27 18" xfId="11051" xr:uid="{00000000-0005-0000-0000-0000332B0000}"/>
    <cellStyle name="40% - Énfasis4 27 19" xfId="11052" xr:uid="{00000000-0005-0000-0000-0000342B0000}"/>
    <cellStyle name="40% - Énfasis4 27 2" xfId="11053" xr:uid="{00000000-0005-0000-0000-0000352B0000}"/>
    <cellStyle name="40% - Énfasis4 27 3" xfId="11054" xr:uid="{00000000-0005-0000-0000-0000362B0000}"/>
    <cellStyle name="40% - Énfasis4 27 4" xfId="11055" xr:uid="{00000000-0005-0000-0000-0000372B0000}"/>
    <cellStyle name="40% - Énfasis4 27 5" xfId="11056" xr:uid="{00000000-0005-0000-0000-0000382B0000}"/>
    <cellStyle name="40% - Énfasis4 27 6" xfId="11057" xr:uid="{00000000-0005-0000-0000-0000392B0000}"/>
    <cellStyle name="40% - Énfasis4 27 7" xfId="11058" xr:uid="{00000000-0005-0000-0000-00003A2B0000}"/>
    <cellStyle name="40% - Énfasis4 27 8" xfId="11059" xr:uid="{00000000-0005-0000-0000-00003B2B0000}"/>
    <cellStyle name="40% - Énfasis4 27 9" xfId="11060" xr:uid="{00000000-0005-0000-0000-00003C2B0000}"/>
    <cellStyle name="40% - Énfasis4 28" xfId="11061" xr:uid="{00000000-0005-0000-0000-00003D2B0000}"/>
    <cellStyle name="40% - Énfasis4 28 10" xfId="11062" xr:uid="{00000000-0005-0000-0000-00003E2B0000}"/>
    <cellStyle name="40% - Énfasis4 28 11" xfId="11063" xr:uid="{00000000-0005-0000-0000-00003F2B0000}"/>
    <cellStyle name="40% - Énfasis4 28 12" xfId="11064" xr:uid="{00000000-0005-0000-0000-0000402B0000}"/>
    <cellStyle name="40% - Énfasis4 28 13" xfId="11065" xr:uid="{00000000-0005-0000-0000-0000412B0000}"/>
    <cellStyle name="40% - Énfasis4 28 14" xfId="11066" xr:uid="{00000000-0005-0000-0000-0000422B0000}"/>
    <cellStyle name="40% - Énfasis4 28 15" xfId="11067" xr:uid="{00000000-0005-0000-0000-0000432B0000}"/>
    <cellStyle name="40% - Énfasis4 28 16" xfId="11068" xr:uid="{00000000-0005-0000-0000-0000442B0000}"/>
    <cellStyle name="40% - Énfasis4 28 17" xfId="11069" xr:uid="{00000000-0005-0000-0000-0000452B0000}"/>
    <cellStyle name="40% - Énfasis4 28 18" xfId="11070" xr:uid="{00000000-0005-0000-0000-0000462B0000}"/>
    <cellStyle name="40% - Énfasis4 28 19" xfId="11071" xr:uid="{00000000-0005-0000-0000-0000472B0000}"/>
    <cellStyle name="40% - Énfasis4 28 2" xfId="11072" xr:uid="{00000000-0005-0000-0000-0000482B0000}"/>
    <cellStyle name="40% - Énfasis4 28 3" xfId="11073" xr:uid="{00000000-0005-0000-0000-0000492B0000}"/>
    <cellStyle name="40% - Énfasis4 28 4" xfId="11074" xr:uid="{00000000-0005-0000-0000-00004A2B0000}"/>
    <cellStyle name="40% - Énfasis4 28 5" xfId="11075" xr:uid="{00000000-0005-0000-0000-00004B2B0000}"/>
    <cellStyle name="40% - Énfasis4 28 6" xfId="11076" xr:uid="{00000000-0005-0000-0000-00004C2B0000}"/>
    <cellStyle name="40% - Énfasis4 28 7" xfId="11077" xr:uid="{00000000-0005-0000-0000-00004D2B0000}"/>
    <cellStyle name="40% - Énfasis4 28 8" xfId="11078" xr:uid="{00000000-0005-0000-0000-00004E2B0000}"/>
    <cellStyle name="40% - Énfasis4 28 9" xfId="11079" xr:uid="{00000000-0005-0000-0000-00004F2B0000}"/>
    <cellStyle name="40% - Énfasis4 29" xfId="11080" xr:uid="{00000000-0005-0000-0000-0000502B0000}"/>
    <cellStyle name="40% - Énfasis4 29 10" xfId="11081" xr:uid="{00000000-0005-0000-0000-0000512B0000}"/>
    <cellStyle name="40% - Énfasis4 29 11" xfId="11082" xr:uid="{00000000-0005-0000-0000-0000522B0000}"/>
    <cellStyle name="40% - Énfasis4 29 12" xfId="11083" xr:uid="{00000000-0005-0000-0000-0000532B0000}"/>
    <cellStyle name="40% - Énfasis4 29 13" xfId="11084" xr:uid="{00000000-0005-0000-0000-0000542B0000}"/>
    <cellStyle name="40% - Énfasis4 29 14" xfId="11085" xr:uid="{00000000-0005-0000-0000-0000552B0000}"/>
    <cellStyle name="40% - Énfasis4 29 15" xfId="11086" xr:uid="{00000000-0005-0000-0000-0000562B0000}"/>
    <cellStyle name="40% - Énfasis4 29 16" xfId="11087" xr:uid="{00000000-0005-0000-0000-0000572B0000}"/>
    <cellStyle name="40% - Énfasis4 29 17" xfId="11088" xr:uid="{00000000-0005-0000-0000-0000582B0000}"/>
    <cellStyle name="40% - Énfasis4 29 18" xfId="11089" xr:uid="{00000000-0005-0000-0000-0000592B0000}"/>
    <cellStyle name="40% - Énfasis4 29 19" xfId="11090" xr:uid="{00000000-0005-0000-0000-00005A2B0000}"/>
    <cellStyle name="40% - Énfasis4 29 2" xfId="11091" xr:uid="{00000000-0005-0000-0000-00005B2B0000}"/>
    <cellStyle name="40% - Énfasis4 29 3" xfId="11092" xr:uid="{00000000-0005-0000-0000-00005C2B0000}"/>
    <cellStyle name="40% - Énfasis4 29 4" xfId="11093" xr:uid="{00000000-0005-0000-0000-00005D2B0000}"/>
    <cellStyle name="40% - Énfasis4 29 5" xfId="11094" xr:uid="{00000000-0005-0000-0000-00005E2B0000}"/>
    <cellStyle name="40% - Énfasis4 29 6" xfId="11095" xr:uid="{00000000-0005-0000-0000-00005F2B0000}"/>
    <cellStyle name="40% - Énfasis4 29 7" xfId="11096" xr:uid="{00000000-0005-0000-0000-0000602B0000}"/>
    <cellStyle name="40% - Énfasis4 29 8" xfId="11097" xr:uid="{00000000-0005-0000-0000-0000612B0000}"/>
    <cellStyle name="40% - Énfasis4 29 9" xfId="11098" xr:uid="{00000000-0005-0000-0000-0000622B0000}"/>
    <cellStyle name="40% - Énfasis4 3" xfId="11099" xr:uid="{00000000-0005-0000-0000-0000632B0000}"/>
    <cellStyle name="40% - Énfasis4 3 10" xfId="11100" xr:uid="{00000000-0005-0000-0000-0000642B0000}"/>
    <cellStyle name="40% - Énfasis4 3 11" xfId="11101" xr:uid="{00000000-0005-0000-0000-0000652B0000}"/>
    <cellStyle name="40% - Énfasis4 3 12" xfId="11102" xr:uid="{00000000-0005-0000-0000-0000662B0000}"/>
    <cellStyle name="40% - Énfasis4 3 13" xfId="11103" xr:uid="{00000000-0005-0000-0000-0000672B0000}"/>
    <cellStyle name="40% - Énfasis4 3 14" xfId="11104" xr:uid="{00000000-0005-0000-0000-0000682B0000}"/>
    <cellStyle name="40% - Énfasis4 3 15" xfId="11105" xr:uid="{00000000-0005-0000-0000-0000692B0000}"/>
    <cellStyle name="40% - Énfasis4 3 16" xfId="11106" xr:uid="{00000000-0005-0000-0000-00006A2B0000}"/>
    <cellStyle name="40% - Énfasis4 3 17" xfId="11107" xr:uid="{00000000-0005-0000-0000-00006B2B0000}"/>
    <cellStyle name="40% - Énfasis4 3 18" xfId="11108" xr:uid="{00000000-0005-0000-0000-00006C2B0000}"/>
    <cellStyle name="40% - Énfasis4 3 19" xfId="11109" xr:uid="{00000000-0005-0000-0000-00006D2B0000}"/>
    <cellStyle name="40% - Énfasis4 3 2" xfId="11110" xr:uid="{00000000-0005-0000-0000-00006E2B0000}"/>
    <cellStyle name="40% - Énfasis4 3 20" xfId="11111" xr:uid="{00000000-0005-0000-0000-00006F2B0000}"/>
    <cellStyle name="40% - Énfasis4 3 3" xfId="11112" xr:uid="{00000000-0005-0000-0000-0000702B0000}"/>
    <cellStyle name="40% - Énfasis4 3 4" xfId="11113" xr:uid="{00000000-0005-0000-0000-0000712B0000}"/>
    <cellStyle name="40% - Énfasis4 3 5" xfId="11114" xr:uid="{00000000-0005-0000-0000-0000722B0000}"/>
    <cellStyle name="40% - Énfasis4 3 6" xfId="11115" xr:uid="{00000000-0005-0000-0000-0000732B0000}"/>
    <cellStyle name="40% - Énfasis4 3 7" xfId="11116" xr:uid="{00000000-0005-0000-0000-0000742B0000}"/>
    <cellStyle name="40% - Énfasis4 3 8" xfId="11117" xr:uid="{00000000-0005-0000-0000-0000752B0000}"/>
    <cellStyle name="40% - Énfasis4 3 9" xfId="11118" xr:uid="{00000000-0005-0000-0000-0000762B0000}"/>
    <cellStyle name="40% - Énfasis4 30" xfId="11119" xr:uid="{00000000-0005-0000-0000-0000772B0000}"/>
    <cellStyle name="40% - Énfasis4 30 10" xfId="11120" xr:uid="{00000000-0005-0000-0000-0000782B0000}"/>
    <cellStyle name="40% - Énfasis4 30 11" xfId="11121" xr:uid="{00000000-0005-0000-0000-0000792B0000}"/>
    <cellStyle name="40% - Énfasis4 30 12" xfId="11122" xr:uid="{00000000-0005-0000-0000-00007A2B0000}"/>
    <cellStyle name="40% - Énfasis4 30 13" xfId="11123" xr:uid="{00000000-0005-0000-0000-00007B2B0000}"/>
    <cellStyle name="40% - Énfasis4 30 14" xfId="11124" xr:uid="{00000000-0005-0000-0000-00007C2B0000}"/>
    <cellStyle name="40% - Énfasis4 30 15" xfId="11125" xr:uid="{00000000-0005-0000-0000-00007D2B0000}"/>
    <cellStyle name="40% - Énfasis4 30 16" xfId="11126" xr:uid="{00000000-0005-0000-0000-00007E2B0000}"/>
    <cellStyle name="40% - Énfasis4 30 17" xfId="11127" xr:uid="{00000000-0005-0000-0000-00007F2B0000}"/>
    <cellStyle name="40% - Énfasis4 30 18" xfId="11128" xr:uid="{00000000-0005-0000-0000-0000802B0000}"/>
    <cellStyle name="40% - Énfasis4 30 19" xfId="11129" xr:uid="{00000000-0005-0000-0000-0000812B0000}"/>
    <cellStyle name="40% - Énfasis4 30 2" xfId="11130" xr:uid="{00000000-0005-0000-0000-0000822B0000}"/>
    <cellStyle name="40% - Énfasis4 30 3" xfId="11131" xr:uid="{00000000-0005-0000-0000-0000832B0000}"/>
    <cellStyle name="40% - Énfasis4 30 4" xfId="11132" xr:uid="{00000000-0005-0000-0000-0000842B0000}"/>
    <cellStyle name="40% - Énfasis4 30 5" xfId="11133" xr:uid="{00000000-0005-0000-0000-0000852B0000}"/>
    <cellStyle name="40% - Énfasis4 30 6" xfId="11134" xr:uid="{00000000-0005-0000-0000-0000862B0000}"/>
    <cellStyle name="40% - Énfasis4 30 7" xfId="11135" xr:uid="{00000000-0005-0000-0000-0000872B0000}"/>
    <cellStyle name="40% - Énfasis4 30 8" xfId="11136" xr:uid="{00000000-0005-0000-0000-0000882B0000}"/>
    <cellStyle name="40% - Énfasis4 30 9" xfId="11137" xr:uid="{00000000-0005-0000-0000-0000892B0000}"/>
    <cellStyle name="40% - Énfasis4 31" xfId="11138" xr:uid="{00000000-0005-0000-0000-00008A2B0000}"/>
    <cellStyle name="40% - Énfasis4 31 10" xfId="11139" xr:uid="{00000000-0005-0000-0000-00008B2B0000}"/>
    <cellStyle name="40% - Énfasis4 31 11" xfId="11140" xr:uid="{00000000-0005-0000-0000-00008C2B0000}"/>
    <cellStyle name="40% - Énfasis4 31 12" xfId="11141" xr:uid="{00000000-0005-0000-0000-00008D2B0000}"/>
    <cellStyle name="40% - Énfasis4 31 13" xfId="11142" xr:uid="{00000000-0005-0000-0000-00008E2B0000}"/>
    <cellStyle name="40% - Énfasis4 31 14" xfId="11143" xr:uid="{00000000-0005-0000-0000-00008F2B0000}"/>
    <cellStyle name="40% - Énfasis4 31 15" xfId="11144" xr:uid="{00000000-0005-0000-0000-0000902B0000}"/>
    <cellStyle name="40% - Énfasis4 31 16" xfId="11145" xr:uid="{00000000-0005-0000-0000-0000912B0000}"/>
    <cellStyle name="40% - Énfasis4 31 17" xfId="11146" xr:uid="{00000000-0005-0000-0000-0000922B0000}"/>
    <cellStyle name="40% - Énfasis4 31 18" xfId="11147" xr:uid="{00000000-0005-0000-0000-0000932B0000}"/>
    <cellStyle name="40% - Énfasis4 31 19" xfId="11148" xr:uid="{00000000-0005-0000-0000-0000942B0000}"/>
    <cellStyle name="40% - Énfasis4 31 2" xfId="11149" xr:uid="{00000000-0005-0000-0000-0000952B0000}"/>
    <cellStyle name="40% - Énfasis4 31 3" xfId="11150" xr:uid="{00000000-0005-0000-0000-0000962B0000}"/>
    <cellStyle name="40% - Énfasis4 31 4" xfId="11151" xr:uid="{00000000-0005-0000-0000-0000972B0000}"/>
    <cellStyle name="40% - Énfasis4 31 5" xfId="11152" xr:uid="{00000000-0005-0000-0000-0000982B0000}"/>
    <cellStyle name="40% - Énfasis4 31 6" xfId="11153" xr:uid="{00000000-0005-0000-0000-0000992B0000}"/>
    <cellStyle name="40% - Énfasis4 31 7" xfId="11154" xr:uid="{00000000-0005-0000-0000-00009A2B0000}"/>
    <cellStyle name="40% - Énfasis4 31 8" xfId="11155" xr:uid="{00000000-0005-0000-0000-00009B2B0000}"/>
    <cellStyle name="40% - Énfasis4 31 9" xfId="11156" xr:uid="{00000000-0005-0000-0000-00009C2B0000}"/>
    <cellStyle name="40% - Énfasis4 32" xfId="11157" xr:uid="{00000000-0005-0000-0000-00009D2B0000}"/>
    <cellStyle name="40% - Énfasis4 32 10" xfId="11158" xr:uid="{00000000-0005-0000-0000-00009E2B0000}"/>
    <cellStyle name="40% - Énfasis4 32 11" xfId="11159" xr:uid="{00000000-0005-0000-0000-00009F2B0000}"/>
    <cellStyle name="40% - Énfasis4 32 12" xfId="11160" xr:uid="{00000000-0005-0000-0000-0000A02B0000}"/>
    <cellStyle name="40% - Énfasis4 32 13" xfId="11161" xr:uid="{00000000-0005-0000-0000-0000A12B0000}"/>
    <cellStyle name="40% - Énfasis4 32 14" xfId="11162" xr:uid="{00000000-0005-0000-0000-0000A22B0000}"/>
    <cellStyle name="40% - Énfasis4 32 15" xfId="11163" xr:uid="{00000000-0005-0000-0000-0000A32B0000}"/>
    <cellStyle name="40% - Énfasis4 32 16" xfId="11164" xr:uid="{00000000-0005-0000-0000-0000A42B0000}"/>
    <cellStyle name="40% - Énfasis4 32 17" xfId="11165" xr:uid="{00000000-0005-0000-0000-0000A52B0000}"/>
    <cellStyle name="40% - Énfasis4 32 18" xfId="11166" xr:uid="{00000000-0005-0000-0000-0000A62B0000}"/>
    <cellStyle name="40% - Énfasis4 32 19" xfId="11167" xr:uid="{00000000-0005-0000-0000-0000A72B0000}"/>
    <cellStyle name="40% - Énfasis4 32 2" xfId="11168" xr:uid="{00000000-0005-0000-0000-0000A82B0000}"/>
    <cellStyle name="40% - Énfasis4 32 3" xfId="11169" xr:uid="{00000000-0005-0000-0000-0000A92B0000}"/>
    <cellStyle name="40% - Énfasis4 32 4" xfId="11170" xr:uid="{00000000-0005-0000-0000-0000AA2B0000}"/>
    <cellStyle name="40% - Énfasis4 32 5" xfId="11171" xr:uid="{00000000-0005-0000-0000-0000AB2B0000}"/>
    <cellStyle name="40% - Énfasis4 32 6" xfId="11172" xr:uid="{00000000-0005-0000-0000-0000AC2B0000}"/>
    <cellStyle name="40% - Énfasis4 32 7" xfId="11173" xr:uid="{00000000-0005-0000-0000-0000AD2B0000}"/>
    <cellStyle name="40% - Énfasis4 32 8" xfId="11174" xr:uid="{00000000-0005-0000-0000-0000AE2B0000}"/>
    <cellStyle name="40% - Énfasis4 32 9" xfId="11175" xr:uid="{00000000-0005-0000-0000-0000AF2B0000}"/>
    <cellStyle name="40% - Énfasis4 33" xfId="11176" xr:uid="{00000000-0005-0000-0000-0000B02B0000}"/>
    <cellStyle name="40% - Énfasis4 33 10" xfId="11177" xr:uid="{00000000-0005-0000-0000-0000B12B0000}"/>
    <cellStyle name="40% - Énfasis4 33 11" xfId="11178" xr:uid="{00000000-0005-0000-0000-0000B22B0000}"/>
    <cellStyle name="40% - Énfasis4 33 12" xfId="11179" xr:uid="{00000000-0005-0000-0000-0000B32B0000}"/>
    <cellStyle name="40% - Énfasis4 33 13" xfId="11180" xr:uid="{00000000-0005-0000-0000-0000B42B0000}"/>
    <cellStyle name="40% - Énfasis4 33 14" xfId="11181" xr:uid="{00000000-0005-0000-0000-0000B52B0000}"/>
    <cellStyle name="40% - Énfasis4 33 15" xfId="11182" xr:uid="{00000000-0005-0000-0000-0000B62B0000}"/>
    <cellStyle name="40% - Énfasis4 33 16" xfId="11183" xr:uid="{00000000-0005-0000-0000-0000B72B0000}"/>
    <cellStyle name="40% - Énfasis4 33 17" xfId="11184" xr:uid="{00000000-0005-0000-0000-0000B82B0000}"/>
    <cellStyle name="40% - Énfasis4 33 18" xfId="11185" xr:uid="{00000000-0005-0000-0000-0000B92B0000}"/>
    <cellStyle name="40% - Énfasis4 33 19" xfId="11186" xr:uid="{00000000-0005-0000-0000-0000BA2B0000}"/>
    <cellStyle name="40% - Énfasis4 33 2" xfId="11187" xr:uid="{00000000-0005-0000-0000-0000BB2B0000}"/>
    <cellStyle name="40% - Énfasis4 33 3" xfId="11188" xr:uid="{00000000-0005-0000-0000-0000BC2B0000}"/>
    <cellStyle name="40% - Énfasis4 33 4" xfId="11189" xr:uid="{00000000-0005-0000-0000-0000BD2B0000}"/>
    <cellStyle name="40% - Énfasis4 33 5" xfId="11190" xr:uid="{00000000-0005-0000-0000-0000BE2B0000}"/>
    <cellStyle name="40% - Énfasis4 33 6" xfId="11191" xr:uid="{00000000-0005-0000-0000-0000BF2B0000}"/>
    <cellStyle name="40% - Énfasis4 33 7" xfId="11192" xr:uid="{00000000-0005-0000-0000-0000C02B0000}"/>
    <cellStyle name="40% - Énfasis4 33 8" xfId="11193" xr:uid="{00000000-0005-0000-0000-0000C12B0000}"/>
    <cellStyle name="40% - Énfasis4 33 9" xfId="11194" xr:uid="{00000000-0005-0000-0000-0000C22B0000}"/>
    <cellStyle name="40% - Énfasis4 34" xfId="11195" xr:uid="{00000000-0005-0000-0000-0000C32B0000}"/>
    <cellStyle name="40% - Énfasis4 34 10" xfId="11196" xr:uid="{00000000-0005-0000-0000-0000C42B0000}"/>
    <cellStyle name="40% - Énfasis4 34 11" xfId="11197" xr:uid="{00000000-0005-0000-0000-0000C52B0000}"/>
    <cellStyle name="40% - Énfasis4 34 12" xfId="11198" xr:uid="{00000000-0005-0000-0000-0000C62B0000}"/>
    <cellStyle name="40% - Énfasis4 34 13" xfId="11199" xr:uid="{00000000-0005-0000-0000-0000C72B0000}"/>
    <cellStyle name="40% - Énfasis4 34 14" xfId="11200" xr:uid="{00000000-0005-0000-0000-0000C82B0000}"/>
    <cellStyle name="40% - Énfasis4 34 15" xfId="11201" xr:uid="{00000000-0005-0000-0000-0000C92B0000}"/>
    <cellStyle name="40% - Énfasis4 34 16" xfId="11202" xr:uid="{00000000-0005-0000-0000-0000CA2B0000}"/>
    <cellStyle name="40% - Énfasis4 34 17" xfId="11203" xr:uid="{00000000-0005-0000-0000-0000CB2B0000}"/>
    <cellStyle name="40% - Énfasis4 34 18" xfId="11204" xr:uid="{00000000-0005-0000-0000-0000CC2B0000}"/>
    <cellStyle name="40% - Énfasis4 34 19" xfId="11205" xr:uid="{00000000-0005-0000-0000-0000CD2B0000}"/>
    <cellStyle name="40% - Énfasis4 34 2" xfId="11206" xr:uid="{00000000-0005-0000-0000-0000CE2B0000}"/>
    <cellStyle name="40% - Énfasis4 34 3" xfId="11207" xr:uid="{00000000-0005-0000-0000-0000CF2B0000}"/>
    <cellStyle name="40% - Énfasis4 34 4" xfId="11208" xr:uid="{00000000-0005-0000-0000-0000D02B0000}"/>
    <cellStyle name="40% - Énfasis4 34 5" xfId="11209" xr:uid="{00000000-0005-0000-0000-0000D12B0000}"/>
    <cellStyle name="40% - Énfasis4 34 6" xfId="11210" xr:uid="{00000000-0005-0000-0000-0000D22B0000}"/>
    <cellStyle name="40% - Énfasis4 34 7" xfId="11211" xr:uid="{00000000-0005-0000-0000-0000D32B0000}"/>
    <cellStyle name="40% - Énfasis4 34 8" xfId="11212" xr:uid="{00000000-0005-0000-0000-0000D42B0000}"/>
    <cellStyle name="40% - Énfasis4 34 9" xfId="11213" xr:uid="{00000000-0005-0000-0000-0000D52B0000}"/>
    <cellStyle name="40% - Énfasis4 35" xfId="11214" xr:uid="{00000000-0005-0000-0000-0000D62B0000}"/>
    <cellStyle name="40% - Énfasis4 35 10" xfId="11215" xr:uid="{00000000-0005-0000-0000-0000D72B0000}"/>
    <cellStyle name="40% - Énfasis4 35 11" xfId="11216" xr:uid="{00000000-0005-0000-0000-0000D82B0000}"/>
    <cellStyle name="40% - Énfasis4 35 12" xfId="11217" xr:uid="{00000000-0005-0000-0000-0000D92B0000}"/>
    <cellStyle name="40% - Énfasis4 35 13" xfId="11218" xr:uid="{00000000-0005-0000-0000-0000DA2B0000}"/>
    <cellStyle name="40% - Énfasis4 35 14" xfId="11219" xr:uid="{00000000-0005-0000-0000-0000DB2B0000}"/>
    <cellStyle name="40% - Énfasis4 35 15" xfId="11220" xr:uid="{00000000-0005-0000-0000-0000DC2B0000}"/>
    <cellStyle name="40% - Énfasis4 35 16" xfId="11221" xr:uid="{00000000-0005-0000-0000-0000DD2B0000}"/>
    <cellStyle name="40% - Énfasis4 35 17" xfId="11222" xr:uid="{00000000-0005-0000-0000-0000DE2B0000}"/>
    <cellStyle name="40% - Énfasis4 35 18" xfId="11223" xr:uid="{00000000-0005-0000-0000-0000DF2B0000}"/>
    <cellStyle name="40% - Énfasis4 35 19" xfId="11224" xr:uid="{00000000-0005-0000-0000-0000E02B0000}"/>
    <cellStyle name="40% - Énfasis4 35 2" xfId="11225" xr:uid="{00000000-0005-0000-0000-0000E12B0000}"/>
    <cellStyle name="40% - Énfasis4 35 3" xfId="11226" xr:uid="{00000000-0005-0000-0000-0000E22B0000}"/>
    <cellStyle name="40% - Énfasis4 35 4" xfId="11227" xr:uid="{00000000-0005-0000-0000-0000E32B0000}"/>
    <cellStyle name="40% - Énfasis4 35 5" xfId="11228" xr:uid="{00000000-0005-0000-0000-0000E42B0000}"/>
    <cellStyle name="40% - Énfasis4 35 6" xfId="11229" xr:uid="{00000000-0005-0000-0000-0000E52B0000}"/>
    <cellStyle name="40% - Énfasis4 35 7" xfId="11230" xr:uid="{00000000-0005-0000-0000-0000E62B0000}"/>
    <cellStyle name="40% - Énfasis4 35 8" xfId="11231" xr:uid="{00000000-0005-0000-0000-0000E72B0000}"/>
    <cellStyle name="40% - Énfasis4 35 9" xfId="11232" xr:uid="{00000000-0005-0000-0000-0000E82B0000}"/>
    <cellStyle name="40% - Énfasis4 36" xfId="11233" xr:uid="{00000000-0005-0000-0000-0000E92B0000}"/>
    <cellStyle name="40% - Énfasis4 36 10" xfId="11234" xr:uid="{00000000-0005-0000-0000-0000EA2B0000}"/>
    <cellStyle name="40% - Énfasis4 36 11" xfId="11235" xr:uid="{00000000-0005-0000-0000-0000EB2B0000}"/>
    <cellStyle name="40% - Énfasis4 36 12" xfId="11236" xr:uid="{00000000-0005-0000-0000-0000EC2B0000}"/>
    <cellStyle name="40% - Énfasis4 36 13" xfId="11237" xr:uid="{00000000-0005-0000-0000-0000ED2B0000}"/>
    <cellStyle name="40% - Énfasis4 36 14" xfId="11238" xr:uid="{00000000-0005-0000-0000-0000EE2B0000}"/>
    <cellStyle name="40% - Énfasis4 36 15" xfId="11239" xr:uid="{00000000-0005-0000-0000-0000EF2B0000}"/>
    <cellStyle name="40% - Énfasis4 36 16" xfId="11240" xr:uid="{00000000-0005-0000-0000-0000F02B0000}"/>
    <cellStyle name="40% - Énfasis4 36 17" xfId="11241" xr:uid="{00000000-0005-0000-0000-0000F12B0000}"/>
    <cellStyle name="40% - Énfasis4 36 18" xfId="11242" xr:uid="{00000000-0005-0000-0000-0000F22B0000}"/>
    <cellStyle name="40% - Énfasis4 36 19" xfId="11243" xr:uid="{00000000-0005-0000-0000-0000F32B0000}"/>
    <cellStyle name="40% - Énfasis4 36 2" xfId="11244" xr:uid="{00000000-0005-0000-0000-0000F42B0000}"/>
    <cellStyle name="40% - Énfasis4 36 3" xfId="11245" xr:uid="{00000000-0005-0000-0000-0000F52B0000}"/>
    <cellStyle name="40% - Énfasis4 36 4" xfId="11246" xr:uid="{00000000-0005-0000-0000-0000F62B0000}"/>
    <cellStyle name="40% - Énfasis4 36 5" xfId="11247" xr:uid="{00000000-0005-0000-0000-0000F72B0000}"/>
    <cellStyle name="40% - Énfasis4 36 6" xfId="11248" xr:uid="{00000000-0005-0000-0000-0000F82B0000}"/>
    <cellStyle name="40% - Énfasis4 36 7" xfId="11249" xr:uid="{00000000-0005-0000-0000-0000F92B0000}"/>
    <cellStyle name="40% - Énfasis4 36 8" xfId="11250" xr:uid="{00000000-0005-0000-0000-0000FA2B0000}"/>
    <cellStyle name="40% - Énfasis4 36 9" xfId="11251" xr:uid="{00000000-0005-0000-0000-0000FB2B0000}"/>
    <cellStyle name="40% - Énfasis4 37" xfId="11252" xr:uid="{00000000-0005-0000-0000-0000FC2B0000}"/>
    <cellStyle name="40% - Énfasis4 38" xfId="11253" xr:uid="{00000000-0005-0000-0000-0000FD2B0000}"/>
    <cellStyle name="40% - Énfasis4 39" xfId="11254" xr:uid="{00000000-0005-0000-0000-0000FE2B0000}"/>
    <cellStyle name="40% - Énfasis4 4" xfId="11255" xr:uid="{00000000-0005-0000-0000-0000FF2B0000}"/>
    <cellStyle name="40% - Énfasis4 4 10" xfId="11256" xr:uid="{00000000-0005-0000-0000-0000002C0000}"/>
    <cellStyle name="40% - Énfasis4 4 11" xfId="11257" xr:uid="{00000000-0005-0000-0000-0000012C0000}"/>
    <cellStyle name="40% - Énfasis4 4 12" xfId="11258" xr:uid="{00000000-0005-0000-0000-0000022C0000}"/>
    <cellStyle name="40% - Énfasis4 4 13" xfId="11259" xr:uid="{00000000-0005-0000-0000-0000032C0000}"/>
    <cellStyle name="40% - Énfasis4 4 14" xfId="11260" xr:uid="{00000000-0005-0000-0000-0000042C0000}"/>
    <cellStyle name="40% - Énfasis4 4 15" xfId="11261" xr:uid="{00000000-0005-0000-0000-0000052C0000}"/>
    <cellStyle name="40% - Énfasis4 4 16" xfId="11262" xr:uid="{00000000-0005-0000-0000-0000062C0000}"/>
    <cellStyle name="40% - Énfasis4 4 17" xfId="11263" xr:uid="{00000000-0005-0000-0000-0000072C0000}"/>
    <cellStyle name="40% - Énfasis4 4 18" xfId="11264" xr:uid="{00000000-0005-0000-0000-0000082C0000}"/>
    <cellStyle name="40% - Énfasis4 4 19" xfId="11265" xr:uid="{00000000-0005-0000-0000-0000092C0000}"/>
    <cellStyle name="40% - Énfasis4 4 2" xfId="11266" xr:uid="{00000000-0005-0000-0000-00000A2C0000}"/>
    <cellStyle name="40% - Énfasis4 4 20" xfId="11267" xr:uid="{00000000-0005-0000-0000-00000B2C0000}"/>
    <cellStyle name="40% - Énfasis4 4 3" xfId="11268" xr:uid="{00000000-0005-0000-0000-00000C2C0000}"/>
    <cellStyle name="40% - Énfasis4 4 4" xfId="11269" xr:uid="{00000000-0005-0000-0000-00000D2C0000}"/>
    <cellStyle name="40% - Énfasis4 4 5" xfId="11270" xr:uid="{00000000-0005-0000-0000-00000E2C0000}"/>
    <cellStyle name="40% - Énfasis4 4 6" xfId="11271" xr:uid="{00000000-0005-0000-0000-00000F2C0000}"/>
    <cellStyle name="40% - Énfasis4 4 7" xfId="11272" xr:uid="{00000000-0005-0000-0000-0000102C0000}"/>
    <cellStyle name="40% - Énfasis4 4 8" xfId="11273" xr:uid="{00000000-0005-0000-0000-0000112C0000}"/>
    <cellStyle name="40% - Énfasis4 4 9" xfId="11274" xr:uid="{00000000-0005-0000-0000-0000122C0000}"/>
    <cellStyle name="40% - Énfasis4 40" xfId="11275" xr:uid="{00000000-0005-0000-0000-0000132C0000}"/>
    <cellStyle name="40% - Énfasis4 41" xfId="11276" xr:uid="{00000000-0005-0000-0000-0000142C0000}"/>
    <cellStyle name="40% - Énfasis4 42" xfId="11277" xr:uid="{00000000-0005-0000-0000-0000152C0000}"/>
    <cellStyle name="40% - Énfasis4 43" xfId="11278" xr:uid="{00000000-0005-0000-0000-0000162C0000}"/>
    <cellStyle name="40% - Énfasis4 44" xfId="11279" xr:uid="{00000000-0005-0000-0000-0000172C0000}"/>
    <cellStyle name="40% - Énfasis4 45" xfId="11280" xr:uid="{00000000-0005-0000-0000-0000182C0000}"/>
    <cellStyle name="40% - Énfasis4 46" xfId="11281" xr:uid="{00000000-0005-0000-0000-0000192C0000}"/>
    <cellStyle name="40% - Énfasis4 47" xfId="11282" xr:uid="{00000000-0005-0000-0000-00001A2C0000}"/>
    <cellStyle name="40% - Énfasis4 48" xfId="11283" xr:uid="{00000000-0005-0000-0000-00001B2C0000}"/>
    <cellStyle name="40% - Énfasis4 49" xfId="11284" xr:uid="{00000000-0005-0000-0000-00001C2C0000}"/>
    <cellStyle name="40% - Énfasis4 5" xfId="11285" xr:uid="{00000000-0005-0000-0000-00001D2C0000}"/>
    <cellStyle name="40% - Énfasis4 5 10" xfId="11286" xr:uid="{00000000-0005-0000-0000-00001E2C0000}"/>
    <cellStyle name="40% - Énfasis4 5 11" xfId="11287" xr:uid="{00000000-0005-0000-0000-00001F2C0000}"/>
    <cellStyle name="40% - Énfasis4 5 12" xfId="11288" xr:uid="{00000000-0005-0000-0000-0000202C0000}"/>
    <cellStyle name="40% - Énfasis4 5 13" xfId="11289" xr:uid="{00000000-0005-0000-0000-0000212C0000}"/>
    <cellStyle name="40% - Énfasis4 5 14" xfId="11290" xr:uid="{00000000-0005-0000-0000-0000222C0000}"/>
    <cellStyle name="40% - Énfasis4 5 15" xfId="11291" xr:uid="{00000000-0005-0000-0000-0000232C0000}"/>
    <cellStyle name="40% - Énfasis4 5 16" xfId="11292" xr:uid="{00000000-0005-0000-0000-0000242C0000}"/>
    <cellStyle name="40% - Énfasis4 5 17" xfId="11293" xr:uid="{00000000-0005-0000-0000-0000252C0000}"/>
    <cellStyle name="40% - Énfasis4 5 18" xfId="11294" xr:uid="{00000000-0005-0000-0000-0000262C0000}"/>
    <cellStyle name="40% - Énfasis4 5 19" xfId="11295" xr:uid="{00000000-0005-0000-0000-0000272C0000}"/>
    <cellStyle name="40% - Énfasis4 5 2" xfId="11296" xr:uid="{00000000-0005-0000-0000-0000282C0000}"/>
    <cellStyle name="40% - Énfasis4 5 20" xfId="11297" xr:uid="{00000000-0005-0000-0000-0000292C0000}"/>
    <cellStyle name="40% - Énfasis4 5 3" xfId="11298" xr:uid="{00000000-0005-0000-0000-00002A2C0000}"/>
    <cellStyle name="40% - Énfasis4 5 4" xfId="11299" xr:uid="{00000000-0005-0000-0000-00002B2C0000}"/>
    <cellStyle name="40% - Énfasis4 5 5" xfId="11300" xr:uid="{00000000-0005-0000-0000-00002C2C0000}"/>
    <cellStyle name="40% - Énfasis4 5 6" xfId="11301" xr:uid="{00000000-0005-0000-0000-00002D2C0000}"/>
    <cellStyle name="40% - Énfasis4 5 7" xfId="11302" xr:uid="{00000000-0005-0000-0000-00002E2C0000}"/>
    <cellStyle name="40% - Énfasis4 5 8" xfId="11303" xr:uid="{00000000-0005-0000-0000-00002F2C0000}"/>
    <cellStyle name="40% - Énfasis4 5 9" xfId="11304" xr:uid="{00000000-0005-0000-0000-0000302C0000}"/>
    <cellStyle name="40% - Énfasis4 50" xfId="11305" xr:uid="{00000000-0005-0000-0000-0000312C0000}"/>
    <cellStyle name="40% - Énfasis4 51" xfId="11306" xr:uid="{00000000-0005-0000-0000-0000322C0000}"/>
    <cellStyle name="40% - Énfasis4 52" xfId="11307" xr:uid="{00000000-0005-0000-0000-0000332C0000}"/>
    <cellStyle name="40% - Énfasis4 53" xfId="11308" xr:uid="{00000000-0005-0000-0000-0000342C0000}"/>
    <cellStyle name="40% - Énfasis4 54" xfId="11309" xr:uid="{00000000-0005-0000-0000-0000352C0000}"/>
    <cellStyle name="40% - Énfasis4 55" xfId="11310" xr:uid="{00000000-0005-0000-0000-0000362C0000}"/>
    <cellStyle name="40% - Énfasis4 56" xfId="11311" xr:uid="{00000000-0005-0000-0000-0000372C0000}"/>
    <cellStyle name="40% - Énfasis4 57" xfId="11312" xr:uid="{00000000-0005-0000-0000-0000382C0000}"/>
    <cellStyle name="40% - Énfasis4 58" xfId="11313" xr:uid="{00000000-0005-0000-0000-0000392C0000}"/>
    <cellStyle name="40% - Énfasis4 59" xfId="11314" xr:uid="{00000000-0005-0000-0000-00003A2C0000}"/>
    <cellStyle name="40% - Énfasis4 6" xfId="11315" xr:uid="{00000000-0005-0000-0000-00003B2C0000}"/>
    <cellStyle name="40% - Énfasis4 6 10" xfId="11316" xr:uid="{00000000-0005-0000-0000-00003C2C0000}"/>
    <cellStyle name="40% - Énfasis4 6 11" xfId="11317" xr:uid="{00000000-0005-0000-0000-00003D2C0000}"/>
    <cellStyle name="40% - Énfasis4 6 12" xfId="11318" xr:uid="{00000000-0005-0000-0000-00003E2C0000}"/>
    <cellStyle name="40% - Énfasis4 6 13" xfId="11319" xr:uid="{00000000-0005-0000-0000-00003F2C0000}"/>
    <cellStyle name="40% - Énfasis4 6 14" xfId="11320" xr:uid="{00000000-0005-0000-0000-0000402C0000}"/>
    <cellStyle name="40% - Énfasis4 6 15" xfId="11321" xr:uid="{00000000-0005-0000-0000-0000412C0000}"/>
    <cellStyle name="40% - Énfasis4 6 16" xfId="11322" xr:uid="{00000000-0005-0000-0000-0000422C0000}"/>
    <cellStyle name="40% - Énfasis4 6 17" xfId="11323" xr:uid="{00000000-0005-0000-0000-0000432C0000}"/>
    <cellStyle name="40% - Énfasis4 6 18" xfId="11324" xr:uid="{00000000-0005-0000-0000-0000442C0000}"/>
    <cellStyle name="40% - Énfasis4 6 19" xfId="11325" xr:uid="{00000000-0005-0000-0000-0000452C0000}"/>
    <cellStyle name="40% - Énfasis4 6 2" xfId="11326" xr:uid="{00000000-0005-0000-0000-0000462C0000}"/>
    <cellStyle name="40% - Énfasis4 6 20" xfId="11327" xr:uid="{00000000-0005-0000-0000-0000472C0000}"/>
    <cellStyle name="40% - Énfasis4 6 3" xfId="11328" xr:uid="{00000000-0005-0000-0000-0000482C0000}"/>
    <cellStyle name="40% - Énfasis4 6 4" xfId="11329" xr:uid="{00000000-0005-0000-0000-0000492C0000}"/>
    <cellStyle name="40% - Énfasis4 6 5" xfId="11330" xr:uid="{00000000-0005-0000-0000-00004A2C0000}"/>
    <cellStyle name="40% - Énfasis4 6 6" xfId="11331" xr:uid="{00000000-0005-0000-0000-00004B2C0000}"/>
    <cellStyle name="40% - Énfasis4 6 7" xfId="11332" xr:uid="{00000000-0005-0000-0000-00004C2C0000}"/>
    <cellStyle name="40% - Énfasis4 6 8" xfId="11333" xr:uid="{00000000-0005-0000-0000-00004D2C0000}"/>
    <cellStyle name="40% - Énfasis4 6 9" xfId="11334" xr:uid="{00000000-0005-0000-0000-00004E2C0000}"/>
    <cellStyle name="40% - Énfasis4 60" xfId="11335" xr:uid="{00000000-0005-0000-0000-00004F2C0000}"/>
    <cellStyle name="40% - Énfasis4 61" xfId="11336" xr:uid="{00000000-0005-0000-0000-0000502C0000}"/>
    <cellStyle name="40% - Énfasis4 62" xfId="11337" xr:uid="{00000000-0005-0000-0000-0000512C0000}"/>
    <cellStyle name="40% - Énfasis4 63" xfId="11338" xr:uid="{00000000-0005-0000-0000-0000522C0000}"/>
    <cellStyle name="40% - Énfasis4 64" xfId="11339" xr:uid="{00000000-0005-0000-0000-0000532C0000}"/>
    <cellStyle name="40% - Énfasis4 65" xfId="11340" xr:uid="{00000000-0005-0000-0000-0000542C0000}"/>
    <cellStyle name="40% - Énfasis4 66" xfId="11341" xr:uid="{00000000-0005-0000-0000-0000552C0000}"/>
    <cellStyle name="40% - Énfasis4 67" xfId="11342" xr:uid="{00000000-0005-0000-0000-0000562C0000}"/>
    <cellStyle name="40% - Énfasis4 68" xfId="11343" xr:uid="{00000000-0005-0000-0000-0000572C0000}"/>
    <cellStyle name="40% - Énfasis4 69" xfId="11344" xr:uid="{00000000-0005-0000-0000-0000582C0000}"/>
    <cellStyle name="40% - Énfasis4 7" xfId="11345" xr:uid="{00000000-0005-0000-0000-0000592C0000}"/>
    <cellStyle name="40% - Énfasis4 7 10" xfId="11346" xr:uid="{00000000-0005-0000-0000-00005A2C0000}"/>
    <cellStyle name="40% - Énfasis4 7 11" xfId="11347" xr:uid="{00000000-0005-0000-0000-00005B2C0000}"/>
    <cellStyle name="40% - Énfasis4 7 12" xfId="11348" xr:uid="{00000000-0005-0000-0000-00005C2C0000}"/>
    <cellStyle name="40% - Énfasis4 7 13" xfId="11349" xr:uid="{00000000-0005-0000-0000-00005D2C0000}"/>
    <cellStyle name="40% - Énfasis4 7 14" xfId="11350" xr:uid="{00000000-0005-0000-0000-00005E2C0000}"/>
    <cellStyle name="40% - Énfasis4 7 15" xfId="11351" xr:uid="{00000000-0005-0000-0000-00005F2C0000}"/>
    <cellStyle name="40% - Énfasis4 7 16" xfId="11352" xr:uid="{00000000-0005-0000-0000-0000602C0000}"/>
    <cellStyle name="40% - Énfasis4 7 17" xfId="11353" xr:uid="{00000000-0005-0000-0000-0000612C0000}"/>
    <cellStyle name="40% - Énfasis4 7 18" xfId="11354" xr:uid="{00000000-0005-0000-0000-0000622C0000}"/>
    <cellStyle name="40% - Énfasis4 7 19" xfId="11355" xr:uid="{00000000-0005-0000-0000-0000632C0000}"/>
    <cellStyle name="40% - Énfasis4 7 2" xfId="11356" xr:uid="{00000000-0005-0000-0000-0000642C0000}"/>
    <cellStyle name="40% - Énfasis4 7 20" xfId="11357" xr:uid="{00000000-0005-0000-0000-0000652C0000}"/>
    <cellStyle name="40% - Énfasis4 7 3" xfId="11358" xr:uid="{00000000-0005-0000-0000-0000662C0000}"/>
    <cellStyle name="40% - Énfasis4 7 4" xfId="11359" xr:uid="{00000000-0005-0000-0000-0000672C0000}"/>
    <cellStyle name="40% - Énfasis4 7 5" xfId="11360" xr:uid="{00000000-0005-0000-0000-0000682C0000}"/>
    <cellStyle name="40% - Énfasis4 7 6" xfId="11361" xr:uid="{00000000-0005-0000-0000-0000692C0000}"/>
    <cellStyle name="40% - Énfasis4 7 7" xfId="11362" xr:uid="{00000000-0005-0000-0000-00006A2C0000}"/>
    <cellStyle name="40% - Énfasis4 7 8" xfId="11363" xr:uid="{00000000-0005-0000-0000-00006B2C0000}"/>
    <cellStyle name="40% - Énfasis4 7 9" xfId="11364" xr:uid="{00000000-0005-0000-0000-00006C2C0000}"/>
    <cellStyle name="40% - Énfasis4 70" xfId="11365" xr:uid="{00000000-0005-0000-0000-00006D2C0000}"/>
    <cellStyle name="40% - Énfasis4 71" xfId="11366" xr:uid="{00000000-0005-0000-0000-00006E2C0000}"/>
    <cellStyle name="40% - Énfasis4 72" xfId="11367" xr:uid="{00000000-0005-0000-0000-00006F2C0000}"/>
    <cellStyle name="40% - Énfasis4 73" xfId="11368" xr:uid="{00000000-0005-0000-0000-0000702C0000}"/>
    <cellStyle name="40% - Énfasis4 74" xfId="11369" xr:uid="{00000000-0005-0000-0000-0000712C0000}"/>
    <cellStyle name="40% - Énfasis4 75" xfId="11370" xr:uid="{00000000-0005-0000-0000-0000722C0000}"/>
    <cellStyle name="40% - Énfasis4 76" xfId="11371" xr:uid="{00000000-0005-0000-0000-0000732C0000}"/>
    <cellStyle name="40% - Énfasis4 77" xfId="11372" xr:uid="{00000000-0005-0000-0000-0000742C0000}"/>
    <cellStyle name="40% - Énfasis4 78" xfId="11373" xr:uid="{00000000-0005-0000-0000-0000752C0000}"/>
    <cellStyle name="40% - Énfasis4 79" xfId="11374" xr:uid="{00000000-0005-0000-0000-0000762C0000}"/>
    <cellStyle name="40% - Énfasis4 8" xfId="11375" xr:uid="{00000000-0005-0000-0000-0000772C0000}"/>
    <cellStyle name="40% - Énfasis4 8 10" xfId="11376" xr:uid="{00000000-0005-0000-0000-0000782C0000}"/>
    <cellStyle name="40% - Énfasis4 8 11" xfId="11377" xr:uid="{00000000-0005-0000-0000-0000792C0000}"/>
    <cellStyle name="40% - Énfasis4 8 12" xfId="11378" xr:uid="{00000000-0005-0000-0000-00007A2C0000}"/>
    <cellStyle name="40% - Énfasis4 8 13" xfId="11379" xr:uid="{00000000-0005-0000-0000-00007B2C0000}"/>
    <cellStyle name="40% - Énfasis4 8 14" xfId="11380" xr:uid="{00000000-0005-0000-0000-00007C2C0000}"/>
    <cellStyle name="40% - Énfasis4 8 15" xfId="11381" xr:uid="{00000000-0005-0000-0000-00007D2C0000}"/>
    <cellStyle name="40% - Énfasis4 8 16" xfId="11382" xr:uid="{00000000-0005-0000-0000-00007E2C0000}"/>
    <cellStyle name="40% - Énfasis4 8 17" xfId="11383" xr:uid="{00000000-0005-0000-0000-00007F2C0000}"/>
    <cellStyle name="40% - Énfasis4 8 18" xfId="11384" xr:uid="{00000000-0005-0000-0000-0000802C0000}"/>
    <cellStyle name="40% - Énfasis4 8 19" xfId="11385" xr:uid="{00000000-0005-0000-0000-0000812C0000}"/>
    <cellStyle name="40% - Énfasis4 8 2" xfId="11386" xr:uid="{00000000-0005-0000-0000-0000822C0000}"/>
    <cellStyle name="40% - Énfasis4 8 20" xfId="11387" xr:uid="{00000000-0005-0000-0000-0000832C0000}"/>
    <cellStyle name="40% - Énfasis4 8 3" xfId="11388" xr:uid="{00000000-0005-0000-0000-0000842C0000}"/>
    <cellStyle name="40% - Énfasis4 8 4" xfId="11389" xr:uid="{00000000-0005-0000-0000-0000852C0000}"/>
    <cellStyle name="40% - Énfasis4 8 5" xfId="11390" xr:uid="{00000000-0005-0000-0000-0000862C0000}"/>
    <cellStyle name="40% - Énfasis4 8 6" xfId="11391" xr:uid="{00000000-0005-0000-0000-0000872C0000}"/>
    <cellStyle name="40% - Énfasis4 8 7" xfId="11392" xr:uid="{00000000-0005-0000-0000-0000882C0000}"/>
    <cellStyle name="40% - Énfasis4 8 8" xfId="11393" xr:uid="{00000000-0005-0000-0000-0000892C0000}"/>
    <cellStyle name="40% - Énfasis4 8 9" xfId="11394" xr:uid="{00000000-0005-0000-0000-00008A2C0000}"/>
    <cellStyle name="40% - Énfasis4 80" xfId="11395" xr:uid="{00000000-0005-0000-0000-00008B2C0000}"/>
    <cellStyle name="40% - Énfasis4 81" xfId="11396" xr:uid="{00000000-0005-0000-0000-00008C2C0000}"/>
    <cellStyle name="40% - Énfasis4 82" xfId="11397" xr:uid="{00000000-0005-0000-0000-00008D2C0000}"/>
    <cellStyle name="40% - Énfasis4 83" xfId="11398" xr:uid="{00000000-0005-0000-0000-00008E2C0000}"/>
    <cellStyle name="40% - Énfasis4 84" xfId="11399" xr:uid="{00000000-0005-0000-0000-00008F2C0000}"/>
    <cellStyle name="40% - Énfasis4 85" xfId="11400" xr:uid="{00000000-0005-0000-0000-0000902C0000}"/>
    <cellStyle name="40% - Énfasis4 86" xfId="11401" xr:uid="{00000000-0005-0000-0000-0000912C0000}"/>
    <cellStyle name="40% - Énfasis4 87" xfId="11402" xr:uid="{00000000-0005-0000-0000-0000922C0000}"/>
    <cellStyle name="40% - Énfasis4 88" xfId="11403" xr:uid="{00000000-0005-0000-0000-0000932C0000}"/>
    <cellStyle name="40% - Énfasis4 89" xfId="11404" xr:uid="{00000000-0005-0000-0000-0000942C0000}"/>
    <cellStyle name="40% - Énfasis4 9" xfId="11405" xr:uid="{00000000-0005-0000-0000-0000952C0000}"/>
    <cellStyle name="40% - Énfasis4 9 10" xfId="11406" xr:uid="{00000000-0005-0000-0000-0000962C0000}"/>
    <cellStyle name="40% - Énfasis4 9 11" xfId="11407" xr:uid="{00000000-0005-0000-0000-0000972C0000}"/>
    <cellStyle name="40% - Énfasis4 9 12" xfId="11408" xr:uid="{00000000-0005-0000-0000-0000982C0000}"/>
    <cellStyle name="40% - Énfasis4 9 13" xfId="11409" xr:uid="{00000000-0005-0000-0000-0000992C0000}"/>
    <cellStyle name="40% - Énfasis4 9 14" xfId="11410" xr:uid="{00000000-0005-0000-0000-00009A2C0000}"/>
    <cellStyle name="40% - Énfasis4 9 15" xfId="11411" xr:uid="{00000000-0005-0000-0000-00009B2C0000}"/>
    <cellStyle name="40% - Énfasis4 9 16" xfId="11412" xr:uid="{00000000-0005-0000-0000-00009C2C0000}"/>
    <cellStyle name="40% - Énfasis4 9 17" xfId="11413" xr:uid="{00000000-0005-0000-0000-00009D2C0000}"/>
    <cellStyle name="40% - Énfasis4 9 18" xfId="11414" xr:uid="{00000000-0005-0000-0000-00009E2C0000}"/>
    <cellStyle name="40% - Énfasis4 9 19" xfId="11415" xr:uid="{00000000-0005-0000-0000-00009F2C0000}"/>
    <cellStyle name="40% - Énfasis4 9 2" xfId="11416" xr:uid="{00000000-0005-0000-0000-0000A02C0000}"/>
    <cellStyle name="40% - Énfasis4 9 20" xfId="11417" xr:uid="{00000000-0005-0000-0000-0000A12C0000}"/>
    <cellStyle name="40% - Énfasis4 9 3" xfId="11418" xr:uid="{00000000-0005-0000-0000-0000A22C0000}"/>
    <cellStyle name="40% - Énfasis4 9 4" xfId="11419" xr:uid="{00000000-0005-0000-0000-0000A32C0000}"/>
    <cellStyle name="40% - Énfasis4 9 5" xfId="11420" xr:uid="{00000000-0005-0000-0000-0000A42C0000}"/>
    <cellStyle name="40% - Énfasis4 9 6" xfId="11421" xr:uid="{00000000-0005-0000-0000-0000A52C0000}"/>
    <cellStyle name="40% - Énfasis4 9 7" xfId="11422" xr:uid="{00000000-0005-0000-0000-0000A62C0000}"/>
    <cellStyle name="40% - Énfasis4 9 8" xfId="11423" xr:uid="{00000000-0005-0000-0000-0000A72C0000}"/>
    <cellStyle name="40% - Énfasis4 9 9" xfId="11424" xr:uid="{00000000-0005-0000-0000-0000A82C0000}"/>
    <cellStyle name="40% - Énfasis4 90" xfId="11425" xr:uid="{00000000-0005-0000-0000-0000A92C0000}"/>
    <cellStyle name="40% - Énfasis4 91" xfId="11426" xr:uid="{00000000-0005-0000-0000-0000AA2C0000}"/>
    <cellStyle name="40% - Énfasis4 92" xfId="11427" xr:uid="{00000000-0005-0000-0000-0000AB2C0000}"/>
    <cellStyle name="40% - Énfasis4 93" xfId="11428" xr:uid="{00000000-0005-0000-0000-0000AC2C0000}"/>
    <cellStyle name="40% - Énfasis4 94" xfId="11429" xr:uid="{00000000-0005-0000-0000-0000AD2C0000}"/>
    <cellStyle name="40% - Énfasis4 95" xfId="11430" xr:uid="{00000000-0005-0000-0000-0000AE2C0000}"/>
    <cellStyle name="40% - Énfasis4 96" xfId="11431" xr:uid="{00000000-0005-0000-0000-0000AF2C0000}"/>
    <cellStyle name="40% - Énfasis4 97" xfId="11432" xr:uid="{00000000-0005-0000-0000-0000B02C0000}"/>
    <cellStyle name="40% - Énfasis4 98" xfId="15636" xr:uid="{00000000-0005-0000-0000-0000B12C0000}"/>
    <cellStyle name="40% - Énfasis5" xfId="11433" builtinId="47" customBuiltin="1"/>
    <cellStyle name="40% - Énfasis5 10" xfId="11434" xr:uid="{00000000-0005-0000-0000-0000B32C0000}"/>
    <cellStyle name="40% - Énfasis5 10 10" xfId="11435" xr:uid="{00000000-0005-0000-0000-0000B42C0000}"/>
    <cellStyle name="40% - Énfasis5 10 11" xfId="11436" xr:uid="{00000000-0005-0000-0000-0000B52C0000}"/>
    <cellStyle name="40% - Énfasis5 10 12" xfId="11437" xr:uid="{00000000-0005-0000-0000-0000B62C0000}"/>
    <cellStyle name="40% - Énfasis5 10 13" xfId="11438" xr:uid="{00000000-0005-0000-0000-0000B72C0000}"/>
    <cellStyle name="40% - Énfasis5 10 14" xfId="11439" xr:uid="{00000000-0005-0000-0000-0000B82C0000}"/>
    <cellStyle name="40% - Énfasis5 10 15" xfId="11440" xr:uid="{00000000-0005-0000-0000-0000B92C0000}"/>
    <cellStyle name="40% - Énfasis5 10 16" xfId="11441" xr:uid="{00000000-0005-0000-0000-0000BA2C0000}"/>
    <cellStyle name="40% - Énfasis5 10 17" xfId="11442" xr:uid="{00000000-0005-0000-0000-0000BB2C0000}"/>
    <cellStyle name="40% - Énfasis5 10 18" xfId="11443" xr:uid="{00000000-0005-0000-0000-0000BC2C0000}"/>
    <cellStyle name="40% - Énfasis5 10 19" xfId="11444" xr:uid="{00000000-0005-0000-0000-0000BD2C0000}"/>
    <cellStyle name="40% - Énfasis5 10 2" xfId="11445" xr:uid="{00000000-0005-0000-0000-0000BE2C0000}"/>
    <cellStyle name="40% - Énfasis5 10 20" xfId="11446" xr:uid="{00000000-0005-0000-0000-0000BF2C0000}"/>
    <cellStyle name="40% - Énfasis5 10 3" xfId="11447" xr:uid="{00000000-0005-0000-0000-0000C02C0000}"/>
    <cellStyle name="40% - Énfasis5 10 4" xfId="11448" xr:uid="{00000000-0005-0000-0000-0000C12C0000}"/>
    <cellStyle name="40% - Énfasis5 10 5" xfId="11449" xr:uid="{00000000-0005-0000-0000-0000C22C0000}"/>
    <cellStyle name="40% - Énfasis5 10 6" xfId="11450" xr:uid="{00000000-0005-0000-0000-0000C32C0000}"/>
    <cellStyle name="40% - Énfasis5 10 7" xfId="11451" xr:uid="{00000000-0005-0000-0000-0000C42C0000}"/>
    <cellStyle name="40% - Énfasis5 10 8" xfId="11452" xr:uid="{00000000-0005-0000-0000-0000C52C0000}"/>
    <cellStyle name="40% - Énfasis5 10 9" xfId="11453" xr:uid="{00000000-0005-0000-0000-0000C62C0000}"/>
    <cellStyle name="40% - Énfasis5 11" xfId="11454" xr:uid="{00000000-0005-0000-0000-0000C72C0000}"/>
    <cellStyle name="40% - Énfasis5 11 10" xfId="11455" xr:uid="{00000000-0005-0000-0000-0000C82C0000}"/>
    <cellStyle name="40% - Énfasis5 11 11" xfId="11456" xr:uid="{00000000-0005-0000-0000-0000C92C0000}"/>
    <cellStyle name="40% - Énfasis5 11 12" xfId="11457" xr:uid="{00000000-0005-0000-0000-0000CA2C0000}"/>
    <cellStyle name="40% - Énfasis5 11 13" xfId="11458" xr:uid="{00000000-0005-0000-0000-0000CB2C0000}"/>
    <cellStyle name="40% - Énfasis5 11 14" xfId="11459" xr:uid="{00000000-0005-0000-0000-0000CC2C0000}"/>
    <cellStyle name="40% - Énfasis5 11 15" xfId="11460" xr:uid="{00000000-0005-0000-0000-0000CD2C0000}"/>
    <cellStyle name="40% - Énfasis5 11 16" xfId="11461" xr:uid="{00000000-0005-0000-0000-0000CE2C0000}"/>
    <cellStyle name="40% - Énfasis5 11 17" xfId="11462" xr:uid="{00000000-0005-0000-0000-0000CF2C0000}"/>
    <cellStyle name="40% - Énfasis5 11 18" xfId="11463" xr:uid="{00000000-0005-0000-0000-0000D02C0000}"/>
    <cellStyle name="40% - Énfasis5 11 19" xfId="11464" xr:uid="{00000000-0005-0000-0000-0000D12C0000}"/>
    <cellStyle name="40% - Énfasis5 11 2" xfId="11465" xr:uid="{00000000-0005-0000-0000-0000D22C0000}"/>
    <cellStyle name="40% - Énfasis5 11 20" xfId="11466" xr:uid="{00000000-0005-0000-0000-0000D32C0000}"/>
    <cellStyle name="40% - Énfasis5 11 3" xfId="11467" xr:uid="{00000000-0005-0000-0000-0000D42C0000}"/>
    <cellStyle name="40% - Énfasis5 11 4" xfId="11468" xr:uid="{00000000-0005-0000-0000-0000D52C0000}"/>
    <cellStyle name="40% - Énfasis5 11 5" xfId="11469" xr:uid="{00000000-0005-0000-0000-0000D62C0000}"/>
    <cellStyle name="40% - Énfasis5 11 6" xfId="11470" xr:uid="{00000000-0005-0000-0000-0000D72C0000}"/>
    <cellStyle name="40% - Énfasis5 11 7" xfId="11471" xr:uid="{00000000-0005-0000-0000-0000D82C0000}"/>
    <cellStyle name="40% - Énfasis5 11 8" xfId="11472" xr:uid="{00000000-0005-0000-0000-0000D92C0000}"/>
    <cellStyle name="40% - Énfasis5 11 9" xfId="11473" xr:uid="{00000000-0005-0000-0000-0000DA2C0000}"/>
    <cellStyle name="40% - Énfasis5 12" xfId="11474" xr:uid="{00000000-0005-0000-0000-0000DB2C0000}"/>
    <cellStyle name="40% - Énfasis5 12 10" xfId="11475" xr:uid="{00000000-0005-0000-0000-0000DC2C0000}"/>
    <cellStyle name="40% - Énfasis5 12 11" xfId="11476" xr:uid="{00000000-0005-0000-0000-0000DD2C0000}"/>
    <cellStyle name="40% - Énfasis5 12 12" xfId="11477" xr:uid="{00000000-0005-0000-0000-0000DE2C0000}"/>
    <cellStyle name="40% - Énfasis5 12 13" xfId="11478" xr:uid="{00000000-0005-0000-0000-0000DF2C0000}"/>
    <cellStyle name="40% - Énfasis5 12 14" xfId="11479" xr:uid="{00000000-0005-0000-0000-0000E02C0000}"/>
    <cellStyle name="40% - Énfasis5 12 15" xfId="11480" xr:uid="{00000000-0005-0000-0000-0000E12C0000}"/>
    <cellStyle name="40% - Énfasis5 12 16" xfId="11481" xr:uid="{00000000-0005-0000-0000-0000E22C0000}"/>
    <cellStyle name="40% - Énfasis5 12 17" xfId="11482" xr:uid="{00000000-0005-0000-0000-0000E32C0000}"/>
    <cellStyle name="40% - Énfasis5 12 18" xfId="11483" xr:uid="{00000000-0005-0000-0000-0000E42C0000}"/>
    <cellStyle name="40% - Énfasis5 12 19" xfId="11484" xr:uid="{00000000-0005-0000-0000-0000E52C0000}"/>
    <cellStyle name="40% - Énfasis5 12 2" xfId="11485" xr:uid="{00000000-0005-0000-0000-0000E62C0000}"/>
    <cellStyle name="40% - Énfasis5 12 20" xfId="11486" xr:uid="{00000000-0005-0000-0000-0000E72C0000}"/>
    <cellStyle name="40% - Énfasis5 12 3" xfId="11487" xr:uid="{00000000-0005-0000-0000-0000E82C0000}"/>
    <cellStyle name="40% - Énfasis5 12 4" xfId="11488" xr:uid="{00000000-0005-0000-0000-0000E92C0000}"/>
    <cellStyle name="40% - Énfasis5 12 5" xfId="11489" xr:uid="{00000000-0005-0000-0000-0000EA2C0000}"/>
    <cellStyle name="40% - Énfasis5 12 6" xfId="11490" xr:uid="{00000000-0005-0000-0000-0000EB2C0000}"/>
    <cellStyle name="40% - Énfasis5 12 7" xfId="11491" xr:uid="{00000000-0005-0000-0000-0000EC2C0000}"/>
    <cellStyle name="40% - Énfasis5 12 8" xfId="11492" xr:uid="{00000000-0005-0000-0000-0000ED2C0000}"/>
    <cellStyle name="40% - Énfasis5 12 9" xfId="11493" xr:uid="{00000000-0005-0000-0000-0000EE2C0000}"/>
    <cellStyle name="40% - Énfasis5 13" xfId="11494" xr:uid="{00000000-0005-0000-0000-0000EF2C0000}"/>
    <cellStyle name="40% - Énfasis5 13 10" xfId="11495" xr:uid="{00000000-0005-0000-0000-0000F02C0000}"/>
    <cellStyle name="40% - Énfasis5 13 11" xfId="11496" xr:uid="{00000000-0005-0000-0000-0000F12C0000}"/>
    <cellStyle name="40% - Énfasis5 13 12" xfId="11497" xr:uid="{00000000-0005-0000-0000-0000F22C0000}"/>
    <cellStyle name="40% - Énfasis5 13 13" xfId="11498" xr:uid="{00000000-0005-0000-0000-0000F32C0000}"/>
    <cellStyle name="40% - Énfasis5 13 14" xfId="11499" xr:uid="{00000000-0005-0000-0000-0000F42C0000}"/>
    <cellStyle name="40% - Énfasis5 13 15" xfId="11500" xr:uid="{00000000-0005-0000-0000-0000F52C0000}"/>
    <cellStyle name="40% - Énfasis5 13 16" xfId="11501" xr:uid="{00000000-0005-0000-0000-0000F62C0000}"/>
    <cellStyle name="40% - Énfasis5 13 17" xfId="11502" xr:uid="{00000000-0005-0000-0000-0000F72C0000}"/>
    <cellStyle name="40% - Énfasis5 13 18" xfId="11503" xr:uid="{00000000-0005-0000-0000-0000F82C0000}"/>
    <cellStyle name="40% - Énfasis5 13 19" xfId="11504" xr:uid="{00000000-0005-0000-0000-0000F92C0000}"/>
    <cellStyle name="40% - Énfasis5 13 2" xfId="11505" xr:uid="{00000000-0005-0000-0000-0000FA2C0000}"/>
    <cellStyle name="40% - Énfasis5 13 20" xfId="11506" xr:uid="{00000000-0005-0000-0000-0000FB2C0000}"/>
    <cellStyle name="40% - Énfasis5 13 3" xfId="11507" xr:uid="{00000000-0005-0000-0000-0000FC2C0000}"/>
    <cellStyle name="40% - Énfasis5 13 4" xfId="11508" xr:uid="{00000000-0005-0000-0000-0000FD2C0000}"/>
    <cellStyle name="40% - Énfasis5 13 5" xfId="11509" xr:uid="{00000000-0005-0000-0000-0000FE2C0000}"/>
    <cellStyle name="40% - Énfasis5 13 6" xfId="11510" xr:uid="{00000000-0005-0000-0000-0000FF2C0000}"/>
    <cellStyle name="40% - Énfasis5 13 7" xfId="11511" xr:uid="{00000000-0005-0000-0000-0000002D0000}"/>
    <cellStyle name="40% - Énfasis5 13 8" xfId="11512" xr:uid="{00000000-0005-0000-0000-0000012D0000}"/>
    <cellStyle name="40% - Énfasis5 13 9" xfId="11513" xr:uid="{00000000-0005-0000-0000-0000022D0000}"/>
    <cellStyle name="40% - Énfasis5 14" xfId="11514" xr:uid="{00000000-0005-0000-0000-0000032D0000}"/>
    <cellStyle name="40% - Énfasis5 14 10" xfId="11515" xr:uid="{00000000-0005-0000-0000-0000042D0000}"/>
    <cellStyle name="40% - Énfasis5 14 11" xfId="11516" xr:uid="{00000000-0005-0000-0000-0000052D0000}"/>
    <cellStyle name="40% - Énfasis5 14 12" xfId="11517" xr:uid="{00000000-0005-0000-0000-0000062D0000}"/>
    <cellStyle name="40% - Énfasis5 14 13" xfId="11518" xr:uid="{00000000-0005-0000-0000-0000072D0000}"/>
    <cellStyle name="40% - Énfasis5 14 14" xfId="11519" xr:uid="{00000000-0005-0000-0000-0000082D0000}"/>
    <cellStyle name="40% - Énfasis5 14 15" xfId="11520" xr:uid="{00000000-0005-0000-0000-0000092D0000}"/>
    <cellStyle name="40% - Énfasis5 14 16" xfId="11521" xr:uid="{00000000-0005-0000-0000-00000A2D0000}"/>
    <cellStyle name="40% - Énfasis5 14 17" xfId="11522" xr:uid="{00000000-0005-0000-0000-00000B2D0000}"/>
    <cellStyle name="40% - Énfasis5 14 18" xfId="11523" xr:uid="{00000000-0005-0000-0000-00000C2D0000}"/>
    <cellStyle name="40% - Énfasis5 14 19" xfId="11524" xr:uid="{00000000-0005-0000-0000-00000D2D0000}"/>
    <cellStyle name="40% - Énfasis5 14 2" xfId="11525" xr:uid="{00000000-0005-0000-0000-00000E2D0000}"/>
    <cellStyle name="40% - Énfasis5 14 3" xfId="11526" xr:uid="{00000000-0005-0000-0000-00000F2D0000}"/>
    <cellStyle name="40% - Énfasis5 14 4" xfId="11527" xr:uid="{00000000-0005-0000-0000-0000102D0000}"/>
    <cellStyle name="40% - Énfasis5 14 5" xfId="11528" xr:uid="{00000000-0005-0000-0000-0000112D0000}"/>
    <cellStyle name="40% - Énfasis5 14 6" xfId="11529" xr:uid="{00000000-0005-0000-0000-0000122D0000}"/>
    <cellStyle name="40% - Énfasis5 14 7" xfId="11530" xr:uid="{00000000-0005-0000-0000-0000132D0000}"/>
    <cellStyle name="40% - Énfasis5 14 8" xfId="11531" xr:uid="{00000000-0005-0000-0000-0000142D0000}"/>
    <cellStyle name="40% - Énfasis5 14 9" xfId="11532" xr:uid="{00000000-0005-0000-0000-0000152D0000}"/>
    <cellStyle name="40% - Énfasis5 15" xfId="11533" xr:uid="{00000000-0005-0000-0000-0000162D0000}"/>
    <cellStyle name="40% - Énfasis5 15 10" xfId="11534" xr:uid="{00000000-0005-0000-0000-0000172D0000}"/>
    <cellStyle name="40% - Énfasis5 15 11" xfId="11535" xr:uid="{00000000-0005-0000-0000-0000182D0000}"/>
    <cellStyle name="40% - Énfasis5 15 12" xfId="11536" xr:uid="{00000000-0005-0000-0000-0000192D0000}"/>
    <cellStyle name="40% - Énfasis5 15 13" xfId="11537" xr:uid="{00000000-0005-0000-0000-00001A2D0000}"/>
    <cellStyle name="40% - Énfasis5 15 14" xfId="11538" xr:uid="{00000000-0005-0000-0000-00001B2D0000}"/>
    <cellStyle name="40% - Énfasis5 15 15" xfId="11539" xr:uid="{00000000-0005-0000-0000-00001C2D0000}"/>
    <cellStyle name="40% - Énfasis5 15 16" xfId="11540" xr:uid="{00000000-0005-0000-0000-00001D2D0000}"/>
    <cellStyle name="40% - Énfasis5 15 17" xfId="11541" xr:uid="{00000000-0005-0000-0000-00001E2D0000}"/>
    <cellStyle name="40% - Énfasis5 15 18" xfId="11542" xr:uid="{00000000-0005-0000-0000-00001F2D0000}"/>
    <cellStyle name="40% - Énfasis5 15 19" xfId="11543" xr:uid="{00000000-0005-0000-0000-0000202D0000}"/>
    <cellStyle name="40% - Énfasis5 15 2" xfId="11544" xr:uid="{00000000-0005-0000-0000-0000212D0000}"/>
    <cellStyle name="40% - Énfasis5 15 3" xfId="11545" xr:uid="{00000000-0005-0000-0000-0000222D0000}"/>
    <cellStyle name="40% - Énfasis5 15 4" xfId="11546" xr:uid="{00000000-0005-0000-0000-0000232D0000}"/>
    <cellStyle name="40% - Énfasis5 15 5" xfId="11547" xr:uid="{00000000-0005-0000-0000-0000242D0000}"/>
    <cellStyle name="40% - Énfasis5 15 6" xfId="11548" xr:uid="{00000000-0005-0000-0000-0000252D0000}"/>
    <cellStyle name="40% - Énfasis5 15 7" xfId="11549" xr:uid="{00000000-0005-0000-0000-0000262D0000}"/>
    <cellStyle name="40% - Énfasis5 15 8" xfId="11550" xr:uid="{00000000-0005-0000-0000-0000272D0000}"/>
    <cellStyle name="40% - Énfasis5 15 9" xfId="11551" xr:uid="{00000000-0005-0000-0000-0000282D0000}"/>
    <cellStyle name="40% - Énfasis5 16" xfId="11552" xr:uid="{00000000-0005-0000-0000-0000292D0000}"/>
    <cellStyle name="40% - Énfasis5 16 10" xfId="11553" xr:uid="{00000000-0005-0000-0000-00002A2D0000}"/>
    <cellStyle name="40% - Énfasis5 16 11" xfId="11554" xr:uid="{00000000-0005-0000-0000-00002B2D0000}"/>
    <cellStyle name="40% - Énfasis5 16 12" xfId="11555" xr:uid="{00000000-0005-0000-0000-00002C2D0000}"/>
    <cellStyle name="40% - Énfasis5 16 13" xfId="11556" xr:uid="{00000000-0005-0000-0000-00002D2D0000}"/>
    <cellStyle name="40% - Énfasis5 16 14" xfId="11557" xr:uid="{00000000-0005-0000-0000-00002E2D0000}"/>
    <cellStyle name="40% - Énfasis5 16 15" xfId="11558" xr:uid="{00000000-0005-0000-0000-00002F2D0000}"/>
    <cellStyle name="40% - Énfasis5 16 16" xfId="11559" xr:uid="{00000000-0005-0000-0000-0000302D0000}"/>
    <cellStyle name="40% - Énfasis5 16 17" xfId="11560" xr:uid="{00000000-0005-0000-0000-0000312D0000}"/>
    <cellStyle name="40% - Énfasis5 16 18" xfId="11561" xr:uid="{00000000-0005-0000-0000-0000322D0000}"/>
    <cellStyle name="40% - Énfasis5 16 19" xfId="11562" xr:uid="{00000000-0005-0000-0000-0000332D0000}"/>
    <cellStyle name="40% - Énfasis5 16 2" xfId="11563" xr:uid="{00000000-0005-0000-0000-0000342D0000}"/>
    <cellStyle name="40% - Énfasis5 16 3" xfId="11564" xr:uid="{00000000-0005-0000-0000-0000352D0000}"/>
    <cellStyle name="40% - Énfasis5 16 4" xfId="11565" xr:uid="{00000000-0005-0000-0000-0000362D0000}"/>
    <cellStyle name="40% - Énfasis5 16 5" xfId="11566" xr:uid="{00000000-0005-0000-0000-0000372D0000}"/>
    <cellStyle name="40% - Énfasis5 16 6" xfId="11567" xr:uid="{00000000-0005-0000-0000-0000382D0000}"/>
    <cellStyle name="40% - Énfasis5 16 7" xfId="11568" xr:uid="{00000000-0005-0000-0000-0000392D0000}"/>
    <cellStyle name="40% - Énfasis5 16 8" xfId="11569" xr:uid="{00000000-0005-0000-0000-00003A2D0000}"/>
    <cellStyle name="40% - Énfasis5 16 9" xfId="11570" xr:uid="{00000000-0005-0000-0000-00003B2D0000}"/>
    <cellStyle name="40% - Énfasis5 17" xfId="11571" xr:uid="{00000000-0005-0000-0000-00003C2D0000}"/>
    <cellStyle name="40% - Énfasis5 17 10" xfId="11572" xr:uid="{00000000-0005-0000-0000-00003D2D0000}"/>
    <cellStyle name="40% - Énfasis5 17 11" xfId="11573" xr:uid="{00000000-0005-0000-0000-00003E2D0000}"/>
    <cellStyle name="40% - Énfasis5 17 12" xfId="11574" xr:uid="{00000000-0005-0000-0000-00003F2D0000}"/>
    <cellStyle name="40% - Énfasis5 17 13" xfId="11575" xr:uid="{00000000-0005-0000-0000-0000402D0000}"/>
    <cellStyle name="40% - Énfasis5 17 14" xfId="11576" xr:uid="{00000000-0005-0000-0000-0000412D0000}"/>
    <cellStyle name="40% - Énfasis5 17 15" xfId="11577" xr:uid="{00000000-0005-0000-0000-0000422D0000}"/>
    <cellStyle name="40% - Énfasis5 17 16" xfId="11578" xr:uid="{00000000-0005-0000-0000-0000432D0000}"/>
    <cellStyle name="40% - Énfasis5 17 17" xfId="11579" xr:uid="{00000000-0005-0000-0000-0000442D0000}"/>
    <cellStyle name="40% - Énfasis5 17 18" xfId="11580" xr:uid="{00000000-0005-0000-0000-0000452D0000}"/>
    <cellStyle name="40% - Énfasis5 17 19" xfId="11581" xr:uid="{00000000-0005-0000-0000-0000462D0000}"/>
    <cellStyle name="40% - Énfasis5 17 2" xfId="11582" xr:uid="{00000000-0005-0000-0000-0000472D0000}"/>
    <cellStyle name="40% - Énfasis5 17 3" xfId="11583" xr:uid="{00000000-0005-0000-0000-0000482D0000}"/>
    <cellStyle name="40% - Énfasis5 17 4" xfId="11584" xr:uid="{00000000-0005-0000-0000-0000492D0000}"/>
    <cellStyle name="40% - Énfasis5 17 5" xfId="11585" xr:uid="{00000000-0005-0000-0000-00004A2D0000}"/>
    <cellStyle name="40% - Énfasis5 17 6" xfId="11586" xr:uid="{00000000-0005-0000-0000-00004B2D0000}"/>
    <cellStyle name="40% - Énfasis5 17 7" xfId="11587" xr:uid="{00000000-0005-0000-0000-00004C2D0000}"/>
    <cellStyle name="40% - Énfasis5 17 8" xfId="11588" xr:uid="{00000000-0005-0000-0000-00004D2D0000}"/>
    <cellStyle name="40% - Énfasis5 17 9" xfId="11589" xr:uid="{00000000-0005-0000-0000-00004E2D0000}"/>
    <cellStyle name="40% - Énfasis5 18" xfId="11590" xr:uid="{00000000-0005-0000-0000-00004F2D0000}"/>
    <cellStyle name="40% - Énfasis5 18 10" xfId="11591" xr:uid="{00000000-0005-0000-0000-0000502D0000}"/>
    <cellStyle name="40% - Énfasis5 18 11" xfId="11592" xr:uid="{00000000-0005-0000-0000-0000512D0000}"/>
    <cellStyle name="40% - Énfasis5 18 12" xfId="11593" xr:uid="{00000000-0005-0000-0000-0000522D0000}"/>
    <cellStyle name="40% - Énfasis5 18 13" xfId="11594" xr:uid="{00000000-0005-0000-0000-0000532D0000}"/>
    <cellStyle name="40% - Énfasis5 18 14" xfId="11595" xr:uid="{00000000-0005-0000-0000-0000542D0000}"/>
    <cellStyle name="40% - Énfasis5 18 15" xfId="11596" xr:uid="{00000000-0005-0000-0000-0000552D0000}"/>
    <cellStyle name="40% - Énfasis5 18 16" xfId="11597" xr:uid="{00000000-0005-0000-0000-0000562D0000}"/>
    <cellStyle name="40% - Énfasis5 18 17" xfId="11598" xr:uid="{00000000-0005-0000-0000-0000572D0000}"/>
    <cellStyle name="40% - Énfasis5 18 18" xfId="11599" xr:uid="{00000000-0005-0000-0000-0000582D0000}"/>
    <cellStyle name="40% - Énfasis5 18 19" xfId="11600" xr:uid="{00000000-0005-0000-0000-0000592D0000}"/>
    <cellStyle name="40% - Énfasis5 18 2" xfId="11601" xr:uid="{00000000-0005-0000-0000-00005A2D0000}"/>
    <cellStyle name="40% - Énfasis5 18 3" xfId="11602" xr:uid="{00000000-0005-0000-0000-00005B2D0000}"/>
    <cellStyle name="40% - Énfasis5 18 4" xfId="11603" xr:uid="{00000000-0005-0000-0000-00005C2D0000}"/>
    <cellStyle name="40% - Énfasis5 18 5" xfId="11604" xr:uid="{00000000-0005-0000-0000-00005D2D0000}"/>
    <cellStyle name="40% - Énfasis5 18 6" xfId="11605" xr:uid="{00000000-0005-0000-0000-00005E2D0000}"/>
    <cellStyle name="40% - Énfasis5 18 7" xfId="11606" xr:uid="{00000000-0005-0000-0000-00005F2D0000}"/>
    <cellStyle name="40% - Énfasis5 18 8" xfId="11607" xr:uid="{00000000-0005-0000-0000-0000602D0000}"/>
    <cellStyle name="40% - Énfasis5 18 9" xfId="11608" xr:uid="{00000000-0005-0000-0000-0000612D0000}"/>
    <cellStyle name="40% - Énfasis5 19" xfId="11609" xr:uid="{00000000-0005-0000-0000-0000622D0000}"/>
    <cellStyle name="40% - Énfasis5 19 10" xfId="11610" xr:uid="{00000000-0005-0000-0000-0000632D0000}"/>
    <cellStyle name="40% - Énfasis5 19 11" xfId="11611" xr:uid="{00000000-0005-0000-0000-0000642D0000}"/>
    <cellStyle name="40% - Énfasis5 19 12" xfId="11612" xr:uid="{00000000-0005-0000-0000-0000652D0000}"/>
    <cellStyle name="40% - Énfasis5 19 13" xfId="11613" xr:uid="{00000000-0005-0000-0000-0000662D0000}"/>
    <cellStyle name="40% - Énfasis5 19 14" xfId="11614" xr:uid="{00000000-0005-0000-0000-0000672D0000}"/>
    <cellStyle name="40% - Énfasis5 19 15" xfId="11615" xr:uid="{00000000-0005-0000-0000-0000682D0000}"/>
    <cellStyle name="40% - Énfasis5 19 16" xfId="11616" xr:uid="{00000000-0005-0000-0000-0000692D0000}"/>
    <cellStyle name="40% - Énfasis5 19 17" xfId="11617" xr:uid="{00000000-0005-0000-0000-00006A2D0000}"/>
    <cellStyle name="40% - Énfasis5 19 18" xfId="11618" xr:uid="{00000000-0005-0000-0000-00006B2D0000}"/>
    <cellStyle name="40% - Énfasis5 19 19" xfId="11619" xr:uid="{00000000-0005-0000-0000-00006C2D0000}"/>
    <cellStyle name="40% - Énfasis5 19 2" xfId="11620" xr:uid="{00000000-0005-0000-0000-00006D2D0000}"/>
    <cellStyle name="40% - Énfasis5 19 3" xfId="11621" xr:uid="{00000000-0005-0000-0000-00006E2D0000}"/>
    <cellStyle name="40% - Énfasis5 19 4" xfId="11622" xr:uid="{00000000-0005-0000-0000-00006F2D0000}"/>
    <cellStyle name="40% - Énfasis5 19 5" xfId="11623" xr:uid="{00000000-0005-0000-0000-0000702D0000}"/>
    <cellStyle name="40% - Énfasis5 19 6" xfId="11624" xr:uid="{00000000-0005-0000-0000-0000712D0000}"/>
    <cellStyle name="40% - Énfasis5 19 7" xfId="11625" xr:uid="{00000000-0005-0000-0000-0000722D0000}"/>
    <cellStyle name="40% - Énfasis5 19 8" xfId="11626" xr:uid="{00000000-0005-0000-0000-0000732D0000}"/>
    <cellStyle name="40% - Énfasis5 19 9" xfId="11627" xr:uid="{00000000-0005-0000-0000-0000742D0000}"/>
    <cellStyle name="40% - Énfasis5 2" xfId="11628" xr:uid="{00000000-0005-0000-0000-0000752D0000}"/>
    <cellStyle name="40% - Énfasis5 2 10" xfId="11629" xr:uid="{00000000-0005-0000-0000-0000762D0000}"/>
    <cellStyle name="40% - Énfasis5 2 11" xfId="11630" xr:uid="{00000000-0005-0000-0000-0000772D0000}"/>
    <cellStyle name="40% - Énfasis5 2 12" xfId="11631" xr:uid="{00000000-0005-0000-0000-0000782D0000}"/>
    <cellStyle name="40% - Énfasis5 2 13" xfId="11632" xr:uid="{00000000-0005-0000-0000-0000792D0000}"/>
    <cellStyle name="40% - Énfasis5 2 14" xfId="11633" xr:uid="{00000000-0005-0000-0000-00007A2D0000}"/>
    <cellStyle name="40% - Énfasis5 2 15" xfId="11634" xr:uid="{00000000-0005-0000-0000-00007B2D0000}"/>
    <cellStyle name="40% - Énfasis5 2 16" xfId="11635" xr:uid="{00000000-0005-0000-0000-00007C2D0000}"/>
    <cellStyle name="40% - Énfasis5 2 17" xfId="11636" xr:uid="{00000000-0005-0000-0000-00007D2D0000}"/>
    <cellStyle name="40% - Énfasis5 2 18" xfId="11637" xr:uid="{00000000-0005-0000-0000-00007E2D0000}"/>
    <cellStyle name="40% - Énfasis5 2 19" xfId="11638" xr:uid="{00000000-0005-0000-0000-00007F2D0000}"/>
    <cellStyle name="40% - Énfasis5 2 2" xfId="11639" xr:uid="{00000000-0005-0000-0000-0000802D0000}"/>
    <cellStyle name="40% - Énfasis5 2 20" xfId="11640" xr:uid="{00000000-0005-0000-0000-0000812D0000}"/>
    <cellStyle name="40% - Énfasis5 2 3" xfId="11641" xr:uid="{00000000-0005-0000-0000-0000822D0000}"/>
    <cellStyle name="40% - Énfasis5 2 4" xfId="11642" xr:uid="{00000000-0005-0000-0000-0000832D0000}"/>
    <cellStyle name="40% - Énfasis5 2 5" xfId="11643" xr:uid="{00000000-0005-0000-0000-0000842D0000}"/>
    <cellStyle name="40% - Énfasis5 2 6" xfId="11644" xr:uid="{00000000-0005-0000-0000-0000852D0000}"/>
    <cellStyle name="40% - Énfasis5 2 7" xfId="11645" xr:uid="{00000000-0005-0000-0000-0000862D0000}"/>
    <cellStyle name="40% - Énfasis5 2 8" xfId="11646" xr:uid="{00000000-0005-0000-0000-0000872D0000}"/>
    <cellStyle name="40% - Énfasis5 2 9" xfId="11647" xr:uid="{00000000-0005-0000-0000-0000882D0000}"/>
    <cellStyle name="40% - Énfasis5 20" xfId="11648" xr:uid="{00000000-0005-0000-0000-0000892D0000}"/>
    <cellStyle name="40% - Énfasis5 20 10" xfId="11649" xr:uid="{00000000-0005-0000-0000-00008A2D0000}"/>
    <cellStyle name="40% - Énfasis5 20 11" xfId="11650" xr:uid="{00000000-0005-0000-0000-00008B2D0000}"/>
    <cellStyle name="40% - Énfasis5 20 12" xfId="11651" xr:uid="{00000000-0005-0000-0000-00008C2D0000}"/>
    <cellStyle name="40% - Énfasis5 20 13" xfId="11652" xr:uid="{00000000-0005-0000-0000-00008D2D0000}"/>
    <cellStyle name="40% - Énfasis5 20 14" xfId="11653" xr:uid="{00000000-0005-0000-0000-00008E2D0000}"/>
    <cellStyle name="40% - Énfasis5 20 15" xfId="11654" xr:uid="{00000000-0005-0000-0000-00008F2D0000}"/>
    <cellStyle name="40% - Énfasis5 20 16" xfId="11655" xr:uid="{00000000-0005-0000-0000-0000902D0000}"/>
    <cellStyle name="40% - Énfasis5 20 17" xfId="11656" xr:uid="{00000000-0005-0000-0000-0000912D0000}"/>
    <cellStyle name="40% - Énfasis5 20 18" xfId="11657" xr:uid="{00000000-0005-0000-0000-0000922D0000}"/>
    <cellStyle name="40% - Énfasis5 20 19" xfId="11658" xr:uid="{00000000-0005-0000-0000-0000932D0000}"/>
    <cellStyle name="40% - Énfasis5 20 2" xfId="11659" xr:uid="{00000000-0005-0000-0000-0000942D0000}"/>
    <cellStyle name="40% - Énfasis5 20 3" xfId="11660" xr:uid="{00000000-0005-0000-0000-0000952D0000}"/>
    <cellStyle name="40% - Énfasis5 20 4" xfId="11661" xr:uid="{00000000-0005-0000-0000-0000962D0000}"/>
    <cellStyle name="40% - Énfasis5 20 5" xfId="11662" xr:uid="{00000000-0005-0000-0000-0000972D0000}"/>
    <cellStyle name="40% - Énfasis5 20 6" xfId="11663" xr:uid="{00000000-0005-0000-0000-0000982D0000}"/>
    <cellStyle name="40% - Énfasis5 20 7" xfId="11664" xr:uid="{00000000-0005-0000-0000-0000992D0000}"/>
    <cellStyle name="40% - Énfasis5 20 8" xfId="11665" xr:uid="{00000000-0005-0000-0000-00009A2D0000}"/>
    <cellStyle name="40% - Énfasis5 20 9" xfId="11666" xr:uid="{00000000-0005-0000-0000-00009B2D0000}"/>
    <cellStyle name="40% - Énfasis5 21" xfId="11667" xr:uid="{00000000-0005-0000-0000-00009C2D0000}"/>
    <cellStyle name="40% - Énfasis5 21 10" xfId="11668" xr:uid="{00000000-0005-0000-0000-00009D2D0000}"/>
    <cellStyle name="40% - Énfasis5 21 11" xfId="11669" xr:uid="{00000000-0005-0000-0000-00009E2D0000}"/>
    <cellStyle name="40% - Énfasis5 21 12" xfId="11670" xr:uid="{00000000-0005-0000-0000-00009F2D0000}"/>
    <cellStyle name="40% - Énfasis5 21 13" xfId="11671" xr:uid="{00000000-0005-0000-0000-0000A02D0000}"/>
    <cellStyle name="40% - Énfasis5 21 14" xfId="11672" xr:uid="{00000000-0005-0000-0000-0000A12D0000}"/>
    <cellStyle name="40% - Énfasis5 21 15" xfId="11673" xr:uid="{00000000-0005-0000-0000-0000A22D0000}"/>
    <cellStyle name="40% - Énfasis5 21 16" xfId="11674" xr:uid="{00000000-0005-0000-0000-0000A32D0000}"/>
    <cellStyle name="40% - Énfasis5 21 17" xfId="11675" xr:uid="{00000000-0005-0000-0000-0000A42D0000}"/>
    <cellStyle name="40% - Énfasis5 21 18" xfId="11676" xr:uid="{00000000-0005-0000-0000-0000A52D0000}"/>
    <cellStyle name="40% - Énfasis5 21 19" xfId="11677" xr:uid="{00000000-0005-0000-0000-0000A62D0000}"/>
    <cellStyle name="40% - Énfasis5 21 2" xfId="11678" xr:uid="{00000000-0005-0000-0000-0000A72D0000}"/>
    <cellStyle name="40% - Énfasis5 21 3" xfId="11679" xr:uid="{00000000-0005-0000-0000-0000A82D0000}"/>
    <cellStyle name="40% - Énfasis5 21 4" xfId="11680" xr:uid="{00000000-0005-0000-0000-0000A92D0000}"/>
    <cellStyle name="40% - Énfasis5 21 5" xfId="11681" xr:uid="{00000000-0005-0000-0000-0000AA2D0000}"/>
    <cellStyle name="40% - Énfasis5 21 6" xfId="11682" xr:uid="{00000000-0005-0000-0000-0000AB2D0000}"/>
    <cellStyle name="40% - Énfasis5 21 7" xfId="11683" xr:uid="{00000000-0005-0000-0000-0000AC2D0000}"/>
    <cellStyle name="40% - Énfasis5 21 8" xfId="11684" xr:uid="{00000000-0005-0000-0000-0000AD2D0000}"/>
    <cellStyle name="40% - Énfasis5 21 9" xfId="11685" xr:uid="{00000000-0005-0000-0000-0000AE2D0000}"/>
    <cellStyle name="40% - Énfasis5 22" xfId="11686" xr:uid="{00000000-0005-0000-0000-0000AF2D0000}"/>
    <cellStyle name="40% - Énfasis5 22 10" xfId="11687" xr:uid="{00000000-0005-0000-0000-0000B02D0000}"/>
    <cellStyle name="40% - Énfasis5 22 11" xfId="11688" xr:uid="{00000000-0005-0000-0000-0000B12D0000}"/>
    <cellStyle name="40% - Énfasis5 22 12" xfId="11689" xr:uid="{00000000-0005-0000-0000-0000B22D0000}"/>
    <cellStyle name="40% - Énfasis5 22 13" xfId="11690" xr:uid="{00000000-0005-0000-0000-0000B32D0000}"/>
    <cellStyle name="40% - Énfasis5 22 14" xfId="11691" xr:uid="{00000000-0005-0000-0000-0000B42D0000}"/>
    <cellStyle name="40% - Énfasis5 22 15" xfId="11692" xr:uid="{00000000-0005-0000-0000-0000B52D0000}"/>
    <cellStyle name="40% - Énfasis5 22 16" xfId="11693" xr:uid="{00000000-0005-0000-0000-0000B62D0000}"/>
    <cellStyle name="40% - Énfasis5 22 17" xfId="11694" xr:uid="{00000000-0005-0000-0000-0000B72D0000}"/>
    <cellStyle name="40% - Énfasis5 22 18" xfId="11695" xr:uid="{00000000-0005-0000-0000-0000B82D0000}"/>
    <cellStyle name="40% - Énfasis5 22 19" xfId="11696" xr:uid="{00000000-0005-0000-0000-0000B92D0000}"/>
    <cellStyle name="40% - Énfasis5 22 2" xfId="11697" xr:uid="{00000000-0005-0000-0000-0000BA2D0000}"/>
    <cellStyle name="40% - Énfasis5 22 3" xfId="11698" xr:uid="{00000000-0005-0000-0000-0000BB2D0000}"/>
    <cellStyle name="40% - Énfasis5 22 4" xfId="11699" xr:uid="{00000000-0005-0000-0000-0000BC2D0000}"/>
    <cellStyle name="40% - Énfasis5 22 5" xfId="11700" xr:uid="{00000000-0005-0000-0000-0000BD2D0000}"/>
    <cellStyle name="40% - Énfasis5 22 6" xfId="11701" xr:uid="{00000000-0005-0000-0000-0000BE2D0000}"/>
    <cellStyle name="40% - Énfasis5 22 7" xfId="11702" xr:uid="{00000000-0005-0000-0000-0000BF2D0000}"/>
    <cellStyle name="40% - Énfasis5 22 8" xfId="11703" xr:uid="{00000000-0005-0000-0000-0000C02D0000}"/>
    <cellStyle name="40% - Énfasis5 22 9" xfId="11704" xr:uid="{00000000-0005-0000-0000-0000C12D0000}"/>
    <cellStyle name="40% - Énfasis5 23" xfId="11705" xr:uid="{00000000-0005-0000-0000-0000C22D0000}"/>
    <cellStyle name="40% - Énfasis5 23 10" xfId="11706" xr:uid="{00000000-0005-0000-0000-0000C32D0000}"/>
    <cellStyle name="40% - Énfasis5 23 11" xfId="11707" xr:uid="{00000000-0005-0000-0000-0000C42D0000}"/>
    <cellStyle name="40% - Énfasis5 23 12" xfId="11708" xr:uid="{00000000-0005-0000-0000-0000C52D0000}"/>
    <cellStyle name="40% - Énfasis5 23 13" xfId="11709" xr:uid="{00000000-0005-0000-0000-0000C62D0000}"/>
    <cellStyle name="40% - Énfasis5 23 14" xfId="11710" xr:uid="{00000000-0005-0000-0000-0000C72D0000}"/>
    <cellStyle name="40% - Énfasis5 23 15" xfId="11711" xr:uid="{00000000-0005-0000-0000-0000C82D0000}"/>
    <cellStyle name="40% - Énfasis5 23 16" xfId="11712" xr:uid="{00000000-0005-0000-0000-0000C92D0000}"/>
    <cellStyle name="40% - Énfasis5 23 17" xfId="11713" xr:uid="{00000000-0005-0000-0000-0000CA2D0000}"/>
    <cellStyle name="40% - Énfasis5 23 18" xfId="11714" xr:uid="{00000000-0005-0000-0000-0000CB2D0000}"/>
    <cellStyle name="40% - Énfasis5 23 19" xfId="11715" xr:uid="{00000000-0005-0000-0000-0000CC2D0000}"/>
    <cellStyle name="40% - Énfasis5 23 2" xfId="11716" xr:uid="{00000000-0005-0000-0000-0000CD2D0000}"/>
    <cellStyle name="40% - Énfasis5 23 3" xfId="11717" xr:uid="{00000000-0005-0000-0000-0000CE2D0000}"/>
    <cellStyle name="40% - Énfasis5 23 4" xfId="11718" xr:uid="{00000000-0005-0000-0000-0000CF2D0000}"/>
    <cellStyle name="40% - Énfasis5 23 5" xfId="11719" xr:uid="{00000000-0005-0000-0000-0000D02D0000}"/>
    <cellStyle name="40% - Énfasis5 23 6" xfId="11720" xr:uid="{00000000-0005-0000-0000-0000D12D0000}"/>
    <cellStyle name="40% - Énfasis5 23 7" xfId="11721" xr:uid="{00000000-0005-0000-0000-0000D22D0000}"/>
    <cellStyle name="40% - Énfasis5 23 8" xfId="11722" xr:uid="{00000000-0005-0000-0000-0000D32D0000}"/>
    <cellStyle name="40% - Énfasis5 23 9" xfId="11723" xr:uid="{00000000-0005-0000-0000-0000D42D0000}"/>
    <cellStyle name="40% - Énfasis5 24" xfId="11724" xr:uid="{00000000-0005-0000-0000-0000D52D0000}"/>
    <cellStyle name="40% - Énfasis5 24 10" xfId="11725" xr:uid="{00000000-0005-0000-0000-0000D62D0000}"/>
    <cellStyle name="40% - Énfasis5 24 11" xfId="11726" xr:uid="{00000000-0005-0000-0000-0000D72D0000}"/>
    <cellStyle name="40% - Énfasis5 24 12" xfId="11727" xr:uid="{00000000-0005-0000-0000-0000D82D0000}"/>
    <cellStyle name="40% - Énfasis5 24 13" xfId="11728" xr:uid="{00000000-0005-0000-0000-0000D92D0000}"/>
    <cellStyle name="40% - Énfasis5 24 14" xfId="11729" xr:uid="{00000000-0005-0000-0000-0000DA2D0000}"/>
    <cellStyle name="40% - Énfasis5 24 15" xfId="11730" xr:uid="{00000000-0005-0000-0000-0000DB2D0000}"/>
    <cellStyle name="40% - Énfasis5 24 16" xfId="11731" xr:uid="{00000000-0005-0000-0000-0000DC2D0000}"/>
    <cellStyle name="40% - Énfasis5 24 17" xfId="11732" xr:uid="{00000000-0005-0000-0000-0000DD2D0000}"/>
    <cellStyle name="40% - Énfasis5 24 18" xfId="11733" xr:uid="{00000000-0005-0000-0000-0000DE2D0000}"/>
    <cellStyle name="40% - Énfasis5 24 19" xfId="11734" xr:uid="{00000000-0005-0000-0000-0000DF2D0000}"/>
    <cellStyle name="40% - Énfasis5 24 2" xfId="11735" xr:uid="{00000000-0005-0000-0000-0000E02D0000}"/>
    <cellStyle name="40% - Énfasis5 24 3" xfId="11736" xr:uid="{00000000-0005-0000-0000-0000E12D0000}"/>
    <cellStyle name="40% - Énfasis5 24 4" xfId="11737" xr:uid="{00000000-0005-0000-0000-0000E22D0000}"/>
    <cellStyle name="40% - Énfasis5 24 5" xfId="11738" xr:uid="{00000000-0005-0000-0000-0000E32D0000}"/>
    <cellStyle name="40% - Énfasis5 24 6" xfId="11739" xr:uid="{00000000-0005-0000-0000-0000E42D0000}"/>
    <cellStyle name="40% - Énfasis5 24 7" xfId="11740" xr:uid="{00000000-0005-0000-0000-0000E52D0000}"/>
    <cellStyle name="40% - Énfasis5 24 8" xfId="11741" xr:uid="{00000000-0005-0000-0000-0000E62D0000}"/>
    <cellStyle name="40% - Énfasis5 24 9" xfId="11742" xr:uid="{00000000-0005-0000-0000-0000E72D0000}"/>
    <cellStyle name="40% - Énfasis5 25" xfId="11743" xr:uid="{00000000-0005-0000-0000-0000E82D0000}"/>
    <cellStyle name="40% - Énfasis5 25 10" xfId="11744" xr:uid="{00000000-0005-0000-0000-0000E92D0000}"/>
    <cellStyle name="40% - Énfasis5 25 11" xfId="11745" xr:uid="{00000000-0005-0000-0000-0000EA2D0000}"/>
    <cellStyle name="40% - Énfasis5 25 12" xfId="11746" xr:uid="{00000000-0005-0000-0000-0000EB2D0000}"/>
    <cellStyle name="40% - Énfasis5 25 13" xfId="11747" xr:uid="{00000000-0005-0000-0000-0000EC2D0000}"/>
    <cellStyle name="40% - Énfasis5 25 14" xfId="11748" xr:uid="{00000000-0005-0000-0000-0000ED2D0000}"/>
    <cellStyle name="40% - Énfasis5 25 15" xfId="11749" xr:uid="{00000000-0005-0000-0000-0000EE2D0000}"/>
    <cellStyle name="40% - Énfasis5 25 16" xfId="11750" xr:uid="{00000000-0005-0000-0000-0000EF2D0000}"/>
    <cellStyle name="40% - Énfasis5 25 17" xfId="11751" xr:uid="{00000000-0005-0000-0000-0000F02D0000}"/>
    <cellStyle name="40% - Énfasis5 25 18" xfId="11752" xr:uid="{00000000-0005-0000-0000-0000F12D0000}"/>
    <cellStyle name="40% - Énfasis5 25 19" xfId="11753" xr:uid="{00000000-0005-0000-0000-0000F22D0000}"/>
    <cellStyle name="40% - Énfasis5 25 2" xfId="11754" xr:uid="{00000000-0005-0000-0000-0000F32D0000}"/>
    <cellStyle name="40% - Énfasis5 25 3" xfId="11755" xr:uid="{00000000-0005-0000-0000-0000F42D0000}"/>
    <cellStyle name="40% - Énfasis5 25 4" xfId="11756" xr:uid="{00000000-0005-0000-0000-0000F52D0000}"/>
    <cellStyle name="40% - Énfasis5 25 5" xfId="11757" xr:uid="{00000000-0005-0000-0000-0000F62D0000}"/>
    <cellStyle name="40% - Énfasis5 25 6" xfId="11758" xr:uid="{00000000-0005-0000-0000-0000F72D0000}"/>
    <cellStyle name="40% - Énfasis5 25 7" xfId="11759" xr:uid="{00000000-0005-0000-0000-0000F82D0000}"/>
    <cellStyle name="40% - Énfasis5 25 8" xfId="11760" xr:uid="{00000000-0005-0000-0000-0000F92D0000}"/>
    <cellStyle name="40% - Énfasis5 25 9" xfId="11761" xr:uid="{00000000-0005-0000-0000-0000FA2D0000}"/>
    <cellStyle name="40% - Énfasis5 26" xfId="11762" xr:uid="{00000000-0005-0000-0000-0000FB2D0000}"/>
    <cellStyle name="40% - Énfasis5 26 10" xfId="11763" xr:uid="{00000000-0005-0000-0000-0000FC2D0000}"/>
    <cellStyle name="40% - Énfasis5 26 11" xfId="11764" xr:uid="{00000000-0005-0000-0000-0000FD2D0000}"/>
    <cellStyle name="40% - Énfasis5 26 12" xfId="11765" xr:uid="{00000000-0005-0000-0000-0000FE2D0000}"/>
    <cellStyle name="40% - Énfasis5 26 13" xfId="11766" xr:uid="{00000000-0005-0000-0000-0000FF2D0000}"/>
    <cellStyle name="40% - Énfasis5 26 14" xfId="11767" xr:uid="{00000000-0005-0000-0000-0000002E0000}"/>
    <cellStyle name="40% - Énfasis5 26 15" xfId="11768" xr:uid="{00000000-0005-0000-0000-0000012E0000}"/>
    <cellStyle name="40% - Énfasis5 26 16" xfId="11769" xr:uid="{00000000-0005-0000-0000-0000022E0000}"/>
    <cellStyle name="40% - Énfasis5 26 17" xfId="11770" xr:uid="{00000000-0005-0000-0000-0000032E0000}"/>
    <cellStyle name="40% - Énfasis5 26 18" xfId="11771" xr:uid="{00000000-0005-0000-0000-0000042E0000}"/>
    <cellStyle name="40% - Énfasis5 26 19" xfId="11772" xr:uid="{00000000-0005-0000-0000-0000052E0000}"/>
    <cellStyle name="40% - Énfasis5 26 2" xfId="11773" xr:uid="{00000000-0005-0000-0000-0000062E0000}"/>
    <cellStyle name="40% - Énfasis5 26 3" xfId="11774" xr:uid="{00000000-0005-0000-0000-0000072E0000}"/>
    <cellStyle name="40% - Énfasis5 26 4" xfId="11775" xr:uid="{00000000-0005-0000-0000-0000082E0000}"/>
    <cellStyle name="40% - Énfasis5 26 5" xfId="11776" xr:uid="{00000000-0005-0000-0000-0000092E0000}"/>
    <cellStyle name="40% - Énfasis5 26 6" xfId="11777" xr:uid="{00000000-0005-0000-0000-00000A2E0000}"/>
    <cellStyle name="40% - Énfasis5 26 7" xfId="11778" xr:uid="{00000000-0005-0000-0000-00000B2E0000}"/>
    <cellStyle name="40% - Énfasis5 26 8" xfId="11779" xr:uid="{00000000-0005-0000-0000-00000C2E0000}"/>
    <cellStyle name="40% - Énfasis5 26 9" xfId="11780" xr:uid="{00000000-0005-0000-0000-00000D2E0000}"/>
    <cellStyle name="40% - Énfasis5 27" xfId="11781" xr:uid="{00000000-0005-0000-0000-00000E2E0000}"/>
    <cellStyle name="40% - Énfasis5 27 10" xfId="11782" xr:uid="{00000000-0005-0000-0000-00000F2E0000}"/>
    <cellStyle name="40% - Énfasis5 27 11" xfId="11783" xr:uid="{00000000-0005-0000-0000-0000102E0000}"/>
    <cellStyle name="40% - Énfasis5 27 12" xfId="11784" xr:uid="{00000000-0005-0000-0000-0000112E0000}"/>
    <cellStyle name="40% - Énfasis5 27 13" xfId="11785" xr:uid="{00000000-0005-0000-0000-0000122E0000}"/>
    <cellStyle name="40% - Énfasis5 27 14" xfId="11786" xr:uid="{00000000-0005-0000-0000-0000132E0000}"/>
    <cellStyle name="40% - Énfasis5 27 15" xfId="11787" xr:uid="{00000000-0005-0000-0000-0000142E0000}"/>
    <cellStyle name="40% - Énfasis5 27 16" xfId="11788" xr:uid="{00000000-0005-0000-0000-0000152E0000}"/>
    <cellStyle name="40% - Énfasis5 27 17" xfId="11789" xr:uid="{00000000-0005-0000-0000-0000162E0000}"/>
    <cellStyle name="40% - Énfasis5 27 18" xfId="11790" xr:uid="{00000000-0005-0000-0000-0000172E0000}"/>
    <cellStyle name="40% - Énfasis5 27 19" xfId="11791" xr:uid="{00000000-0005-0000-0000-0000182E0000}"/>
    <cellStyle name="40% - Énfasis5 27 2" xfId="11792" xr:uid="{00000000-0005-0000-0000-0000192E0000}"/>
    <cellStyle name="40% - Énfasis5 27 3" xfId="11793" xr:uid="{00000000-0005-0000-0000-00001A2E0000}"/>
    <cellStyle name="40% - Énfasis5 27 4" xfId="11794" xr:uid="{00000000-0005-0000-0000-00001B2E0000}"/>
    <cellStyle name="40% - Énfasis5 27 5" xfId="11795" xr:uid="{00000000-0005-0000-0000-00001C2E0000}"/>
    <cellStyle name="40% - Énfasis5 27 6" xfId="11796" xr:uid="{00000000-0005-0000-0000-00001D2E0000}"/>
    <cellStyle name="40% - Énfasis5 27 7" xfId="11797" xr:uid="{00000000-0005-0000-0000-00001E2E0000}"/>
    <cellStyle name="40% - Énfasis5 27 8" xfId="11798" xr:uid="{00000000-0005-0000-0000-00001F2E0000}"/>
    <cellStyle name="40% - Énfasis5 27 9" xfId="11799" xr:uid="{00000000-0005-0000-0000-0000202E0000}"/>
    <cellStyle name="40% - Énfasis5 28" xfId="11800" xr:uid="{00000000-0005-0000-0000-0000212E0000}"/>
    <cellStyle name="40% - Énfasis5 28 10" xfId="11801" xr:uid="{00000000-0005-0000-0000-0000222E0000}"/>
    <cellStyle name="40% - Énfasis5 28 11" xfId="11802" xr:uid="{00000000-0005-0000-0000-0000232E0000}"/>
    <cellStyle name="40% - Énfasis5 28 12" xfId="11803" xr:uid="{00000000-0005-0000-0000-0000242E0000}"/>
    <cellStyle name="40% - Énfasis5 28 13" xfId="11804" xr:uid="{00000000-0005-0000-0000-0000252E0000}"/>
    <cellStyle name="40% - Énfasis5 28 14" xfId="11805" xr:uid="{00000000-0005-0000-0000-0000262E0000}"/>
    <cellStyle name="40% - Énfasis5 28 15" xfId="11806" xr:uid="{00000000-0005-0000-0000-0000272E0000}"/>
    <cellStyle name="40% - Énfasis5 28 16" xfId="11807" xr:uid="{00000000-0005-0000-0000-0000282E0000}"/>
    <cellStyle name="40% - Énfasis5 28 17" xfId="11808" xr:uid="{00000000-0005-0000-0000-0000292E0000}"/>
    <cellStyle name="40% - Énfasis5 28 18" xfId="11809" xr:uid="{00000000-0005-0000-0000-00002A2E0000}"/>
    <cellStyle name="40% - Énfasis5 28 19" xfId="11810" xr:uid="{00000000-0005-0000-0000-00002B2E0000}"/>
    <cellStyle name="40% - Énfasis5 28 2" xfId="11811" xr:uid="{00000000-0005-0000-0000-00002C2E0000}"/>
    <cellStyle name="40% - Énfasis5 28 3" xfId="11812" xr:uid="{00000000-0005-0000-0000-00002D2E0000}"/>
    <cellStyle name="40% - Énfasis5 28 4" xfId="11813" xr:uid="{00000000-0005-0000-0000-00002E2E0000}"/>
    <cellStyle name="40% - Énfasis5 28 5" xfId="11814" xr:uid="{00000000-0005-0000-0000-00002F2E0000}"/>
    <cellStyle name="40% - Énfasis5 28 6" xfId="11815" xr:uid="{00000000-0005-0000-0000-0000302E0000}"/>
    <cellStyle name="40% - Énfasis5 28 7" xfId="11816" xr:uid="{00000000-0005-0000-0000-0000312E0000}"/>
    <cellStyle name="40% - Énfasis5 28 8" xfId="11817" xr:uid="{00000000-0005-0000-0000-0000322E0000}"/>
    <cellStyle name="40% - Énfasis5 28 9" xfId="11818" xr:uid="{00000000-0005-0000-0000-0000332E0000}"/>
    <cellStyle name="40% - Énfasis5 29" xfId="11819" xr:uid="{00000000-0005-0000-0000-0000342E0000}"/>
    <cellStyle name="40% - Énfasis5 29 10" xfId="11820" xr:uid="{00000000-0005-0000-0000-0000352E0000}"/>
    <cellStyle name="40% - Énfasis5 29 11" xfId="11821" xr:uid="{00000000-0005-0000-0000-0000362E0000}"/>
    <cellStyle name="40% - Énfasis5 29 12" xfId="11822" xr:uid="{00000000-0005-0000-0000-0000372E0000}"/>
    <cellStyle name="40% - Énfasis5 29 13" xfId="11823" xr:uid="{00000000-0005-0000-0000-0000382E0000}"/>
    <cellStyle name="40% - Énfasis5 29 14" xfId="11824" xr:uid="{00000000-0005-0000-0000-0000392E0000}"/>
    <cellStyle name="40% - Énfasis5 29 15" xfId="11825" xr:uid="{00000000-0005-0000-0000-00003A2E0000}"/>
    <cellStyle name="40% - Énfasis5 29 16" xfId="11826" xr:uid="{00000000-0005-0000-0000-00003B2E0000}"/>
    <cellStyle name="40% - Énfasis5 29 17" xfId="11827" xr:uid="{00000000-0005-0000-0000-00003C2E0000}"/>
    <cellStyle name="40% - Énfasis5 29 18" xfId="11828" xr:uid="{00000000-0005-0000-0000-00003D2E0000}"/>
    <cellStyle name="40% - Énfasis5 29 19" xfId="11829" xr:uid="{00000000-0005-0000-0000-00003E2E0000}"/>
    <cellStyle name="40% - Énfasis5 29 2" xfId="11830" xr:uid="{00000000-0005-0000-0000-00003F2E0000}"/>
    <cellStyle name="40% - Énfasis5 29 3" xfId="11831" xr:uid="{00000000-0005-0000-0000-0000402E0000}"/>
    <cellStyle name="40% - Énfasis5 29 4" xfId="11832" xr:uid="{00000000-0005-0000-0000-0000412E0000}"/>
    <cellStyle name="40% - Énfasis5 29 5" xfId="11833" xr:uid="{00000000-0005-0000-0000-0000422E0000}"/>
    <cellStyle name="40% - Énfasis5 29 6" xfId="11834" xr:uid="{00000000-0005-0000-0000-0000432E0000}"/>
    <cellStyle name="40% - Énfasis5 29 7" xfId="11835" xr:uid="{00000000-0005-0000-0000-0000442E0000}"/>
    <cellStyle name="40% - Énfasis5 29 8" xfId="11836" xr:uid="{00000000-0005-0000-0000-0000452E0000}"/>
    <cellStyle name="40% - Énfasis5 29 9" xfId="11837" xr:uid="{00000000-0005-0000-0000-0000462E0000}"/>
    <cellStyle name="40% - Énfasis5 3" xfId="11838" xr:uid="{00000000-0005-0000-0000-0000472E0000}"/>
    <cellStyle name="40% - Énfasis5 3 10" xfId="11839" xr:uid="{00000000-0005-0000-0000-0000482E0000}"/>
    <cellStyle name="40% - Énfasis5 3 11" xfId="11840" xr:uid="{00000000-0005-0000-0000-0000492E0000}"/>
    <cellStyle name="40% - Énfasis5 3 12" xfId="11841" xr:uid="{00000000-0005-0000-0000-00004A2E0000}"/>
    <cellStyle name="40% - Énfasis5 3 13" xfId="11842" xr:uid="{00000000-0005-0000-0000-00004B2E0000}"/>
    <cellStyle name="40% - Énfasis5 3 14" xfId="11843" xr:uid="{00000000-0005-0000-0000-00004C2E0000}"/>
    <cellStyle name="40% - Énfasis5 3 15" xfId="11844" xr:uid="{00000000-0005-0000-0000-00004D2E0000}"/>
    <cellStyle name="40% - Énfasis5 3 16" xfId="11845" xr:uid="{00000000-0005-0000-0000-00004E2E0000}"/>
    <cellStyle name="40% - Énfasis5 3 17" xfId="11846" xr:uid="{00000000-0005-0000-0000-00004F2E0000}"/>
    <cellStyle name="40% - Énfasis5 3 18" xfId="11847" xr:uid="{00000000-0005-0000-0000-0000502E0000}"/>
    <cellStyle name="40% - Énfasis5 3 19" xfId="11848" xr:uid="{00000000-0005-0000-0000-0000512E0000}"/>
    <cellStyle name="40% - Énfasis5 3 2" xfId="11849" xr:uid="{00000000-0005-0000-0000-0000522E0000}"/>
    <cellStyle name="40% - Énfasis5 3 20" xfId="11850" xr:uid="{00000000-0005-0000-0000-0000532E0000}"/>
    <cellStyle name="40% - Énfasis5 3 3" xfId="11851" xr:uid="{00000000-0005-0000-0000-0000542E0000}"/>
    <cellStyle name="40% - Énfasis5 3 4" xfId="11852" xr:uid="{00000000-0005-0000-0000-0000552E0000}"/>
    <cellStyle name="40% - Énfasis5 3 5" xfId="11853" xr:uid="{00000000-0005-0000-0000-0000562E0000}"/>
    <cellStyle name="40% - Énfasis5 3 6" xfId="11854" xr:uid="{00000000-0005-0000-0000-0000572E0000}"/>
    <cellStyle name="40% - Énfasis5 3 7" xfId="11855" xr:uid="{00000000-0005-0000-0000-0000582E0000}"/>
    <cellStyle name="40% - Énfasis5 3 8" xfId="11856" xr:uid="{00000000-0005-0000-0000-0000592E0000}"/>
    <cellStyle name="40% - Énfasis5 3 9" xfId="11857" xr:uid="{00000000-0005-0000-0000-00005A2E0000}"/>
    <cellStyle name="40% - Énfasis5 30" xfId="11858" xr:uid="{00000000-0005-0000-0000-00005B2E0000}"/>
    <cellStyle name="40% - Énfasis5 30 10" xfId="11859" xr:uid="{00000000-0005-0000-0000-00005C2E0000}"/>
    <cellStyle name="40% - Énfasis5 30 11" xfId="11860" xr:uid="{00000000-0005-0000-0000-00005D2E0000}"/>
    <cellStyle name="40% - Énfasis5 30 12" xfId="11861" xr:uid="{00000000-0005-0000-0000-00005E2E0000}"/>
    <cellStyle name="40% - Énfasis5 30 13" xfId="11862" xr:uid="{00000000-0005-0000-0000-00005F2E0000}"/>
    <cellStyle name="40% - Énfasis5 30 14" xfId="11863" xr:uid="{00000000-0005-0000-0000-0000602E0000}"/>
    <cellStyle name="40% - Énfasis5 30 15" xfId="11864" xr:uid="{00000000-0005-0000-0000-0000612E0000}"/>
    <cellStyle name="40% - Énfasis5 30 16" xfId="11865" xr:uid="{00000000-0005-0000-0000-0000622E0000}"/>
    <cellStyle name="40% - Énfasis5 30 17" xfId="11866" xr:uid="{00000000-0005-0000-0000-0000632E0000}"/>
    <cellStyle name="40% - Énfasis5 30 18" xfId="11867" xr:uid="{00000000-0005-0000-0000-0000642E0000}"/>
    <cellStyle name="40% - Énfasis5 30 19" xfId="11868" xr:uid="{00000000-0005-0000-0000-0000652E0000}"/>
    <cellStyle name="40% - Énfasis5 30 2" xfId="11869" xr:uid="{00000000-0005-0000-0000-0000662E0000}"/>
    <cellStyle name="40% - Énfasis5 30 3" xfId="11870" xr:uid="{00000000-0005-0000-0000-0000672E0000}"/>
    <cellStyle name="40% - Énfasis5 30 4" xfId="11871" xr:uid="{00000000-0005-0000-0000-0000682E0000}"/>
    <cellStyle name="40% - Énfasis5 30 5" xfId="11872" xr:uid="{00000000-0005-0000-0000-0000692E0000}"/>
    <cellStyle name="40% - Énfasis5 30 6" xfId="11873" xr:uid="{00000000-0005-0000-0000-00006A2E0000}"/>
    <cellStyle name="40% - Énfasis5 30 7" xfId="11874" xr:uid="{00000000-0005-0000-0000-00006B2E0000}"/>
    <cellStyle name="40% - Énfasis5 30 8" xfId="11875" xr:uid="{00000000-0005-0000-0000-00006C2E0000}"/>
    <cellStyle name="40% - Énfasis5 30 9" xfId="11876" xr:uid="{00000000-0005-0000-0000-00006D2E0000}"/>
    <cellStyle name="40% - Énfasis5 31" xfId="11877" xr:uid="{00000000-0005-0000-0000-00006E2E0000}"/>
    <cellStyle name="40% - Énfasis5 31 10" xfId="11878" xr:uid="{00000000-0005-0000-0000-00006F2E0000}"/>
    <cellStyle name="40% - Énfasis5 31 11" xfId="11879" xr:uid="{00000000-0005-0000-0000-0000702E0000}"/>
    <cellStyle name="40% - Énfasis5 31 12" xfId="11880" xr:uid="{00000000-0005-0000-0000-0000712E0000}"/>
    <cellStyle name="40% - Énfasis5 31 13" xfId="11881" xr:uid="{00000000-0005-0000-0000-0000722E0000}"/>
    <cellStyle name="40% - Énfasis5 31 14" xfId="11882" xr:uid="{00000000-0005-0000-0000-0000732E0000}"/>
    <cellStyle name="40% - Énfasis5 31 15" xfId="11883" xr:uid="{00000000-0005-0000-0000-0000742E0000}"/>
    <cellStyle name="40% - Énfasis5 31 16" xfId="11884" xr:uid="{00000000-0005-0000-0000-0000752E0000}"/>
    <cellStyle name="40% - Énfasis5 31 17" xfId="11885" xr:uid="{00000000-0005-0000-0000-0000762E0000}"/>
    <cellStyle name="40% - Énfasis5 31 18" xfId="11886" xr:uid="{00000000-0005-0000-0000-0000772E0000}"/>
    <cellStyle name="40% - Énfasis5 31 19" xfId="11887" xr:uid="{00000000-0005-0000-0000-0000782E0000}"/>
    <cellStyle name="40% - Énfasis5 31 2" xfId="11888" xr:uid="{00000000-0005-0000-0000-0000792E0000}"/>
    <cellStyle name="40% - Énfasis5 31 3" xfId="11889" xr:uid="{00000000-0005-0000-0000-00007A2E0000}"/>
    <cellStyle name="40% - Énfasis5 31 4" xfId="11890" xr:uid="{00000000-0005-0000-0000-00007B2E0000}"/>
    <cellStyle name="40% - Énfasis5 31 5" xfId="11891" xr:uid="{00000000-0005-0000-0000-00007C2E0000}"/>
    <cellStyle name="40% - Énfasis5 31 6" xfId="11892" xr:uid="{00000000-0005-0000-0000-00007D2E0000}"/>
    <cellStyle name="40% - Énfasis5 31 7" xfId="11893" xr:uid="{00000000-0005-0000-0000-00007E2E0000}"/>
    <cellStyle name="40% - Énfasis5 31 8" xfId="11894" xr:uid="{00000000-0005-0000-0000-00007F2E0000}"/>
    <cellStyle name="40% - Énfasis5 31 9" xfId="11895" xr:uid="{00000000-0005-0000-0000-0000802E0000}"/>
    <cellStyle name="40% - Énfasis5 32" xfId="11896" xr:uid="{00000000-0005-0000-0000-0000812E0000}"/>
    <cellStyle name="40% - Énfasis5 32 10" xfId="11897" xr:uid="{00000000-0005-0000-0000-0000822E0000}"/>
    <cellStyle name="40% - Énfasis5 32 11" xfId="11898" xr:uid="{00000000-0005-0000-0000-0000832E0000}"/>
    <cellStyle name="40% - Énfasis5 32 12" xfId="11899" xr:uid="{00000000-0005-0000-0000-0000842E0000}"/>
    <cellStyle name="40% - Énfasis5 32 13" xfId="11900" xr:uid="{00000000-0005-0000-0000-0000852E0000}"/>
    <cellStyle name="40% - Énfasis5 32 14" xfId="11901" xr:uid="{00000000-0005-0000-0000-0000862E0000}"/>
    <cellStyle name="40% - Énfasis5 32 15" xfId="11902" xr:uid="{00000000-0005-0000-0000-0000872E0000}"/>
    <cellStyle name="40% - Énfasis5 32 16" xfId="11903" xr:uid="{00000000-0005-0000-0000-0000882E0000}"/>
    <cellStyle name="40% - Énfasis5 32 17" xfId="11904" xr:uid="{00000000-0005-0000-0000-0000892E0000}"/>
    <cellStyle name="40% - Énfasis5 32 18" xfId="11905" xr:uid="{00000000-0005-0000-0000-00008A2E0000}"/>
    <cellStyle name="40% - Énfasis5 32 19" xfId="11906" xr:uid="{00000000-0005-0000-0000-00008B2E0000}"/>
    <cellStyle name="40% - Énfasis5 32 2" xfId="11907" xr:uid="{00000000-0005-0000-0000-00008C2E0000}"/>
    <cellStyle name="40% - Énfasis5 32 3" xfId="11908" xr:uid="{00000000-0005-0000-0000-00008D2E0000}"/>
    <cellStyle name="40% - Énfasis5 32 4" xfId="11909" xr:uid="{00000000-0005-0000-0000-00008E2E0000}"/>
    <cellStyle name="40% - Énfasis5 32 5" xfId="11910" xr:uid="{00000000-0005-0000-0000-00008F2E0000}"/>
    <cellStyle name="40% - Énfasis5 32 6" xfId="11911" xr:uid="{00000000-0005-0000-0000-0000902E0000}"/>
    <cellStyle name="40% - Énfasis5 32 7" xfId="11912" xr:uid="{00000000-0005-0000-0000-0000912E0000}"/>
    <cellStyle name="40% - Énfasis5 32 8" xfId="11913" xr:uid="{00000000-0005-0000-0000-0000922E0000}"/>
    <cellStyle name="40% - Énfasis5 32 9" xfId="11914" xr:uid="{00000000-0005-0000-0000-0000932E0000}"/>
    <cellStyle name="40% - Énfasis5 33" xfId="11915" xr:uid="{00000000-0005-0000-0000-0000942E0000}"/>
    <cellStyle name="40% - Énfasis5 33 10" xfId="11916" xr:uid="{00000000-0005-0000-0000-0000952E0000}"/>
    <cellStyle name="40% - Énfasis5 33 11" xfId="11917" xr:uid="{00000000-0005-0000-0000-0000962E0000}"/>
    <cellStyle name="40% - Énfasis5 33 12" xfId="11918" xr:uid="{00000000-0005-0000-0000-0000972E0000}"/>
    <cellStyle name="40% - Énfasis5 33 13" xfId="11919" xr:uid="{00000000-0005-0000-0000-0000982E0000}"/>
    <cellStyle name="40% - Énfasis5 33 14" xfId="11920" xr:uid="{00000000-0005-0000-0000-0000992E0000}"/>
    <cellStyle name="40% - Énfasis5 33 15" xfId="11921" xr:uid="{00000000-0005-0000-0000-00009A2E0000}"/>
    <cellStyle name="40% - Énfasis5 33 16" xfId="11922" xr:uid="{00000000-0005-0000-0000-00009B2E0000}"/>
    <cellStyle name="40% - Énfasis5 33 17" xfId="11923" xr:uid="{00000000-0005-0000-0000-00009C2E0000}"/>
    <cellStyle name="40% - Énfasis5 33 18" xfId="11924" xr:uid="{00000000-0005-0000-0000-00009D2E0000}"/>
    <cellStyle name="40% - Énfasis5 33 19" xfId="11925" xr:uid="{00000000-0005-0000-0000-00009E2E0000}"/>
    <cellStyle name="40% - Énfasis5 33 2" xfId="11926" xr:uid="{00000000-0005-0000-0000-00009F2E0000}"/>
    <cellStyle name="40% - Énfasis5 33 3" xfId="11927" xr:uid="{00000000-0005-0000-0000-0000A02E0000}"/>
    <cellStyle name="40% - Énfasis5 33 4" xfId="11928" xr:uid="{00000000-0005-0000-0000-0000A12E0000}"/>
    <cellStyle name="40% - Énfasis5 33 5" xfId="11929" xr:uid="{00000000-0005-0000-0000-0000A22E0000}"/>
    <cellStyle name="40% - Énfasis5 33 6" xfId="11930" xr:uid="{00000000-0005-0000-0000-0000A32E0000}"/>
    <cellStyle name="40% - Énfasis5 33 7" xfId="11931" xr:uid="{00000000-0005-0000-0000-0000A42E0000}"/>
    <cellStyle name="40% - Énfasis5 33 8" xfId="11932" xr:uid="{00000000-0005-0000-0000-0000A52E0000}"/>
    <cellStyle name="40% - Énfasis5 33 9" xfId="11933" xr:uid="{00000000-0005-0000-0000-0000A62E0000}"/>
    <cellStyle name="40% - Énfasis5 34" xfId="11934" xr:uid="{00000000-0005-0000-0000-0000A72E0000}"/>
    <cellStyle name="40% - Énfasis5 34 10" xfId="11935" xr:uid="{00000000-0005-0000-0000-0000A82E0000}"/>
    <cellStyle name="40% - Énfasis5 34 11" xfId="11936" xr:uid="{00000000-0005-0000-0000-0000A92E0000}"/>
    <cellStyle name="40% - Énfasis5 34 12" xfId="11937" xr:uid="{00000000-0005-0000-0000-0000AA2E0000}"/>
    <cellStyle name="40% - Énfasis5 34 13" xfId="11938" xr:uid="{00000000-0005-0000-0000-0000AB2E0000}"/>
    <cellStyle name="40% - Énfasis5 34 14" xfId="11939" xr:uid="{00000000-0005-0000-0000-0000AC2E0000}"/>
    <cellStyle name="40% - Énfasis5 34 15" xfId="11940" xr:uid="{00000000-0005-0000-0000-0000AD2E0000}"/>
    <cellStyle name="40% - Énfasis5 34 16" xfId="11941" xr:uid="{00000000-0005-0000-0000-0000AE2E0000}"/>
    <cellStyle name="40% - Énfasis5 34 17" xfId="11942" xr:uid="{00000000-0005-0000-0000-0000AF2E0000}"/>
    <cellStyle name="40% - Énfasis5 34 18" xfId="11943" xr:uid="{00000000-0005-0000-0000-0000B02E0000}"/>
    <cellStyle name="40% - Énfasis5 34 19" xfId="11944" xr:uid="{00000000-0005-0000-0000-0000B12E0000}"/>
    <cellStyle name="40% - Énfasis5 34 2" xfId="11945" xr:uid="{00000000-0005-0000-0000-0000B22E0000}"/>
    <cellStyle name="40% - Énfasis5 34 3" xfId="11946" xr:uid="{00000000-0005-0000-0000-0000B32E0000}"/>
    <cellStyle name="40% - Énfasis5 34 4" xfId="11947" xr:uid="{00000000-0005-0000-0000-0000B42E0000}"/>
    <cellStyle name="40% - Énfasis5 34 5" xfId="11948" xr:uid="{00000000-0005-0000-0000-0000B52E0000}"/>
    <cellStyle name="40% - Énfasis5 34 6" xfId="11949" xr:uid="{00000000-0005-0000-0000-0000B62E0000}"/>
    <cellStyle name="40% - Énfasis5 34 7" xfId="11950" xr:uid="{00000000-0005-0000-0000-0000B72E0000}"/>
    <cellStyle name="40% - Énfasis5 34 8" xfId="11951" xr:uid="{00000000-0005-0000-0000-0000B82E0000}"/>
    <cellStyle name="40% - Énfasis5 34 9" xfId="11952" xr:uid="{00000000-0005-0000-0000-0000B92E0000}"/>
    <cellStyle name="40% - Énfasis5 35" xfId="11953" xr:uid="{00000000-0005-0000-0000-0000BA2E0000}"/>
    <cellStyle name="40% - Énfasis5 35 10" xfId="11954" xr:uid="{00000000-0005-0000-0000-0000BB2E0000}"/>
    <cellStyle name="40% - Énfasis5 35 11" xfId="11955" xr:uid="{00000000-0005-0000-0000-0000BC2E0000}"/>
    <cellStyle name="40% - Énfasis5 35 12" xfId="11956" xr:uid="{00000000-0005-0000-0000-0000BD2E0000}"/>
    <cellStyle name="40% - Énfasis5 35 13" xfId="11957" xr:uid="{00000000-0005-0000-0000-0000BE2E0000}"/>
    <cellStyle name="40% - Énfasis5 35 14" xfId="11958" xr:uid="{00000000-0005-0000-0000-0000BF2E0000}"/>
    <cellStyle name="40% - Énfasis5 35 15" xfId="11959" xr:uid="{00000000-0005-0000-0000-0000C02E0000}"/>
    <cellStyle name="40% - Énfasis5 35 16" xfId="11960" xr:uid="{00000000-0005-0000-0000-0000C12E0000}"/>
    <cellStyle name="40% - Énfasis5 35 17" xfId="11961" xr:uid="{00000000-0005-0000-0000-0000C22E0000}"/>
    <cellStyle name="40% - Énfasis5 35 18" xfId="11962" xr:uid="{00000000-0005-0000-0000-0000C32E0000}"/>
    <cellStyle name="40% - Énfasis5 35 19" xfId="11963" xr:uid="{00000000-0005-0000-0000-0000C42E0000}"/>
    <cellStyle name="40% - Énfasis5 35 2" xfId="11964" xr:uid="{00000000-0005-0000-0000-0000C52E0000}"/>
    <cellStyle name="40% - Énfasis5 35 3" xfId="11965" xr:uid="{00000000-0005-0000-0000-0000C62E0000}"/>
    <cellStyle name="40% - Énfasis5 35 4" xfId="11966" xr:uid="{00000000-0005-0000-0000-0000C72E0000}"/>
    <cellStyle name="40% - Énfasis5 35 5" xfId="11967" xr:uid="{00000000-0005-0000-0000-0000C82E0000}"/>
    <cellStyle name="40% - Énfasis5 35 6" xfId="11968" xr:uid="{00000000-0005-0000-0000-0000C92E0000}"/>
    <cellStyle name="40% - Énfasis5 35 7" xfId="11969" xr:uid="{00000000-0005-0000-0000-0000CA2E0000}"/>
    <cellStyle name="40% - Énfasis5 35 8" xfId="11970" xr:uid="{00000000-0005-0000-0000-0000CB2E0000}"/>
    <cellStyle name="40% - Énfasis5 35 9" xfId="11971" xr:uid="{00000000-0005-0000-0000-0000CC2E0000}"/>
    <cellStyle name="40% - Énfasis5 36" xfId="11972" xr:uid="{00000000-0005-0000-0000-0000CD2E0000}"/>
    <cellStyle name="40% - Énfasis5 36 10" xfId="11973" xr:uid="{00000000-0005-0000-0000-0000CE2E0000}"/>
    <cellStyle name="40% - Énfasis5 36 11" xfId="11974" xr:uid="{00000000-0005-0000-0000-0000CF2E0000}"/>
    <cellStyle name="40% - Énfasis5 36 12" xfId="11975" xr:uid="{00000000-0005-0000-0000-0000D02E0000}"/>
    <cellStyle name="40% - Énfasis5 36 13" xfId="11976" xr:uid="{00000000-0005-0000-0000-0000D12E0000}"/>
    <cellStyle name="40% - Énfasis5 36 14" xfId="11977" xr:uid="{00000000-0005-0000-0000-0000D22E0000}"/>
    <cellStyle name="40% - Énfasis5 36 15" xfId="11978" xr:uid="{00000000-0005-0000-0000-0000D32E0000}"/>
    <cellStyle name="40% - Énfasis5 36 16" xfId="11979" xr:uid="{00000000-0005-0000-0000-0000D42E0000}"/>
    <cellStyle name="40% - Énfasis5 36 17" xfId="11980" xr:uid="{00000000-0005-0000-0000-0000D52E0000}"/>
    <cellStyle name="40% - Énfasis5 36 18" xfId="11981" xr:uid="{00000000-0005-0000-0000-0000D62E0000}"/>
    <cellStyle name="40% - Énfasis5 36 19" xfId="11982" xr:uid="{00000000-0005-0000-0000-0000D72E0000}"/>
    <cellStyle name="40% - Énfasis5 36 2" xfId="11983" xr:uid="{00000000-0005-0000-0000-0000D82E0000}"/>
    <cellStyle name="40% - Énfasis5 36 3" xfId="11984" xr:uid="{00000000-0005-0000-0000-0000D92E0000}"/>
    <cellStyle name="40% - Énfasis5 36 4" xfId="11985" xr:uid="{00000000-0005-0000-0000-0000DA2E0000}"/>
    <cellStyle name="40% - Énfasis5 36 5" xfId="11986" xr:uid="{00000000-0005-0000-0000-0000DB2E0000}"/>
    <cellStyle name="40% - Énfasis5 36 6" xfId="11987" xr:uid="{00000000-0005-0000-0000-0000DC2E0000}"/>
    <cellStyle name="40% - Énfasis5 36 7" xfId="11988" xr:uid="{00000000-0005-0000-0000-0000DD2E0000}"/>
    <cellStyle name="40% - Énfasis5 36 8" xfId="11989" xr:uid="{00000000-0005-0000-0000-0000DE2E0000}"/>
    <cellStyle name="40% - Énfasis5 36 9" xfId="11990" xr:uid="{00000000-0005-0000-0000-0000DF2E0000}"/>
    <cellStyle name="40% - Énfasis5 37" xfId="11991" xr:uid="{00000000-0005-0000-0000-0000E02E0000}"/>
    <cellStyle name="40% - Énfasis5 38" xfId="11992" xr:uid="{00000000-0005-0000-0000-0000E12E0000}"/>
    <cellStyle name="40% - Énfasis5 39" xfId="11993" xr:uid="{00000000-0005-0000-0000-0000E22E0000}"/>
    <cellStyle name="40% - Énfasis5 4" xfId="11994" xr:uid="{00000000-0005-0000-0000-0000E32E0000}"/>
    <cellStyle name="40% - Énfasis5 4 10" xfId="11995" xr:uid="{00000000-0005-0000-0000-0000E42E0000}"/>
    <cellStyle name="40% - Énfasis5 4 11" xfId="11996" xr:uid="{00000000-0005-0000-0000-0000E52E0000}"/>
    <cellStyle name="40% - Énfasis5 4 12" xfId="11997" xr:uid="{00000000-0005-0000-0000-0000E62E0000}"/>
    <cellStyle name="40% - Énfasis5 4 13" xfId="11998" xr:uid="{00000000-0005-0000-0000-0000E72E0000}"/>
    <cellStyle name="40% - Énfasis5 4 14" xfId="11999" xr:uid="{00000000-0005-0000-0000-0000E82E0000}"/>
    <cellStyle name="40% - Énfasis5 4 15" xfId="12000" xr:uid="{00000000-0005-0000-0000-0000E92E0000}"/>
    <cellStyle name="40% - Énfasis5 4 16" xfId="12001" xr:uid="{00000000-0005-0000-0000-0000EA2E0000}"/>
    <cellStyle name="40% - Énfasis5 4 17" xfId="12002" xr:uid="{00000000-0005-0000-0000-0000EB2E0000}"/>
    <cellStyle name="40% - Énfasis5 4 18" xfId="12003" xr:uid="{00000000-0005-0000-0000-0000EC2E0000}"/>
    <cellStyle name="40% - Énfasis5 4 19" xfId="12004" xr:uid="{00000000-0005-0000-0000-0000ED2E0000}"/>
    <cellStyle name="40% - Énfasis5 4 2" xfId="12005" xr:uid="{00000000-0005-0000-0000-0000EE2E0000}"/>
    <cellStyle name="40% - Énfasis5 4 20" xfId="12006" xr:uid="{00000000-0005-0000-0000-0000EF2E0000}"/>
    <cellStyle name="40% - Énfasis5 4 3" xfId="12007" xr:uid="{00000000-0005-0000-0000-0000F02E0000}"/>
    <cellStyle name="40% - Énfasis5 4 4" xfId="12008" xr:uid="{00000000-0005-0000-0000-0000F12E0000}"/>
    <cellStyle name="40% - Énfasis5 4 5" xfId="12009" xr:uid="{00000000-0005-0000-0000-0000F22E0000}"/>
    <cellStyle name="40% - Énfasis5 4 6" xfId="12010" xr:uid="{00000000-0005-0000-0000-0000F32E0000}"/>
    <cellStyle name="40% - Énfasis5 4 7" xfId="12011" xr:uid="{00000000-0005-0000-0000-0000F42E0000}"/>
    <cellStyle name="40% - Énfasis5 4 8" xfId="12012" xr:uid="{00000000-0005-0000-0000-0000F52E0000}"/>
    <cellStyle name="40% - Énfasis5 4 9" xfId="12013" xr:uid="{00000000-0005-0000-0000-0000F62E0000}"/>
    <cellStyle name="40% - Énfasis5 40" xfId="12014" xr:uid="{00000000-0005-0000-0000-0000F72E0000}"/>
    <cellStyle name="40% - Énfasis5 41" xfId="12015" xr:uid="{00000000-0005-0000-0000-0000F82E0000}"/>
    <cellStyle name="40% - Énfasis5 42" xfId="12016" xr:uid="{00000000-0005-0000-0000-0000F92E0000}"/>
    <cellStyle name="40% - Énfasis5 43" xfId="12017" xr:uid="{00000000-0005-0000-0000-0000FA2E0000}"/>
    <cellStyle name="40% - Énfasis5 44" xfId="12018" xr:uid="{00000000-0005-0000-0000-0000FB2E0000}"/>
    <cellStyle name="40% - Énfasis5 45" xfId="12019" xr:uid="{00000000-0005-0000-0000-0000FC2E0000}"/>
    <cellStyle name="40% - Énfasis5 46" xfId="12020" xr:uid="{00000000-0005-0000-0000-0000FD2E0000}"/>
    <cellStyle name="40% - Énfasis5 47" xfId="12021" xr:uid="{00000000-0005-0000-0000-0000FE2E0000}"/>
    <cellStyle name="40% - Énfasis5 48" xfId="12022" xr:uid="{00000000-0005-0000-0000-0000FF2E0000}"/>
    <cellStyle name="40% - Énfasis5 49" xfId="12023" xr:uid="{00000000-0005-0000-0000-0000002F0000}"/>
    <cellStyle name="40% - Énfasis5 5" xfId="12024" xr:uid="{00000000-0005-0000-0000-0000012F0000}"/>
    <cellStyle name="40% - Énfasis5 5 10" xfId="12025" xr:uid="{00000000-0005-0000-0000-0000022F0000}"/>
    <cellStyle name="40% - Énfasis5 5 11" xfId="12026" xr:uid="{00000000-0005-0000-0000-0000032F0000}"/>
    <cellStyle name="40% - Énfasis5 5 12" xfId="12027" xr:uid="{00000000-0005-0000-0000-0000042F0000}"/>
    <cellStyle name="40% - Énfasis5 5 13" xfId="12028" xr:uid="{00000000-0005-0000-0000-0000052F0000}"/>
    <cellStyle name="40% - Énfasis5 5 14" xfId="12029" xr:uid="{00000000-0005-0000-0000-0000062F0000}"/>
    <cellStyle name="40% - Énfasis5 5 15" xfId="12030" xr:uid="{00000000-0005-0000-0000-0000072F0000}"/>
    <cellStyle name="40% - Énfasis5 5 16" xfId="12031" xr:uid="{00000000-0005-0000-0000-0000082F0000}"/>
    <cellStyle name="40% - Énfasis5 5 17" xfId="12032" xr:uid="{00000000-0005-0000-0000-0000092F0000}"/>
    <cellStyle name="40% - Énfasis5 5 18" xfId="12033" xr:uid="{00000000-0005-0000-0000-00000A2F0000}"/>
    <cellStyle name="40% - Énfasis5 5 19" xfId="12034" xr:uid="{00000000-0005-0000-0000-00000B2F0000}"/>
    <cellStyle name="40% - Énfasis5 5 2" xfId="12035" xr:uid="{00000000-0005-0000-0000-00000C2F0000}"/>
    <cellStyle name="40% - Énfasis5 5 20" xfId="12036" xr:uid="{00000000-0005-0000-0000-00000D2F0000}"/>
    <cellStyle name="40% - Énfasis5 5 3" xfId="12037" xr:uid="{00000000-0005-0000-0000-00000E2F0000}"/>
    <cellStyle name="40% - Énfasis5 5 4" xfId="12038" xr:uid="{00000000-0005-0000-0000-00000F2F0000}"/>
    <cellStyle name="40% - Énfasis5 5 5" xfId="12039" xr:uid="{00000000-0005-0000-0000-0000102F0000}"/>
    <cellStyle name="40% - Énfasis5 5 6" xfId="12040" xr:uid="{00000000-0005-0000-0000-0000112F0000}"/>
    <cellStyle name="40% - Énfasis5 5 7" xfId="12041" xr:uid="{00000000-0005-0000-0000-0000122F0000}"/>
    <cellStyle name="40% - Énfasis5 5 8" xfId="12042" xr:uid="{00000000-0005-0000-0000-0000132F0000}"/>
    <cellStyle name="40% - Énfasis5 5 9" xfId="12043" xr:uid="{00000000-0005-0000-0000-0000142F0000}"/>
    <cellStyle name="40% - Énfasis5 50" xfId="12044" xr:uid="{00000000-0005-0000-0000-0000152F0000}"/>
    <cellStyle name="40% - Énfasis5 51" xfId="12045" xr:uid="{00000000-0005-0000-0000-0000162F0000}"/>
    <cellStyle name="40% - Énfasis5 52" xfId="12046" xr:uid="{00000000-0005-0000-0000-0000172F0000}"/>
    <cellStyle name="40% - Énfasis5 53" xfId="12047" xr:uid="{00000000-0005-0000-0000-0000182F0000}"/>
    <cellStyle name="40% - Énfasis5 54" xfId="12048" xr:uid="{00000000-0005-0000-0000-0000192F0000}"/>
    <cellStyle name="40% - Énfasis5 55" xfId="12049" xr:uid="{00000000-0005-0000-0000-00001A2F0000}"/>
    <cellStyle name="40% - Énfasis5 56" xfId="12050" xr:uid="{00000000-0005-0000-0000-00001B2F0000}"/>
    <cellStyle name="40% - Énfasis5 57" xfId="12051" xr:uid="{00000000-0005-0000-0000-00001C2F0000}"/>
    <cellStyle name="40% - Énfasis5 58" xfId="12052" xr:uid="{00000000-0005-0000-0000-00001D2F0000}"/>
    <cellStyle name="40% - Énfasis5 59" xfId="12053" xr:uid="{00000000-0005-0000-0000-00001E2F0000}"/>
    <cellStyle name="40% - Énfasis5 6" xfId="12054" xr:uid="{00000000-0005-0000-0000-00001F2F0000}"/>
    <cellStyle name="40% - Énfasis5 6 10" xfId="12055" xr:uid="{00000000-0005-0000-0000-0000202F0000}"/>
    <cellStyle name="40% - Énfasis5 6 11" xfId="12056" xr:uid="{00000000-0005-0000-0000-0000212F0000}"/>
    <cellStyle name="40% - Énfasis5 6 12" xfId="12057" xr:uid="{00000000-0005-0000-0000-0000222F0000}"/>
    <cellStyle name="40% - Énfasis5 6 13" xfId="12058" xr:uid="{00000000-0005-0000-0000-0000232F0000}"/>
    <cellStyle name="40% - Énfasis5 6 14" xfId="12059" xr:uid="{00000000-0005-0000-0000-0000242F0000}"/>
    <cellStyle name="40% - Énfasis5 6 15" xfId="12060" xr:uid="{00000000-0005-0000-0000-0000252F0000}"/>
    <cellStyle name="40% - Énfasis5 6 16" xfId="12061" xr:uid="{00000000-0005-0000-0000-0000262F0000}"/>
    <cellStyle name="40% - Énfasis5 6 17" xfId="12062" xr:uid="{00000000-0005-0000-0000-0000272F0000}"/>
    <cellStyle name="40% - Énfasis5 6 18" xfId="12063" xr:uid="{00000000-0005-0000-0000-0000282F0000}"/>
    <cellStyle name="40% - Énfasis5 6 19" xfId="12064" xr:uid="{00000000-0005-0000-0000-0000292F0000}"/>
    <cellStyle name="40% - Énfasis5 6 2" xfId="12065" xr:uid="{00000000-0005-0000-0000-00002A2F0000}"/>
    <cellStyle name="40% - Énfasis5 6 20" xfId="12066" xr:uid="{00000000-0005-0000-0000-00002B2F0000}"/>
    <cellStyle name="40% - Énfasis5 6 3" xfId="12067" xr:uid="{00000000-0005-0000-0000-00002C2F0000}"/>
    <cellStyle name="40% - Énfasis5 6 4" xfId="12068" xr:uid="{00000000-0005-0000-0000-00002D2F0000}"/>
    <cellStyle name="40% - Énfasis5 6 5" xfId="12069" xr:uid="{00000000-0005-0000-0000-00002E2F0000}"/>
    <cellStyle name="40% - Énfasis5 6 6" xfId="12070" xr:uid="{00000000-0005-0000-0000-00002F2F0000}"/>
    <cellStyle name="40% - Énfasis5 6 7" xfId="12071" xr:uid="{00000000-0005-0000-0000-0000302F0000}"/>
    <cellStyle name="40% - Énfasis5 6 8" xfId="12072" xr:uid="{00000000-0005-0000-0000-0000312F0000}"/>
    <cellStyle name="40% - Énfasis5 6 9" xfId="12073" xr:uid="{00000000-0005-0000-0000-0000322F0000}"/>
    <cellStyle name="40% - Énfasis5 60" xfId="12074" xr:uid="{00000000-0005-0000-0000-0000332F0000}"/>
    <cellStyle name="40% - Énfasis5 61" xfId="12075" xr:uid="{00000000-0005-0000-0000-0000342F0000}"/>
    <cellStyle name="40% - Énfasis5 62" xfId="12076" xr:uid="{00000000-0005-0000-0000-0000352F0000}"/>
    <cellStyle name="40% - Énfasis5 63" xfId="12077" xr:uid="{00000000-0005-0000-0000-0000362F0000}"/>
    <cellStyle name="40% - Énfasis5 64" xfId="12078" xr:uid="{00000000-0005-0000-0000-0000372F0000}"/>
    <cellStyle name="40% - Énfasis5 65" xfId="12079" xr:uid="{00000000-0005-0000-0000-0000382F0000}"/>
    <cellStyle name="40% - Énfasis5 66" xfId="12080" xr:uid="{00000000-0005-0000-0000-0000392F0000}"/>
    <cellStyle name="40% - Énfasis5 67" xfId="12081" xr:uid="{00000000-0005-0000-0000-00003A2F0000}"/>
    <cellStyle name="40% - Énfasis5 68" xfId="12082" xr:uid="{00000000-0005-0000-0000-00003B2F0000}"/>
    <cellStyle name="40% - Énfasis5 69" xfId="12083" xr:uid="{00000000-0005-0000-0000-00003C2F0000}"/>
    <cellStyle name="40% - Énfasis5 7" xfId="12084" xr:uid="{00000000-0005-0000-0000-00003D2F0000}"/>
    <cellStyle name="40% - Énfasis5 7 10" xfId="12085" xr:uid="{00000000-0005-0000-0000-00003E2F0000}"/>
    <cellStyle name="40% - Énfasis5 7 11" xfId="12086" xr:uid="{00000000-0005-0000-0000-00003F2F0000}"/>
    <cellStyle name="40% - Énfasis5 7 12" xfId="12087" xr:uid="{00000000-0005-0000-0000-0000402F0000}"/>
    <cellStyle name="40% - Énfasis5 7 13" xfId="12088" xr:uid="{00000000-0005-0000-0000-0000412F0000}"/>
    <cellStyle name="40% - Énfasis5 7 14" xfId="12089" xr:uid="{00000000-0005-0000-0000-0000422F0000}"/>
    <cellStyle name="40% - Énfasis5 7 15" xfId="12090" xr:uid="{00000000-0005-0000-0000-0000432F0000}"/>
    <cellStyle name="40% - Énfasis5 7 16" xfId="12091" xr:uid="{00000000-0005-0000-0000-0000442F0000}"/>
    <cellStyle name="40% - Énfasis5 7 17" xfId="12092" xr:uid="{00000000-0005-0000-0000-0000452F0000}"/>
    <cellStyle name="40% - Énfasis5 7 18" xfId="12093" xr:uid="{00000000-0005-0000-0000-0000462F0000}"/>
    <cellStyle name="40% - Énfasis5 7 19" xfId="12094" xr:uid="{00000000-0005-0000-0000-0000472F0000}"/>
    <cellStyle name="40% - Énfasis5 7 2" xfId="12095" xr:uid="{00000000-0005-0000-0000-0000482F0000}"/>
    <cellStyle name="40% - Énfasis5 7 20" xfId="12096" xr:uid="{00000000-0005-0000-0000-0000492F0000}"/>
    <cellStyle name="40% - Énfasis5 7 3" xfId="12097" xr:uid="{00000000-0005-0000-0000-00004A2F0000}"/>
    <cellStyle name="40% - Énfasis5 7 4" xfId="12098" xr:uid="{00000000-0005-0000-0000-00004B2F0000}"/>
    <cellStyle name="40% - Énfasis5 7 5" xfId="12099" xr:uid="{00000000-0005-0000-0000-00004C2F0000}"/>
    <cellStyle name="40% - Énfasis5 7 6" xfId="12100" xr:uid="{00000000-0005-0000-0000-00004D2F0000}"/>
    <cellStyle name="40% - Énfasis5 7 7" xfId="12101" xr:uid="{00000000-0005-0000-0000-00004E2F0000}"/>
    <cellStyle name="40% - Énfasis5 7 8" xfId="12102" xr:uid="{00000000-0005-0000-0000-00004F2F0000}"/>
    <cellStyle name="40% - Énfasis5 7 9" xfId="12103" xr:uid="{00000000-0005-0000-0000-0000502F0000}"/>
    <cellStyle name="40% - Énfasis5 70" xfId="12104" xr:uid="{00000000-0005-0000-0000-0000512F0000}"/>
    <cellStyle name="40% - Énfasis5 71" xfId="12105" xr:uid="{00000000-0005-0000-0000-0000522F0000}"/>
    <cellStyle name="40% - Énfasis5 72" xfId="12106" xr:uid="{00000000-0005-0000-0000-0000532F0000}"/>
    <cellStyle name="40% - Énfasis5 73" xfId="12107" xr:uid="{00000000-0005-0000-0000-0000542F0000}"/>
    <cellStyle name="40% - Énfasis5 74" xfId="12108" xr:uid="{00000000-0005-0000-0000-0000552F0000}"/>
    <cellStyle name="40% - Énfasis5 75" xfId="12109" xr:uid="{00000000-0005-0000-0000-0000562F0000}"/>
    <cellStyle name="40% - Énfasis5 76" xfId="12110" xr:uid="{00000000-0005-0000-0000-0000572F0000}"/>
    <cellStyle name="40% - Énfasis5 77" xfId="12111" xr:uid="{00000000-0005-0000-0000-0000582F0000}"/>
    <cellStyle name="40% - Énfasis5 78" xfId="12112" xr:uid="{00000000-0005-0000-0000-0000592F0000}"/>
    <cellStyle name="40% - Énfasis5 79" xfId="12113" xr:uid="{00000000-0005-0000-0000-00005A2F0000}"/>
    <cellStyle name="40% - Énfasis5 8" xfId="12114" xr:uid="{00000000-0005-0000-0000-00005B2F0000}"/>
    <cellStyle name="40% - Énfasis5 8 10" xfId="12115" xr:uid="{00000000-0005-0000-0000-00005C2F0000}"/>
    <cellStyle name="40% - Énfasis5 8 11" xfId="12116" xr:uid="{00000000-0005-0000-0000-00005D2F0000}"/>
    <cellStyle name="40% - Énfasis5 8 12" xfId="12117" xr:uid="{00000000-0005-0000-0000-00005E2F0000}"/>
    <cellStyle name="40% - Énfasis5 8 13" xfId="12118" xr:uid="{00000000-0005-0000-0000-00005F2F0000}"/>
    <cellStyle name="40% - Énfasis5 8 14" xfId="12119" xr:uid="{00000000-0005-0000-0000-0000602F0000}"/>
    <cellStyle name="40% - Énfasis5 8 15" xfId="12120" xr:uid="{00000000-0005-0000-0000-0000612F0000}"/>
    <cellStyle name="40% - Énfasis5 8 16" xfId="12121" xr:uid="{00000000-0005-0000-0000-0000622F0000}"/>
    <cellStyle name="40% - Énfasis5 8 17" xfId="12122" xr:uid="{00000000-0005-0000-0000-0000632F0000}"/>
    <cellStyle name="40% - Énfasis5 8 18" xfId="12123" xr:uid="{00000000-0005-0000-0000-0000642F0000}"/>
    <cellStyle name="40% - Énfasis5 8 19" xfId="12124" xr:uid="{00000000-0005-0000-0000-0000652F0000}"/>
    <cellStyle name="40% - Énfasis5 8 2" xfId="12125" xr:uid="{00000000-0005-0000-0000-0000662F0000}"/>
    <cellStyle name="40% - Énfasis5 8 20" xfId="12126" xr:uid="{00000000-0005-0000-0000-0000672F0000}"/>
    <cellStyle name="40% - Énfasis5 8 3" xfId="12127" xr:uid="{00000000-0005-0000-0000-0000682F0000}"/>
    <cellStyle name="40% - Énfasis5 8 4" xfId="12128" xr:uid="{00000000-0005-0000-0000-0000692F0000}"/>
    <cellStyle name="40% - Énfasis5 8 5" xfId="12129" xr:uid="{00000000-0005-0000-0000-00006A2F0000}"/>
    <cellStyle name="40% - Énfasis5 8 6" xfId="12130" xr:uid="{00000000-0005-0000-0000-00006B2F0000}"/>
    <cellStyle name="40% - Énfasis5 8 7" xfId="12131" xr:uid="{00000000-0005-0000-0000-00006C2F0000}"/>
    <cellStyle name="40% - Énfasis5 8 8" xfId="12132" xr:uid="{00000000-0005-0000-0000-00006D2F0000}"/>
    <cellStyle name="40% - Énfasis5 8 9" xfId="12133" xr:uid="{00000000-0005-0000-0000-00006E2F0000}"/>
    <cellStyle name="40% - Énfasis5 80" xfId="12134" xr:uid="{00000000-0005-0000-0000-00006F2F0000}"/>
    <cellStyle name="40% - Énfasis5 81" xfId="12135" xr:uid="{00000000-0005-0000-0000-0000702F0000}"/>
    <cellStyle name="40% - Énfasis5 82" xfId="12136" xr:uid="{00000000-0005-0000-0000-0000712F0000}"/>
    <cellStyle name="40% - Énfasis5 83" xfId="12137" xr:uid="{00000000-0005-0000-0000-0000722F0000}"/>
    <cellStyle name="40% - Énfasis5 84" xfId="12138" xr:uid="{00000000-0005-0000-0000-0000732F0000}"/>
    <cellStyle name="40% - Énfasis5 85" xfId="12139" xr:uid="{00000000-0005-0000-0000-0000742F0000}"/>
    <cellStyle name="40% - Énfasis5 86" xfId="12140" xr:uid="{00000000-0005-0000-0000-0000752F0000}"/>
    <cellStyle name="40% - Énfasis5 87" xfId="12141" xr:uid="{00000000-0005-0000-0000-0000762F0000}"/>
    <cellStyle name="40% - Énfasis5 88" xfId="12142" xr:uid="{00000000-0005-0000-0000-0000772F0000}"/>
    <cellStyle name="40% - Énfasis5 89" xfId="12143" xr:uid="{00000000-0005-0000-0000-0000782F0000}"/>
    <cellStyle name="40% - Énfasis5 9" xfId="12144" xr:uid="{00000000-0005-0000-0000-0000792F0000}"/>
    <cellStyle name="40% - Énfasis5 9 10" xfId="12145" xr:uid="{00000000-0005-0000-0000-00007A2F0000}"/>
    <cellStyle name="40% - Énfasis5 9 11" xfId="12146" xr:uid="{00000000-0005-0000-0000-00007B2F0000}"/>
    <cellStyle name="40% - Énfasis5 9 12" xfId="12147" xr:uid="{00000000-0005-0000-0000-00007C2F0000}"/>
    <cellStyle name="40% - Énfasis5 9 13" xfId="12148" xr:uid="{00000000-0005-0000-0000-00007D2F0000}"/>
    <cellStyle name="40% - Énfasis5 9 14" xfId="12149" xr:uid="{00000000-0005-0000-0000-00007E2F0000}"/>
    <cellStyle name="40% - Énfasis5 9 15" xfId="12150" xr:uid="{00000000-0005-0000-0000-00007F2F0000}"/>
    <cellStyle name="40% - Énfasis5 9 16" xfId="12151" xr:uid="{00000000-0005-0000-0000-0000802F0000}"/>
    <cellStyle name="40% - Énfasis5 9 17" xfId="12152" xr:uid="{00000000-0005-0000-0000-0000812F0000}"/>
    <cellStyle name="40% - Énfasis5 9 18" xfId="12153" xr:uid="{00000000-0005-0000-0000-0000822F0000}"/>
    <cellStyle name="40% - Énfasis5 9 19" xfId="12154" xr:uid="{00000000-0005-0000-0000-0000832F0000}"/>
    <cellStyle name="40% - Énfasis5 9 2" xfId="12155" xr:uid="{00000000-0005-0000-0000-0000842F0000}"/>
    <cellStyle name="40% - Énfasis5 9 20" xfId="12156" xr:uid="{00000000-0005-0000-0000-0000852F0000}"/>
    <cellStyle name="40% - Énfasis5 9 3" xfId="12157" xr:uid="{00000000-0005-0000-0000-0000862F0000}"/>
    <cellStyle name="40% - Énfasis5 9 4" xfId="12158" xr:uid="{00000000-0005-0000-0000-0000872F0000}"/>
    <cellStyle name="40% - Énfasis5 9 5" xfId="12159" xr:uid="{00000000-0005-0000-0000-0000882F0000}"/>
    <cellStyle name="40% - Énfasis5 9 6" xfId="12160" xr:uid="{00000000-0005-0000-0000-0000892F0000}"/>
    <cellStyle name="40% - Énfasis5 9 7" xfId="12161" xr:uid="{00000000-0005-0000-0000-00008A2F0000}"/>
    <cellStyle name="40% - Énfasis5 9 8" xfId="12162" xr:uid="{00000000-0005-0000-0000-00008B2F0000}"/>
    <cellStyle name="40% - Énfasis5 9 9" xfId="12163" xr:uid="{00000000-0005-0000-0000-00008C2F0000}"/>
    <cellStyle name="40% - Énfasis5 90" xfId="12164" xr:uid="{00000000-0005-0000-0000-00008D2F0000}"/>
    <cellStyle name="40% - Énfasis5 91" xfId="12165" xr:uid="{00000000-0005-0000-0000-00008E2F0000}"/>
    <cellStyle name="40% - Énfasis5 92" xfId="12166" xr:uid="{00000000-0005-0000-0000-00008F2F0000}"/>
    <cellStyle name="40% - Énfasis5 93" xfId="12167" xr:uid="{00000000-0005-0000-0000-0000902F0000}"/>
    <cellStyle name="40% - Énfasis5 94" xfId="12168" xr:uid="{00000000-0005-0000-0000-0000912F0000}"/>
    <cellStyle name="40% - Énfasis5 95" xfId="12169" xr:uid="{00000000-0005-0000-0000-0000922F0000}"/>
    <cellStyle name="40% - Énfasis5 96" xfId="12170" xr:uid="{00000000-0005-0000-0000-0000932F0000}"/>
    <cellStyle name="40% - Énfasis5 97" xfId="12171" xr:uid="{00000000-0005-0000-0000-0000942F0000}"/>
    <cellStyle name="40% - Énfasis5 98" xfId="15640" xr:uid="{00000000-0005-0000-0000-0000952F0000}"/>
    <cellStyle name="40% - Énfasis6" xfId="12172" builtinId="51" customBuiltin="1"/>
    <cellStyle name="40% - Énfasis6 10" xfId="12173" xr:uid="{00000000-0005-0000-0000-0000972F0000}"/>
    <cellStyle name="40% - Énfasis6 10 10" xfId="12174" xr:uid="{00000000-0005-0000-0000-0000982F0000}"/>
    <cellStyle name="40% - Énfasis6 10 11" xfId="12175" xr:uid="{00000000-0005-0000-0000-0000992F0000}"/>
    <cellStyle name="40% - Énfasis6 10 12" xfId="12176" xr:uid="{00000000-0005-0000-0000-00009A2F0000}"/>
    <cellStyle name="40% - Énfasis6 10 13" xfId="12177" xr:uid="{00000000-0005-0000-0000-00009B2F0000}"/>
    <cellStyle name="40% - Énfasis6 10 14" xfId="12178" xr:uid="{00000000-0005-0000-0000-00009C2F0000}"/>
    <cellStyle name="40% - Énfasis6 10 15" xfId="12179" xr:uid="{00000000-0005-0000-0000-00009D2F0000}"/>
    <cellStyle name="40% - Énfasis6 10 16" xfId="12180" xr:uid="{00000000-0005-0000-0000-00009E2F0000}"/>
    <cellStyle name="40% - Énfasis6 10 17" xfId="12181" xr:uid="{00000000-0005-0000-0000-00009F2F0000}"/>
    <cellStyle name="40% - Énfasis6 10 18" xfId="12182" xr:uid="{00000000-0005-0000-0000-0000A02F0000}"/>
    <cellStyle name="40% - Énfasis6 10 19" xfId="12183" xr:uid="{00000000-0005-0000-0000-0000A12F0000}"/>
    <cellStyle name="40% - Énfasis6 10 2" xfId="12184" xr:uid="{00000000-0005-0000-0000-0000A22F0000}"/>
    <cellStyle name="40% - Énfasis6 10 20" xfId="12185" xr:uid="{00000000-0005-0000-0000-0000A32F0000}"/>
    <cellStyle name="40% - Énfasis6 10 3" xfId="12186" xr:uid="{00000000-0005-0000-0000-0000A42F0000}"/>
    <cellStyle name="40% - Énfasis6 10 4" xfId="12187" xr:uid="{00000000-0005-0000-0000-0000A52F0000}"/>
    <cellStyle name="40% - Énfasis6 10 5" xfId="12188" xr:uid="{00000000-0005-0000-0000-0000A62F0000}"/>
    <cellStyle name="40% - Énfasis6 10 6" xfId="12189" xr:uid="{00000000-0005-0000-0000-0000A72F0000}"/>
    <cellStyle name="40% - Énfasis6 10 7" xfId="12190" xr:uid="{00000000-0005-0000-0000-0000A82F0000}"/>
    <cellStyle name="40% - Énfasis6 10 8" xfId="12191" xr:uid="{00000000-0005-0000-0000-0000A92F0000}"/>
    <cellStyle name="40% - Énfasis6 10 9" xfId="12192" xr:uid="{00000000-0005-0000-0000-0000AA2F0000}"/>
    <cellStyle name="40% - Énfasis6 11" xfId="12193" xr:uid="{00000000-0005-0000-0000-0000AB2F0000}"/>
    <cellStyle name="40% - Énfasis6 11 10" xfId="12194" xr:uid="{00000000-0005-0000-0000-0000AC2F0000}"/>
    <cellStyle name="40% - Énfasis6 11 11" xfId="12195" xr:uid="{00000000-0005-0000-0000-0000AD2F0000}"/>
    <cellStyle name="40% - Énfasis6 11 12" xfId="12196" xr:uid="{00000000-0005-0000-0000-0000AE2F0000}"/>
    <cellStyle name="40% - Énfasis6 11 13" xfId="12197" xr:uid="{00000000-0005-0000-0000-0000AF2F0000}"/>
    <cellStyle name="40% - Énfasis6 11 14" xfId="12198" xr:uid="{00000000-0005-0000-0000-0000B02F0000}"/>
    <cellStyle name="40% - Énfasis6 11 15" xfId="12199" xr:uid="{00000000-0005-0000-0000-0000B12F0000}"/>
    <cellStyle name="40% - Énfasis6 11 16" xfId="12200" xr:uid="{00000000-0005-0000-0000-0000B22F0000}"/>
    <cellStyle name="40% - Énfasis6 11 17" xfId="12201" xr:uid="{00000000-0005-0000-0000-0000B32F0000}"/>
    <cellStyle name="40% - Énfasis6 11 18" xfId="12202" xr:uid="{00000000-0005-0000-0000-0000B42F0000}"/>
    <cellStyle name="40% - Énfasis6 11 19" xfId="12203" xr:uid="{00000000-0005-0000-0000-0000B52F0000}"/>
    <cellStyle name="40% - Énfasis6 11 2" xfId="12204" xr:uid="{00000000-0005-0000-0000-0000B62F0000}"/>
    <cellStyle name="40% - Énfasis6 11 20" xfId="12205" xr:uid="{00000000-0005-0000-0000-0000B72F0000}"/>
    <cellStyle name="40% - Énfasis6 11 3" xfId="12206" xr:uid="{00000000-0005-0000-0000-0000B82F0000}"/>
    <cellStyle name="40% - Énfasis6 11 4" xfId="12207" xr:uid="{00000000-0005-0000-0000-0000B92F0000}"/>
    <cellStyle name="40% - Énfasis6 11 5" xfId="12208" xr:uid="{00000000-0005-0000-0000-0000BA2F0000}"/>
    <cellStyle name="40% - Énfasis6 11 6" xfId="12209" xr:uid="{00000000-0005-0000-0000-0000BB2F0000}"/>
    <cellStyle name="40% - Énfasis6 11 7" xfId="12210" xr:uid="{00000000-0005-0000-0000-0000BC2F0000}"/>
    <cellStyle name="40% - Énfasis6 11 8" xfId="12211" xr:uid="{00000000-0005-0000-0000-0000BD2F0000}"/>
    <cellStyle name="40% - Énfasis6 11 9" xfId="12212" xr:uid="{00000000-0005-0000-0000-0000BE2F0000}"/>
    <cellStyle name="40% - Énfasis6 12" xfId="12213" xr:uid="{00000000-0005-0000-0000-0000BF2F0000}"/>
    <cellStyle name="40% - Énfasis6 12 10" xfId="12214" xr:uid="{00000000-0005-0000-0000-0000C02F0000}"/>
    <cellStyle name="40% - Énfasis6 12 11" xfId="12215" xr:uid="{00000000-0005-0000-0000-0000C12F0000}"/>
    <cellStyle name="40% - Énfasis6 12 12" xfId="12216" xr:uid="{00000000-0005-0000-0000-0000C22F0000}"/>
    <cellStyle name="40% - Énfasis6 12 13" xfId="12217" xr:uid="{00000000-0005-0000-0000-0000C32F0000}"/>
    <cellStyle name="40% - Énfasis6 12 14" xfId="12218" xr:uid="{00000000-0005-0000-0000-0000C42F0000}"/>
    <cellStyle name="40% - Énfasis6 12 15" xfId="12219" xr:uid="{00000000-0005-0000-0000-0000C52F0000}"/>
    <cellStyle name="40% - Énfasis6 12 16" xfId="12220" xr:uid="{00000000-0005-0000-0000-0000C62F0000}"/>
    <cellStyle name="40% - Énfasis6 12 17" xfId="12221" xr:uid="{00000000-0005-0000-0000-0000C72F0000}"/>
    <cellStyle name="40% - Énfasis6 12 18" xfId="12222" xr:uid="{00000000-0005-0000-0000-0000C82F0000}"/>
    <cellStyle name="40% - Énfasis6 12 19" xfId="12223" xr:uid="{00000000-0005-0000-0000-0000C92F0000}"/>
    <cellStyle name="40% - Énfasis6 12 2" xfId="12224" xr:uid="{00000000-0005-0000-0000-0000CA2F0000}"/>
    <cellStyle name="40% - Énfasis6 12 20" xfId="12225" xr:uid="{00000000-0005-0000-0000-0000CB2F0000}"/>
    <cellStyle name="40% - Énfasis6 12 3" xfId="12226" xr:uid="{00000000-0005-0000-0000-0000CC2F0000}"/>
    <cellStyle name="40% - Énfasis6 12 4" xfId="12227" xr:uid="{00000000-0005-0000-0000-0000CD2F0000}"/>
    <cellStyle name="40% - Énfasis6 12 5" xfId="12228" xr:uid="{00000000-0005-0000-0000-0000CE2F0000}"/>
    <cellStyle name="40% - Énfasis6 12 6" xfId="12229" xr:uid="{00000000-0005-0000-0000-0000CF2F0000}"/>
    <cellStyle name="40% - Énfasis6 12 7" xfId="12230" xr:uid="{00000000-0005-0000-0000-0000D02F0000}"/>
    <cellStyle name="40% - Énfasis6 12 8" xfId="12231" xr:uid="{00000000-0005-0000-0000-0000D12F0000}"/>
    <cellStyle name="40% - Énfasis6 12 9" xfId="12232" xr:uid="{00000000-0005-0000-0000-0000D22F0000}"/>
    <cellStyle name="40% - Énfasis6 13" xfId="12233" xr:uid="{00000000-0005-0000-0000-0000D32F0000}"/>
    <cellStyle name="40% - Énfasis6 13 10" xfId="12234" xr:uid="{00000000-0005-0000-0000-0000D42F0000}"/>
    <cellStyle name="40% - Énfasis6 13 11" xfId="12235" xr:uid="{00000000-0005-0000-0000-0000D52F0000}"/>
    <cellStyle name="40% - Énfasis6 13 12" xfId="12236" xr:uid="{00000000-0005-0000-0000-0000D62F0000}"/>
    <cellStyle name="40% - Énfasis6 13 13" xfId="12237" xr:uid="{00000000-0005-0000-0000-0000D72F0000}"/>
    <cellStyle name="40% - Énfasis6 13 14" xfId="12238" xr:uid="{00000000-0005-0000-0000-0000D82F0000}"/>
    <cellStyle name="40% - Énfasis6 13 15" xfId="12239" xr:uid="{00000000-0005-0000-0000-0000D92F0000}"/>
    <cellStyle name="40% - Énfasis6 13 16" xfId="12240" xr:uid="{00000000-0005-0000-0000-0000DA2F0000}"/>
    <cellStyle name="40% - Énfasis6 13 17" xfId="12241" xr:uid="{00000000-0005-0000-0000-0000DB2F0000}"/>
    <cellStyle name="40% - Énfasis6 13 18" xfId="12242" xr:uid="{00000000-0005-0000-0000-0000DC2F0000}"/>
    <cellStyle name="40% - Énfasis6 13 19" xfId="12243" xr:uid="{00000000-0005-0000-0000-0000DD2F0000}"/>
    <cellStyle name="40% - Énfasis6 13 2" xfId="12244" xr:uid="{00000000-0005-0000-0000-0000DE2F0000}"/>
    <cellStyle name="40% - Énfasis6 13 20" xfId="12245" xr:uid="{00000000-0005-0000-0000-0000DF2F0000}"/>
    <cellStyle name="40% - Énfasis6 13 3" xfId="12246" xr:uid="{00000000-0005-0000-0000-0000E02F0000}"/>
    <cellStyle name="40% - Énfasis6 13 4" xfId="12247" xr:uid="{00000000-0005-0000-0000-0000E12F0000}"/>
    <cellStyle name="40% - Énfasis6 13 5" xfId="12248" xr:uid="{00000000-0005-0000-0000-0000E22F0000}"/>
    <cellStyle name="40% - Énfasis6 13 6" xfId="12249" xr:uid="{00000000-0005-0000-0000-0000E32F0000}"/>
    <cellStyle name="40% - Énfasis6 13 7" xfId="12250" xr:uid="{00000000-0005-0000-0000-0000E42F0000}"/>
    <cellStyle name="40% - Énfasis6 13 8" xfId="12251" xr:uid="{00000000-0005-0000-0000-0000E52F0000}"/>
    <cellStyle name="40% - Énfasis6 13 9" xfId="12252" xr:uid="{00000000-0005-0000-0000-0000E62F0000}"/>
    <cellStyle name="40% - Énfasis6 14" xfId="12253" xr:uid="{00000000-0005-0000-0000-0000E72F0000}"/>
    <cellStyle name="40% - Énfasis6 14 10" xfId="12254" xr:uid="{00000000-0005-0000-0000-0000E82F0000}"/>
    <cellStyle name="40% - Énfasis6 14 11" xfId="12255" xr:uid="{00000000-0005-0000-0000-0000E92F0000}"/>
    <cellStyle name="40% - Énfasis6 14 12" xfId="12256" xr:uid="{00000000-0005-0000-0000-0000EA2F0000}"/>
    <cellStyle name="40% - Énfasis6 14 13" xfId="12257" xr:uid="{00000000-0005-0000-0000-0000EB2F0000}"/>
    <cellStyle name="40% - Énfasis6 14 14" xfId="12258" xr:uid="{00000000-0005-0000-0000-0000EC2F0000}"/>
    <cellStyle name="40% - Énfasis6 14 15" xfId="12259" xr:uid="{00000000-0005-0000-0000-0000ED2F0000}"/>
    <cellStyle name="40% - Énfasis6 14 16" xfId="12260" xr:uid="{00000000-0005-0000-0000-0000EE2F0000}"/>
    <cellStyle name="40% - Énfasis6 14 17" xfId="12261" xr:uid="{00000000-0005-0000-0000-0000EF2F0000}"/>
    <cellStyle name="40% - Énfasis6 14 18" xfId="12262" xr:uid="{00000000-0005-0000-0000-0000F02F0000}"/>
    <cellStyle name="40% - Énfasis6 14 19" xfId="12263" xr:uid="{00000000-0005-0000-0000-0000F12F0000}"/>
    <cellStyle name="40% - Énfasis6 14 2" xfId="12264" xr:uid="{00000000-0005-0000-0000-0000F22F0000}"/>
    <cellStyle name="40% - Énfasis6 14 3" xfId="12265" xr:uid="{00000000-0005-0000-0000-0000F32F0000}"/>
    <cellStyle name="40% - Énfasis6 14 4" xfId="12266" xr:uid="{00000000-0005-0000-0000-0000F42F0000}"/>
    <cellStyle name="40% - Énfasis6 14 5" xfId="12267" xr:uid="{00000000-0005-0000-0000-0000F52F0000}"/>
    <cellStyle name="40% - Énfasis6 14 6" xfId="12268" xr:uid="{00000000-0005-0000-0000-0000F62F0000}"/>
    <cellStyle name="40% - Énfasis6 14 7" xfId="12269" xr:uid="{00000000-0005-0000-0000-0000F72F0000}"/>
    <cellStyle name="40% - Énfasis6 14 8" xfId="12270" xr:uid="{00000000-0005-0000-0000-0000F82F0000}"/>
    <cellStyle name="40% - Énfasis6 14 9" xfId="12271" xr:uid="{00000000-0005-0000-0000-0000F92F0000}"/>
    <cellStyle name="40% - Énfasis6 15" xfId="12272" xr:uid="{00000000-0005-0000-0000-0000FA2F0000}"/>
    <cellStyle name="40% - Énfasis6 15 10" xfId="12273" xr:uid="{00000000-0005-0000-0000-0000FB2F0000}"/>
    <cellStyle name="40% - Énfasis6 15 11" xfId="12274" xr:uid="{00000000-0005-0000-0000-0000FC2F0000}"/>
    <cellStyle name="40% - Énfasis6 15 12" xfId="12275" xr:uid="{00000000-0005-0000-0000-0000FD2F0000}"/>
    <cellStyle name="40% - Énfasis6 15 13" xfId="12276" xr:uid="{00000000-0005-0000-0000-0000FE2F0000}"/>
    <cellStyle name="40% - Énfasis6 15 14" xfId="12277" xr:uid="{00000000-0005-0000-0000-0000FF2F0000}"/>
    <cellStyle name="40% - Énfasis6 15 15" xfId="12278" xr:uid="{00000000-0005-0000-0000-000000300000}"/>
    <cellStyle name="40% - Énfasis6 15 16" xfId="12279" xr:uid="{00000000-0005-0000-0000-000001300000}"/>
    <cellStyle name="40% - Énfasis6 15 17" xfId="12280" xr:uid="{00000000-0005-0000-0000-000002300000}"/>
    <cellStyle name="40% - Énfasis6 15 18" xfId="12281" xr:uid="{00000000-0005-0000-0000-000003300000}"/>
    <cellStyle name="40% - Énfasis6 15 19" xfId="12282" xr:uid="{00000000-0005-0000-0000-000004300000}"/>
    <cellStyle name="40% - Énfasis6 15 2" xfId="12283" xr:uid="{00000000-0005-0000-0000-000005300000}"/>
    <cellStyle name="40% - Énfasis6 15 3" xfId="12284" xr:uid="{00000000-0005-0000-0000-000006300000}"/>
    <cellStyle name="40% - Énfasis6 15 4" xfId="12285" xr:uid="{00000000-0005-0000-0000-000007300000}"/>
    <cellStyle name="40% - Énfasis6 15 5" xfId="12286" xr:uid="{00000000-0005-0000-0000-000008300000}"/>
    <cellStyle name="40% - Énfasis6 15 6" xfId="12287" xr:uid="{00000000-0005-0000-0000-000009300000}"/>
    <cellStyle name="40% - Énfasis6 15 7" xfId="12288" xr:uid="{00000000-0005-0000-0000-00000A300000}"/>
    <cellStyle name="40% - Énfasis6 15 8" xfId="12289" xr:uid="{00000000-0005-0000-0000-00000B300000}"/>
    <cellStyle name="40% - Énfasis6 15 9" xfId="12290" xr:uid="{00000000-0005-0000-0000-00000C300000}"/>
    <cellStyle name="40% - Énfasis6 16" xfId="12291" xr:uid="{00000000-0005-0000-0000-00000D300000}"/>
    <cellStyle name="40% - Énfasis6 16 10" xfId="12292" xr:uid="{00000000-0005-0000-0000-00000E300000}"/>
    <cellStyle name="40% - Énfasis6 16 11" xfId="12293" xr:uid="{00000000-0005-0000-0000-00000F300000}"/>
    <cellStyle name="40% - Énfasis6 16 12" xfId="12294" xr:uid="{00000000-0005-0000-0000-000010300000}"/>
    <cellStyle name="40% - Énfasis6 16 13" xfId="12295" xr:uid="{00000000-0005-0000-0000-000011300000}"/>
    <cellStyle name="40% - Énfasis6 16 14" xfId="12296" xr:uid="{00000000-0005-0000-0000-000012300000}"/>
    <cellStyle name="40% - Énfasis6 16 15" xfId="12297" xr:uid="{00000000-0005-0000-0000-000013300000}"/>
    <cellStyle name="40% - Énfasis6 16 16" xfId="12298" xr:uid="{00000000-0005-0000-0000-000014300000}"/>
    <cellStyle name="40% - Énfasis6 16 17" xfId="12299" xr:uid="{00000000-0005-0000-0000-000015300000}"/>
    <cellStyle name="40% - Énfasis6 16 18" xfId="12300" xr:uid="{00000000-0005-0000-0000-000016300000}"/>
    <cellStyle name="40% - Énfasis6 16 19" xfId="12301" xr:uid="{00000000-0005-0000-0000-000017300000}"/>
    <cellStyle name="40% - Énfasis6 16 2" xfId="12302" xr:uid="{00000000-0005-0000-0000-000018300000}"/>
    <cellStyle name="40% - Énfasis6 16 3" xfId="12303" xr:uid="{00000000-0005-0000-0000-000019300000}"/>
    <cellStyle name="40% - Énfasis6 16 4" xfId="12304" xr:uid="{00000000-0005-0000-0000-00001A300000}"/>
    <cellStyle name="40% - Énfasis6 16 5" xfId="12305" xr:uid="{00000000-0005-0000-0000-00001B300000}"/>
    <cellStyle name="40% - Énfasis6 16 6" xfId="12306" xr:uid="{00000000-0005-0000-0000-00001C300000}"/>
    <cellStyle name="40% - Énfasis6 16 7" xfId="12307" xr:uid="{00000000-0005-0000-0000-00001D300000}"/>
    <cellStyle name="40% - Énfasis6 16 8" xfId="12308" xr:uid="{00000000-0005-0000-0000-00001E300000}"/>
    <cellStyle name="40% - Énfasis6 16 9" xfId="12309" xr:uid="{00000000-0005-0000-0000-00001F300000}"/>
    <cellStyle name="40% - Énfasis6 17" xfId="12310" xr:uid="{00000000-0005-0000-0000-000020300000}"/>
    <cellStyle name="40% - Énfasis6 17 10" xfId="12311" xr:uid="{00000000-0005-0000-0000-000021300000}"/>
    <cellStyle name="40% - Énfasis6 17 11" xfId="12312" xr:uid="{00000000-0005-0000-0000-000022300000}"/>
    <cellStyle name="40% - Énfasis6 17 12" xfId="12313" xr:uid="{00000000-0005-0000-0000-000023300000}"/>
    <cellStyle name="40% - Énfasis6 17 13" xfId="12314" xr:uid="{00000000-0005-0000-0000-000024300000}"/>
    <cellStyle name="40% - Énfasis6 17 14" xfId="12315" xr:uid="{00000000-0005-0000-0000-000025300000}"/>
    <cellStyle name="40% - Énfasis6 17 15" xfId="12316" xr:uid="{00000000-0005-0000-0000-000026300000}"/>
    <cellStyle name="40% - Énfasis6 17 16" xfId="12317" xr:uid="{00000000-0005-0000-0000-000027300000}"/>
    <cellStyle name="40% - Énfasis6 17 17" xfId="12318" xr:uid="{00000000-0005-0000-0000-000028300000}"/>
    <cellStyle name="40% - Énfasis6 17 18" xfId="12319" xr:uid="{00000000-0005-0000-0000-000029300000}"/>
    <cellStyle name="40% - Énfasis6 17 19" xfId="12320" xr:uid="{00000000-0005-0000-0000-00002A300000}"/>
    <cellStyle name="40% - Énfasis6 17 2" xfId="12321" xr:uid="{00000000-0005-0000-0000-00002B300000}"/>
    <cellStyle name="40% - Énfasis6 17 3" xfId="12322" xr:uid="{00000000-0005-0000-0000-00002C300000}"/>
    <cellStyle name="40% - Énfasis6 17 4" xfId="12323" xr:uid="{00000000-0005-0000-0000-00002D300000}"/>
    <cellStyle name="40% - Énfasis6 17 5" xfId="12324" xr:uid="{00000000-0005-0000-0000-00002E300000}"/>
    <cellStyle name="40% - Énfasis6 17 6" xfId="12325" xr:uid="{00000000-0005-0000-0000-00002F300000}"/>
    <cellStyle name="40% - Énfasis6 17 7" xfId="12326" xr:uid="{00000000-0005-0000-0000-000030300000}"/>
    <cellStyle name="40% - Énfasis6 17 8" xfId="12327" xr:uid="{00000000-0005-0000-0000-000031300000}"/>
    <cellStyle name="40% - Énfasis6 17 9" xfId="12328" xr:uid="{00000000-0005-0000-0000-000032300000}"/>
    <cellStyle name="40% - Énfasis6 18" xfId="12329" xr:uid="{00000000-0005-0000-0000-000033300000}"/>
    <cellStyle name="40% - Énfasis6 18 10" xfId="12330" xr:uid="{00000000-0005-0000-0000-000034300000}"/>
    <cellStyle name="40% - Énfasis6 18 11" xfId="12331" xr:uid="{00000000-0005-0000-0000-000035300000}"/>
    <cellStyle name="40% - Énfasis6 18 12" xfId="12332" xr:uid="{00000000-0005-0000-0000-000036300000}"/>
    <cellStyle name="40% - Énfasis6 18 13" xfId="12333" xr:uid="{00000000-0005-0000-0000-000037300000}"/>
    <cellStyle name="40% - Énfasis6 18 14" xfId="12334" xr:uid="{00000000-0005-0000-0000-000038300000}"/>
    <cellStyle name="40% - Énfasis6 18 15" xfId="12335" xr:uid="{00000000-0005-0000-0000-000039300000}"/>
    <cellStyle name="40% - Énfasis6 18 16" xfId="12336" xr:uid="{00000000-0005-0000-0000-00003A300000}"/>
    <cellStyle name="40% - Énfasis6 18 17" xfId="12337" xr:uid="{00000000-0005-0000-0000-00003B300000}"/>
    <cellStyle name="40% - Énfasis6 18 18" xfId="12338" xr:uid="{00000000-0005-0000-0000-00003C300000}"/>
    <cellStyle name="40% - Énfasis6 18 19" xfId="12339" xr:uid="{00000000-0005-0000-0000-00003D300000}"/>
    <cellStyle name="40% - Énfasis6 18 2" xfId="12340" xr:uid="{00000000-0005-0000-0000-00003E300000}"/>
    <cellStyle name="40% - Énfasis6 18 3" xfId="12341" xr:uid="{00000000-0005-0000-0000-00003F300000}"/>
    <cellStyle name="40% - Énfasis6 18 4" xfId="12342" xr:uid="{00000000-0005-0000-0000-000040300000}"/>
    <cellStyle name="40% - Énfasis6 18 5" xfId="12343" xr:uid="{00000000-0005-0000-0000-000041300000}"/>
    <cellStyle name="40% - Énfasis6 18 6" xfId="12344" xr:uid="{00000000-0005-0000-0000-000042300000}"/>
    <cellStyle name="40% - Énfasis6 18 7" xfId="12345" xr:uid="{00000000-0005-0000-0000-000043300000}"/>
    <cellStyle name="40% - Énfasis6 18 8" xfId="12346" xr:uid="{00000000-0005-0000-0000-000044300000}"/>
    <cellStyle name="40% - Énfasis6 18 9" xfId="12347" xr:uid="{00000000-0005-0000-0000-000045300000}"/>
    <cellStyle name="40% - Énfasis6 19" xfId="12348" xr:uid="{00000000-0005-0000-0000-000046300000}"/>
    <cellStyle name="40% - Énfasis6 19 10" xfId="12349" xr:uid="{00000000-0005-0000-0000-000047300000}"/>
    <cellStyle name="40% - Énfasis6 19 11" xfId="12350" xr:uid="{00000000-0005-0000-0000-000048300000}"/>
    <cellStyle name="40% - Énfasis6 19 12" xfId="12351" xr:uid="{00000000-0005-0000-0000-000049300000}"/>
    <cellStyle name="40% - Énfasis6 19 13" xfId="12352" xr:uid="{00000000-0005-0000-0000-00004A300000}"/>
    <cellStyle name="40% - Énfasis6 19 14" xfId="12353" xr:uid="{00000000-0005-0000-0000-00004B300000}"/>
    <cellStyle name="40% - Énfasis6 19 15" xfId="12354" xr:uid="{00000000-0005-0000-0000-00004C300000}"/>
    <cellStyle name="40% - Énfasis6 19 16" xfId="12355" xr:uid="{00000000-0005-0000-0000-00004D300000}"/>
    <cellStyle name="40% - Énfasis6 19 17" xfId="12356" xr:uid="{00000000-0005-0000-0000-00004E300000}"/>
    <cellStyle name="40% - Énfasis6 19 18" xfId="12357" xr:uid="{00000000-0005-0000-0000-00004F300000}"/>
    <cellStyle name="40% - Énfasis6 19 19" xfId="12358" xr:uid="{00000000-0005-0000-0000-000050300000}"/>
    <cellStyle name="40% - Énfasis6 19 2" xfId="12359" xr:uid="{00000000-0005-0000-0000-000051300000}"/>
    <cellStyle name="40% - Énfasis6 19 3" xfId="12360" xr:uid="{00000000-0005-0000-0000-000052300000}"/>
    <cellStyle name="40% - Énfasis6 19 4" xfId="12361" xr:uid="{00000000-0005-0000-0000-000053300000}"/>
    <cellStyle name="40% - Énfasis6 19 5" xfId="12362" xr:uid="{00000000-0005-0000-0000-000054300000}"/>
    <cellStyle name="40% - Énfasis6 19 6" xfId="12363" xr:uid="{00000000-0005-0000-0000-000055300000}"/>
    <cellStyle name="40% - Énfasis6 19 7" xfId="12364" xr:uid="{00000000-0005-0000-0000-000056300000}"/>
    <cellStyle name="40% - Énfasis6 19 8" xfId="12365" xr:uid="{00000000-0005-0000-0000-000057300000}"/>
    <cellStyle name="40% - Énfasis6 19 9" xfId="12366" xr:uid="{00000000-0005-0000-0000-000058300000}"/>
    <cellStyle name="40% - Énfasis6 2" xfId="12367" xr:uid="{00000000-0005-0000-0000-000059300000}"/>
    <cellStyle name="40% - Énfasis6 2 10" xfId="12368" xr:uid="{00000000-0005-0000-0000-00005A300000}"/>
    <cellStyle name="40% - Énfasis6 2 11" xfId="12369" xr:uid="{00000000-0005-0000-0000-00005B300000}"/>
    <cellStyle name="40% - Énfasis6 2 12" xfId="12370" xr:uid="{00000000-0005-0000-0000-00005C300000}"/>
    <cellStyle name="40% - Énfasis6 2 13" xfId="12371" xr:uid="{00000000-0005-0000-0000-00005D300000}"/>
    <cellStyle name="40% - Énfasis6 2 14" xfId="12372" xr:uid="{00000000-0005-0000-0000-00005E300000}"/>
    <cellStyle name="40% - Énfasis6 2 15" xfId="12373" xr:uid="{00000000-0005-0000-0000-00005F300000}"/>
    <cellStyle name="40% - Énfasis6 2 16" xfId="12374" xr:uid="{00000000-0005-0000-0000-000060300000}"/>
    <cellStyle name="40% - Énfasis6 2 17" xfId="12375" xr:uid="{00000000-0005-0000-0000-000061300000}"/>
    <cellStyle name="40% - Énfasis6 2 18" xfId="12376" xr:uid="{00000000-0005-0000-0000-000062300000}"/>
    <cellStyle name="40% - Énfasis6 2 19" xfId="12377" xr:uid="{00000000-0005-0000-0000-000063300000}"/>
    <cellStyle name="40% - Énfasis6 2 2" xfId="12378" xr:uid="{00000000-0005-0000-0000-000064300000}"/>
    <cellStyle name="40% - Énfasis6 2 20" xfId="12379" xr:uid="{00000000-0005-0000-0000-000065300000}"/>
    <cellStyle name="40% - Énfasis6 2 3" xfId="12380" xr:uid="{00000000-0005-0000-0000-000066300000}"/>
    <cellStyle name="40% - Énfasis6 2 4" xfId="12381" xr:uid="{00000000-0005-0000-0000-000067300000}"/>
    <cellStyle name="40% - Énfasis6 2 5" xfId="12382" xr:uid="{00000000-0005-0000-0000-000068300000}"/>
    <cellStyle name="40% - Énfasis6 2 6" xfId="12383" xr:uid="{00000000-0005-0000-0000-000069300000}"/>
    <cellStyle name="40% - Énfasis6 2 7" xfId="12384" xr:uid="{00000000-0005-0000-0000-00006A300000}"/>
    <cellStyle name="40% - Énfasis6 2 8" xfId="12385" xr:uid="{00000000-0005-0000-0000-00006B300000}"/>
    <cellStyle name="40% - Énfasis6 2 9" xfId="12386" xr:uid="{00000000-0005-0000-0000-00006C300000}"/>
    <cellStyle name="40% - Énfasis6 20" xfId="12387" xr:uid="{00000000-0005-0000-0000-00006D300000}"/>
    <cellStyle name="40% - Énfasis6 20 10" xfId="12388" xr:uid="{00000000-0005-0000-0000-00006E300000}"/>
    <cellStyle name="40% - Énfasis6 20 11" xfId="12389" xr:uid="{00000000-0005-0000-0000-00006F300000}"/>
    <cellStyle name="40% - Énfasis6 20 12" xfId="12390" xr:uid="{00000000-0005-0000-0000-000070300000}"/>
    <cellStyle name="40% - Énfasis6 20 13" xfId="12391" xr:uid="{00000000-0005-0000-0000-000071300000}"/>
    <cellStyle name="40% - Énfasis6 20 14" xfId="12392" xr:uid="{00000000-0005-0000-0000-000072300000}"/>
    <cellStyle name="40% - Énfasis6 20 15" xfId="12393" xr:uid="{00000000-0005-0000-0000-000073300000}"/>
    <cellStyle name="40% - Énfasis6 20 16" xfId="12394" xr:uid="{00000000-0005-0000-0000-000074300000}"/>
    <cellStyle name="40% - Énfasis6 20 17" xfId="12395" xr:uid="{00000000-0005-0000-0000-000075300000}"/>
    <cellStyle name="40% - Énfasis6 20 18" xfId="12396" xr:uid="{00000000-0005-0000-0000-000076300000}"/>
    <cellStyle name="40% - Énfasis6 20 19" xfId="12397" xr:uid="{00000000-0005-0000-0000-000077300000}"/>
    <cellStyle name="40% - Énfasis6 20 2" xfId="12398" xr:uid="{00000000-0005-0000-0000-000078300000}"/>
    <cellStyle name="40% - Énfasis6 20 3" xfId="12399" xr:uid="{00000000-0005-0000-0000-000079300000}"/>
    <cellStyle name="40% - Énfasis6 20 4" xfId="12400" xr:uid="{00000000-0005-0000-0000-00007A300000}"/>
    <cellStyle name="40% - Énfasis6 20 5" xfId="12401" xr:uid="{00000000-0005-0000-0000-00007B300000}"/>
    <cellStyle name="40% - Énfasis6 20 6" xfId="12402" xr:uid="{00000000-0005-0000-0000-00007C300000}"/>
    <cellStyle name="40% - Énfasis6 20 7" xfId="12403" xr:uid="{00000000-0005-0000-0000-00007D300000}"/>
    <cellStyle name="40% - Énfasis6 20 8" xfId="12404" xr:uid="{00000000-0005-0000-0000-00007E300000}"/>
    <cellStyle name="40% - Énfasis6 20 9" xfId="12405" xr:uid="{00000000-0005-0000-0000-00007F300000}"/>
    <cellStyle name="40% - Énfasis6 21" xfId="12406" xr:uid="{00000000-0005-0000-0000-000080300000}"/>
    <cellStyle name="40% - Énfasis6 21 10" xfId="12407" xr:uid="{00000000-0005-0000-0000-000081300000}"/>
    <cellStyle name="40% - Énfasis6 21 11" xfId="12408" xr:uid="{00000000-0005-0000-0000-000082300000}"/>
    <cellStyle name="40% - Énfasis6 21 12" xfId="12409" xr:uid="{00000000-0005-0000-0000-000083300000}"/>
    <cellStyle name="40% - Énfasis6 21 13" xfId="12410" xr:uid="{00000000-0005-0000-0000-000084300000}"/>
    <cellStyle name="40% - Énfasis6 21 14" xfId="12411" xr:uid="{00000000-0005-0000-0000-000085300000}"/>
    <cellStyle name="40% - Énfasis6 21 15" xfId="12412" xr:uid="{00000000-0005-0000-0000-000086300000}"/>
    <cellStyle name="40% - Énfasis6 21 16" xfId="12413" xr:uid="{00000000-0005-0000-0000-000087300000}"/>
    <cellStyle name="40% - Énfasis6 21 17" xfId="12414" xr:uid="{00000000-0005-0000-0000-000088300000}"/>
    <cellStyle name="40% - Énfasis6 21 18" xfId="12415" xr:uid="{00000000-0005-0000-0000-000089300000}"/>
    <cellStyle name="40% - Énfasis6 21 19" xfId="12416" xr:uid="{00000000-0005-0000-0000-00008A300000}"/>
    <cellStyle name="40% - Énfasis6 21 2" xfId="12417" xr:uid="{00000000-0005-0000-0000-00008B300000}"/>
    <cellStyle name="40% - Énfasis6 21 3" xfId="12418" xr:uid="{00000000-0005-0000-0000-00008C300000}"/>
    <cellStyle name="40% - Énfasis6 21 4" xfId="12419" xr:uid="{00000000-0005-0000-0000-00008D300000}"/>
    <cellStyle name="40% - Énfasis6 21 5" xfId="12420" xr:uid="{00000000-0005-0000-0000-00008E300000}"/>
    <cellStyle name="40% - Énfasis6 21 6" xfId="12421" xr:uid="{00000000-0005-0000-0000-00008F300000}"/>
    <cellStyle name="40% - Énfasis6 21 7" xfId="12422" xr:uid="{00000000-0005-0000-0000-000090300000}"/>
    <cellStyle name="40% - Énfasis6 21 8" xfId="12423" xr:uid="{00000000-0005-0000-0000-000091300000}"/>
    <cellStyle name="40% - Énfasis6 21 9" xfId="12424" xr:uid="{00000000-0005-0000-0000-000092300000}"/>
    <cellStyle name="40% - Énfasis6 22" xfId="12425" xr:uid="{00000000-0005-0000-0000-000093300000}"/>
    <cellStyle name="40% - Énfasis6 22 10" xfId="12426" xr:uid="{00000000-0005-0000-0000-000094300000}"/>
    <cellStyle name="40% - Énfasis6 22 11" xfId="12427" xr:uid="{00000000-0005-0000-0000-000095300000}"/>
    <cellStyle name="40% - Énfasis6 22 12" xfId="12428" xr:uid="{00000000-0005-0000-0000-000096300000}"/>
    <cellStyle name="40% - Énfasis6 22 13" xfId="12429" xr:uid="{00000000-0005-0000-0000-000097300000}"/>
    <cellStyle name="40% - Énfasis6 22 14" xfId="12430" xr:uid="{00000000-0005-0000-0000-000098300000}"/>
    <cellStyle name="40% - Énfasis6 22 15" xfId="12431" xr:uid="{00000000-0005-0000-0000-000099300000}"/>
    <cellStyle name="40% - Énfasis6 22 16" xfId="12432" xr:uid="{00000000-0005-0000-0000-00009A300000}"/>
    <cellStyle name="40% - Énfasis6 22 17" xfId="12433" xr:uid="{00000000-0005-0000-0000-00009B300000}"/>
    <cellStyle name="40% - Énfasis6 22 18" xfId="12434" xr:uid="{00000000-0005-0000-0000-00009C300000}"/>
    <cellStyle name="40% - Énfasis6 22 19" xfId="12435" xr:uid="{00000000-0005-0000-0000-00009D300000}"/>
    <cellStyle name="40% - Énfasis6 22 2" xfId="12436" xr:uid="{00000000-0005-0000-0000-00009E300000}"/>
    <cellStyle name="40% - Énfasis6 22 3" xfId="12437" xr:uid="{00000000-0005-0000-0000-00009F300000}"/>
    <cellStyle name="40% - Énfasis6 22 4" xfId="12438" xr:uid="{00000000-0005-0000-0000-0000A0300000}"/>
    <cellStyle name="40% - Énfasis6 22 5" xfId="12439" xr:uid="{00000000-0005-0000-0000-0000A1300000}"/>
    <cellStyle name="40% - Énfasis6 22 6" xfId="12440" xr:uid="{00000000-0005-0000-0000-0000A2300000}"/>
    <cellStyle name="40% - Énfasis6 22 7" xfId="12441" xr:uid="{00000000-0005-0000-0000-0000A3300000}"/>
    <cellStyle name="40% - Énfasis6 22 8" xfId="12442" xr:uid="{00000000-0005-0000-0000-0000A4300000}"/>
    <cellStyle name="40% - Énfasis6 22 9" xfId="12443" xr:uid="{00000000-0005-0000-0000-0000A5300000}"/>
    <cellStyle name="40% - Énfasis6 23" xfId="12444" xr:uid="{00000000-0005-0000-0000-0000A6300000}"/>
    <cellStyle name="40% - Énfasis6 23 10" xfId="12445" xr:uid="{00000000-0005-0000-0000-0000A7300000}"/>
    <cellStyle name="40% - Énfasis6 23 11" xfId="12446" xr:uid="{00000000-0005-0000-0000-0000A8300000}"/>
    <cellStyle name="40% - Énfasis6 23 12" xfId="12447" xr:uid="{00000000-0005-0000-0000-0000A9300000}"/>
    <cellStyle name="40% - Énfasis6 23 13" xfId="12448" xr:uid="{00000000-0005-0000-0000-0000AA300000}"/>
    <cellStyle name="40% - Énfasis6 23 14" xfId="12449" xr:uid="{00000000-0005-0000-0000-0000AB300000}"/>
    <cellStyle name="40% - Énfasis6 23 15" xfId="12450" xr:uid="{00000000-0005-0000-0000-0000AC300000}"/>
    <cellStyle name="40% - Énfasis6 23 16" xfId="12451" xr:uid="{00000000-0005-0000-0000-0000AD300000}"/>
    <cellStyle name="40% - Énfasis6 23 17" xfId="12452" xr:uid="{00000000-0005-0000-0000-0000AE300000}"/>
    <cellStyle name="40% - Énfasis6 23 18" xfId="12453" xr:uid="{00000000-0005-0000-0000-0000AF300000}"/>
    <cellStyle name="40% - Énfasis6 23 19" xfId="12454" xr:uid="{00000000-0005-0000-0000-0000B0300000}"/>
    <cellStyle name="40% - Énfasis6 23 2" xfId="12455" xr:uid="{00000000-0005-0000-0000-0000B1300000}"/>
    <cellStyle name="40% - Énfasis6 23 3" xfId="12456" xr:uid="{00000000-0005-0000-0000-0000B2300000}"/>
    <cellStyle name="40% - Énfasis6 23 4" xfId="12457" xr:uid="{00000000-0005-0000-0000-0000B3300000}"/>
    <cellStyle name="40% - Énfasis6 23 5" xfId="12458" xr:uid="{00000000-0005-0000-0000-0000B4300000}"/>
    <cellStyle name="40% - Énfasis6 23 6" xfId="12459" xr:uid="{00000000-0005-0000-0000-0000B5300000}"/>
    <cellStyle name="40% - Énfasis6 23 7" xfId="12460" xr:uid="{00000000-0005-0000-0000-0000B6300000}"/>
    <cellStyle name="40% - Énfasis6 23 8" xfId="12461" xr:uid="{00000000-0005-0000-0000-0000B7300000}"/>
    <cellStyle name="40% - Énfasis6 23 9" xfId="12462" xr:uid="{00000000-0005-0000-0000-0000B8300000}"/>
    <cellStyle name="40% - Énfasis6 24" xfId="12463" xr:uid="{00000000-0005-0000-0000-0000B9300000}"/>
    <cellStyle name="40% - Énfasis6 24 10" xfId="12464" xr:uid="{00000000-0005-0000-0000-0000BA300000}"/>
    <cellStyle name="40% - Énfasis6 24 11" xfId="12465" xr:uid="{00000000-0005-0000-0000-0000BB300000}"/>
    <cellStyle name="40% - Énfasis6 24 12" xfId="12466" xr:uid="{00000000-0005-0000-0000-0000BC300000}"/>
    <cellStyle name="40% - Énfasis6 24 13" xfId="12467" xr:uid="{00000000-0005-0000-0000-0000BD300000}"/>
    <cellStyle name="40% - Énfasis6 24 14" xfId="12468" xr:uid="{00000000-0005-0000-0000-0000BE300000}"/>
    <cellStyle name="40% - Énfasis6 24 15" xfId="12469" xr:uid="{00000000-0005-0000-0000-0000BF300000}"/>
    <cellStyle name="40% - Énfasis6 24 16" xfId="12470" xr:uid="{00000000-0005-0000-0000-0000C0300000}"/>
    <cellStyle name="40% - Énfasis6 24 17" xfId="12471" xr:uid="{00000000-0005-0000-0000-0000C1300000}"/>
    <cellStyle name="40% - Énfasis6 24 18" xfId="12472" xr:uid="{00000000-0005-0000-0000-0000C2300000}"/>
    <cellStyle name="40% - Énfasis6 24 19" xfId="12473" xr:uid="{00000000-0005-0000-0000-0000C3300000}"/>
    <cellStyle name="40% - Énfasis6 24 2" xfId="12474" xr:uid="{00000000-0005-0000-0000-0000C4300000}"/>
    <cellStyle name="40% - Énfasis6 24 3" xfId="12475" xr:uid="{00000000-0005-0000-0000-0000C5300000}"/>
    <cellStyle name="40% - Énfasis6 24 4" xfId="12476" xr:uid="{00000000-0005-0000-0000-0000C6300000}"/>
    <cellStyle name="40% - Énfasis6 24 5" xfId="12477" xr:uid="{00000000-0005-0000-0000-0000C7300000}"/>
    <cellStyle name="40% - Énfasis6 24 6" xfId="12478" xr:uid="{00000000-0005-0000-0000-0000C8300000}"/>
    <cellStyle name="40% - Énfasis6 24 7" xfId="12479" xr:uid="{00000000-0005-0000-0000-0000C9300000}"/>
    <cellStyle name="40% - Énfasis6 24 8" xfId="12480" xr:uid="{00000000-0005-0000-0000-0000CA300000}"/>
    <cellStyle name="40% - Énfasis6 24 9" xfId="12481" xr:uid="{00000000-0005-0000-0000-0000CB300000}"/>
    <cellStyle name="40% - Énfasis6 25" xfId="12482" xr:uid="{00000000-0005-0000-0000-0000CC300000}"/>
    <cellStyle name="40% - Énfasis6 25 10" xfId="12483" xr:uid="{00000000-0005-0000-0000-0000CD300000}"/>
    <cellStyle name="40% - Énfasis6 25 11" xfId="12484" xr:uid="{00000000-0005-0000-0000-0000CE300000}"/>
    <cellStyle name="40% - Énfasis6 25 12" xfId="12485" xr:uid="{00000000-0005-0000-0000-0000CF300000}"/>
    <cellStyle name="40% - Énfasis6 25 13" xfId="12486" xr:uid="{00000000-0005-0000-0000-0000D0300000}"/>
    <cellStyle name="40% - Énfasis6 25 14" xfId="12487" xr:uid="{00000000-0005-0000-0000-0000D1300000}"/>
    <cellStyle name="40% - Énfasis6 25 15" xfId="12488" xr:uid="{00000000-0005-0000-0000-0000D2300000}"/>
    <cellStyle name="40% - Énfasis6 25 16" xfId="12489" xr:uid="{00000000-0005-0000-0000-0000D3300000}"/>
    <cellStyle name="40% - Énfasis6 25 17" xfId="12490" xr:uid="{00000000-0005-0000-0000-0000D4300000}"/>
    <cellStyle name="40% - Énfasis6 25 18" xfId="12491" xr:uid="{00000000-0005-0000-0000-0000D5300000}"/>
    <cellStyle name="40% - Énfasis6 25 19" xfId="12492" xr:uid="{00000000-0005-0000-0000-0000D6300000}"/>
    <cellStyle name="40% - Énfasis6 25 2" xfId="12493" xr:uid="{00000000-0005-0000-0000-0000D7300000}"/>
    <cellStyle name="40% - Énfasis6 25 3" xfId="12494" xr:uid="{00000000-0005-0000-0000-0000D8300000}"/>
    <cellStyle name="40% - Énfasis6 25 4" xfId="12495" xr:uid="{00000000-0005-0000-0000-0000D9300000}"/>
    <cellStyle name="40% - Énfasis6 25 5" xfId="12496" xr:uid="{00000000-0005-0000-0000-0000DA300000}"/>
    <cellStyle name="40% - Énfasis6 25 6" xfId="12497" xr:uid="{00000000-0005-0000-0000-0000DB300000}"/>
    <cellStyle name="40% - Énfasis6 25 7" xfId="12498" xr:uid="{00000000-0005-0000-0000-0000DC300000}"/>
    <cellStyle name="40% - Énfasis6 25 8" xfId="12499" xr:uid="{00000000-0005-0000-0000-0000DD300000}"/>
    <cellStyle name="40% - Énfasis6 25 9" xfId="12500" xr:uid="{00000000-0005-0000-0000-0000DE300000}"/>
    <cellStyle name="40% - Énfasis6 26" xfId="12501" xr:uid="{00000000-0005-0000-0000-0000DF300000}"/>
    <cellStyle name="40% - Énfasis6 26 10" xfId="12502" xr:uid="{00000000-0005-0000-0000-0000E0300000}"/>
    <cellStyle name="40% - Énfasis6 26 11" xfId="12503" xr:uid="{00000000-0005-0000-0000-0000E1300000}"/>
    <cellStyle name="40% - Énfasis6 26 12" xfId="12504" xr:uid="{00000000-0005-0000-0000-0000E2300000}"/>
    <cellStyle name="40% - Énfasis6 26 13" xfId="12505" xr:uid="{00000000-0005-0000-0000-0000E3300000}"/>
    <cellStyle name="40% - Énfasis6 26 14" xfId="12506" xr:uid="{00000000-0005-0000-0000-0000E4300000}"/>
    <cellStyle name="40% - Énfasis6 26 15" xfId="12507" xr:uid="{00000000-0005-0000-0000-0000E5300000}"/>
    <cellStyle name="40% - Énfasis6 26 16" xfId="12508" xr:uid="{00000000-0005-0000-0000-0000E6300000}"/>
    <cellStyle name="40% - Énfasis6 26 17" xfId="12509" xr:uid="{00000000-0005-0000-0000-0000E7300000}"/>
    <cellStyle name="40% - Énfasis6 26 18" xfId="12510" xr:uid="{00000000-0005-0000-0000-0000E8300000}"/>
    <cellStyle name="40% - Énfasis6 26 19" xfId="12511" xr:uid="{00000000-0005-0000-0000-0000E9300000}"/>
    <cellStyle name="40% - Énfasis6 26 2" xfId="12512" xr:uid="{00000000-0005-0000-0000-0000EA300000}"/>
    <cellStyle name="40% - Énfasis6 26 3" xfId="12513" xr:uid="{00000000-0005-0000-0000-0000EB300000}"/>
    <cellStyle name="40% - Énfasis6 26 4" xfId="12514" xr:uid="{00000000-0005-0000-0000-0000EC300000}"/>
    <cellStyle name="40% - Énfasis6 26 5" xfId="12515" xr:uid="{00000000-0005-0000-0000-0000ED300000}"/>
    <cellStyle name="40% - Énfasis6 26 6" xfId="12516" xr:uid="{00000000-0005-0000-0000-0000EE300000}"/>
    <cellStyle name="40% - Énfasis6 26 7" xfId="12517" xr:uid="{00000000-0005-0000-0000-0000EF300000}"/>
    <cellStyle name="40% - Énfasis6 26 8" xfId="12518" xr:uid="{00000000-0005-0000-0000-0000F0300000}"/>
    <cellStyle name="40% - Énfasis6 26 9" xfId="12519" xr:uid="{00000000-0005-0000-0000-0000F1300000}"/>
    <cellStyle name="40% - Énfasis6 27" xfId="12520" xr:uid="{00000000-0005-0000-0000-0000F2300000}"/>
    <cellStyle name="40% - Énfasis6 27 10" xfId="12521" xr:uid="{00000000-0005-0000-0000-0000F3300000}"/>
    <cellStyle name="40% - Énfasis6 27 11" xfId="12522" xr:uid="{00000000-0005-0000-0000-0000F4300000}"/>
    <cellStyle name="40% - Énfasis6 27 12" xfId="12523" xr:uid="{00000000-0005-0000-0000-0000F5300000}"/>
    <cellStyle name="40% - Énfasis6 27 13" xfId="12524" xr:uid="{00000000-0005-0000-0000-0000F6300000}"/>
    <cellStyle name="40% - Énfasis6 27 14" xfId="12525" xr:uid="{00000000-0005-0000-0000-0000F7300000}"/>
    <cellStyle name="40% - Énfasis6 27 15" xfId="12526" xr:uid="{00000000-0005-0000-0000-0000F8300000}"/>
    <cellStyle name="40% - Énfasis6 27 16" xfId="12527" xr:uid="{00000000-0005-0000-0000-0000F9300000}"/>
    <cellStyle name="40% - Énfasis6 27 17" xfId="12528" xr:uid="{00000000-0005-0000-0000-0000FA300000}"/>
    <cellStyle name="40% - Énfasis6 27 18" xfId="12529" xr:uid="{00000000-0005-0000-0000-0000FB300000}"/>
    <cellStyle name="40% - Énfasis6 27 19" xfId="12530" xr:uid="{00000000-0005-0000-0000-0000FC300000}"/>
    <cellStyle name="40% - Énfasis6 27 2" xfId="12531" xr:uid="{00000000-0005-0000-0000-0000FD300000}"/>
    <cellStyle name="40% - Énfasis6 27 3" xfId="12532" xr:uid="{00000000-0005-0000-0000-0000FE300000}"/>
    <cellStyle name="40% - Énfasis6 27 4" xfId="12533" xr:uid="{00000000-0005-0000-0000-0000FF300000}"/>
    <cellStyle name="40% - Énfasis6 27 5" xfId="12534" xr:uid="{00000000-0005-0000-0000-000000310000}"/>
    <cellStyle name="40% - Énfasis6 27 6" xfId="12535" xr:uid="{00000000-0005-0000-0000-000001310000}"/>
    <cellStyle name="40% - Énfasis6 27 7" xfId="12536" xr:uid="{00000000-0005-0000-0000-000002310000}"/>
    <cellStyle name="40% - Énfasis6 27 8" xfId="12537" xr:uid="{00000000-0005-0000-0000-000003310000}"/>
    <cellStyle name="40% - Énfasis6 27 9" xfId="12538" xr:uid="{00000000-0005-0000-0000-000004310000}"/>
    <cellStyle name="40% - Énfasis6 28" xfId="12539" xr:uid="{00000000-0005-0000-0000-000005310000}"/>
    <cellStyle name="40% - Énfasis6 28 10" xfId="12540" xr:uid="{00000000-0005-0000-0000-000006310000}"/>
    <cellStyle name="40% - Énfasis6 28 11" xfId="12541" xr:uid="{00000000-0005-0000-0000-000007310000}"/>
    <cellStyle name="40% - Énfasis6 28 12" xfId="12542" xr:uid="{00000000-0005-0000-0000-000008310000}"/>
    <cellStyle name="40% - Énfasis6 28 13" xfId="12543" xr:uid="{00000000-0005-0000-0000-000009310000}"/>
    <cellStyle name="40% - Énfasis6 28 14" xfId="12544" xr:uid="{00000000-0005-0000-0000-00000A310000}"/>
    <cellStyle name="40% - Énfasis6 28 15" xfId="12545" xr:uid="{00000000-0005-0000-0000-00000B310000}"/>
    <cellStyle name="40% - Énfasis6 28 16" xfId="12546" xr:uid="{00000000-0005-0000-0000-00000C310000}"/>
    <cellStyle name="40% - Énfasis6 28 17" xfId="12547" xr:uid="{00000000-0005-0000-0000-00000D310000}"/>
    <cellStyle name="40% - Énfasis6 28 18" xfId="12548" xr:uid="{00000000-0005-0000-0000-00000E310000}"/>
    <cellStyle name="40% - Énfasis6 28 19" xfId="12549" xr:uid="{00000000-0005-0000-0000-00000F310000}"/>
    <cellStyle name="40% - Énfasis6 28 2" xfId="12550" xr:uid="{00000000-0005-0000-0000-000010310000}"/>
    <cellStyle name="40% - Énfasis6 28 3" xfId="12551" xr:uid="{00000000-0005-0000-0000-000011310000}"/>
    <cellStyle name="40% - Énfasis6 28 4" xfId="12552" xr:uid="{00000000-0005-0000-0000-000012310000}"/>
    <cellStyle name="40% - Énfasis6 28 5" xfId="12553" xr:uid="{00000000-0005-0000-0000-000013310000}"/>
    <cellStyle name="40% - Énfasis6 28 6" xfId="12554" xr:uid="{00000000-0005-0000-0000-000014310000}"/>
    <cellStyle name="40% - Énfasis6 28 7" xfId="12555" xr:uid="{00000000-0005-0000-0000-000015310000}"/>
    <cellStyle name="40% - Énfasis6 28 8" xfId="12556" xr:uid="{00000000-0005-0000-0000-000016310000}"/>
    <cellStyle name="40% - Énfasis6 28 9" xfId="12557" xr:uid="{00000000-0005-0000-0000-000017310000}"/>
    <cellStyle name="40% - Énfasis6 29" xfId="12558" xr:uid="{00000000-0005-0000-0000-000018310000}"/>
    <cellStyle name="40% - Énfasis6 29 10" xfId="12559" xr:uid="{00000000-0005-0000-0000-000019310000}"/>
    <cellStyle name="40% - Énfasis6 29 11" xfId="12560" xr:uid="{00000000-0005-0000-0000-00001A310000}"/>
    <cellStyle name="40% - Énfasis6 29 12" xfId="12561" xr:uid="{00000000-0005-0000-0000-00001B310000}"/>
    <cellStyle name="40% - Énfasis6 29 13" xfId="12562" xr:uid="{00000000-0005-0000-0000-00001C310000}"/>
    <cellStyle name="40% - Énfasis6 29 14" xfId="12563" xr:uid="{00000000-0005-0000-0000-00001D310000}"/>
    <cellStyle name="40% - Énfasis6 29 15" xfId="12564" xr:uid="{00000000-0005-0000-0000-00001E310000}"/>
    <cellStyle name="40% - Énfasis6 29 16" xfId="12565" xr:uid="{00000000-0005-0000-0000-00001F310000}"/>
    <cellStyle name="40% - Énfasis6 29 17" xfId="12566" xr:uid="{00000000-0005-0000-0000-000020310000}"/>
    <cellStyle name="40% - Énfasis6 29 18" xfId="12567" xr:uid="{00000000-0005-0000-0000-000021310000}"/>
    <cellStyle name="40% - Énfasis6 29 19" xfId="12568" xr:uid="{00000000-0005-0000-0000-000022310000}"/>
    <cellStyle name="40% - Énfasis6 29 2" xfId="12569" xr:uid="{00000000-0005-0000-0000-000023310000}"/>
    <cellStyle name="40% - Énfasis6 29 3" xfId="12570" xr:uid="{00000000-0005-0000-0000-000024310000}"/>
    <cellStyle name="40% - Énfasis6 29 4" xfId="12571" xr:uid="{00000000-0005-0000-0000-000025310000}"/>
    <cellStyle name="40% - Énfasis6 29 5" xfId="12572" xr:uid="{00000000-0005-0000-0000-000026310000}"/>
    <cellStyle name="40% - Énfasis6 29 6" xfId="12573" xr:uid="{00000000-0005-0000-0000-000027310000}"/>
    <cellStyle name="40% - Énfasis6 29 7" xfId="12574" xr:uid="{00000000-0005-0000-0000-000028310000}"/>
    <cellStyle name="40% - Énfasis6 29 8" xfId="12575" xr:uid="{00000000-0005-0000-0000-000029310000}"/>
    <cellStyle name="40% - Énfasis6 29 9" xfId="12576" xr:uid="{00000000-0005-0000-0000-00002A310000}"/>
    <cellStyle name="40% - Énfasis6 3" xfId="12577" xr:uid="{00000000-0005-0000-0000-00002B310000}"/>
    <cellStyle name="40% - Énfasis6 3 10" xfId="12578" xr:uid="{00000000-0005-0000-0000-00002C310000}"/>
    <cellStyle name="40% - Énfasis6 3 11" xfId="12579" xr:uid="{00000000-0005-0000-0000-00002D310000}"/>
    <cellStyle name="40% - Énfasis6 3 12" xfId="12580" xr:uid="{00000000-0005-0000-0000-00002E310000}"/>
    <cellStyle name="40% - Énfasis6 3 13" xfId="12581" xr:uid="{00000000-0005-0000-0000-00002F310000}"/>
    <cellStyle name="40% - Énfasis6 3 14" xfId="12582" xr:uid="{00000000-0005-0000-0000-000030310000}"/>
    <cellStyle name="40% - Énfasis6 3 15" xfId="12583" xr:uid="{00000000-0005-0000-0000-000031310000}"/>
    <cellStyle name="40% - Énfasis6 3 16" xfId="12584" xr:uid="{00000000-0005-0000-0000-000032310000}"/>
    <cellStyle name="40% - Énfasis6 3 17" xfId="12585" xr:uid="{00000000-0005-0000-0000-000033310000}"/>
    <cellStyle name="40% - Énfasis6 3 18" xfId="12586" xr:uid="{00000000-0005-0000-0000-000034310000}"/>
    <cellStyle name="40% - Énfasis6 3 19" xfId="12587" xr:uid="{00000000-0005-0000-0000-000035310000}"/>
    <cellStyle name="40% - Énfasis6 3 2" xfId="12588" xr:uid="{00000000-0005-0000-0000-000036310000}"/>
    <cellStyle name="40% - Énfasis6 3 20" xfId="12589" xr:uid="{00000000-0005-0000-0000-000037310000}"/>
    <cellStyle name="40% - Énfasis6 3 3" xfId="12590" xr:uid="{00000000-0005-0000-0000-000038310000}"/>
    <cellStyle name="40% - Énfasis6 3 4" xfId="12591" xr:uid="{00000000-0005-0000-0000-000039310000}"/>
    <cellStyle name="40% - Énfasis6 3 5" xfId="12592" xr:uid="{00000000-0005-0000-0000-00003A310000}"/>
    <cellStyle name="40% - Énfasis6 3 6" xfId="12593" xr:uid="{00000000-0005-0000-0000-00003B310000}"/>
    <cellStyle name="40% - Énfasis6 3 7" xfId="12594" xr:uid="{00000000-0005-0000-0000-00003C310000}"/>
    <cellStyle name="40% - Énfasis6 3 8" xfId="12595" xr:uid="{00000000-0005-0000-0000-00003D310000}"/>
    <cellStyle name="40% - Énfasis6 3 9" xfId="12596" xr:uid="{00000000-0005-0000-0000-00003E310000}"/>
    <cellStyle name="40% - Énfasis6 30" xfId="12597" xr:uid="{00000000-0005-0000-0000-00003F310000}"/>
    <cellStyle name="40% - Énfasis6 30 10" xfId="12598" xr:uid="{00000000-0005-0000-0000-000040310000}"/>
    <cellStyle name="40% - Énfasis6 30 11" xfId="12599" xr:uid="{00000000-0005-0000-0000-000041310000}"/>
    <cellStyle name="40% - Énfasis6 30 12" xfId="12600" xr:uid="{00000000-0005-0000-0000-000042310000}"/>
    <cellStyle name="40% - Énfasis6 30 13" xfId="12601" xr:uid="{00000000-0005-0000-0000-000043310000}"/>
    <cellStyle name="40% - Énfasis6 30 14" xfId="12602" xr:uid="{00000000-0005-0000-0000-000044310000}"/>
    <cellStyle name="40% - Énfasis6 30 15" xfId="12603" xr:uid="{00000000-0005-0000-0000-000045310000}"/>
    <cellStyle name="40% - Énfasis6 30 16" xfId="12604" xr:uid="{00000000-0005-0000-0000-000046310000}"/>
    <cellStyle name="40% - Énfasis6 30 17" xfId="12605" xr:uid="{00000000-0005-0000-0000-000047310000}"/>
    <cellStyle name="40% - Énfasis6 30 18" xfId="12606" xr:uid="{00000000-0005-0000-0000-000048310000}"/>
    <cellStyle name="40% - Énfasis6 30 19" xfId="12607" xr:uid="{00000000-0005-0000-0000-000049310000}"/>
    <cellStyle name="40% - Énfasis6 30 2" xfId="12608" xr:uid="{00000000-0005-0000-0000-00004A310000}"/>
    <cellStyle name="40% - Énfasis6 30 3" xfId="12609" xr:uid="{00000000-0005-0000-0000-00004B310000}"/>
    <cellStyle name="40% - Énfasis6 30 4" xfId="12610" xr:uid="{00000000-0005-0000-0000-00004C310000}"/>
    <cellStyle name="40% - Énfasis6 30 5" xfId="12611" xr:uid="{00000000-0005-0000-0000-00004D310000}"/>
    <cellStyle name="40% - Énfasis6 30 6" xfId="12612" xr:uid="{00000000-0005-0000-0000-00004E310000}"/>
    <cellStyle name="40% - Énfasis6 30 7" xfId="12613" xr:uid="{00000000-0005-0000-0000-00004F310000}"/>
    <cellStyle name="40% - Énfasis6 30 8" xfId="12614" xr:uid="{00000000-0005-0000-0000-000050310000}"/>
    <cellStyle name="40% - Énfasis6 30 9" xfId="12615" xr:uid="{00000000-0005-0000-0000-000051310000}"/>
    <cellStyle name="40% - Énfasis6 31" xfId="12616" xr:uid="{00000000-0005-0000-0000-000052310000}"/>
    <cellStyle name="40% - Énfasis6 31 10" xfId="12617" xr:uid="{00000000-0005-0000-0000-000053310000}"/>
    <cellStyle name="40% - Énfasis6 31 11" xfId="12618" xr:uid="{00000000-0005-0000-0000-000054310000}"/>
    <cellStyle name="40% - Énfasis6 31 12" xfId="12619" xr:uid="{00000000-0005-0000-0000-000055310000}"/>
    <cellStyle name="40% - Énfasis6 31 13" xfId="12620" xr:uid="{00000000-0005-0000-0000-000056310000}"/>
    <cellStyle name="40% - Énfasis6 31 14" xfId="12621" xr:uid="{00000000-0005-0000-0000-000057310000}"/>
    <cellStyle name="40% - Énfasis6 31 15" xfId="12622" xr:uid="{00000000-0005-0000-0000-000058310000}"/>
    <cellStyle name="40% - Énfasis6 31 16" xfId="12623" xr:uid="{00000000-0005-0000-0000-000059310000}"/>
    <cellStyle name="40% - Énfasis6 31 17" xfId="12624" xr:uid="{00000000-0005-0000-0000-00005A310000}"/>
    <cellStyle name="40% - Énfasis6 31 18" xfId="12625" xr:uid="{00000000-0005-0000-0000-00005B310000}"/>
    <cellStyle name="40% - Énfasis6 31 19" xfId="12626" xr:uid="{00000000-0005-0000-0000-00005C310000}"/>
    <cellStyle name="40% - Énfasis6 31 2" xfId="12627" xr:uid="{00000000-0005-0000-0000-00005D310000}"/>
    <cellStyle name="40% - Énfasis6 31 3" xfId="12628" xr:uid="{00000000-0005-0000-0000-00005E310000}"/>
    <cellStyle name="40% - Énfasis6 31 4" xfId="12629" xr:uid="{00000000-0005-0000-0000-00005F310000}"/>
    <cellStyle name="40% - Énfasis6 31 5" xfId="12630" xr:uid="{00000000-0005-0000-0000-000060310000}"/>
    <cellStyle name="40% - Énfasis6 31 6" xfId="12631" xr:uid="{00000000-0005-0000-0000-000061310000}"/>
    <cellStyle name="40% - Énfasis6 31 7" xfId="12632" xr:uid="{00000000-0005-0000-0000-000062310000}"/>
    <cellStyle name="40% - Énfasis6 31 8" xfId="12633" xr:uid="{00000000-0005-0000-0000-000063310000}"/>
    <cellStyle name="40% - Énfasis6 31 9" xfId="12634" xr:uid="{00000000-0005-0000-0000-000064310000}"/>
    <cellStyle name="40% - Énfasis6 32" xfId="12635" xr:uid="{00000000-0005-0000-0000-000065310000}"/>
    <cellStyle name="40% - Énfasis6 32 10" xfId="12636" xr:uid="{00000000-0005-0000-0000-000066310000}"/>
    <cellStyle name="40% - Énfasis6 32 11" xfId="12637" xr:uid="{00000000-0005-0000-0000-000067310000}"/>
    <cellStyle name="40% - Énfasis6 32 12" xfId="12638" xr:uid="{00000000-0005-0000-0000-000068310000}"/>
    <cellStyle name="40% - Énfasis6 32 13" xfId="12639" xr:uid="{00000000-0005-0000-0000-000069310000}"/>
    <cellStyle name="40% - Énfasis6 32 14" xfId="12640" xr:uid="{00000000-0005-0000-0000-00006A310000}"/>
    <cellStyle name="40% - Énfasis6 32 15" xfId="12641" xr:uid="{00000000-0005-0000-0000-00006B310000}"/>
    <cellStyle name="40% - Énfasis6 32 16" xfId="12642" xr:uid="{00000000-0005-0000-0000-00006C310000}"/>
    <cellStyle name="40% - Énfasis6 32 17" xfId="12643" xr:uid="{00000000-0005-0000-0000-00006D310000}"/>
    <cellStyle name="40% - Énfasis6 32 18" xfId="12644" xr:uid="{00000000-0005-0000-0000-00006E310000}"/>
    <cellStyle name="40% - Énfasis6 32 19" xfId="12645" xr:uid="{00000000-0005-0000-0000-00006F310000}"/>
    <cellStyle name="40% - Énfasis6 32 2" xfId="12646" xr:uid="{00000000-0005-0000-0000-000070310000}"/>
    <cellStyle name="40% - Énfasis6 32 3" xfId="12647" xr:uid="{00000000-0005-0000-0000-000071310000}"/>
    <cellStyle name="40% - Énfasis6 32 4" xfId="12648" xr:uid="{00000000-0005-0000-0000-000072310000}"/>
    <cellStyle name="40% - Énfasis6 32 5" xfId="12649" xr:uid="{00000000-0005-0000-0000-000073310000}"/>
    <cellStyle name="40% - Énfasis6 32 6" xfId="12650" xr:uid="{00000000-0005-0000-0000-000074310000}"/>
    <cellStyle name="40% - Énfasis6 32 7" xfId="12651" xr:uid="{00000000-0005-0000-0000-000075310000}"/>
    <cellStyle name="40% - Énfasis6 32 8" xfId="12652" xr:uid="{00000000-0005-0000-0000-000076310000}"/>
    <cellStyle name="40% - Énfasis6 32 9" xfId="12653" xr:uid="{00000000-0005-0000-0000-000077310000}"/>
    <cellStyle name="40% - Énfasis6 33" xfId="12654" xr:uid="{00000000-0005-0000-0000-000078310000}"/>
    <cellStyle name="40% - Énfasis6 33 10" xfId="12655" xr:uid="{00000000-0005-0000-0000-000079310000}"/>
    <cellStyle name="40% - Énfasis6 33 11" xfId="12656" xr:uid="{00000000-0005-0000-0000-00007A310000}"/>
    <cellStyle name="40% - Énfasis6 33 12" xfId="12657" xr:uid="{00000000-0005-0000-0000-00007B310000}"/>
    <cellStyle name="40% - Énfasis6 33 13" xfId="12658" xr:uid="{00000000-0005-0000-0000-00007C310000}"/>
    <cellStyle name="40% - Énfasis6 33 14" xfId="12659" xr:uid="{00000000-0005-0000-0000-00007D310000}"/>
    <cellStyle name="40% - Énfasis6 33 15" xfId="12660" xr:uid="{00000000-0005-0000-0000-00007E310000}"/>
    <cellStyle name="40% - Énfasis6 33 16" xfId="12661" xr:uid="{00000000-0005-0000-0000-00007F310000}"/>
    <cellStyle name="40% - Énfasis6 33 17" xfId="12662" xr:uid="{00000000-0005-0000-0000-000080310000}"/>
    <cellStyle name="40% - Énfasis6 33 18" xfId="12663" xr:uid="{00000000-0005-0000-0000-000081310000}"/>
    <cellStyle name="40% - Énfasis6 33 19" xfId="12664" xr:uid="{00000000-0005-0000-0000-000082310000}"/>
    <cellStyle name="40% - Énfasis6 33 2" xfId="12665" xr:uid="{00000000-0005-0000-0000-000083310000}"/>
    <cellStyle name="40% - Énfasis6 33 3" xfId="12666" xr:uid="{00000000-0005-0000-0000-000084310000}"/>
    <cellStyle name="40% - Énfasis6 33 4" xfId="12667" xr:uid="{00000000-0005-0000-0000-000085310000}"/>
    <cellStyle name="40% - Énfasis6 33 5" xfId="12668" xr:uid="{00000000-0005-0000-0000-000086310000}"/>
    <cellStyle name="40% - Énfasis6 33 6" xfId="12669" xr:uid="{00000000-0005-0000-0000-000087310000}"/>
    <cellStyle name="40% - Énfasis6 33 7" xfId="12670" xr:uid="{00000000-0005-0000-0000-000088310000}"/>
    <cellStyle name="40% - Énfasis6 33 8" xfId="12671" xr:uid="{00000000-0005-0000-0000-000089310000}"/>
    <cellStyle name="40% - Énfasis6 33 9" xfId="12672" xr:uid="{00000000-0005-0000-0000-00008A310000}"/>
    <cellStyle name="40% - Énfasis6 34" xfId="12673" xr:uid="{00000000-0005-0000-0000-00008B310000}"/>
    <cellStyle name="40% - Énfasis6 34 10" xfId="12674" xr:uid="{00000000-0005-0000-0000-00008C310000}"/>
    <cellStyle name="40% - Énfasis6 34 11" xfId="12675" xr:uid="{00000000-0005-0000-0000-00008D310000}"/>
    <cellStyle name="40% - Énfasis6 34 12" xfId="12676" xr:uid="{00000000-0005-0000-0000-00008E310000}"/>
    <cellStyle name="40% - Énfasis6 34 13" xfId="12677" xr:uid="{00000000-0005-0000-0000-00008F310000}"/>
    <cellStyle name="40% - Énfasis6 34 14" xfId="12678" xr:uid="{00000000-0005-0000-0000-000090310000}"/>
    <cellStyle name="40% - Énfasis6 34 15" xfId="12679" xr:uid="{00000000-0005-0000-0000-000091310000}"/>
    <cellStyle name="40% - Énfasis6 34 16" xfId="12680" xr:uid="{00000000-0005-0000-0000-000092310000}"/>
    <cellStyle name="40% - Énfasis6 34 17" xfId="12681" xr:uid="{00000000-0005-0000-0000-000093310000}"/>
    <cellStyle name="40% - Énfasis6 34 18" xfId="12682" xr:uid="{00000000-0005-0000-0000-000094310000}"/>
    <cellStyle name="40% - Énfasis6 34 19" xfId="12683" xr:uid="{00000000-0005-0000-0000-000095310000}"/>
    <cellStyle name="40% - Énfasis6 34 2" xfId="12684" xr:uid="{00000000-0005-0000-0000-000096310000}"/>
    <cellStyle name="40% - Énfasis6 34 3" xfId="12685" xr:uid="{00000000-0005-0000-0000-000097310000}"/>
    <cellStyle name="40% - Énfasis6 34 4" xfId="12686" xr:uid="{00000000-0005-0000-0000-000098310000}"/>
    <cellStyle name="40% - Énfasis6 34 5" xfId="12687" xr:uid="{00000000-0005-0000-0000-000099310000}"/>
    <cellStyle name="40% - Énfasis6 34 6" xfId="12688" xr:uid="{00000000-0005-0000-0000-00009A310000}"/>
    <cellStyle name="40% - Énfasis6 34 7" xfId="12689" xr:uid="{00000000-0005-0000-0000-00009B310000}"/>
    <cellStyle name="40% - Énfasis6 34 8" xfId="12690" xr:uid="{00000000-0005-0000-0000-00009C310000}"/>
    <cellStyle name="40% - Énfasis6 34 9" xfId="12691" xr:uid="{00000000-0005-0000-0000-00009D310000}"/>
    <cellStyle name="40% - Énfasis6 35" xfId="12692" xr:uid="{00000000-0005-0000-0000-00009E310000}"/>
    <cellStyle name="40% - Énfasis6 35 10" xfId="12693" xr:uid="{00000000-0005-0000-0000-00009F310000}"/>
    <cellStyle name="40% - Énfasis6 35 11" xfId="12694" xr:uid="{00000000-0005-0000-0000-0000A0310000}"/>
    <cellStyle name="40% - Énfasis6 35 12" xfId="12695" xr:uid="{00000000-0005-0000-0000-0000A1310000}"/>
    <cellStyle name="40% - Énfasis6 35 13" xfId="12696" xr:uid="{00000000-0005-0000-0000-0000A2310000}"/>
    <cellStyle name="40% - Énfasis6 35 14" xfId="12697" xr:uid="{00000000-0005-0000-0000-0000A3310000}"/>
    <cellStyle name="40% - Énfasis6 35 15" xfId="12698" xr:uid="{00000000-0005-0000-0000-0000A4310000}"/>
    <cellStyle name="40% - Énfasis6 35 16" xfId="12699" xr:uid="{00000000-0005-0000-0000-0000A5310000}"/>
    <cellStyle name="40% - Énfasis6 35 17" xfId="12700" xr:uid="{00000000-0005-0000-0000-0000A6310000}"/>
    <cellStyle name="40% - Énfasis6 35 18" xfId="12701" xr:uid="{00000000-0005-0000-0000-0000A7310000}"/>
    <cellStyle name="40% - Énfasis6 35 19" xfId="12702" xr:uid="{00000000-0005-0000-0000-0000A8310000}"/>
    <cellStyle name="40% - Énfasis6 35 2" xfId="12703" xr:uid="{00000000-0005-0000-0000-0000A9310000}"/>
    <cellStyle name="40% - Énfasis6 35 3" xfId="12704" xr:uid="{00000000-0005-0000-0000-0000AA310000}"/>
    <cellStyle name="40% - Énfasis6 35 4" xfId="12705" xr:uid="{00000000-0005-0000-0000-0000AB310000}"/>
    <cellStyle name="40% - Énfasis6 35 5" xfId="12706" xr:uid="{00000000-0005-0000-0000-0000AC310000}"/>
    <cellStyle name="40% - Énfasis6 35 6" xfId="12707" xr:uid="{00000000-0005-0000-0000-0000AD310000}"/>
    <cellStyle name="40% - Énfasis6 35 7" xfId="12708" xr:uid="{00000000-0005-0000-0000-0000AE310000}"/>
    <cellStyle name="40% - Énfasis6 35 8" xfId="12709" xr:uid="{00000000-0005-0000-0000-0000AF310000}"/>
    <cellStyle name="40% - Énfasis6 35 9" xfId="12710" xr:uid="{00000000-0005-0000-0000-0000B0310000}"/>
    <cellStyle name="40% - Énfasis6 36" xfId="12711" xr:uid="{00000000-0005-0000-0000-0000B1310000}"/>
    <cellStyle name="40% - Énfasis6 36 10" xfId="12712" xr:uid="{00000000-0005-0000-0000-0000B2310000}"/>
    <cellStyle name="40% - Énfasis6 36 11" xfId="12713" xr:uid="{00000000-0005-0000-0000-0000B3310000}"/>
    <cellStyle name="40% - Énfasis6 36 12" xfId="12714" xr:uid="{00000000-0005-0000-0000-0000B4310000}"/>
    <cellStyle name="40% - Énfasis6 36 13" xfId="12715" xr:uid="{00000000-0005-0000-0000-0000B5310000}"/>
    <cellStyle name="40% - Énfasis6 36 14" xfId="12716" xr:uid="{00000000-0005-0000-0000-0000B6310000}"/>
    <cellStyle name="40% - Énfasis6 36 15" xfId="12717" xr:uid="{00000000-0005-0000-0000-0000B7310000}"/>
    <cellStyle name="40% - Énfasis6 36 16" xfId="12718" xr:uid="{00000000-0005-0000-0000-0000B8310000}"/>
    <cellStyle name="40% - Énfasis6 36 17" xfId="12719" xr:uid="{00000000-0005-0000-0000-0000B9310000}"/>
    <cellStyle name="40% - Énfasis6 36 18" xfId="12720" xr:uid="{00000000-0005-0000-0000-0000BA310000}"/>
    <cellStyle name="40% - Énfasis6 36 19" xfId="12721" xr:uid="{00000000-0005-0000-0000-0000BB310000}"/>
    <cellStyle name="40% - Énfasis6 36 2" xfId="12722" xr:uid="{00000000-0005-0000-0000-0000BC310000}"/>
    <cellStyle name="40% - Énfasis6 36 3" xfId="12723" xr:uid="{00000000-0005-0000-0000-0000BD310000}"/>
    <cellStyle name="40% - Énfasis6 36 4" xfId="12724" xr:uid="{00000000-0005-0000-0000-0000BE310000}"/>
    <cellStyle name="40% - Énfasis6 36 5" xfId="12725" xr:uid="{00000000-0005-0000-0000-0000BF310000}"/>
    <cellStyle name="40% - Énfasis6 36 6" xfId="12726" xr:uid="{00000000-0005-0000-0000-0000C0310000}"/>
    <cellStyle name="40% - Énfasis6 36 7" xfId="12727" xr:uid="{00000000-0005-0000-0000-0000C1310000}"/>
    <cellStyle name="40% - Énfasis6 36 8" xfId="12728" xr:uid="{00000000-0005-0000-0000-0000C2310000}"/>
    <cellStyle name="40% - Énfasis6 36 9" xfId="12729" xr:uid="{00000000-0005-0000-0000-0000C3310000}"/>
    <cellStyle name="40% - Énfasis6 37" xfId="12730" xr:uid="{00000000-0005-0000-0000-0000C4310000}"/>
    <cellStyle name="40% - Énfasis6 38" xfId="12731" xr:uid="{00000000-0005-0000-0000-0000C5310000}"/>
    <cellStyle name="40% - Énfasis6 39" xfId="12732" xr:uid="{00000000-0005-0000-0000-0000C6310000}"/>
    <cellStyle name="40% - Énfasis6 4" xfId="12733" xr:uid="{00000000-0005-0000-0000-0000C7310000}"/>
    <cellStyle name="40% - Énfasis6 4 10" xfId="12734" xr:uid="{00000000-0005-0000-0000-0000C8310000}"/>
    <cellStyle name="40% - Énfasis6 4 11" xfId="12735" xr:uid="{00000000-0005-0000-0000-0000C9310000}"/>
    <cellStyle name="40% - Énfasis6 4 12" xfId="12736" xr:uid="{00000000-0005-0000-0000-0000CA310000}"/>
    <cellStyle name="40% - Énfasis6 4 13" xfId="12737" xr:uid="{00000000-0005-0000-0000-0000CB310000}"/>
    <cellStyle name="40% - Énfasis6 4 14" xfId="12738" xr:uid="{00000000-0005-0000-0000-0000CC310000}"/>
    <cellStyle name="40% - Énfasis6 4 15" xfId="12739" xr:uid="{00000000-0005-0000-0000-0000CD310000}"/>
    <cellStyle name="40% - Énfasis6 4 16" xfId="12740" xr:uid="{00000000-0005-0000-0000-0000CE310000}"/>
    <cellStyle name="40% - Énfasis6 4 17" xfId="12741" xr:uid="{00000000-0005-0000-0000-0000CF310000}"/>
    <cellStyle name="40% - Énfasis6 4 18" xfId="12742" xr:uid="{00000000-0005-0000-0000-0000D0310000}"/>
    <cellStyle name="40% - Énfasis6 4 19" xfId="12743" xr:uid="{00000000-0005-0000-0000-0000D1310000}"/>
    <cellStyle name="40% - Énfasis6 4 2" xfId="12744" xr:uid="{00000000-0005-0000-0000-0000D2310000}"/>
    <cellStyle name="40% - Énfasis6 4 20" xfId="12745" xr:uid="{00000000-0005-0000-0000-0000D3310000}"/>
    <cellStyle name="40% - Énfasis6 4 3" xfId="12746" xr:uid="{00000000-0005-0000-0000-0000D4310000}"/>
    <cellStyle name="40% - Énfasis6 4 4" xfId="12747" xr:uid="{00000000-0005-0000-0000-0000D5310000}"/>
    <cellStyle name="40% - Énfasis6 4 5" xfId="12748" xr:uid="{00000000-0005-0000-0000-0000D6310000}"/>
    <cellStyle name="40% - Énfasis6 4 6" xfId="12749" xr:uid="{00000000-0005-0000-0000-0000D7310000}"/>
    <cellStyle name="40% - Énfasis6 4 7" xfId="12750" xr:uid="{00000000-0005-0000-0000-0000D8310000}"/>
    <cellStyle name="40% - Énfasis6 4 8" xfId="12751" xr:uid="{00000000-0005-0000-0000-0000D9310000}"/>
    <cellStyle name="40% - Énfasis6 4 9" xfId="12752" xr:uid="{00000000-0005-0000-0000-0000DA310000}"/>
    <cellStyle name="40% - Énfasis6 40" xfId="12753" xr:uid="{00000000-0005-0000-0000-0000DB310000}"/>
    <cellStyle name="40% - Énfasis6 41" xfId="12754" xr:uid="{00000000-0005-0000-0000-0000DC310000}"/>
    <cellStyle name="40% - Énfasis6 42" xfId="12755" xr:uid="{00000000-0005-0000-0000-0000DD310000}"/>
    <cellStyle name="40% - Énfasis6 43" xfId="12756" xr:uid="{00000000-0005-0000-0000-0000DE310000}"/>
    <cellStyle name="40% - Énfasis6 44" xfId="12757" xr:uid="{00000000-0005-0000-0000-0000DF310000}"/>
    <cellStyle name="40% - Énfasis6 45" xfId="12758" xr:uid="{00000000-0005-0000-0000-0000E0310000}"/>
    <cellStyle name="40% - Énfasis6 46" xfId="12759" xr:uid="{00000000-0005-0000-0000-0000E1310000}"/>
    <cellStyle name="40% - Énfasis6 47" xfId="12760" xr:uid="{00000000-0005-0000-0000-0000E2310000}"/>
    <cellStyle name="40% - Énfasis6 48" xfId="12761" xr:uid="{00000000-0005-0000-0000-0000E3310000}"/>
    <cellStyle name="40% - Énfasis6 49" xfId="12762" xr:uid="{00000000-0005-0000-0000-0000E4310000}"/>
    <cellStyle name="40% - Énfasis6 5" xfId="12763" xr:uid="{00000000-0005-0000-0000-0000E5310000}"/>
    <cellStyle name="40% - Énfasis6 5 10" xfId="12764" xr:uid="{00000000-0005-0000-0000-0000E6310000}"/>
    <cellStyle name="40% - Énfasis6 5 11" xfId="12765" xr:uid="{00000000-0005-0000-0000-0000E7310000}"/>
    <cellStyle name="40% - Énfasis6 5 12" xfId="12766" xr:uid="{00000000-0005-0000-0000-0000E8310000}"/>
    <cellStyle name="40% - Énfasis6 5 13" xfId="12767" xr:uid="{00000000-0005-0000-0000-0000E9310000}"/>
    <cellStyle name="40% - Énfasis6 5 14" xfId="12768" xr:uid="{00000000-0005-0000-0000-0000EA310000}"/>
    <cellStyle name="40% - Énfasis6 5 15" xfId="12769" xr:uid="{00000000-0005-0000-0000-0000EB310000}"/>
    <cellStyle name="40% - Énfasis6 5 16" xfId="12770" xr:uid="{00000000-0005-0000-0000-0000EC310000}"/>
    <cellStyle name="40% - Énfasis6 5 17" xfId="12771" xr:uid="{00000000-0005-0000-0000-0000ED310000}"/>
    <cellStyle name="40% - Énfasis6 5 18" xfId="12772" xr:uid="{00000000-0005-0000-0000-0000EE310000}"/>
    <cellStyle name="40% - Énfasis6 5 19" xfId="12773" xr:uid="{00000000-0005-0000-0000-0000EF310000}"/>
    <cellStyle name="40% - Énfasis6 5 2" xfId="12774" xr:uid="{00000000-0005-0000-0000-0000F0310000}"/>
    <cellStyle name="40% - Énfasis6 5 20" xfId="12775" xr:uid="{00000000-0005-0000-0000-0000F1310000}"/>
    <cellStyle name="40% - Énfasis6 5 3" xfId="12776" xr:uid="{00000000-0005-0000-0000-0000F2310000}"/>
    <cellStyle name="40% - Énfasis6 5 4" xfId="12777" xr:uid="{00000000-0005-0000-0000-0000F3310000}"/>
    <cellStyle name="40% - Énfasis6 5 5" xfId="12778" xr:uid="{00000000-0005-0000-0000-0000F4310000}"/>
    <cellStyle name="40% - Énfasis6 5 6" xfId="12779" xr:uid="{00000000-0005-0000-0000-0000F5310000}"/>
    <cellStyle name="40% - Énfasis6 5 7" xfId="12780" xr:uid="{00000000-0005-0000-0000-0000F6310000}"/>
    <cellStyle name="40% - Énfasis6 5 8" xfId="12781" xr:uid="{00000000-0005-0000-0000-0000F7310000}"/>
    <cellStyle name="40% - Énfasis6 5 9" xfId="12782" xr:uid="{00000000-0005-0000-0000-0000F8310000}"/>
    <cellStyle name="40% - Énfasis6 50" xfId="12783" xr:uid="{00000000-0005-0000-0000-0000F9310000}"/>
    <cellStyle name="40% - Énfasis6 51" xfId="12784" xr:uid="{00000000-0005-0000-0000-0000FA310000}"/>
    <cellStyle name="40% - Énfasis6 52" xfId="12785" xr:uid="{00000000-0005-0000-0000-0000FB310000}"/>
    <cellStyle name="40% - Énfasis6 53" xfId="12786" xr:uid="{00000000-0005-0000-0000-0000FC310000}"/>
    <cellStyle name="40% - Énfasis6 54" xfId="12787" xr:uid="{00000000-0005-0000-0000-0000FD310000}"/>
    <cellStyle name="40% - Énfasis6 55" xfId="12788" xr:uid="{00000000-0005-0000-0000-0000FE310000}"/>
    <cellStyle name="40% - Énfasis6 56" xfId="12789" xr:uid="{00000000-0005-0000-0000-0000FF310000}"/>
    <cellStyle name="40% - Énfasis6 57" xfId="12790" xr:uid="{00000000-0005-0000-0000-000000320000}"/>
    <cellStyle name="40% - Énfasis6 58" xfId="12791" xr:uid="{00000000-0005-0000-0000-000001320000}"/>
    <cellStyle name="40% - Énfasis6 59" xfId="12792" xr:uid="{00000000-0005-0000-0000-000002320000}"/>
    <cellStyle name="40% - Énfasis6 6" xfId="12793" xr:uid="{00000000-0005-0000-0000-000003320000}"/>
    <cellStyle name="40% - Énfasis6 6 10" xfId="12794" xr:uid="{00000000-0005-0000-0000-000004320000}"/>
    <cellStyle name="40% - Énfasis6 6 11" xfId="12795" xr:uid="{00000000-0005-0000-0000-000005320000}"/>
    <cellStyle name="40% - Énfasis6 6 12" xfId="12796" xr:uid="{00000000-0005-0000-0000-000006320000}"/>
    <cellStyle name="40% - Énfasis6 6 13" xfId="12797" xr:uid="{00000000-0005-0000-0000-000007320000}"/>
    <cellStyle name="40% - Énfasis6 6 14" xfId="12798" xr:uid="{00000000-0005-0000-0000-000008320000}"/>
    <cellStyle name="40% - Énfasis6 6 15" xfId="12799" xr:uid="{00000000-0005-0000-0000-000009320000}"/>
    <cellStyle name="40% - Énfasis6 6 16" xfId="12800" xr:uid="{00000000-0005-0000-0000-00000A320000}"/>
    <cellStyle name="40% - Énfasis6 6 17" xfId="12801" xr:uid="{00000000-0005-0000-0000-00000B320000}"/>
    <cellStyle name="40% - Énfasis6 6 18" xfId="12802" xr:uid="{00000000-0005-0000-0000-00000C320000}"/>
    <cellStyle name="40% - Énfasis6 6 19" xfId="12803" xr:uid="{00000000-0005-0000-0000-00000D320000}"/>
    <cellStyle name="40% - Énfasis6 6 2" xfId="12804" xr:uid="{00000000-0005-0000-0000-00000E320000}"/>
    <cellStyle name="40% - Énfasis6 6 20" xfId="12805" xr:uid="{00000000-0005-0000-0000-00000F320000}"/>
    <cellStyle name="40% - Énfasis6 6 3" xfId="12806" xr:uid="{00000000-0005-0000-0000-000010320000}"/>
    <cellStyle name="40% - Énfasis6 6 4" xfId="12807" xr:uid="{00000000-0005-0000-0000-000011320000}"/>
    <cellStyle name="40% - Énfasis6 6 5" xfId="12808" xr:uid="{00000000-0005-0000-0000-000012320000}"/>
    <cellStyle name="40% - Énfasis6 6 6" xfId="12809" xr:uid="{00000000-0005-0000-0000-000013320000}"/>
    <cellStyle name="40% - Énfasis6 6 7" xfId="12810" xr:uid="{00000000-0005-0000-0000-000014320000}"/>
    <cellStyle name="40% - Énfasis6 6 8" xfId="12811" xr:uid="{00000000-0005-0000-0000-000015320000}"/>
    <cellStyle name="40% - Énfasis6 6 9" xfId="12812" xr:uid="{00000000-0005-0000-0000-000016320000}"/>
    <cellStyle name="40% - Énfasis6 60" xfId="12813" xr:uid="{00000000-0005-0000-0000-000017320000}"/>
    <cellStyle name="40% - Énfasis6 61" xfId="12814" xr:uid="{00000000-0005-0000-0000-000018320000}"/>
    <cellStyle name="40% - Énfasis6 62" xfId="12815" xr:uid="{00000000-0005-0000-0000-000019320000}"/>
    <cellStyle name="40% - Énfasis6 63" xfId="12816" xr:uid="{00000000-0005-0000-0000-00001A320000}"/>
    <cellStyle name="40% - Énfasis6 64" xfId="12817" xr:uid="{00000000-0005-0000-0000-00001B320000}"/>
    <cellStyle name="40% - Énfasis6 65" xfId="12818" xr:uid="{00000000-0005-0000-0000-00001C320000}"/>
    <cellStyle name="40% - Énfasis6 66" xfId="12819" xr:uid="{00000000-0005-0000-0000-00001D320000}"/>
    <cellStyle name="40% - Énfasis6 67" xfId="12820" xr:uid="{00000000-0005-0000-0000-00001E320000}"/>
    <cellStyle name="40% - Énfasis6 68" xfId="12821" xr:uid="{00000000-0005-0000-0000-00001F320000}"/>
    <cellStyle name="40% - Énfasis6 69" xfId="12822" xr:uid="{00000000-0005-0000-0000-000020320000}"/>
    <cellStyle name="40% - Énfasis6 7" xfId="12823" xr:uid="{00000000-0005-0000-0000-000021320000}"/>
    <cellStyle name="40% - Énfasis6 7 10" xfId="12824" xr:uid="{00000000-0005-0000-0000-000022320000}"/>
    <cellStyle name="40% - Énfasis6 7 11" xfId="12825" xr:uid="{00000000-0005-0000-0000-000023320000}"/>
    <cellStyle name="40% - Énfasis6 7 12" xfId="12826" xr:uid="{00000000-0005-0000-0000-000024320000}"/>
    <cellStyle name="40% - Énfasis6 7 13" xfId="12827" xr:uid="{00000000-0005-0000-0000-000025320000}"/>
    <cellStyle name="40% - Énfasis6 7 14" xfId="12828" xr:uid="{00000000-0005-0000-0000-000026320000}"/>
    <cellStyle name="40% - Énfasis6 7 15" xfId="12829" xr:uid="{00000000-0005-0000-0000-000027320000}"/>
    <cellStyle name="40% - Énfasis6 7 16" xfId="12830" xr:uid="{00000000-0005-0000-0000-000028320000}"/>
    <cellStyle name="40% - Énfasis6 7 17" xfId="12831" xr:uid="{00000000-0005-0000-0000-000029320000}"/>
    <cellStyle name="40% - Énfasis6 7 18" xfId="12832" xr:uid="{00000000-0005-0000-0000-00002A320000}"/>
    <cellStyle name="40% - Énfasis6 7 19" xfId="12833" xr:uid="{00000000-0005-0000-0000-00002B320000}"/>
    <cellStyle name="40% - Énfasis6 7 2" xfId="12834" xr:uid="{00000000-0005-0000-0000-00002C320000}"/>
    <cellStyle name="40% - Énfasis6 7 20" xfId="12835" xr:uid="{00000000-0005-0000-0000-00002D320000}"/>
    <cellStyle name="40% - Énfasis6 7 3" xfId="12836" xr:uid="{00000000-0005-0000-0000-00002E320000}"/>
    <cellStyle name="40% - Énfasis6 7 4" xfId="12837" xr:uid="{00000000-0005-0000-0000-00002F320000}"/>
    <cellStyle name="40% - Énfasis6 7 5" xfId="12838" xr:uid="{00000000-0005-0000-0000-000030320000}"/>
    <cellStyle name="40% - Énfasis6 7 6" xfId="12839" xr:uid="{00000000-0005-0000-0000-000031320000}"/>
    <cellStyle name="40% - Énfasis6 7 7" xfId="12840" xr:uid="{00000000-0005-0000-0000-000032320000}"/>
    <cellStyle name="40% - Énfasis6 7 8" xfId="12841" xr:uid="{00000000-0005-0000-0000-000033320000}"/>
    <cellStyle name="40% - Énfasis6 7 9" xfId="12842" xr:uid="{00000000-0005-0000-0000-000034320000}"/>
    <cellStyle name="40% - Énfasis6 70" xfId="12843" xr:uid="{00000000-0005-0000-0000-000035320000}"/>
    <cellStyle name="40% - Énfasis6 71" xfId="12844" xr:uid="{00000000-0005-0000-0000-000036320000}"/>
    <cellStyle name="40% - Énfasis6 72" xfId="12845" xr:uid="{00000000-0005-0000-0000-000037320000}"/>
    <cellStyle name="40% - Énfasis6 73" xfId="12846" xr:uid="{00000000-0005-0000-0000-000038320000}"/>
    <cellStyle name="40% - Énfasis6 74" xfId="12847" xr:uid="{00000000-0005-0000-0000-000039320000}"/>
    <cellStyle name="40% - Énfasis6 75" xfId="12848" xr:uid="{00000000-0005-0000-0000-00003A320000}"/>
    <cellStyle name="40% - Énfasis6 76" xfId="12849" xr:uid="{00000000-0005-0000-0000-00003B320000}"/>
    <cellStyle name="40% - Énfasis6 77" xfId="12850" xr:uid="{00000000-0005-0000-0000-00003C320000}"/>
    <cellStyle name="40% - Énfasis6 78" xfId="12851" xr:uid="{00000000-0005-0000-0000-00003D320000}"/>
    <cellStyle name="40% - Énfasis6 79" xfId="12852" xr:uid="{00000000-0005-0000-0000-00003E320000}"/>
    <cellStyle name="40% - Énfasis6 8" xfId="12853" xr:uid="{00000000-0005-0000-0000-00003F320000}"/>
    <cellStyle name="40% - Énfasis6 8 10" xfId="12854" xr:uid="{00000000-0005-0000-0000-000040320000}"/>
    <cellStyle name="40% - Énfasis6 8 11" xfId="12855" xr:uid="{00000000-0005-0000-0000-000041320000}"/>
    <cellStyle name="40% - Énfasis6 8 12" xfId="12856" xr:uid="{00000000-0005-0000-0000-000042320000}"/>
    <cellStyle name="40% - Énfasis6 8 13" xfId="12857" xr:uid="{00000000-0005-0000-0000-000043320000}"/>
    <cellStyle name="40% - Énfasis6 8 14" xfId="12858" xr:uid="{00000000-0005-0000-0000-000044320000}"/>
    <cellStyle name="40% - Énfasis6 8 15" xfId="12859" xr:uid="{00000000-0005-0000-0000-000045320000}"/>
    <cellStyle name="40% - Énfasis6 8 16" xfId="12860" xr:uid="{00000000-0005-0000-0000-000046320000}"/>
    <cellStyle name="40% - Énfasis6 8 17" xfId="12861" xr:uid="{00000000-0005-0000-0000-000047320000}"/>
    <cellStyle name="40% - Énfasis6 8 18" xfId="12862" xr:uid="{00000000-0005-0000-0000-000048320000}"/>
    <cellStyle name="40% - Énfasis6 8 19" xfId="12863" xr:uid="{00000000-0005-0000-0000-000049320000}"/>
    <cellStyle name="40% - Énfasis6 8 2" xfId="12864" xr:uid="{00000000-0005-0000-0000-00004A320000}"/>
    <cellStyle name="40% - Énfasis6 8 20" xfId="12865" xr:uid="{00000000-0005-0000-0000-00004B320000}"/>
    <cellStyle name="40% - Énfasis6 8 3" xfId="12866" xr:uid="{00000000-0005-0000-0000-00004C320000}"/>
    <cellStyle name="40% - Énfasis6 8 4" xfId="12867" xr:uid="{00000000-0005-0000-0000-00004D320000}"/>
    <cellStyle name="40% - Énfasis6 8 5" xfId="12868" xr:uid="{00000000-0005-0000-0000-00004E320000}"/>
    <cellStyle name="40% - Énfasis6 8 6" xfId="12869" xr:uid="{00000000-0005-0000-0000-00004F320000}"/>
    <cellStyle name="40% - Énfasis6 8 7" xfId="12870" xr:uid="{00000000-0005-0000-0000-000050320000}"/>
    <cellStyle name="40% - Énfasis6 8 8" xfId="12871" xr:uid="{00000000-0005-0000-0000-000051320000}"/>
    <cellStyle name="40% - Énfasis6 8 9" xfId="12872" xr:uid="{00000000-0005-0000-0000-000052320000}"/>
    <cellStyle name="40% - Énfasis6 80" xfId="12873" xr:uid="{00000000-0005-0000-0000-000053320000}"/>
    <cellStyle name="40% - Énfasis6 81" xfId="12874" xr:uid="{00000000-0005-0000-0000-000054320000}"/>
    <cellStyle name="40% - Énfasis6 82" xfId="12875" xr:uid="{00000000-0005-0000-0000-000055320000}"/>
    <cellStyle name="40% - Énfasis6 83" xfId="12876" xr:uid="{00000000-0005-0000-0000-000056320000}"/>
    <cellStyle name="40% - Énfasis6 84" xfId="12877" xr:uid="{00000000-0005-0000-0000-000057320000}"/>
    <cellStyle name="40% - Énfasis6 85" xfId="12878" xr:uid="{00000000-0005-0000-0000-000058320000}"/>
    <cellStyle name="40% - Énfasis6 86" xfId="12879" xr:uid="{00000000-0005-0000-0000-000059320000}"/>
    <cellStyle name="40% - Énfasis6 87" xfId="12880" xr:uid="{00000000-0005-0000-0000-00005A320000}"/>
    <cellStyle name="40% - Énfasis6 88" xfId="12881" xr:uid="{00000000-0005-0000-0000-00005B320000}"/>
    <cellStyle name="40% - Énfasis6 89" xfId="12882" xr:uid="{00000000-0005-0000-0000-00005C320000}"/>
    <cellStyle name="40% - Énfasis6 9" xfId="12883" xr:uid="{00000000-0005-0000-0000-00005D320000}"/>
    <cellStyle name="40% - Énfasis6 9 10" xfId="12884" xr:uid="{00000000-0005-0000-0000-00005E320000}"/>
    <cellStyle name="40% - Énfasis6 9 11" xfId="12885" xr:uid="{00000000-0005-0000-0000-00005F320000}"/>
    <cellStyle name="40% - Énfasis6 9 12" xfId="12886" xr:uid="{00000000-0005-0000-0000-000060320000}"/>
    <cellStyle name="40% - Énfasis6 9 13" xfId="12887" xr:uid="{00000000-0005-0000-0000-000061320000}"/>
    <cellStyle name="40% - Énfasis6 9 14" xfId="12888" xr:uid="{00000000-0005-0000-0000-000062320000}"/>
    <cellStyle name="40% - Énfasis6 9 15" xfId="12889" xr:uid="{00000000-0005-0000-0000-000063320000}"/>
    <cellStyle name="40% - Énfasis6 9 16" xfId="12890" xr:uid="{00000000-0005-0000-0000-000064320000}"/>
    <cellStyle name="40% - Énfasis6 9 17" xfId="12891" xr:uid="{00000000-0005-0000-0000-000065320000}"/>
    <cellStyle name="40% - Énfasis6 9 18" xfId="12892" xr:uid="{00000000-0005-0000-0000-000066320000}"/>
    <cellStyle name="40% - Énfasis6 9 19" xfId="12893" xr:uid="{00000000-0005-0000-0000-000067320000}"/>
    <cellStyle name="40% - Énfasis6 9 2" xfId="12894" xr:uid="{00000000-0005-0000-0000-000068320000}"/>
    <cellStyle name="40% - Énfasis6 9 20" xfId="12895" xr:uid="{00000000-0005-0000-0000-000069320000}"/>
    <cellStyle name="40% - Énfasis6 9 3" xfId="12896" xr:uid="{00000000-0005-0000-0000-00006A320000}"/>
    <cellStyle name="40% - Énfasis6 9 4" xfId="12897" xr:uid="{00000000-0005-0000-0000-00006B320000}"/>
    <cellStyle name="40% - Énfasis6 9 5" xfId="12898" xr:uid="{00000000-0005-0000-0000-00006C320000}"/>
    <cellStyle name="40% - Énfasis6 9 6" xfId="12899" xr:uid="{00000000-0005-0000-0000-00006D320000}"/>
    <cellStyle name="40% - Énfasis6 9 7" xfId="12900" xr:uid="{00000000-0005-0000-0000-00006E320000}"/>
    <cellStyle name="40% - Énfasis6 9 8" xfId="12901" xr:uid="{00000000-0005-0000-0000-00006F320000}"/>
    <cellStyle name="40% - Énfasis6 9 9" xfId="12902" xr:uid="{00000000-0005-0000-0000-000070320000}"/>
    <cellStyle name="40% - Énfasis6 90" xfId="12903" xr:uid="{00000000-0005-0000-0000-000071320000}"/>
    <cellStyle name="40% - Énfasis6 91" xfId="12904" xr:uid="{00000000-0005-0000-0000-000072320000}"/>
    <cellStyle name="40% - Énfasis6 92" xfId="12905" xr:uid="{00000000-0005-0000-0000-000073320000}"/>
    <cellStyle name="40% - Énfasis6 93" xfId="12906" xr:uid="{00000000-0005-0000-0000-000074320000}"/>
    <cellStyle name="40% - Énfasis6 94" xfId="12907" xr:uid="{00000000-0005-0000-0000-000075320000}"/>
    <cellStyle name="40% - Énfasis6 95" xfId="12908" xr:uid="{00000000-0005-0000-0000-000076320000}"/>
    <cellStyle name="40% - Énfasis6 96" xfId="12909" xr:uid="{00000000-0005-0000-0000-000077320000}"/>
    <cellStyle name="40% - Énfasis6 97" xfId="12910" xr:uid="{00000000-0005-0000-0000-000078320000}"/>
    <cellStyle name="40% - Énfasis6 98" xfId="15644" xr:uid="{00000000-0005-0000-0000-000079320000}"/>
    <cellStyle name="60% - Accent1" xfId="12911" xr:uid="{00000000-0005-0000-0000-00007A320000}"/>
    <cellStyle name="60% - Accent2" xfId="12912" xr:uid="{00000000-0005-0000-0000-00007B320000}"/>
    <cellStyle name="60% - Accent3" xfId="12913" xr:uid="{00000000-0005-0000-0000-00007C320000}"/>
    <cellStyle name="60% - Accent4" xfId="12914" xr:uid="{00000000-0005-0000-0000-00007D320000}"/>
    <cellStyle name="60% - Accent5" xfId="12915" xr:uid="{00000000-0005-0000-0000-00007E320000}"/>
    <cellStyle name="60% - Accent6" xfId="12916" xr:uid="{00000000-0005-0000-0000-00007F320000}"/>
    <cellStyle name="60% - Ênfase1" xfId="12917" xr:uid="{00000000-0005-0000-0000-000080320000}"/>
    <cellStyle name="60% - Ênfase2" xfId="12918" xr:uid="{00000000-0005-0000-0000-000081320000}"/>
    <cellStyle name="60% - Ênfase3" xfId="12919" xr:uid="{00000000-0005-0000-0000-000082320000}"/>
    <cellStyle name="60% - Ênfase4" xfId="12920" xr:uid="{00000000-0005-0000-0000-000083320000}"/>
    <cellStyle name="60% - Ênfase5" xfId="12921" xr:uid="{00000000-0005-0000-0000-000084320000}"/>
    <cellStyle name="60% - Ênfase6" xfId="12922" xr:uid="{00000000-0005-0000-0000-000085320000}"/>
    <cellStyle name="60% - Énfasis1" xfId="12923" builtinId="32" customBuiltin="1"/>
    <cellStyle name="60% - Énfasis1 10" xfId="12924" xr:uid="{00000000-0005-0000-0000-000087320000}"/>
    <cellStyle name="60% - Énfasis1 11" xfId="15625" xr:uid="{00000000-0005-0000-0000-000088320000}"/>
    <cellStyle name="60% - Énfasis1 2" xfId="12925" xr:uid="{00000000-0005-0000-0000-000089320000}"/>
    <cellStyle name="60% - Énfasis1 2 2" xfId="12926" xr:uid="{00000000-0005-0000-0000-00008A320000}"/>
    <cellStyle name="60% - Énfasis1 3" xfId="12927" xr:uid="{00000000-0005-0000-0000-00008B320000}"/>
    <cellStyle name="60% - Énfasis1 3 2" xfId="12928" xr:uid="{00000000-0005-0000-0000-00008C320000}"/>
    <cellStyle name="60% - Énfasis1 4" xfId="12929" xr:uid="{00000000-0005-0000-0000-00008D320000}"/>
    <cellStyle name="60% - Énfasis1 5" xfId="12930" xr:uid="{00000000-0005-0000-0000-00008E320000}"/>
    <cellStyle name="60% - Énfasis1 6" xfId="12931" xr:uid="{00000000-0005-0000-0000-00008F320000}"/>
    <cellStyle name="60% - Énfasis1 7" xfId="12932" xr:uid="{00000000-0005-0000-0000-000090320000}"/>
    <cellStyle name="60% - Énfasis1 8" xfId="12933" xr:uid="{00000000-0005-0000-0000-000091320000}"/>
    <cellStyle name="60% - Énfasis1 9" xfId="12934" xr:uid="{00000000-0005-0000-0000-000092320000}"/>
    <cellStyle name="60% - Énfasis2" xfId="12935" builtinId="36" customBuiltin="1"/>
    <cellStyle name="60% - Énfasis2 10" xfId="12936" xr:uid="{00000000-0005-0000-0000-000094320000}"/>
    <cellStyle name="60% - Énfasis2 11" xfId="15629" xr:uid="{00000000-0005-0000-0000-000095320000}"/>
    <cellStyle name="60% - Énfasis2 2" xfId="12937" xr:uid="{00000000-0005-0000-0000-000096320000}"/>
    <cellStyle name="60% - Énfasis2 2 2" xfId="12938" xr:uid="{00000000-0005-0000-0000-000097320000}"/>
    <cellStyle name="60% - Énfasis2 3" xfId="12939" xr:uid="{00000000-0005-0000-0000-000098320000}"/>
    <cellStyle name="60% - Énfasis2 3 2" xfId="12940" xr:uid="{00000000-0005-0000-0000-000099320000}"/>
    <cellStyle name="60% - Énfasis2 4" xfId="12941" xr:uid="{00000000-0005-0000-0000-00009A320000}"/>
    <cellStyle name="60% - Énfasis2 5" xfId="12942" xr:uid="{00000000-0005-0000-0000-00009B320000}"/>
    <cellStyle name="60% - Énfasis2 6" xfId="12943" xr:uid="{00000000-0005-0000-0000-00009C320000}"/>
    <cellStyle name="60% - Énfasis2 7" xfId="12944" xr:uid="{00000000-0005-0000-0000-00009D320000}"/>
    <cellStyle name="60% - Énfasis2 8" xfId="12945" xr:uid="{00000000-0005-0000-0000-00009E320000}"/>
    <cellStyle name="60% - Énfasis2 9" xfId="12946" xr:uid="{00000000-0005-0000-0000-00009F320000}"/>
    <cellStyle name="60% - Énfasis3" xfId="12947" builtinId="40" customBuiltin="1"/>
    <cellStyle name="60% - Énfasis3 10" xfId="12948" xr:uid="{00000000-0005-0000-0000-0000A1320000}"/>
    <cellStyle name="60% - Énfasis3 11" xfId="15633" xr:uid="{00000000-0005-0000-0000-0000A2320000}"/>
    <cellStyle name="60% - Énfasis3 2" xfId="12949" xr:uid="{00000000-0005-0000-0000-0000A3320000}"/>
    <cellStyle name="60% - Énfasis3 2 2" xfId="12950" xr:uid="{00000000-0005-0000-0000-0000A4320000}"/>
    <cellStyle name="60% - Énfasis3 3" xfId="12951" xr:uid="{00000000-0005-0000-0000-0000A5320000}"/>
    <cellStyle name="60% - Énfasis3 3 2" xfId="12952" xr:uid="{00000000-0005-0000-0000-0000A6320000}"/>
    <cellStyle name="60% - Énfasis3 4" xfId="12953" xr:uid="{00000000-0005-0000-0000-0000A7320000}"/>
    <cellStyle name="60% - Énfasis3 5" xfId="12954" xr:uid="{00000000-0005-0000-0000-0000A8320000}"/>
    <cellStyle name="60% - Énfasis3 6" xfId="12955" xr:uid="{00000000-0005-0000-0000-0000A9320000}"/>
    <cellStyle name="60% - Énfasis3 7" xfId="12956" xr:uid="{00000000-0005-0000-0000-0000AA320000}"/>
    <cellStyle name="60% - Énfasis3 8" xfId="12957" xr:uid="{00000000-0005-0000-0000-0000AB320000}"/>
    <cellStyle name="60% - Énfasis3 9" xfId="12958" xr:uid="{00000000-0005-0000-0000-0000AC320000}"/>
    <cellStyle name="60% - Énfasis4" xfId="12959" builtinId="44" customBuiltin="1"/>
    <cellStyle name="60% - Énfasis4 10" xfId="12960" xr:uid="{00000000-0005-0000-0000-0000AE320000}"/>
    <cellStyle name="60% - Énfasis4 11" xfId="15637" xr:uid="{00000000-0005-0000-0000-0000AF320000}"/>
    <cellStyle name="60% - Énfasis4 2" xfId="12961" xr:uid="{00000000-0005-0000-0000-0000B0320000}"/>
    <cellStyle name="60% - Énfasis4 2 2" xfId="12962" xr:uid="{00000000-0005-0000-0000-0000B1320000}"/>
    <cellStyle name="60% - Énfasis4 3" xfId="12963" xr:uid="{00000000-0005-0000-0000-0000B2320000}"/>
    <cellStyle name="60% - Énfasis4 3 2" xfId="12964" xr:uid="{00000000-0005-0000-0000-0000B3320000}"/>
    <cellStyle name="60% - Énfasis4 4" xfId="12965" xr:uid="{00000000-0005-0000-0000-0000B4320000}"/>
    <cellStyle name="60% - Énfasis4 5" xfId="12966" xr:uid="{00000000-0005-0000-0000-0000B5320000}"/>
    <cellStyle name="60% - Énfasis4 6" xfId="12967" xr:uid="{00000000-0005-0000-0000-0000B6320000}"/>
    <cellStyle name="60% - Énfasis4 7" xfId="12968" xr:uid="{00000000-0005-0000-0000-0000B7320000}"/>
    <cellStyle name="60% - Énfasis4 8" xfId="12969" xr:uid="{00000000-0005-0000-0000-0000B8320000}"/>
    <cellStyle name="60% - Énfasis4 9" xfId="12970" xr:uid="{00000000-0005-0000-0000-0000B9320000}"/>
    <cellStyle name="60% - Énfasis5" xfId="12971" builtinId="48" customBuiltin="1"/>
    <cellStyle name="60% - Énfasis5 10" xfId="12972" xr:uid="{00000000-0005-0000-0000-0000BB320000}"/>
    <cellStyle name="60% - Énfasis5 11" xfId="15641" xr:uid="{00000000-0005-0000-0000-0000BC320000}"/>
    <cellStyle name="60% - Énfasis5 2" xfId="12973" xr:uid="{00000000-0005-0000-0000-0000BD320000}"/>
    <cellStyle name="60% - Énfasis5 2 2" xfId="12974" xr:uid="{00000000-0005-0000-0000-0000BE320000}"/>
    <cellStyle name="60% - Énfasis5 3" xfId="12975" xr:uid="{00000000-0005-0000-0000-0000BF320000}"/>
    <cellStyle name="60% - Énfasis5 3 2" xfId="12976" xr:uid="{00000000-0005-0000-0000-0000C0320000}"/>
    <cellStyle name="60% - Énfasis5 4" xfId="12977" xr:uid="{00000000-0005-0000-0000-0000C1320000}"/>
    <cellStyle name="60% - Énfasis5 5" xfId="12978" xr:uid="{00000000-0005-0000-0000-0000C2320000}"/>
    <cellStyle name="60% - Énfasis5 6" xfId="12979" xr:uid="{00000000-0005-0000-0000-0000C3320000}"/>
    <cellStyle name="60% - Énfasis5 7" xfId="12980" xr:uid="{00000000-0005-0000-0000-0000C4320000}"/>
    <cellStyle name="60% - Énfasis5 8" xfId="12981" xr:uid="{00000000-0005-0000-0000-0000C5320000}"/>
    <cellStyle name="60% - Énfasis5 9" xfId="12982" xr:uid="{00000000-0005-0000-0000-0000C6320000}"/>
    <cellStyle name="60% - Énfasis6" xfId="12983" builtinId="52" customBuiltin="1"/>
    <cellStyle name="60% - Énfasis6 10" xfId="12984" xr:uid="{00000000-0005-0000-0000-0000C8320000}"/>
    <cellStyle name="60% - Énfasis6 11" xfId="15645" xr:uid="{00000000-0005-0000-0000-0000C9320000}"/>
    <cellStyle name="60% - Énfasis6 2" xfId="12985" xr:uid="{00000000-0005-0000-0000-0000CA320000}"/>
    <cellStyle name="60% - Énfasis6 2 2" xfId="12986" xr:uid="{00000000-0005-0000-0000-0000CB320000}"/>
    <cellStyle name="60% - Énfasis6 3" xfId="12987" xr:uid="{00000000-0005-0000-0000-0000CC320000}"/>
    <cellStyle name="60% - Énfasis6 3 2" xfId="12988" xr:uid="{00000000-0005-0000-0000-0000CD320000}"/>
    <cellStyle name="60% - Énfasis6 4" xfId="12989" xr:uid="{00000000-0005-0000-0000-0000CE320000}"/>
    <cellStyle name="60% - Énfasis6 5" xfId="12990" xr:uid="{00000000-0005-0000-0000-0000CF320000}"/>
    <cellStyle name="60% - Énfasis6 6" xfId="12991" xr:uid="{00000000-0005-0000-0000-0000D0320000}"/>
    <cellStyle name="60% - Énfasis6 7" xfId="12992" xr:uid="{00000000-0005-0000-0000-0000D1320000}"/>
    <cellStyle name="60% - Énfasis6 8" xfId="12993" xr:uid="{00000000-0005-0000-0000-0000D2320000}"/>
    <cellStyle name="60% - Énfasis6 9" xfId="12994" xr:uid="{00000000-0005-0000-0000-0000D3320000}"/>
    <cellStyle name="Accent1" xfId="12995" xr:uid="{00000000-0005-0000-0000-0000D4320000}"/>
    <cellStyle name="Accent2" xfId="12996" xr:uid="{00000000-0005-0000-0000-0000D5320000}"/>
    <cellStyle name="Accent3" xfId="12997" xr:uid="{00000000-0005-0000-0000-0000D6320000}"/>
    <cellStyle name="Accent4" xfId="12998" xr:uid="{00000000-0005-0000-0000-0000D7320000}"/>
    <cellStyle name="Accent5" xfId="12999" xr:uid="{00000000-0005-0000-0000-0000D8320000}"/>
    <cellStyle name="Accent6" xfId="13000" xr:uid="{00000000-0005-0000-0000-0000D9320000}"/>
    <cellStyle name="Bad" xfId="13001" xr:uid="{00000000-0005-0000-0000-0000DA320000}"/>
    <cellStyle name="Bom" xfId="13002" xr:uid="{00000000-0005-0000-0000-0000DB320000}"/>
    <cellStyle name="Buena 10" xfId="13004" xr:uid="{00000000-0005-0000-0000-0000DD320000}"/>
    <cellStyle name="Buena 11" xfId="15610" xr:uid="{00000000-0005-0000-0000-0000DE320000}"/>
    <cellStyle name="Buena 2" xfId="13005" xr:uid="{00000000-0005-0000-0000-0000DF320000}"/>
    <cellStyle name="Buena 2 2" xfId="13006" xr:uid="{00000000-0005-0000-0000-0000E0320000}"/>
    <cellStyle name="Buena 3" xfId="13007" xr:uid="{00000000-0005-0000-0000-0000E1320000}"/>
    <cellStyle name="Buena 3 2" xfId="13008" xr:uid="{00000000-0005-0000-0000-0000E2320000}"/>
    <cellStyle name="Buena 4" xfId="13009" xr:uid="{00000000-0005-0000-0000-0000E3320000}"/>
    <cellStyle name="Buena 5" xfId="13010" xr:uid="{00000000-0005-0000-0000-0000E4320000}"/>
    <cellStyle name="Buena 6" xfId="13011" xr:uid="{00000000-0005-0000-0000-0000E5320000}"/>
    <cellStyle name="Buena 7" xfId="13012" xr:uid="{00000000-0005-0000-0000-0000E6320000}"/>
    <cellStyle name="Buena 8" xfId="13013" xr:uid="{00000000-0005-0000-0000-0000E7320000}"/>
    <cellStyle name="Buena 9" xfId="13014" xr:uid="{00000000-0005-0000-0000-0000E8320000}"/>
    <cellStyle name="Bueno" xfId="13003" builtinId="26" customBuiltin="1"/>
    <cellStyle name="Calculation" xfId="13015" xr:uid="{00000000-0005-0000-0000-0000E9320000}"/>
    <cellStyle name="Calculation 2" xfId="13016" xr:uid="{00000000-0005-0000-0000-0000EA320000}"/>
    <cellStyle name="Calculation 3" xfId="13017" xr:uid="{00000000-0005-0000-0000-0000EB320000}"/>
    <cellStyle name="Calculation 4" xfId="13018" xr:uid="{00000000-0005-0000-0000-0000EC320000}"/>
    <cellStyle name="Calculation 5" xfId="13019" xr:uid="{00000000-0005-0000-0000-0000ED320000}"/>
    <cellStyle name="Calculation 6" xfId="13020" xr:uid="{00000000-0005-0000-0000-0000EE320000}"/>
    <cellStyle name="Cálculo" xfId="13021" builtinId="22" customBuiltin="1"/>
    <cellStyle name="Cálculo 10" xfId="13022" xr:uid="{00000000-0005-0000-0000-0000F0320000}"/>
    <cellStyle name="Cálculo 11" xfId="15615" xr:uid="{00000000-0005-0000-0000-0000F1320000}"/>
    <cellStyle name="Cálculo 2" xfId="13023" xr:uid="{00000000-0005-0000-0000-0000F2320000}"/>
    <cellStyle name="Cálculo 2 2" xfId="13024" xr:uid="{00000000-0005-0000-0000-0000F3320000}"/>
    <cellStyle name="Cálculo 3" xfId="13025" xr:uid="{00000000-0005-0000-0000-0000F4320000}"/>
    <cellStyle name="Cálculo 3 2" xfId="13026" xr:uid="{00000000-0005-0000-0000-0000F5320000}"/>
    <cellStyle name="Cálculo 4" xfId="13027" xr:uid="{00000000-0005-0000-0000-0000F6320000}"/>
    <cellStyle name="Cálculo 5" xfId="13028" xr:uid="{00000000-0005-0000-0000-0000F7320000}"/>
    <cellStyle name="Cálculo 6" xfId="13029" xr:uid="{00000000-0005-0000-0000-0000F8320000}"/>
    <cellStyle name="Cálculo 7" xfId="13030" xr:uid="{00000000-0005-0000-0000-0000F9320000}"/>
    <cellStyle name="Cálculo 8" xfId="13031" xr:uid="{00000000-0005-0000-0000-0000FA320000}"/>
    <cellStyle name="Cálculo 9" xfId="13032" xr:uid="{00000000-0005-0000-0000-0000FB320000}"/>
    <cellStyle name="Celda de comprobación" xfId="13033" builtinId="23" customBuiltin="1"/>
    <cellStyle name="Celda de comprobación 10" xfId="13034" xr:uid="{00000000-0005-0000-0000-0000FD320000}"/>
    <cellStyle name="Celda de comprobación 11" xfId="15617" xr:uid="{00000000-0005-0000-0000-0000FE320000}"/>
    <cellStyle name="Celda de comprobación 2" xfId="13035" xr:uid="{00000000-0005-0000-0000-0000FF320000}"/>
    <cellStyle name="Celda de comprobación 2 2" xfId="13036" xr:uid="{00000000-0005-0000-0000-000000330000}"/>
    <cellStyle name="Celda de comprobación 3" xfId="13037" xr:uid="{00000000-0005-0000-0000-000001330000}"/>
    <cellStyle name="Celda de comprobación 3 2" xfId="13038" xr:uid="{00000000-0005-0000-0000-000002330000}"/>
    <cellStyle name="Celda de comprobación 4" xfId="13039" xr:uid="{00000000-0005-0000-0000-000003330000}"/>
    <cellStyle name="Celda de comprobación 5" xfId="13040" xr:uid="{00000000-0005-0000-0000-000004330000}"/>
    <cellStyle name="Celda de comprobación 6" xfId="13041" xr:uid="{00000000-0005-0000-0000-000005330000}"/>
    <cellStyle name="Celda de comprobación 7" xfId="13042" xr:uid="{00000000-0005-0000-0000-000006330000}"/>
    <cellStyle name="Celda de comprobación 8" xfId="13043" xr:uid="{00000000-0005-0000-0000-000007330000}"/>
    <cellStyle name="Celda de comprobación 9" xfId="13044" xr:uid="{00000000-0005-0000-0000-000008330000}"/>
    <cellStyle name="Celda vinculada" xfId="13045" builtinId="24" customBuiltin="1"/>
    <cellStyle name="Celda vinculada 10" xfId="13046" xr:uid="{00000000-0005-0000-0000-00000A330000}"/>
    <cellStyle name="Celda vinculada 11" xfId="15616" xr:uid="{00000000-0005-0000-0000-00000B330000}"/>
    <cellStyle name="Celda vinculada 2" xfId="13047" xr:uid="{00000000-0005-0000-0000-00000C330000}"/>
    <cellStyle name="Celda vinculada 2 2" xfId="13048" xr:uid="{00000000-0005-0000-0000-00000D330000}"/>
    <cellStyle name="Celda vinculada 3" xfId="13049" xr:uid="{00000000-0005-0000-0000-00000E330000}"/>
    <cellStyle name="Celda vinculada 3 2" xfId="13050" xr:uid="{00000000-0005-0000-0000-00000F330000}"/>
    <cellStyle name="Celda vinculada 4" xfId="13051" xr:uid="{00000000-0005-0000-0000-000010330000}"/>
    <cellStyle name="Celda vinculada 5" xfId="13052" xr:uid="{00000000-0005-0000-0000-000011330000}"/>
    <cellStyle name="Celda vinculada 6" xfId="13053" xr:uid="{00000000-0005-0000-0000-000012330000}"/>
    <cellStyle name="Celda vinculada 7" xfId="13054" xr:uid="{00000000-0005-0000-0000-000013330000}"/>
    <cellStyle name="Celda vinculada 8" xfId="13055" xr:uid="{00000000-0005-0000-0000-000014330000}"/>
    <cellStyle name="Celda vinculada 9" xfId="13056" xr:uid="{00000000-0005-0000-0000-000015330000}"/>
    <cellStyle name="Célula de Verificação" xfId="13057" xr:uid="{00000000-0005-0000-0000-000016330000}"/>
    <cellStyle name="Célula Vinculada" xfId="13058" xr:uid="{00000000-0005-0000-0000-000017330000}"/>
    <cellStyle name="Check Cell" xfId="13059" xr:uid="{00000000-0005-0000-0000-000018330000}"/>
    <cellStyle name="Comma [0]" xfId="13060" xr:uid="{00000000-0005-0000-0000-000019330000}"/>
    <cellStyle name="Comma [0] 2" xfId="13061" xr:uid="{00000000-0005-0000-0000-00001A330000}"/>
    <cellStyle name="Comma [0]_Balance ISA U$S_1" xfId="13062" xr:uid="{00000000-0005-0000-0000-00001B330000}"/>
    <cellStyle name="Comma 14 2" xfId="13063" xr:uid="{00000000-0005-0000-0000-00001C330000}"/>
    <cellStyle name="Comma 2" xfId="13064" xr:uid="{00000000-0005-0000-0000-00001D330000}"/>
    <cellStyle name="Comma 2 2" xfId="13065" xr:uid="{00000000-0005-0000-0000-00001E330000}"/>
    <cellStyle name="Comma 2 4 2" xfId="13066" xr:uid="{00000000-0005-0000-0000-00001F330000}"/>
    <cellStyle name="Comma_Activo Fijo FISCAL 122003" xfId="13067" xr:uid="{00000000-0005-0000-0000-000020330000}"/>
    <cellStyle name="Currency [0]" xfId="13068" xr:uid="{00000000-0005-0000-0000-000021330000}"/>
    <cellStyle name="Currency [0] 2" xfId="13069" xr:uid="{00000000-0005-0000-0000-000022330000}"/>
    <cellStyle name="Encabezado 1" xfId="15541" builtinId="16" customBuiltin="1"/>
    <cellStyle name="Encabezado 4" xfId="13070" builtinId="19" customBuiltin="1"/>
    <cellStyle name="Encabezado 4 10" xfId="13071" xr:uid="{00000000-0005-0000-0000-000024330000}"/>
    <cellStyle name="Encabezado 4 11" xfId="15609" xr:uid="{00000000-0005-0000-0000-000025330000}"/>
    <cellStyle name="Encabezado 4 2" xfId="13072" xr:uid="{00000000-0005-0000-0000-000026330000}"/>
    <cellStyle name="Encabezado 4 2 2" xfId="13073" xr:uid="{00000000-0005-0000-0000-000027330000}"/>
    <cellStyle name="Encabezado 4 3" xfId="13074" xr:uid="{00000000-0005-0000-0000-000028330000}"/>
    <cellStyle name="Encabezado 4 3 2" xfId="13075" xr:uid="{00000000-0005-0000-0000-000029330000}"/>
    <cellStyle name="Encabezado 4 4" xfId="13076" xr:uid="{00000000-0005-0000-0000-00002A330000}"/>
    <cellStyle name="Encabezado 4 5" xfId="13077" xr:uid="{00000000-0005-0000-0000-00002B330000}"/>
    <cellStyle name="Encabezado 4 6" xfId="13078" xr:uid="{00000000-0005-0000-0000-00002C330000}"/>
    <cellStyle name="Encabezado 4 7" xfId="13079" xr:uid="{00000000-0005-0000-0000-00002D330000}"/>
    <cellStyle name="Encabezado 4 8" xfId="13080" xr:uid="{00000000-0005-0000-0000-00002E330000}"/>
    <cellStyle name="Encabezado 4 9" xfId="13081" xr:uid="{00000000-0005-0000-0000-00002F330000}"/>
    <cellStyle name="Ênfase1" xfId="13082" xr:uid="{00000000-0005-0000-0000-000030330000}"/>
    <cellStyle name="Ênfase2" xfId="13083" xr:uid="{00000000-0005-0000-0000-000031330000}"/>
    <cellStyle name="Ênfase3" xfId="13084" xr:uid="{00000000-0005-0000-0000-000032330000}"/>
    <cellStyle name="Ênfase4" xfId="13085" xr:uid="{00000000-0005-0000-0000-000033330000}"/>
    <cellStyle name="Ênfase5" xfId="13086" xr:uid="{00000000-0005-0000-0000-000034330000}"/>
    <cellStyle name="Ênfase6" xfId="13087" xr:uid="{00000000-0005-0000-0000-000035330000}"/>
    <cellStyle name="Énfasis1" xfId="13088" builtinId="29" customBuiltin="1"/>
    <cellStyle name="Énfasis1 10" xfId="13089" xr:uid="{00000000-0005-0000-0000-000037330000}"/>
    <cellStyle name="Énfasis1 11" xfId="15622" xr:uid="{00000000-0005-0000-0000-000038330000}"/>
    <cellStyle name="Énfasis1 2" xfId="13090" xr:uid="{00000000-0005-0000-0000-000039330000}"/>
    <cellStyle name="Énfasis1 2 2" xfId="13091" xr:uid="{00000000-0005-0000-0000-00003A330000}"/>
    <cellStyle name="Énfasis1 3" xfId="13092" xr:uid="{00000000-0005-0000-0000-00003B330000}"/>
    <cellStyle name="Énfasis1 3 2" xfId="13093" xr:uid="{00000000-0005-0000-0000-00003C330000}"/>
    <cellStyle name="Énfasis1 4" xfId="13094" xr:uid="{00000000-0005-0000-0000-00003D330000}"/>
    <cellStyle name="Énfasis1 5" xfId="13095" xr:uid="{00000000-0005-0000-0000-00003E330000}"/>
    <cellStyle name="Énfasis1 6" xfId="13096" xr:uid="{00000000-0005-0000-0000-00003F330000}"/>
    <cellStyle name="Énfasis1 7" xfId="13097" xr:uid="{00000000-0005-0000-0000-000040330000}"/>
    <cellStyle name="Énfasis1 8" xfId="13098" xr:uid="{00000000-0005-0000-0000-000041330000}"/>
    <cellStyle name="Énfasis1 9" xfId="13099" xr:uid="{00000000-0005-0000-0000-000042330000}"/>
    <cellStyle name="Énfasis2" xfId="13100" builtinId="33" customBuiltin="1"/>
    <cellStyle name="Énfasis2 10" xfId="13101" xr:uid="{00000000-0005-0000-0000-000044330000}"/>
    <cellStyle name="Énfasis2 11" xfId="15626" xr:uid="{00000000-0005-0000-0000-000045330000}"/>
    <cellStyle name="Énfasis2 2" xfId="13102" xr:uid="{00000000-0005-0000-0000-000046330000}"/>
    <cellStyle name="Énfasis2 2 2" xfId="13103" xr:uid="{00000000-0005-0000-0000-000047330000}"/>
    <cellStyle name="Énfasis2 3" xfId="13104" xr:uid="{00000000-0005-0000-0000-000048330000}"/>
    <cellStyle name="Énfasis2 3 2" xfId="13105" xr:uid="{00000000-0005-0000-0000-000049330000}"/>
    <cellStyle name="Énfasis2 4" xfId="13106" xr:uid="{00000000-0005-0000-0000-00004A330000}"/>
    <cellStyle name="Énfasis2 5" xfId="13107" xr:uid="{00000000-0005-0000-0000-00004B330000}"/>
    <cellStyle name="Énfasis2 6" xfId="13108" xr:uid="{00000000-0005-0000-0000-00004C330000}"/>
    <cellStyle name="Énfasis2 7" xfId="13109" xr:uid="{00000000-0005-0000-0000-00004D330000}"/>
    <cellStyle name="Énfasis2 8" xfId="13110" xr:uid="{00000000-0005-0000-0000-00004E330000}"/>
    <cellStyle name="Énfasis2 9" xfId="13111" xr:uid="{00000000-0005-0000-0000-00004F330000}"/>
    <cellStyle name="Énfasis3" xfId="13112" builtinId="37" customBuiltin="1"/>
    <cellStyle name="Énfasis3 10" xfId="13113" xr:uid="{00000000-0005-0000-0000-000051330000}"/>
    <cellStyle name="Énfasis3 11" xfId="15630" xr:uid="{00000000-0005-0000-0000-000052330000}"/>
    <cellStyle name="Énfasis3 2" xfId="13114" xr:uid="{00000000-0005-0000-0000-000053330000}"/>
    <cellStyle name="Énfasis3 2 2" xfId="13115" xr:uid="{00000000-0005-0000-0000-000054330000}"/>
    <cellStyle name="Énfasis3 3" xfId="13116" xr:uid="{00000000-0005-0000-0000-000055330000}"/>
    <cellStyle name="Énfasis3 3 2" xfId="13117" xr:uid="{00000000-0005-0000-0000-000056330000}"/>
    <cellStyle name="Énfasis3 4" xfId="13118" xr:uid="{00000000-0005-0000-0000-000057330000}"/>
    <cellStyle name="Énfasis3 5" xfId="13119" xr:uid="{00000000-0005-0000-0000-000058330000}"/>
    <cellStyle name="Énfasis3 6" xfId="13120" xr:uid="{00000000-0005-0000-0000-000059330000}"/>
    <cellStyle name="Énfasis3 7" xfId="13121" xr:uid="{00000000-0005-0000-0000-00005A330000}"/>
    <cellStyle name="Énfasis3 8" xfId="13122" xr:uid="{00000000-0005-0000-0000-00005B330000}"/>
    <cellStyle name="Énfasis3 9" xfId="13123" xr:uid="{00000000-0005-0000-0000-00005C330000}"/>
    <cellStyle name="Énfasis4" xfId="13124" builtinId="41" customBuiltin="1"/>
    <cellStyle name="Énfasis4 10" xfId="13125" xr:uid="{00000000-0005-0000-0000-00005E330000}"/>
    <cellStyle name="Énfasis4 11" xfId="15634" xr:uid="{00000000-0005-0000-0000-00005F330000}"/>
    <cellStyle name="Énfasis4 2" xfId="13126" xr:uid="{00000000-0005-0000-0000-000060330000}"/>
    <cellStyle name="Énfasis4 2 2" xfId="13127" xr:uid="{00000000-0005-0000-0000-000061330000}"/>
    <cellStyle name="Énfasis4 3" xfId="13128" xr:uid="{00000000-0005-0000-0000-000062330000}"/>
    <cellStyle name="Énfasis4 3 2" xfId="13129" xr:uid="{00000000-0005-0000-0000-000063330000}"/>
    <cellStyle name="Énfasis4 4" xfId="13130" xr:uid="{00000000-0005-0000-0000-000064330000}"/>
    <cellStyle name="Énfasis4 5" xfId="13131" xr:uid="{00000000-0005-0000-0000-000065330000}"/>
    <cellStyle name="Énfasis4 6" xfId="13132" xr:uid="{00000000-0005-0000-0000-000066330000}"/>
    <cellStyle name="Énfasis4 7" xfId="13133" xr:uid="{00000000-0005-0000-0000-000067330000}"/>
    <cellStyle name="Énfasis4 8" xfId="13134" xr:uid="{00000000-0005-0000-0000-000068330000}"/>
    <cellStyle name="Énfasis4 9" xfId="13135" xr:uid="{00000000-0005-0000-0000-000069330000}"/>
    <cellStyle name="Énfasis5" xfId="13136" builtinId="45" customBuiltin="1"/>
    <cellStyle name="Énfasis5 10" xfId="13137" xr:uid="{00000000-0005-0000-0000-00006B330000}"/>
    <cellStyle name="Énfasis5 11" xfId="15638" xr:uid="{00000000-0005-0000-0000-00006C330000}"/>
    <cellStyle name="Énfasis5 2" xfId="13138" xr:uid="{00000000-0005-0000-0000-00006D330000}"/>
    <cellStyle name="Énfasis5 2 2" xfId="13139" xr:uid="{00000000-0005-0000-0000-00006E330000}"/>
    <cellStyle name="Énfasis5 3" xfId="13140" xr:uid="{00000000-0005-0000-0000-00006F330000}"/>
    <cellStyle name="Énfasis5 3 2" xfId="13141" xr:uid="{00000000-0005-0000-0000-000070330000}"/>
    <cellStyle name="Énfasis5 4" xfId="13142" xr:uid="{00000000-0005-0000-0000-000071330000}"/>
    <cellStyle name="Énfasis5 5" xfId="13143" xr:uid="{00000000-0005-0000-0000-000072330000}"/>
    <cellStyle name="Énfasis5 6" xfId="13144" xr:uid="{00000000-0005-0000-0000-000073330000}"/>
    <cellStyle name="Énfasis5 7" xfId="13145" xr:uid="{00000000-0005-0000-0000-000074330000}"/>
    <cellStyle name="Énfasis5 8" xfId="13146" xr:uid="{00000000-0005-0000-0000-000075330000}"/>
    <cellStyle name="Énfasis5 9" xfId="13147" xr:uid="{00000000-0005-0000-0000-000076330000}"/>
    <cellStyle name="Énfasis6" xfId="13148" builtinId="49" customBuiltin="1"/>
    <cellStyle name="Énfasis6 10" xfId="13149" xr:uid="{00000000-0005-0000-0000-000078330000}"/>
    <cellStyle name="Énfasis6 11" xfId="15642" xr:uid="{00000000-0005-0000-0000-000079330000}"/>
    <cellStyle name="Énfasis6 2" xfId="13150" xr:uid="{00000000-0005-0000-0000-00007A330000}"/>
    <cellStyle name="Énfasis6 2 2" xfId="13151" xr:uid="{00000000-0005-0000-0000-00007B330000}"/>
    <cellStyle name="Énfasis6 3" xfId="13152" xr:uid="{00000000-0005-0000-0000-00007C330000}"/>
    <cellStyle name="Énfasis6 3 2" xfId="13153" xr:uid="{00000000-0005-0000-0000-00007D330000}"/>
    <cellStyle name="Énfasis6 4" xfId="13154" xr:uid="{00000000-0005-0000-0000-00007E330000}"/>
    <cellStyle name="Énfasis6 5" xfId="13155" xr:uid="{00000000-0005-0000-0000-00007F330000}"/>
    <cellStyle name="Énfasis6 6" xfId="13156" xr:uid="{00000000-0005-0000-0000-000080330000}"/>
    <cellStyle name="Énfasis6 7" xfId="13157" xr:uid="{00000000-0005-0000-0000-000081330000}"/>
    <cellStyle name="Énfasis6 8" xfId="13158" xr:uid="{00000000-0005-0000-0000-000082330000}"/>
    <cellStyle name="Énfasis6 9" xfId="13159" xr:uid="{00000000-0005-0000-0000-000083330000}"/>
    <cellStyle name="Entrada" xfId="13160" builtinId="20" customBuiltin="1"/>
    <cellStyle name="Entrada 10" xfId="13161" xr:uid="{00000000-0005-0000-0000-000085330000}"/>
    <cellStyle name="Entrada 11" xfId="15613" xr:uid="{00000000-0005-0000-0000-000086330000}"/>
    <cellStyle name="Entrada 2" xfId="13162" xr:uid="{00000000-0005-0000-0000-000087330000}"/>
    <cellStyle name="Entrada 2 2" xfId="13163" xr:uid="{00000000-0005-0000-0000-000088330000}"/>
    <cellStyle name="Entrada 3" xfId="13164" xr:uid="{00000000-0005-0000-0000-000089330000}"/>
    <cellStyle name="Entrada 3 2" xfId="13165" xr:uid="{00000000-0005-0000-0000-00008A330000}"/>
    <cellStyle name="Entrada 4" xfId="13166" xr:uid="{00000000-0005-0000-0000-00008B330000}"/>
    <cellStyle name="Entrada 5" xfId="13167" xr:uid="{00000000-0005-0000-0000-00008C330000}"/>
    <cellStyle name="Entrada 6" xfId="13168" xr:uid="{00000000-0005-0000-0000-00008D330000}"/>
    <cellStyle name="Entrada 7" xfId="13169" xr:uid="{00000000-0005-0000-0000-00008E330000}"/>
    <cellStyle name="Entrada 8" xfId="13170" xr:uid="{00000000-0005-0000-0000-00008F330000}"/>
    <cellStyle name="Entrada 9" xfId="13171" xr:uid="{00000000-0005-0000-0000-000090330000}"/>
    <cellStyle name="Estilo 1" xfId="13172" xr:uid="{00000000-0005-0000-0000-000091330000}"/>
    <cellStyle name="Estilo 1 10" xfId="13173" xr:uid="{00000000-0005-0000-0000-000092330000}"/>
    <cellStyle name="Estilo 1 11" xfId="13174" xr:uid="{00000000-0005-0000-0000-000093330000}"/>
    <cellStyle name="Estilo 1 12" xfId="13175" xr:uid="{00000000-0005-0000-0000-000094330000}"/>
    <cellStyle name="Estilo 1 13" xfId="13176" xr:uid="{00000000-0005-0000-0000-000095330000}"/>
    <cellStyle name="Estilo 1 14" xfId="13177" xr:uid="{00000000-0005-0000-0000-000096330000}"/>
    <cellStyle name="Estilo 1 15" xfId="13178" xr:uid="{00000000-0005-0000-0000-000097330000}"/>
    <cellStyle name="Estilo 1 16" xfId="13179" xr:uid="{00000000-0005-0000-0000-000098330000}"/>
    <cellStyle name="Estilo 1 17" xfId="13180" xr:uid="{00000000-0005-0000-0000-000099330000}"/>
    <cellStyle name="Estilo 1 18" xfId="13181" xr:uid="{00000000-0005-0000-0000-00009A330000}"/>
    <cellStyle name="Estilo 1 19" xfId="13182" xr:uid="{00000000-0005-0000-0000-00009B330000}"/>
    <cellStyle name="Estilo 1 2" xfId="13183" xr:uid="{00000000-0005-0000-0000-00009C330000}"/>
    <cellStyle name="Estilo 1 3" xfId="13184" xr:uid="{00000000-0005-0000-0000-00009D330000}"/>
    <cellStyle name="Estilo 1 4" xfId="13185" xr:uid="{00000000-0005-0000-0000-00009E330000}"/>
    <cellStyle name="Estilo 1 5" xfId="13186" xr:uid="{00000000-0005-0000-0000-00009F330000}"/>
    <cellStyle name="Estilo 1 6" xfId="13187" xr:uid="{00000000-0005-0000-0000-0000A0330000}"/>
    <cellStyle name="Estilo 1 7" xfId="13188" xr:uid="{00000000-0005-0000-0000-0000A1330000}"/>
    <cellStyle name="Estilo 1 8" xfId="13189" xr:uid="{00000000-0005-0000-0000-0000A2330000}"/>
    <cellStyle name="Estilo 1 9" xfId="13190" xr:uid="{00000000-0005-0000-0000-0000A3330000}"/>
    <cellStyle name="Estilo 2" xfId="13191" xr:uid="{00000000-0005-0000-0000-0000A4330000}"/>
    <cellStyle name="Euro" xfId="13192" xr:uid="{00000000-0005-0000-0000-0000A5330000}"/>
    <cellStyle name="Euro 10" xfId="13193" xr:uid="{00000000-0005-0000-0000-0000A6330000}"/>
    <cellStyle name="Euro 11" xfId="13194" xr:uid="{00000000-0005-0000-0000-0000A7330000}"/>
    <cellStyle name="Euro 12" xfId="13195" xr:uid="{00000000-0005-0000-0000-0000A8330000}"/>
    <cellStyle name="Euro 13" xfId="13196" xr:uid="{00000000-0005-0000-0000-0000A9330000}"/>
    <cellStyle name="Euro 14" xfId="13197" xr:uid="{00000000-0005-0000-0000-0000AA330000}"/>
    <cellStyle name="Euro 2" xfId="13198" xr:uid="{00000000-0005-0000-0000-0000AB330000}"/>
    <cellStyle name="Euro 3" xfId="13199" xr:uid="{00000000-0005-0000-0000-0000AC330000}"/>
    <cellStyle name="Euro 4" xfId="13200" xr:uid="{00000000-0005-0000-0000-0000AD330000}"/>
    <cellStyle name="Euro 5" xfId="13201" xr:uid="{00000000-0005-0000-0000-0000AE330000}"/>
    <cellStyle name="Euro 6" xfId="13202" xr:uid="{00000000-0005-0000-0000-0000AF330000}"/>
    <cellStyle name="Euro 7" xfId="13203" xr:uid="{00000000-0005-0000-0000-0000B0330000}"/>
    <cellStyle name="Euro 8" xfId="13204" xr:uid="{00000000-0005-0000-0000-0000B1330000}"/>
    <cellStyle name="Euro 9" xfId="13205" xr:uid="{00000000-0005-0000-0000-0000B2330000}"/>
    <cellStyle name="Excel Built-in Normal" xfId="13206" xr:uid="{00000000-0005-0000-0000-0000B3330000}"/>
    <cellStyle name="Explanatory Text" xfId="13207" xr:uid="{00000000-0005-0000-0000-0000B4330000}"/>
    <cellStyle name="F2" xfId="13208" xr:uid="{00000000-0005-0000-0000-0000B5330000}"/>
    <cellStyle name="F3" xfId="13209" xr:uid="{00000000-0005-0000-0000-0000B6330000}"/>
    <cellStyle name="F4" xfId="13210" xr:uid="{00000000-0005-0000-0000-0000B7330000}"/>
    <cellStyle name="F5" xfId="13211" xr:uid="{00000000-0005-0000-0000-0000B8330000}"/>
    <cellStyle name="F6" xfId="13212" xr:uid="{00000000-0005-0000-0000-0000B9330000}"/>
    <cellStyle name="F7" xfId="13213" xr:uid="{00000000-0005-0000-0000-0000BA330000}"/>
    <cellStyle name="F8" xfId="13214" xr:uid="{00000000-0005-0000-0000-0000BB330000}"/>
    <cellStyle name="Followed Hyperlink" xfId="13215" xr:uid="{00000000-0005-0000-0000-0000BC330000}"/>
    <cellStyle name="Good" xfId="13216" xr:uid="{00000000-0005-0000-0000-0000BD330000}"/>
    <cellStyle name="Grey" xfId="13217" xr:uid="{00000000-0005-0000-0000-0000BE330000}"/>
    <cellStyle name="Heading 1" xfId="13218" xr:uid="{00000000-0005-0000-0000-0000BF330000}"/>
    <cellStyle name="Heading 2" xfId="13219" xr:uid="{00000000-0005-0000-0000-0000C0330000}"/>
    <cellStyle name="Heading 3" xfId="13220" xr:uid="{00000000-0005-0000-0000-0000C1330000}"/>
    <cellStyle name="Heading 4" xfId="13221" xr:uid="{00000000-0005-0000-0000-0000C2330000}"/>
    <cellStyle name="Hipervínculo 2" xfId="13222" xr:uid="{00000000-0005-0000-0000-0000C3330000}"/>
    <cellStyle name="Hipervínculo 2 2" xfId="13223" xr:uid="{00000000-0005-0000-0000-0000C4330000}"/>
    <cellStyle name="Hipervínculo 3" xfId="13224" xr:uid="{00000000-0005-0000-0000-0000C5330000}"/>
    <cellStyle name="Hyperlink" xfId="13225" xr:uid="{00000000-0005-0000-0000-0000C6330000}"/>
    <cellStyle name="Hyperlink 2" xfId="13226" xr:uid="{00000000-0005-0000-0000-0000C7330000}"/>
    <cellStyle name="Incorrecto" xfId="13227" builtinId="27" customBuiltin="1"/>
    <cellStyle name="Incorrecto 10" xfId="13228" xr:uid="{00000000-0005-0000-0000-0000C9330000}"/>
    <cellStyle name="Incorrecto 11" xfId="15611" xr:uid="{00000000-0005-0000-0000-0000CA330000}"/>
    <cellStyle name="Incorrecto 2" xfId="13229" xr:uid="{00000000-0005-0000-0000-0000CB330000}"/>
    <cellStyle name="Incorrecto 2 2" xfId="13230" xr:uid="{00000000-0005-0000-0000-0000CC330000}"/>
    <cellStyle name="Incorrecto 3" xfId="13231" xr:uid="{00000000-0005-0000-0000-0000CD330000}"/>
    <cellStyle name="Incorrecto 3 2" xfId="13232" xr:uid="{00000000-0005-0000-0000-0000CE330000}"/>
    <cellStyle name="Incorrecto 4" xfId="13233" xr:uid="{00000000-0005-0000-0000-0000CF330000}"/>
    <cellStyle name="Incorrecto 5" xfId="13234" xr:uid="{00000000-0005-0000-0000-0000D0330000}"/>
    <cellStyle name="Incorrecto 6" xfId="13235" xr:uid="{00000000-0005-0000-0000-0000D1330000}"/>
    <cellStyle name="Incorrecto 7" xfId="13236" xr:uid="{00000000-0005-0000-0000-0000D2330000}"/>
    <cellStyle name="Incorrecto 8" xfId="13237" xr:uid="{00000000-0005-0000-0000-0000D3330000}"/>
    <cellStyle name="Incorrecto 9" xfId="13238" xr:uid="{00000000-0005-0000-0000-0000D4330000}"/>
    <cellStyle name="Incorreto" xfId="13239" xr:uid="{00000000-0005-0000-0000-0000D5330000}"/>
    <cellStyle name="Input" xfId="13240" xr:uid="{00000000-0005-0000-0000-0000D6330000}"/>
    <cellStyle name="Input [yellow]" xfId="13241" xr:uid="{00000000-0005-0000-0000-0000D7330000}"/>
    <cellStyle name="Input 2" xfId="13242" xr:uid="{00000000-0005-0000-0000-0000D8330000}"/>
    <cellStyle name="Input 3" xfId="13243" xr:uid="{00000000-0005-0000-0000-0000D9330000}"/>
    <cellStyle name="Input 4" xfId="13244" xr:uid="{00000000-0005-0000-0000-0000DA330000}"/>
    <cellStyle name="Input 5" xfId="13245" xr:uid="{00000000-0005-0000-0000-0000DB330000}"/>
    <cellStyle name="Input 6" xfId="13246" xr:uid="{00000000-0005-0000-0000-0000DC330000}"/>
    <cellStyle name="Input 7" xfId="13247" xr:uid="{00000000-0005-0000-0000-0000DD330000}"/>
    <cellStyle name="Linked Cell" xfId="13248" xr:uid="{00000000-0005-0000-0000-0000DE330000}"/>
    <cellStyle name="Millares" xfId="15603" builtinId="3"/>
    <cellStyle name="Millares [0]" xfId="15648" builtinId="6"/>
    <cellStyle name="Millares [0] 10" xfId="13249" xr:uid="{00000000-0005-0000-0000-0000E0330000}"/>
    <cellStyle name="Millares [0] 2" xfId="13250" xr:uid="{00000000-0005-0000-0000-0000E1330000}"/>
    <cellStyle name="Millares [0] 2 10" xfId="13251" xr:uid="{00000000-0005-0000-0000-0000E2330000}"/>
    <cellStyle name="Millares [0] 2 11" xfId="13252" xr:uid="{00000000-0005-0000-0000-0000E3330000}"/>
    <cellStyle name="Millares [0] 2 11 2" xfId="13253" xr:uid="{00000000-0005-0000-0000-0000E4330000}"/>
    <cellStyle name="Millares [0] 2 12" xfId="13254" xr:uid="{00000000-0005-0000-0000-0000E5330000}"/>
    <cellStyle name="Millares [0] 2 13" xfId="13255" xr:uid="{00000000-0005-0000-0000-0000E6330000}"/>
    <cellStyle name="Millares [0] 2 2" xfId="13256" xr:uid="{00000000-0005-0000-0000-0000E7330000}"/>
    <cellStyle name="Millares [0] 2 2 10" xfId="13257" xr:uid="{00000000-0005-0000-0000-0000E8330000}"/>
    <cellStyle name="Millares [0] 2 2 10 2" xfId="13258" xr:uid="{00000000-0005-0000-0000-0000E9330000}"/>
    <cellStyle name="Millares [0] 2 2 11" xfId="13259" xr:uid="{00000000-0005-0000-0000-0000EA330000}"/>
    <cellStyle name="Millares [0] 2 2 2" xfId="13260" xr:uid="{00000000-0005-0000-0000-0000EB330000}"/>
    <cellStyle name="Millares [0] 2 2 3" xfId="13261" xr:uid="{00000000-0005-0000-0000-0000EC330000}"/>
    <cellStyle name="Millares [0] 2 2 4" xfId="13262" xr:uid="{00000000-0005-0000-0000-0000ED330000}"/>
    <cellStyle name="Millares [0] 2 2 5" xfId="13263" xr:uid="{00000000-0005-0000-0000-0000EE330000}"/>
    <cellStyle name="Millares [0] 2 2 6" xfId="13264" xr:uid="{00000000-0005-0000-0000-0000EF330000}"/>
    <cellStyle name="Millares [0] 2 2 7" xfId="13265" xr:uid="{00000000-0005-0000-0000-0000F0330000}"/>
    <cellStyle name="Millares [0] 2 2 8" xfId="13266" xr:uid="{00000000-0005-0000-0000-0000F1330000}"/>
    <cellStyle name="Millares [0] 2 2 9" xfId="13267" xr:uid="{00000000-0005-0000-0000-0000F2330000}"/>
    <cellStyle name="Millares [0] 2 3" xfId="13268" xr:uid="{00000000-0005-0000-0000-0000F3330000}"/>
    <cellStyle name="Millares [0] 2 4" xfId="13269" xr:uid="{00000000-0005-0000-0000-0000F4330000}"/>
    <cellStyle name="Millares [0] 2 5" xfId="13270" xr:uid="{00000000-0005-0000-0000-0000F5330000}"/>
    <cellStyle name="Millares [0] 2 6" xfId="13271" xr:uid="{00000000-0005-0000-0000-0000F6330000}"/>
    <cellStyle name="Millares [0] 2 7" xfId="13272" xr:uid="{00000000-0005-0000-0000-0000F7330000}"/>
    <cellStyle name="Millares [0] 2 8" xfId="13273" xr:uid="{00000000-0005-0000-0000-0000F8330000}"/>
    <cellStyle name="Millares [0] 2 9" xfId="13274" xr:uid="{00000000-0005-0000-0000-0000F9330000}"/>
    <cellStyle name="Millares [0] 3" xfId="13275" xr:uid="{00000000-0005-0000-0000-0000FA330000}"/>
    <cellStyle name="Millares [0] 3 2" xfId="13276" xr:uid="{00000000-0005-0000-0000-0000FB330000}"/>
    <cellStyle name="Millares [0] 4" xfId="13277" xr:uid="{00000000-0005-0000-0000-0000FC330000}"/>
    <cellStyle name="Millares [0] 5" xfId="13278" xr:uid="{00000000-0005-0000-0000-0000FD330000}"/>
    <cellStyle name="Millares [0] 6" xfId="13279" xr:uid="{00000000-0005-0000-0000-0000FE330000}"/>
    <cellStyle name="Millares [0] 7" xfId="13280" xr:uid="{00000000-0005-0000-0000-0000FF330000}"/>
    <cellStyle name="Millares [0] 8" xfId="13281" xr:uid="{00000000-0005-0000-0000-000000340000}"/>
    <cellStyle name="Millares [0] 9" xfId="13282" xr:uid="{00000000-0005-0000-0000-000001340000}"/>
    <cellStyle name="Millares 10" xfId="13283" xr:uid="{00000000-0005-0000-0000-000002340000}"/>
    <cellStyle name="Millares 10 2" xfId="13284" xr:uid="{00000000-0005-0000-0000-000003340000}"/>
    <cellStyle name="Millares 10 3" xfId="13285" xr:uid="{00000000-0005-0000-0000-000004340000}"/>
    <cellStyle name="Millares 10 4" xfId="13286" xr:uid="{00000000-0005-0000-0000-000005340000}"/>
    <cellStyle name="Millares 10 5" xfId="13287" xr:uid="{00000000-0005-0000-0000-000006340000}"/>
    <cellStyle name="Millares 10 6" xfId="13288" xr:uid="{00000000-0005-0000-0000-000007340000}"/>
    <cellStyle name="Millares 10 7" xfId="13289" xr:uid="{00000000-0005-0000-0000-000008340000}"/>
    <cellStyle name="Millares 10 8" xfId="13290" xr:uid="{00000000-0005-0000-0000-000009340000}"/>
    <cellStyle name="Millares 11" xfId="13291" xr:uid="{00000000-0005-0000-0000-00000A340000}"/>
    <cellStyle name="Millares 11 2" xfId="13292" xr:uid="{00000000-0005-0000-0000-00000B340000}"/>
    <cellStyle name="Millares 11 3" xfId="13293" xr:uid="{00000000-0005-0000-0000-00000C340000}"/>
    <cellStyle name="Millares 11 4" xfId="13294" xr:uid="{00000000-0005-0000-0000-00000D340000}"/>
    <cellStyle name="Millares 11 5" xfId="13295" xr:uid="{00000000-0005-0000-0000-00000E340000}"/>
    <cellStyle name="Millares 11 6" xfId="13296" xr:uid="{00000000-0005-0000-0000-00000F340000}"/>
    <cellStyle name="Millares 11 7" xfId="13297" xr:uid="{00000000-0005-0000-0000-000010340000}"/>
    <cellStyle name="Millares 12" xfId="13298" xr:uid="{00000000-0005-0000-0000-000011340000}"/>
    <cellStyle name="Millares 12 2" xfId="13299" xr:uid="{00000000-0005-0000-0000-000012340000}"/>
    <cellStyle name="Millares 12 3" xfId="13300" xr:uid="{00000000-0005-0000-0000-000013340000}"/>
    <cellStyle name="Millares 12 4" xfId="13301" xr:uid="{00000000-0005-0000-0000-000014340000}"/>
    <cellStyle name="Millares 12 5" xfId="13302" xr:uid="{00000000-0005-0000-0000-000015340000}"/>
    <cellStyle name="Millares 12 6" xfId="13303" xr:uid="{00000000-0005-0000-0000-000016340000}"/>
    <cellStyle name="Millares 12 7" xfId="13304" xr:uid="{00000000-0005-0000-0000-000017340000}"/>
    <cellStyle name="Millares 12 8" xfId="13305" xr:uid="{00000000-0005-0000-0000-000018340000}"/>
    <cellStyle name="Millares 13" xfId="13306" xr:uid="{00000000-0005-0000-0000-000019340000}"/>
    <cellStyle name="Millares 13 2" xfId="13307" xr:uid="{00000000-0005-0000-0000-00001A340000}"/>
    <cellStyle name="Millares 13 3" xfId="13308" xr:uid="{00000000-0005-0000-0000-00001B340000}"/>
    <cellStyle name="Millares 13 4" xfId="13309" xr:uid="{00000000-0005-0000-0000-00001C340000}"/>
    <cellStyle name="Millares 13 5" xfId="13310" xr:uid="{00000000-0005-0000-0000-00001D340000}"/>
    <cellStyle name="Millares 13 6" xfId="13311" xr:uid="{00000000-0005-0000-0000-00001E340000}"/>
    <cellStyle name="Millares 13 7" xfId="13312" xr:uid="{00000000-0005-0000-0000-00001F340000}"/>
    <cellStyle name="Millares 14" xfId="13313" xr:uid="{00000000-0005-0000-0000-000020340000}"/>
    <cellStyle name="Millares 15" xfId="13314" xr:uid="{00000000-0005-0000-0000-000021340000}"/>
    <cellStyle name="Millares 16" xfId="13315" xr:uid="{00000000-0005-0000-0000-000022340000}"/>
    <cellStyle name="Millares 16 2" xfId="13316" xr:uid="{00000000-0005-0000-0000-000023340000}"/>
    <cellStyle name="Millares 16 3" xfId="13317" xr:uid="{00000000-0005-0000-0000-000024340000}"/>
    <cellStyle name="Millares 16 4" xfId="13318" xr:uid="{00000000-0005-0000-0000-000025340000}"/>
    <cellStyle name="Millares 16 5" xfId="13319" xr:uid="{00000000-0005-0000-0000-000026340000}"/>
    <cellStyle name="Millares 16 6" xfId="13320" xr:uid="{00000000-0005-0000-0000-000027340000}"/>
    <cellStyle name="Millares 16 7" xfId="13321" xr:uid="{00000000-0005-0000-0000-000028340000}"/>
    <cellStyle name="Millares 17" xfId="13322" xr:uid="{00000000-0005-0000-0000-000029340000}"/>
    <cellStyle name="Millares 18" xfId="13323" xr:uid="{00000000-0005-0000-0000-00002A340000}"/>
    <cellStyle name="Millares 19" xfId="13324" xr:uid="{00000000-0005-0000-0000-00002B340000}"/>
    <cellStyle name="Millares 2" xfId="13325" xr:uid="{00000000-0005-0000-0000-00002C340000}"/>
    <cellStyle name="Millares 2 10" xfId="13326" xr:uid="{00000000-0005-0000-0000-00002D340000}"/>
    <cellStyle name="Millares 2 11" xfId="13327" xr:uid="{00000000-0005-0000-0000-00002E340000}"/>
    <cellStyle name="Millares 2 12" xfId="13328" xr:uid="{00000000-0005-0000-0000-00002F340000}"/>
    <cellStyle name="Millares 2 13" xfId="13329" xr:uid="{00000000-0005-0000-0000-000030340000}"/>
    <cellStyle name="Millares 2 14" xfId="13330" xr:uid="{00000000-0005-0000-0000-000031340000}"/>
    <cellStyle name="Millares 2 15" xfId="13331" xr:uid="{00000000-0005-0000-0000-000032340000}"/>
    <cellStyle name="Millares 2 16" xfId="13332" xr:uid="{00000000-0005-0000-0000-000033340000}"/>
    <cellStyle name="Millares 2 17" xfId="13333" xr:uid="{00000000-0005-0000-0000-000034340000}"/>
    <cellStyle name="Millares 2 18" xfId="13334" xr:uid="{00000000-0005-0000-0000-000035340000}"/>
    <cellStyle name="Millares 2 2" xfId="13335" xr:uid="{00000000-0005-0000-0000-000036340000}"/>
    <cellStyle name="Millares 2 2 10" xfId="13336" xr:uid="{00000000-0005-0000-0000-000037340000}"/>
    <cellStyle name="Millares 2 2 11" xfId="13337" xr:uid="{00000000-0005-0000-0000-000038340000}"/>
    <cellStyle name="Millares 2 2 2" xfId="13338" xr:uid="{00000000-0005-0000-0000-000039340000}"/>
    <cellStyle name="Millares 2 2 3" xfId="13339" xr:uid="{00000000-0005-0000-0000-00003A340000}"/>
    <cellStyle name="Millares 2 2 4" xfId="13340" xr:uid="{00000000-0005-0000-0000-00003B340000}"/>
    <cellStyle name="Millares 2 2 5" xfId="13341" xr:uid="{00000000-0005-0000-0000-00003C340000}"/>
    <cellStyle name="Millares 2 2 6" xfId="13342" xr:uid="{00000000-0005-0000-0000-00003D340000}"/>
    <cellStyle name="Millares 2 2 7" xfId="13343" xr:uid="{00000000-0005-0000-0000-00003E340000}"/>
    <cellStyle name="Millares 2 2 8" xfId="13344" xr:uid="{00000000-0005-0000-0000-00003F340000}"/>
    <cellStyle name="Millares 2 2 9" xfId="13345" xr:uid="{00000000-0005-0000-0000-000040340000}"/>
    <cellStyle name="Millares 2 3" xfId="13346" xr:uid="{00000000-0005-0000-0000-000041340000}"/>
    <cellStyle name="Millares 2 3 2" xfId="13347" xr:uid="{00000000-0005-0000-0000-000042340000}"/>
    <cellStyle name="Millares 2 3 2 2" xfId="13348" xr:uid="{00000000-0005-0000-0000-000043340000}"/>
    <cellStyle name="Millares 2 3 3" xfId="13349" xr:uid="{00000000-0005-0000-0000-000044340000}"/>
    <cellStyle name="Millares 2 3 4" xfId="13350" xr:uid="{00000000-0005-0000-0000-000045340000}"/>
    <cellStyle name="Millares 2 3 5" xfId="13351" xr:uid="{00000000-0005-0000-0000-000046340000}"/>
    <cellStyle name="Millares 2 3 6" xfId="13352" xr:uid="{00000000-0005-0000-0000-000047340000}"/>
    <cellStyle name="Millares 2 3 7" xfId="13353" xr:uid="{00000000-0005-0000-0000-000048340000}"/>
    <cellStyle name="Millares 2 3 8" xfId="13354" xr:uid="{00000000-0005-0000-0000-000049340000}"/>
    <cellStyle name="Millares 2 3 9" xfId="13355" xr:uid="{00000000-0005-0000-0000-00004A340000}"/>
    <cellStyle name="Millares 2 4" xfId="13356" xr:uid="{00000000-0005-0000-0000-00004B340000}"/>
    <cellStyle name="Millares 2 4 2" xfId="13357" xr:uid="{00000000-0005-0000-0000-00004C340000}"/>
    <cellStyle name="Millares 2 4 3" xfId="13358" xr:uid="{00000000-0005-0000-0000-00004D340000}"/>
    <cellStyle name="Millares 2 4 4" xfId="13359" xr:uid="{00000000-0005-0000-0000-00004E340000}"/>
    <cellStyle name="Millares 2 4 5" xfId="13360" xr:uid="{00000000-0005-0000-0000-00004F340000}"/>
    <cellStyle name="Millares 2 4 6" xfId="13361" xr:uid="{00000000-0005-0000-0000-000050340000}"/>
    <cellStyle name="Millares 2 4 7" xfId="13362" xr:uid="{00000000-0005-0000-0000-000051340000}"/>
    <cellStyle name="Millares 2 4 8" xfId="13363" xr:uid="{00000000-0005-0000-0000-000052340000}"/>
    <cellStyle name="Millares 2 4 9" xfId="13364" xr:uid="{00000000-0005-0000-0000-000053340000}"/>
    <cellStyle name="Millares 2 5" xfId="13365" xr:uid="{00000000-0005-0000-0000-000054340000}"/>
    <cellStyle name="Millares 2 5 2" xfId="13366" xr:uid="{00000000-0005-0000-0000-000055340000}"/>
    <cellStyle name="Millares 2 5 3" xfId="13367" xr:uid="{00000000-0005-0000-0000-000056340000}"/>
    <cellStyle name="Millares 2 6" xfId="13368" xr:uid="{00000000-0005-0000-0000-000057340000}"/>
    <cellStyle name="Millares 2 6 2" xfId="13369" xr:uid="{00000000-0005-0000-0000-000058340000}"/>
    <cellStyle name="Millares 2 6 3" xfId="13370" xr:uid="{00000000-0005-0000-0000-000059340000}"/>
    <cellStyle name="Millares 2 7" xfId="13371" xr:uid="{00000000-0005-0000-0000-00005A340000}"/>
    <cellStyle name="Millares 2 7 2" xfId="13372" xr:uid="{00000000-0005-0000-0000-00005B340000}"/>
    <cellStyle name="Millares 2 7 3" xfId="13373" xr:uid="{00000000-0005-0000-0000-00005C340000}"/>
    <cellStyle name="Millares 2 8" xfId="13374" xr:uid="{00000000-0005-0000-0000-00005D340000}"/>
    <cellStyle name="Millares 2 8 2" xfId="13375" xr:uid="{00000000-0005-0000-0000-00005E340000}"/>
    <cellStyle name="Millares 2 8 3" xfId="13376" xr:uid="{00000000-0005-0000-0000-00005F340000}"/>
    <cellStyle name="Millares 2 9" xfId="13377" xr:uid="{00000000-0005-0000-0000-000060340000}"/>
    <cellStyle name="Millares 2 9 2" xfId="13378" xr:uid="{00000000-0005-0000-0000-000061340000}"/>
    <cellStyle name="Millares 2 9 3" xfId="13379" xr:uid="{00000000-0005-0000-0000-000062340000}"/>
    <cellStyle name="Millares 2_Vientos - Prov. IMAGRO 12-2008" xfId="13380" xr:uid="{00000000-0005-0000-0000-000063340000}"/>
    <cellStyle name="Millares 20" xfId="13381" xr:uid="{00000000-0005-0000-0000-000064340000}"/>
    <cellStyle name="Millares 21" xfId="13382" xr:uid="{00000000-0005-0000-0000-000065340000}"/>
    <cellStyle name="Millares 22" xfId="13383" xr:uid="{00000000-0005-0000-0000-000066340000}"/>
    <cellStyle name="Millares 23" xfId="13384" xr:uid="{00000000-0005-0000-0000-000067340000}"/>
    <cellStyle name="Millares 24" xfId="13385" xr:uid="{00000000-0005-0000-0000-000068340000}"/>
    <cellStyle name="Millares 25" xfId="13386" xr:uid="{00000000-0005-0000-0000-000069340000}"/>
    <cellStyle name="Millares 26" xfId="13387" xr:uid="{00000000-0005-0000-0000-00006A340000}"/>
    <cellStyle name="Millares 27" xfId="13388" xr:uid="{00000000-0005-0000-0000-00006B340000}"/>
    <cellStyle name="Millares 28" xfId="13389" xr:uid="{00000000-0005-0000-0000-00006C340000}"/>
    <cellStyle name="Millares 29" xfId="13390" xr:uid="{00000000-0005-0000-0000-00006D340000}"/>
    <cellStyle name="Millares 3" xfId="13391" xr:uid="{00000000-0005-0000-0000-00006E340000}"/>
    <cellStyle name="Millares 3 10" xfId="13392" xr:uid="{00000000-0005-0000-0000-00006F340000}"/>
    <cellStyle name="Millares 3 11" xfId="13393" xr:uid="{00000000-0005-0000-0000-000070340000}"/>
    <cellStyle name="Millares 3 12" xfId="13394" xr:uid="{00000000-0005-0000-0000-000071340000}"/>
    <cellStyle name="Millares 3 13" xfId="13395" xr:uid="{00000000-0005-0000-0000-000072340000}"/>
    <cellStyle name="Millares 3 14" xfId="13396" xr:uid="{00000000-0005-0000-0000-000073340000}"/>
    <cellStyle name="Millares 3 15" xfId="13397" xr:uid="{00000000-0005-0000-0000-000074340000}"/>
    <cellStyle name="Millares 3 16" xfId="13398" xr:uid="{00000000-0005-0000-0000-000075340000}"/>
    <cellStyle name="Millares 3 17" xfId="13399" xr:uid="{00000000-0005-0000-0000-000076340000}"/>
    <cellStyle name="Millares 3 18" xfId="13400" xr:uid="{00000000-0005-0000-0000-000077340000}"/>
    <cellStyle name="Millares 3 19" xfId="13401" xr:uid="{00000000-0005-0000-0000-000078340000}"/>
    <cellStyle name="Millares 3 2" xfId="13402" xr:uid="{00000000-0005-0000-0000-000079340000}"/>
    <cellStyle name="Millares 3 2 2" xfId="13403" xr:uid="{00000000-0005-0000-0000-00007A340000}"/>
    <cellStyle name="Millares 3 2 3" xfId="13404" xr:uid="{00000000-0005-0000-0000-00007B340000}"/>
    <cellStyle name="Millares 3 2 4" xfId="13405" xr:uid="{00000000-0005-0000-0000-00007C340000}"/>
    <cellStyle name="Millares 3 2 5" xfId="13406" xr:uid="{00000000-0005-0000-0000-00007D340000}"/>
    <cellStyle name="Millares 3 2 6" xfId="13407" xr:uid="{00000000-0005-0000-0000-00007E340000}"/>
    <cellStyle name="Millares 3 2 7" xfId="13408" xr:uid="{00000000-0005-0000-0000-00007F340000}"/>
    <cellStyle name="Millares 3 2 8" xfId="13409" xr:uid="{00000000-0005-0000-0000-000080340000}"/>
    <cellStyle name="Millares 3 20" xfId="13410" xr:uid="{00000000-0005-0000-0000-000081340000}"/>
    <cellStyle name="Millares 3 21" xfId="13411" xr:uid="{00000000-0005-0000-0000-000082340000}"/>
    <cellStyle name="Millares 3 22" xfId="13412" xr:uid="{00000000-0005-0000-0000-000083340000}"/>
    <cellStyle name="Millares 3 23" xfId="13413" xr:uid="{00000000-0005-0000-0000-000084340000}"/>
    <cellStyle name="Millares 3 24" xfId="13414" xr:uid="{00000000-0005-0000-0000-000085340000}"/>
    <cellStyle name="Millares 3 25" xfId="13415" xr:uid="{00000000-0005-0000-0000-000086340000}"/>
    <cellStyle name="Millares 3 26" xfId="13416" xr:uid="{00000000-0005-0000-0000-000087340000}"/>
    <cellStyle name="Millares 3 3" xfId="13417" xr:uid="{00000000-0005-0000-0000-000088340000}"/>
    <cellStyle name="Millares 3 3 2" xfId="13418" xr:uid="{00000000-0005-0000-0000-000089340000}"/>
    <cellStyle name="Millares 3 3 3" xfId="13419" xr:uid="{00000000-0005-0000-0000-00008A340000}"/>
    <cellStyle name="Millares 3 3 4" xfId="13420" xr:uid="{00000000-0005-0000-0000-00008B340000}"/>
    <cellStyle name="Millares 3 3 5" xfId="13421" xr:uid="{00000000-0005-0000-0000-00008C340000}"/>
    <cellStyle name="Millares 3 3 6" xfId="13422" xr:uid="{00000000-0005-0000-0000-00008D340000}"/>
    <cellStyle name="Millares 3 3 7" xfId="13423" xr:uid="{00000000-0005-0000-0000-00008E340000}"/>
    <cellStyle name="Millares 3 3 8" xfId="13424" xr:uid="{00000000-0005-0000-0000-00008F340000}"/>
    <cellStyle name="Millares 3 4" xfId="13425" xr:uid="{00000000-0005-0000-0000-000090340000}"/>
    <cellStyle name="Millares 3 5" xfId="13426" xr:uid="{00000000-0005-0000-0000-000091340000}"/>
    <cellStyle name="Millares 3 6" xfId="13427" xr:uid="{00000000-0005-0000-0000-000092340000}"/>
    <cellStyle name="Millares 3 7" xfId="13428" xr:uid="{00000000-0005-0000-0000-000093340000}"/>
    <cellStyle name="Millares 3 8" xfId="13429" xr:uid="{00000000-0005-0000-0000-000094340000}"/>
    <cellStyle name="Millares 3 9" xfId="13430" xr:uid="{00000000-0005-0000-0000-000095340000}"/>
    <cellStyle name="Millares 30" xfId="13431" xr:uid="{00000000-0005-0000-0000-000096340000}"/>
    <cellStyle name="Millares 31" xfId="13432" xr:uid="{00000000-0005-0000-0000-000097340000}"/>
    <cellStyle name="Millares 32" xfId="13433" xr:uid="{00000000-0005-0000-0000-000098340000}"/>
    <cellStyle name="Millares 32 2" xfId="13434" xr:uid="{00000000-0005-0000-0000-000099340000}"/>
    <cellStyle name="Millares 33" xfId="13435" xr:uid="{00000000-0005-0000-0000-00009A340000}"/>
    <cellStyle name="Millares 34" xfId="13436" xr:uid="{00000000-0005-0000-0000-00009B340000}"/>
    <cellStyle name="Millares 35" xfId="13437" xr:uid="{00000000-0005-0000-0000-00009C340000}"/>
    <cellStyle name="Millares 36" xfId="13438" xr:uid="{00000000-0005-0000-0000-00009D340000}"/>
    <cellStyle name="Millares 37" xfId="13439" xr:uid="{00000000-0005-0000-0000-00009E340000}"/>
    <cellStyle name="Millares 38" xfId="13440" xr:uid="{00000000-0005-0000-0000-00009F340000}"/>
    <cellStyle name="Millares 39" xfId="13441" xr:uid="{00000000-0005-0000-0000-0000A0340000}"/>
    <cellStyle name="Millares 4" xfId="13442" xr:uid="{00000000-0005-0000-0000-0000A1340000}"/>
    <cellStyle name="Millares 4 10" xfId="13443" xr:uid="{00000000-0005-0000-0000-0000A2340000}"/>
    <cellStyle name="Millares 4 11" xfId="13444" xr:uid="{00000000-0005-0000-0000-0000A3340000}"/>
    <cellStyle name="Millares 4 12" xfId="13445" xr:uid="{00000000-0005-0000-0000-0000A4340000}"/>
    <cellStyle name="Millares 4 13" xfId="13446" xr:uid="{00000000-0005-0000-0000-0000A5340000}"/>
    <cellStyle name="Millares 4 14" xfId="13447" xr:uid="{00000000-0005-0000-0000-0000A6340000}"/>
    <cellStyle name="Millares 4 15" xfId="13448" xr:uid="{00000000-0005-0000-0000-0000A7340000}"/>
    <cellStyle name="Millares 4 16" xfId="13449" xr:uid="{00000000-0005-0000-0000-0000A8340000}"/>
    <cellStyle name="Millares 4 17" xfId="13450" xr:uid="{00000000-0005-0000-0000-0000A9340000}"/>
    <cellStyle name="Millares 4 18" xfId="13451" xr:uid="{00000000-0005-0000-0000-0000AA340000}"/>
    <cellStyle name="Millares 4 19" xfId="13452" xr:uid="{00000000-0005-0000-0000-0000AB340000}"/>
    <cellStyle name="Millares 4 2" xfId="13453" xr:uid="{00000000-0005-0000-0000-0000AC340000}"/>
    <cellStyle name="Millares 4 20" xfId="13454" xr:uid="{00000000-0005-0000-0000-0000AD340000}"/>
    <cellStyle name="Millares 4 21" xfId="13455" xr:uid="{00000000-0005-0000-0000-0000AE340000}"/>
    <cellStyle name="Millares 4 22" xfId="13456" xr:uid="{00000000-0005-0000-0000-0000AF340000}"/>
    <cellStyle name="Millares 4 23" xfId="13457" xr:uid="{00000000-0005-0000-0000-0000B0340000}"/>
    <cellStyle name="Millares 4 24" xfId="13458" xr:uid="{00000000-0005-0000-0000-0000B1340000}"/>
    <cellStyle name="Millares 4 25" xfId="13459" xr:uid="{00000000-0005-0000-0000-0000B2340000}"/>
    <cellStyle name="Millares 4 3" xfId="13460" xr:uid="{00000000-0005-0000-0000-0000B3340000}"/>
    <cellStyle name="Millares 4 4" xfId="13461" xr:uid="{00000000-0005-0000-0000-0000B4340000}"/>
    <cellStyle name="Millares 4 5" xfId="13462" xr:uid="{00000000-0005-0000-0000-0000B5340000}"/>
    <cellStyle name="Millares 4 6" xfId="13463" xr:uid="{00000000-0005-0000-0000-0000B6340000}"/>
    <cellStyle name="Millares 4 7" xfId="13464" xr:uid="{00000000-0005-0000-0000-0000B7340000}"/>
    <cellStyle name="Millares 4 8" xfId="13465" xr:uid="{00000000-0005-0000-0000-0000B8340000}"/>
    <cellStyle name="Millares 4 9" xfId="13466" xr:uid="{00000000-0005-0000-0000-0000B9340000}"/>
    <cellStyle name="Millares 4_Fapasa - Apoyo a Audit. - IRACIS 12-2008" xfId="13467" xr:uid="{00000000-0005-0000-0000-0000BA340000}"/>
    <cellStyle name="Millares 40" xfId="13468" xr:uid="{00000000-0005-0000-0000-0000BB340000}"/>
    <cellStyle name="Millares 41" xfId="13469" xr:uid="{00000000-0005-0000-0000-0000BC340000}"/>
    <cellStyle name="Millares 42" xfId="13470" xr:uid="{00000000-0005-0000-0000-0000BD340000}"/>
    <cellStyle name="Millares 43" xfId="13471" xr:uid="{00000000-0005-0000-0000-0000BE340000}"/>
    <cellStyle name="Millares 5" xfId="13472" xr:uid="{00000000-0005-0000-0000-0000BF340000}"/>
    <cellStyle name="Millares 5 10" xfId="13473" xr:uid="{00000000-0005-0000-0000-0000C0340000}"/>
    <cellStyle name="Millares 5 2" xfId="13474" xr:uid="{00000000-0005-0000-0000-0000C1340000}"/>
    <cellStyle name="Millares 5 2 2" xfId="13475" xr:uid="{00000000-0005-0000-0000-0000C2340000}"/>
    <cellStyle name="Millares 5 2 3" xfId="13476" xr:uid="{00000000-0005-0000-0000-0000C3340000}"/>
    <cellStyle name="Millares 5 2 4" xfId="13477" xr:uid="{00000000-0005-0000-0000-0000C4340000}"/>
    <cellStyle name="Millares 5 2 5" xfId="13478" xr:uid="{00000000-0005-0000-0000-0000C5340000}"/>
    <cellStyle name="Millares 5 2 6" xfId="13479" xr:uid="{00000000-0005-0000-0000-0000C6340000}"/>
    <cellStyle name="Millares 5 2 7" xfId="13480" xr:uid="{00000000-0005-0000-0000-0000C7340000}"/>
    <cellStyle name="Millares 5 3" xfId="13481" xr:uid="{00000000-0005-0000-0000-0000C8340000}"/>
    <cellStyle name="Millares 5 4" xfId="13482" xr:uid="{00000000-0005-0000-0000-0000C9340000}"/>
    <cellStyle name="Millares 5 5" xfId="13483" xr:uid="{00000000-0005-0000-0000-0000CA340000}"/>
    <cellStyle name="Millares 5 6" xfId="13484" xr:uid="{00000000-0005-0000-0000-0000CB340000}"/>
    <cellStyle name="Millares 5 7" xfId="13485" xr:uid="{00000000-0005-0000-0000-0000CC340000}"/>
    <cellStyle name="Millares 5 8" xfId="13486" xr:uid="{00000000-0005-0000-0000-0000CD340000}"/>
    <cellStyle name="Millares 5 9" xfId="13487" xr:uid="{00000000-0005-0000-0000-0000CE340000}"/>
    <cellStyle name="Millares 6" xfId="13488" xr:uid="{00000000-0005-0000-0000-0000CF340000}"/>
    <cellStyle name="Millares 6 10" xfId="13489" xr:uid="{00000000-0005-0000-0000-0000D0340000}"/>
    <cellStyle name="Millares 6 11" xfId="13490" xr:uid="{00000000-0005-0000-0000-0000D1340000}"/>
    <cellStyle name="Millares 6 2" xfId="13491" xr:uid="{00000000-0005-0000-0000-0000D2340000}"/>
    <cellStyle name="Millares 6 2 2" xfId="13492" xr:uid="{00000000-0005-0000-0000-0000D3340000}"/>
    <cellStyle name="Millares 6 3" xfId="13493" xr:uid="{00000000-0005-0000-0000-0000D4340000}"/>
    <cellStyle name="Millares 6 3 2" xfId="13494" xr:uid="{00000000-0005-0000-0000-0000D5340000}"/>
    <cellStyle name="Millares 6 4" xfId="13495" xr:uid="{00000000-0005-0000-0000-0000D6340000}"/>
    <cellStyle name="Millares 6 5" xfId="13496" xr:uid="{00000000-0005-0000-0000-0000D7340000}"/>
    <cellStyle name="Millares 6 6" xfId="13497" xr:uid="{00000000-0005-0000-0000-0000D8340000}"/>
    <cellStyle name="Millares 6 7" xfId="13498" xr:uid="{00000000-0005-0000-0000-0000D9340000}"/>
    <cellStyle name="Millares 6 8" xfId="13499" xr:uid="{00000000-0005-0000-0000-0000DA340000}"/>
    <cellStyle name="Millares 6 9" xfId="13500" xr:uid="{00000000-0005-0000-0000-0000DB340000}"/>
    <cellStyle name="Millares 7" xfId="13501" xr:uid="{00000000-0005-0000-0000-0000DC340000}"/>
    <cellStyle name="Millares 7 10" xfId="13502" xr:uid="{00000000-0005-0000-0000-0000DD340000}"/>
    <cellStyle name="Millares 7 2" xfId="13503" xr:uid="{00000000-0005-0000-0000-0000DE340000}"/>
    <cellStyle name="Millares 7 2 2" xfId="13504" xr:uid="{00000000-0005-0000-0000-0000DF340000}"/>
    <cellStyle name="Millares 7 3" xfId="13505" xr:uid="{00000000-0005-0000-0000-0000E0340000}"/>
    <cellStyle name="Millares 7 3 2" xfId="13506" xr:uid="{00000000-0005-0000-0000-0000E1340000}"/>
    <cellStyle name="Millares 7 4" xfId="13507" xr:uid="{00000000-0005-0000-0000-0000E2340000}"/>
    <cellStyle name="Millares 7 5" xfId="13508" xr:uid="{00000000-0005-0000-0000-0000E3340000}"/>
    <cellStyle name="Millares 7 6" xfId="13509" xr:uid="{00000000-0005-0000-0000-0000E4340000}"/>
    <cellStyle name="Millares 7 7" xfId="13510" xr:uid="{00000000-0005-0000-0000-0000E5340000}"/>
    <cellStyle name="Millares 7 8" xfId="13511" xr:uid="{00000000-0005-0000-0000-0000E6340000}"/>
    <cellStyle name="Millares 7 9" xfId="13512" xr:uid="{00000000-0005-0000-0000-0000E7340000}"/>
    <cellStyle name="Millares 8" xfId="13513" xr:uid="{00000000-0005-0000-0000-0000E8340000}"/>
    <cellStyle name="Millares 8 10" xfId="13514" xr:uid="{00000000-0005-0000-0000-0000E9340000}"/>
    <cellStyle name="Millares 8 11" xfId="13515" xr:uid="{00000000-0005-0000-0000-0000EA340000}"/>
    <cellStyle name="Millares 8 12" xfId="13516" xr:uid="{00000000-0005-0000-0000-0000EB340000}"/>
    <cellStyle name="Millares 8 13" xfId="13517" xr:uid="{00000000-0005-0000-0000-0000EC340000}"/>
    <cellStyle name="Millares 8 14" xfId="13518" xr:uid="{00000000-0005-0000-0000-0000ED340000}"/>
    <cellStyle name="Millares 8 2" xfId="13519" xr:uid="{00000000-0005-0000-0000-0000EE340000}"/>
    <cellStyle name="Millares 8 3" xfId="13520" xr:uid="{00000000-0005-0000-0000-0000EF340000}"/>
    <cellStyle name="Millares 8 4" xfId="13521" xr:uid="{00000000-0005-0000-0000-0000F0340000}"/>
    <cellStyle name="Millares 8 5" xfId="13522" xr:uid="{00000000-0005-0000-0000-0000F1340000}"/>
    <cellStyle name="Millares 8 6" xfId="13523" xr:uid="{00000000-0005-0000-0000-0000F2340000}"/>
    <cellStyle name="Millares 8 7" xfId="13524" xr:uid="{00000000-0005-0000-0000-0000F3340000}"/>
    <cellStyle name="Millares 8 8" xfId="13525" xr:uid="{00000000-0005-0000-0000-0000F4340000}"/>
    <cellStyle name="Millares 8 9" xfId="13526" xr:uid="{00000000-0005-0000-0000-0000F5340000}"/>
    <cellStyle name="Millares 9" xfId="13527" xr:uid="{00000000-0005-0000-0000-0000F6340000}"/>
    <cellStyle name="Millares 9 2" xfId="13528" xr:uid="{00000000-0005-0000-0000-0000F7340000}"/>
    <cellStyle name="Millares 9 3" xfId="13529" xr:uid="{00000000-0005-0000-0000-0000F8340000}"/>
    <cellStyle name="Millares 9 4" xfId="13530" xr:uid="{00000000-0005-0000-0000-0000F9340000}"/>
    <cellStyle name="Millares 9 5" xfId="13531" xr:uid="{00000000-0005-0000-0000-0000FA340000}"/>
    <cellStyle name="Millares 9 6" xfId="13532" xr:uid="{00000000-0005-0000-0000-0000FB340000}"/>
    <cellStyle name="Millares 9 7" xfId="13533" xr:uid="{00000000-0005-0000-0000-0000FC340000}"/>
    <cellStyle name="Millares 9 8" xfId="13534" xr:uid="{00000000-0005-0000-0000-0000FD340000}"/>
    <cellStyle name="Millares 9 9" xfId="13535" xr:uid="{00000000-0005-0000-0000-0000FE340000}"/>
    <cellStyle name="Moeda [0]_104A.XLS" xfId="13536" xr:uid="{00000000-0005-0000-0000-0000FF340000}"/>
    <cellStyle name="Moeda_104A.XLS" xfId="13537" xr:uid="{00000000-0005-0000-0000-000000350000}"/>
    <cellStyle name="Moneda" xfId="15602" builtinId="4"/>
    <cellStyle name="Moneda 10" xfId="13538" xr:uid="{00000000-0005-0000-0000-000002350000}"/>
    <cellStyle name="Moneda 10 2" xfId="13539" xr:uid="{00000000-0005-0000-0000-000003350000}"/>
    <cellStyle name="Moneda 11" xfId="13540" xr:uid="{00000000-0005-0000-0000-000004350000}"/>
    <cellStyle name="Moneda 11 2" xfId="13541" xr:uid="{00000000-0005-0000-0000-000005350000}"/>
    <cellStyle name="Moneda 12" xfId="13542" xr:uid="{00000000-0005-0000-0000-000006350000}"/>
    <cellStyle name="Moneda 13" xfId="13543" xr:uid="{00000000-0005-0000-0000-000007350000}"/>
    <cellStyle name="Moneda 13 2" xfId="13544" xr:uid="{00000000-0005-0000-0000-000008350000}"/>
    <cellStyle name="Moneda 13 3" xfId="13545" xr:uid="{00000000-0005-0000-0000-000009350000}"/>
    <cellStyle name="Moneda 14" xfId="13546" xr:uid="{00000000-0005-0000-0000-00000A350000}"/>
    <cellStyle name="Moneda 2" xfId="13547" xr:uid="{00000000-0005-0000-0000-00000B350000}"/>
    <cellStyle name="Moneda 2 2" xfId="13548" xr:uid="{00000000-0005-0000-0000-00000C350000}"/>
    <cellStyle name="Moneda 2 3" xfId="13549" xr:uid="{00000000-0005-0000-0000-00000D350000}"/>
    <cellStyle name="Moneda 2 4" xfId="13550" xr:uid="{00000000-0005-0000-0000-00000E350000}"/>
    <cellStyle name="Moneda 3" xfId="13551" xr:uid="{00000000-0005-0000-0000-00000F350000}"/>
    <cellStyle name="Moneda 3 2" xfId="13552" xr:uid="{00000000-0005-0000-0000-000010350000}"/>
    <cellStyle name="Moneda 4" xfId="13553" xr:uid="{00000000-0005-0000-0000-000011350000}"/>
    <cellStyle name="Moneda 4 2" xfId="13554" xr:uid="{00000000-0005-0000-0000-000012350000}"/>
    <cellStyle name="Moneda 5" xfId="13555" xr:uid="{00000000-0005-0000-0000-000013350000}"/>
    <cellStyle name="Moneda 5 2" xfId="13556" xr:uid="{00000000-0005-0000-0000-000014350000}"/>
    <cellStyle name="Moneda 6" xfId="13557" xr:uid="{00000000-0005-0000-0000-000015350000}"/>
    <cellStyle name="Moneda 6 2" xfId="13558" xr:uid="{00000000-0005-0000-0000-000016350000}"/>
    <cellStyle name="Moneda 7" xfId="13559" xr:uid="{00000000-0005-0000-0000-000017350000}"/>
    <cellStyle name="Moneda 7 2" xfId="13560" xr:uid="{00000000-0005-0000-0000-000018350000}"/>
    <cellStyle name="Moneda 8" xfId="13561" xr:uid="{00000000-0005-0000-0000-000019350000}"/>
    <cellStyle name="Moneda 8 2" xfId="13562" xr:uid="{00000000-0005-0000-0000-00001A350000}"/>
    <cellStyle name="Moneda 9" xfId="13563" xr:uid="{00000000-0005-0000-0000-00001B350000}"/>
    <cellStyle name="Moneda 9 2" xfId="13564" xr:uid="{00000000-0005-0000-0000-00001C350000}"/>
    <cellStyle name="Negative" xfId="13565" xr:uid="{00000000-0005-0000-0000-00001D350000}"/>
    <cellStyle name="Neutra" xfId="13566" xr:uid="{00000000-0005-0000-0000-00001E350000}"/>
    <cellStyle name="Neutral" xfId="13567" builtinId="28" customBuiltin="1"/>
    <cellStyle name="Neutral 10" xfId="13568" xr:uid="{00000000-0005-0000-0000-000020350000}"/>
    <cellStyle name="Neutral 11" xfId="15612" xr:uid="{00000000-0005-0000-0000-000021350000}"/>
    <cellStyle name="Neutral 2" xfId="13569" xr:uid="{00000000-0005-0000-0000-000022350000}"/>
    <cellStyle name="Neutral 2 2" xfId="13570" xr:uid="{00000000-0005-0000-0000-000023350000}"/>
    <cellStyle name="Neutral 3" xfId="13571" xr:uid="{00000000-0005-0000-0000-000024350000}"/>
    <cellStyle name="Neutral 3 2" xfId="13572" xr:uid="{00000000-0005-0000-0000-000025350000}"/>
    <cellStyle name="Neutral 4" xfId="13573" xr:uid="{00000000-0005-0000-0000-000026350000}"/>
    <cellStyle name="Neutral 5" xfId="13574" xr:uid="{00000000-0005-0000-0000-000027350000}"/>
    <cellStyle name="Neutral 6" xfId="13575" xr:uid="{00000000-0005-0000-0000-000028350000}"/>
    <cellStyle name="Neutral 7" xfId="13576" xr:uid="{00000000-0005-0000-0000-000029350000}"/>
    <cellStyle name="Neutral 8" xfId="13577" xr:uid="{00000000-0005-0000-0000-00002A350000}"/>
    <cellStyle name="Neutral 9" xfId="13578" xr:uid="{00000000-0005-0000-0000-00002B350000}"/>
    <cellStyle name="no dec" xfId="13579" xr:uid="{00000000-0005-0000-0000-00002C350000}"/>
    <cellStyle name="Normal" xfId="0" builtinId="0"/>
    <cellStyle name="Normal - Estilo1" xfId="13580" xr:uid="{00000000-0005-0000-0000-00002E350000}"/>
    <cellStyle name="Normal - Modelo1" xfId="13581" xr:uid="{00000000-0005-0000-0000-00002F350000}"/>
    <cellStyle name="Normal - Style1" xfId="13582" xr:uid="{00000000-0005-0000-0000-000030350000}"/>
    <cellStyle name="Normal 10" xfId="13583" xr:uid="{00000000-0005-0000-0000-000031350000}"/>
    <cellStyle name="Normal 10 10" xfId="13584" xr:uid="{00000000-0005-0000-0000-000032350000}"/>
    <cellStyle name="Normal 10 11" xfId="13585" xr:uid="{00000000-0005-0000-0000-000033350000}"/>
    <cellStyle name="Normal 10 12" xfId="13586" xr:uid="{00000000-0005-0000-0000-000034350000}"/>
    <cellStyle name="Normal 10 13" xfId="13587" xr:uid="{00000000-0005-0000-0000-000035350000}"/>
    <cellStyle name="Normal 10 14" xfId="13588" xr:uid="{00000000-0005-0000-0000-000036350000}"/>
    <cellStyle name="Normal 10 15" xfId="13589" xr:uid="{00000000-0005-0000-0000-000037350000}"/>
    <cellStyle name="Normal 10 16" xfId="13590" xr:uid="{00000000-0005-0000-0000-000038350000}"/>
    <cellStyle name="Normal 10 17" xfId="13591" xr:uid="{00000000-0005-0000-0000-000039350000}"/>
    <cellStyle name="Normal 10 18" xfId="13592" xr:uid="{00000000-0005-0000-0000-00003A350000}"/>
    <cellStyle name="Normal 10 19" xfId="13593" xr:uid="{00000000-0005-0000-0000-00003B350000}"/>
    <cellStyle name="Normal 10 2" xfId="13594" xr:uid="{00000000-0005-0000-0000-00003C350000}"/>
    <cellStyle name="Normal 10 20" xfId="13595" xr:uid="{00000000-0005-0000-0000-00003D350000}"/>
    <cellStyle name="Normal 10 21" xfId="13596" xr:uid="{00000000-0005-0000-0000-00003E350000}"/>
    <cellStyle name="Normal 10 22" xfId="13597" xr:uid="{00000000-0005-0000-0000-00003F350000}"/>
    <cellStyle name="Normal 10 23" xfId="13598" xr:uid="{00000000-0005-0000-0000-000040350000}"/>
    <cellStyle name="Normal 10 24" xfId="13599" xr:uid="{00000000-0005-0000-0000-000041350000}"/>
    <cellStyle name="Normal 10 25" xfId="13600" xr:uid="{00000000-0005-0000-0000-000042350000}"/>
    <cellStyle name="Normal 10 26" xfId="13601" xr:uid="{00000000-0005-0000-0000-000043350000}"/>
    <cellStyle name="Normal 10 27" xfId="13602" xr:uid="{00000000-0005-0000-0000-000044350000}"/>
    <cellStyle name="Normal 10 3" xfId="13603" xr:uid="{00000000-0005-0000-0000-000045350000}"/>
    <cellStyle name="Normal 10 4" xfId="13604" xr:uid="{00000000-0005-0000-0000-000046350000}"/>
    <cellStyle name="Normal 10 5" xfId="13605" xr:uid="{00000000-0005-0000-0000-000047350000}"/>
    <cellStyle name="Normal 10 6" xfId="13606" xr:uid="{00000000-0005-0000-0000-000048350000}"/>
    <cellStyle name="Normal 10 7" xfId="13607" xr:uid="{00000000-0005-0000-0000-000049350000}"/>
    <cellStyle name="Normal 10 8" xfId="13608" xr:uid="{00000000-0005-0000-0000-00004A350000}"/>
    <cellStyle name="Normal 10 9" xfId="13609" xr:uid="{00000000-0005-0000-0000-00004B350000}"/>
    <cellStyle name="Normal 100" xfId="13610" xr:uid="{00000000-0005-0000-0000-00004C350000}"/>
    <cellStyle name="Normal 101" xfId="13611" xr:uid="{00000000-0005-0000-0000-00004D350000}"/>
    <cellStyle name="Normal 102" xfId="13612" xr:uid="{00000000-0005-0000-0000-00004E350000}"/>
    <cellStyle name="Normal 103" xfId="13613" xr:uid="{00000000-0005-0000-0000-00004F350000}"/>
    <cellStyle name="Normal 104" xfId="13614" xr:uid="{00000000-0005-0000-0000-000050350000}"/>
    <cellStyle name="Normal 105" xfId="15604" xr:uid="{00000000-0005-0000-0000-000051350000}"/>
    <cellStyle name="Normal 11" xfId="13615" xr:uid="{00000000-0005-0000-0000-000052350000}"/>
    <cellStyle name="Normal 11 10" xfId="13616" xr:uid="{00000000-0005-0000-0000-000053350000}"/>
    <cellStyle name="Normal 11 11" xfId="13617" xr:uid="{00000000-0005-0000-0000-000054350000}"/>
    <cellStyle name="Normal 11 12" xfId="13618" xr:uid="{00000000-0005-0000-0000-000055350000}"/>
    <cellStyle name="Normal 11 13" xfId="13619" xr:uid="{00000000-0005-0000-0000-000056350000}"/>
    <cellStyle name="Normal 11 14" xfId="13620" xr:uid="{00000000-0005-0000-0000-000057350000}"/>
    <cellStyle name="Normal 11 15" xfId="13621" xr:uid="{00000000-0005-0000-0000-000058350000}"/>
    <cellStyle name="Normal 11 16" xfId="13622" xr:uid="{00000000-0005-0000-0000-000059350000}"/>
    <cellStyle name="Normal 11 17" xfId="13623" xr:uid="{00000000-0005-0000-0000-00005A350000}"/>
    <cellStyle name="Normal 11 18" xfId="13624" xr:uid="{00000000-0005-0000-0000-00005B350000}"/>
    <cellStyle name="Normal 11 19" xfId="13625" xr:uid="{00000000-0005-0000-0000-00005C350000}"/>
    <cellStyle name="Normal 11 2" xfId="13626" xr:uid="{00000000-0005-0000-0000-00005D350000}"/>
    <cellStyle name="Normal 11 20" xfId="13627" xr:uid="{00000000-0005-0000-0000-00005E350000}"/>
    <cellStyle name="Normal 11 21" xfId="13628" xr:uid="{00000000-0005-0000-0000-00005F350000}"/>
    <cellStyle name="Normal 11 22" xfId="13629" xr:uid="{00000000-0005-0000-0000-000060350000}"/>
    <cellStyle name="Normal 11 23" xfId="13630" xr:uid="{00000000-0005-0000-0000-000061350000}"/>
    <cellStyle name="Normal 11 24" xfId="13631" xr:uid="{00000000-0005-0000-0000-000062350000}"/>
    <cellStyle name="Normal 11 25" xfId="13632" xr:uid="{00000000-0005-0000-0000-000063350000}"/>
    <cellStyle name="Normal 11 26" xfId="13633" xr:uid="{00000000-0005-0000-0000-000064350000}"/>
    <cellStyle name="Normal 11 3" xfId="13634" xr:uid="{00000000-0005-0000-0000-000065350000}"/>
    <cellStyle name="Normal 11 4" xfId="13635" xr:uid="{00000000-0005-0000-0000-000066350000}"/>
    <cellStyle name="Normal 11 5" xfId="13636" xr:uid="{00000000-0005-0000-0000-000067350000}"/>
    <cellStyle name="Normal 11 6" xfId="13637" xr:uid="{00000000-0005-0000-0000-000068350000}"/>
    <cellStyle name="Normal 11 7" xfId="13638" xr:uid="{00000000-0005-0000-0000-000069350000}"/>
    <cellStyle name="Normal 11 8" xfId="13639" xr:uid="{00000000-0005-0000-0000-00006A350000}"/>
    <cellStyle name="Normal 11 9" xfId="13640" xr:uid="{00000000-0005-0000-0000-00006B350000}"/>
    <cellStyle name="Normal 12" xfId="13641" xr:uid="{00000000-0005-0000-0000-00006C350000}"/>
    <cellStyle name="Normal 12 10" xfId="13642" xr:uid="{00000000-0005-0000-0000-00006D350000}"/>
    <cellStyle name="Normal 12 11" xfId="13643" xr:uid="{00000000-0005-0000-0000-00006E350000}"/>
    <cellStyle name="Normal 12 12" xfId="13644" xr:uid="{00000000-0005-0000-0000-00006F350000}"/>
    <cellStyle name="Normal 12 13" xfId="13645" xr:uid="{00000000-0005-0000-0000-000070350000}"/>
    <cellStyle name="Normal 12 14" xfId="13646" xr:uid="{00000000-0005-0000-0000-000071350000}"/>
    <cellStyle name="Normal 12 15" xfId="13647" xr:uid="{00000000-0005-0000-0000-000072350000}"/>
    <cellStyle name="Normal 12 16" xfId="13648" xr:uid="{00000000-0005-0000-0000-000073350000}"/>
    <cellStyle name="Normal 12 17" xfId="13649" xr:uid="{00000000-0005-0000-0000-000074350000}"/>
    <cellStyle name="Normal 12 18" xfId="13650" xr:uid="{00000000-0005-0000-0000-000075350000}"/>
    <cellStyle name="Normal 12 19" xfId="13651" xr:uid="{00000000-0005-0000-0000-000076350000}"/>
    <cellStyle name="Normal 12 2" xfId="13652" xr:uid="{00000000-0005-0000-0000-000077350000}"/>
    <cellStyle name="Normal 12 20" xfId="13653" xr:uid="{00000000-0005-0000-0000-000078350000}"/>
    <cellStyle name="Normal 12 21" xfId="13654" xr:uid="{00000000-0005-0000-0000-000079350000}"/>
    <cellStyle name="Normal 12 22" xfId="13655" xr:uid="{00000000-0005-0000-0000-00007A350000}"/>
    <cellStyle name="Normal 12 23" xfId="13656" xr:uid="{00000000-0005-0000-0000-00007B350000}"/>
    <cellStyle name="Normal 12 24" xfId="13657" xr:uid="{00000000-0005-0000-0000-00007C350000}"/>
    <cellStyle name="Normal 12 25" xfId="13658" xr:uid="{00000000-0005-0000-0000-00007D350000}"/>
    <cellStyle name="Normal 12 26" xfId="13659" xr:uid="{00000000-0005-0000-0000-00007E350000}"/>
    <cellStyle name="Normal 12 3" xfId="13660" xr:uid="{00000000-0005-0000-0000-00007F350000}"/>
    <cellStyle name="Normal 12 4" xfId="13661" xr:uid="{00000000-0005-0000-0000-000080350000}"/>
    <cellStyle name="Normal 12 5" xfId="13662" xr:uid="{00000000-0005-0000-0000-000081350000}"/>
    <cellStyle name="Normal 12 6" xfId="13663" xr:uid="{00000000-0005-0000-0000-000082350000}"/>
    <cellStyle name="Normal 12 7" xfId="13664" xr:uid="{00000000-0005-0000-0000-000083350000}"/>
    <cellStyle name="Normal 12 8" xfId="13665" xr:uid="{00000000-0005-0000-0000-000084350000}"/>
    <cellStyle name="Normal 12 9" xfId="13666" xr:uid="{00000000-0005-0000-0000-000085350000}"/>
    <cellStyle name="Normal 13" xfId="13667" xr:uid="{00000000-0005-0000-0000-000086350000}"/>
    <cellStyle name="Normal 13 10" xfId="13668" xr:uid="{00000000-0005-0000-0000-000087350000}"/>
    <cellStyle name="Normal 13 11" xfId="13669" xr:uid="{00000000-0005-0000-0000-000088350000}"/>
    <cellStyle name="Normal 13 12" xfId="13670" xr:uid="{00000000-0005-0000-0000-000089350000}"/>
    <cellStyle name="Normal 13 13" xfId="13671" xr:uid="{00000000-0005-0000-0000-00008A350000}"/>
    <cellStyle name="Normal 13 14" xfId="13672" xr:uid="{00000000-0005-0000-0000-00008B350000}"/>
    <cellStyle name="Normal 13 15" xfId="13673" xr:uid="{00000000-0005-0000-0000-00008C350000}"/>
    <cellStyle name="Normal 13 16" xfId="13674" xr:uid="{00000000-0005-0000-0000-00008D350000}"/>
    <cellStyle name="Normal 13 17" xfId="13675" xr:uid="{00000000-0005-0000-0000-00008E350000}"/>
    <cellStyle name="Normal 13 18" xfId="13676" xr:uid="{00000000-0005-0000-0000-00008F350000}"/>
    <cellStyle name="Normal 13 19" xfId="13677" xr:uid="{00000000-0005-0000-0000-000090350000}"/>
    <cellStyle name="Normal 13 2" xfId="13678" xr:uid="{00000000-0005-0000-0000-000091350000}"/>
    <cellStyle name="Normal 13 20" xfId="13679" xr:uid="{00000000-0005-0000-0000-000092350000}"/>
    <cellStyle name="Normal 13 21" xfId="13680" xr:uid="{00000000-0005-0000-0000-000093350000}"/>
    <cellStyle name="Normal 13 22" xfId="13681" xr:uid="{00000000-0005-0000-0000-000094350000}"/>
    <cellStyle name="Normal 13 23" xfId="13682" xr:uid="{00000000-0005-0000-0000-000095350000}"/>
    <cellStyle name="Normal 13 24" xfId="13683" xr:uid="{00000000-0005-0000-0000-000096350000}"/>
    <cellStyle name="Normal 13 25" xfId="13684" xr:uid="{00000000-0005-0000-0000-000097350000}"/>
    <cellStyle name="Normal 13 26" xfId="13685" xr:uid="{00000000-0005-0000-0000-000098350000}"/>
    <cellStyle name="Normal 13 3" xfId="13686" xr:uid="{00000000-0005-0000-0000-000099350000}"/>
    <cellStyle name="Normal 13 4" xfId="13687" xr:uid="{00000000-0005-0000-0000-00009A350000}"/>
    <cellStyle name="Normal 13 5" xfId="13688" xr:uid="{00000000-0005-0000-0000-00009B350000}"/>
    <cellStyle name="Normal 13 6" xfId="13689" xr:uid="{00000000-0005-0000-0000-00009C350000}"/>
    <cellStyle name="Normal 13 7" xfId="13690" xr:uid="{00000000-0005-0000-0000-00009D350000}"/>
    <cellStyle name="Normal 13 8" xfId="13691" xr:uid="{00000000-0005-0000-0000-00009E350000}"/>
    <cellStyle name="Normal 13 9" xfId="13692" xr:uid="{00000000-0005-0000-0000-00009F350000}"/>
    <cellStyle name="Normal 14" xfId="13693" xr:uid="{00000000-0005-0000-0000-0000A0350000}"/>
    <cellStyle name="Normal 14 10" xfId="13694" xr:uid="{00000000-0005-0000-0000-0000A1350000}"/>
    <cellStyle name="Normal 14 11" xfId="13695" xr:uid="{00000000-0005-0000-0000-0000A2350000}"/>
    <cellStyle name="Normal 14 12" xfId="13696" xr:uid="{00000000-0005-0000-0000-0000A3350000}"/>
    <cellStyle name="Normal 14 13" xfId="13697" xr:uid="{00000000-0005-0000-0000-0000A4350000}"/>
    <cellStyle name="Normal 14 14" xfId="13698" xr:uid="{00000000-0005-0000-0000-0000A5350000}"/>
    <cellStyle name="Normal 14 15" xfId="13699" xr:uid="{00000000-0005-0000-0000-0000A6350000}"/>
    <cellStyle name="Normal 14 16" xfId="13700" xr:uid="{00000000-0005-0000-0000-0000A7350000}"/>
    <cellStyle name="Normal 14 17" xfId="13701" xr:uid="{00000000-0005-0000-0000-0000A8350000}"/>
    <cellStyle name="Normal 14 18" xfId="13702" xr:uid="{00000000-0005-0000-0000-0000A9350000}"/>
    <cellStyle name="Normal 14 19" xfId="13703" xr:uid="{00000000-0005-0000-0000-0000AA350000}"/>
    <cellStyle name="Normal 14 2" xfId="13704" xr:uid="{00000000-0005-0000-0000-0000AB350000}"/>
    <cellStyle name="Normal 14 20" xfId="13705" xr:uid="{00000000-0005-0000-0000-0000AC350000}"/>
    <cellStyle name="Normal 14 21" xfId="13706" xr:uid="{00000000-0005-0000-0000-0000AD350000}"/>
    <cellStyle name="Normal 14 22" xfId="13707" xr:uid="{00000000-0005-0000-0000-0000AE350000}"/>
    <cellStyle name="Normal 14 23" xfId="13708" xr:uid="{00000000-0005-0000-0000-0000AF350000}"/>
    <cellStyle name="Normal 14 24" xfId="13709" xr:uid="{00000000-0005-0000-0000-0000B0350000}"/>
    <cellStyle name="Normal 14 25" xfId="13710" xr:uid="{00000000-0005-0000-0000-0000B1350000}"/>
    <cellStyle name="Normal 14 26" xfId="13711" xr:uid="{00000000-0005-0000-0000-0000B2350000}"/>
    <cellStyle name="Normal 14 27" xfId="13712" xr:uid="{00000000-0005-0000-0000-0000B3350000}"/>
    <cellStyle name="Normal 14 3" xfId="13713" xr:uid="{00000000-0005-0000-0000-0000B4350000}"/>
    <cellStyle name="Normal 14 4" xfId="13714" xr:uid="{00000000-0005-0000-0000-0000B5350000}"/>
    <cellStyle name="Normal 14 5" xfId="13715" xr:uid="{00000000-0005-0000-0000-0000B6350000}"/>
    <cellStyle name="Normal 14 6" xfId="13716" xr:uid="{00000000-0005-0000-0000-0000B7350000}"/>
    <cellStyle name="Normal 14 7" xfId="13717" xr:uid="{00000000-0005-0000-0000-0000B8350000}"/>
    <cellStyle name="Normal 14 8" xfId="13718" xr:uid="{00000000-0005-0000-0000-0000B9350000}"/>
    <cellStyle name="Normal 14 9" xfId="13719" xr:uid="{00000000-0005-0000-0000-0000BA350000}"/>
    <cellStyle name="Normal 15" xfId="13720" xr:uid="{00000000-0005-0000-0000-0000BB350000}"/>
    <cellStyle name="Normal 15 10" xfId="13721" xr:uid="{00000000-0005-0000-0000-0000BC350000}"/>
    <cellStyle name="Normal 15 11" xfId="13722" xr:uid="{00000000-0005-0000-0000-0000BD350000}"/>
    <cellStyle name="Normal 15 12" xfId="13723" xr:uid="{00000000-0005-0000-0000-0000BE350000}"/>
    <cellStyle name="Normal 15 13" xfId="13724" xr:uid="{00000000-0005-0000-0000-0000BF350000}"/>
    <cellStyle name="Normal 15 14" xfId="13725" xr:uid="{00000000-0005-0000-0000-0000C0350000}"/>
    <cellStyle name="Normal 15 15" xfId="13726" xr:uid="{00000000-0005-0000-0000-0000C1350000}"/>
    <cellStyle name="Normal 15 16" xfId="13727" xr:uid="{00000000-0005-0000-0000-0000C2350000}"/>
    <cellStyle name="Normal 15 17" xfId="13728" xr:uid="{00000000-0005-0000-0000-0000C3350000}"/>
    <cellStyle name="Normal 15 18" xfId="13729" xr:uid="{00000000-0005-0000-0000-0000C4350000}"/>
    <cellStyle name="Normal 15 19" xfId="13730" xr:uid="{00000000-0005-0000-0000-0000C5350000}"/>
    <cellStyle name="Normal 15 2" xfId="13731" xr:uid="{00000000-0005-0000-0000-0000C6350000}"/>
    <cellStyle name="Normal 15 20" xfId="13732" xr:uid="{00000000-0005-0000-0000-0000C7350000}"/>
    <cellStyle name="Normal 15 21" xfId="13733" xr:uid="{00000000-0005-0000-0000-0000C8350000}"/>
    <cellStyle name="Normal 15 22" xfId="13734" xr:uid="{00000000-0005-0000-0000-0000C9350000}"/>
    <cellStyle name="Normal 15 23" xfId="13735" xr:uid="{00000000-0005-0000-0000-0000CA350000}"/>
    <cellStyle name="Normal 15 24" xfId="13736" xr:uid="{00000000-0005-0000-0000-0000CB350000}"/>
    <cellStyle name="Normal 15 25" xfId="13737" xr:uid="{00000000-0005-0000-0000-0000CC350000}"/>
    <cellStyle name="Normal 15 26" xfId="13738" xr:uid="{00000000-0005-0000-0000-0000CD350000}"/>
    <cellStyle name="Normal 15 3" xfId="13739" xr:uid="{00000000-0005-0000-0000-0000CE350000}"/>
    <cellStyle name="Normal 15 4" xfId="13740" xr:uid="{00000000-0005-0000-0000-0000CF350000}"/>
    <cellStyle name="Normal 15 5" xfId="13741" xr:uid="{00000000-0005-0000-0000-0000D0350000}"/>
    <cellStyle name="Normal 15 6" xfId="13742" xr:uid="{00000000-0005-0000-0000-0000D1350000}"/>
    <cellStyle name="Normal 15 7" xfId="13743" xr:uid="{00000000-0005-0000-0000-0000D2350000}"/>
    <cellStyle name="Normal 15 8" xfId="13744" xr:uid="{00000000-0005-0000-0000-0000D3350000}"/>
    <cellStyle name="Normal 15 9" xfId="13745" xr:uid="{00000000-0005-0000-0000-0000D4350000}"/>
    <cellStyle name="Normal 16" xfId="13746" xr:uid="{00000000-0005-0000-0000-0000D5350000}"/>
    <cellStyle name="Normal 16 10" xfId="13747" xr:uid="{00000000-0005-0000-0000-0000D6350000}"/>
    <cellStyle name="Normal 16 11" xfId="13748" xr:uid="{00000000-0005-0000-0000-0000D7350000}"/>
    <cellStyle name="Normal 16 12" xfId="13749" xr:uid="{00000000-0005-0000-0000-0000D8350000}"/>
    <cellStyle name="Normal 16 13" xfId="13750" xr:uid="{00000000-0005-0000-0000-0000D9350000}"/>
    <cellStyle name="Normal 16 14" xfId="13751" xr:uid="{00000000-0005-0000-0000-0000DA350000}"/>
    <cellStyle name="Normal 16 15" xfId="13752" xr:uid="{00000000-0005-0000-0000-0000DB350000}"/>
    <cellStyle name="Normal 16 16" xfId="13753" xr:uid="{00000000-0005-0000-0000-0000DC350000}"/>
    <cellStyle name="Normal 16 17" xfId="13754" xr:uid="{00000000-0005-0000-0000-0000DD350000}"/>
    <cellStyle name="Normal 16 18" xfId="13755" xr:uid="{00000000-0005-0000-0000-0000DE350000}"/>
    <cellStyle name="Normal 16 19" xfId="13756" xr:uid="{00000000-0005-0000-0000-0000DF350000}"/>
    <cellStyle name="Normal 16 2" xfId="13757" xr:uid="{00000000-0005-0000-0000-0000E0350000}"/>
    <cellStyle name="Normal 16 20" xfId="13758" xr:uid="{00000000-0005-0000-0000-0000E1350000}"/>
    <cellStyle name="Normal 16 21" xfId="13759" xr:uid="{00000000-0005-0000-0000-0000E2350000}"/>
    <cellStyle name="Normal 16 22" xfId="13760" xr:uid="{00000000-0005-0000-0000-0000E3350000}"/>
    <cellStyle name="Normal 16 23" xfId="13761" xr:uid="{00000000-0005-0000-0000-0000E4350000}"/>
    <cellStyle name="Normal 16 24" xfId="13762" xr:uid="{00000000-0005-0000-0000-0000E5350000}"/>
    <cellStyle name="Normal 16 25" xfId="13763" xr:uid="{00000000-0005-0000-0000-0000E6350000}"/>
    <cellStyle name="Normal 16 26" xfId="13764" xr:uid="{00000000-0005-0000-0000-0000E7350000}"/>
    <cellStyle name="Normal 16 3" xfId="13765" xr:uid="{00000000-0005-0000-0000-0000E8350000}"/>
    <cellStyle name="Normal 16 4" xfId="13766" xr:uid="{00000000-0005-0000-0000-0000E9350000}"/>
    <cellStyle name="Normal 16 5" xfId="13767" xr:uid="{00000000-0005-0000-0000-0000EA350000}"/>
    <cellStyle name="Normal 16 6" xfId="13768" xr:uid="{00000000-0005-0000-0000-0000EB350000}"/>
    <cellStyle name="Normal 16 7" xfId="13769" xr:uid="{00000000-0005-0000-0000-0000EC350000}"/>
    <cellStyle name="Normal 16 8" xfId="13770" xr:uid="{00000000-0005-0000-0000-0000ED350000}"/>
    <cellStyle name="Normal 16 9" xfId="13771" xr:uid="{00000000-0005-0000-0000-0000EE350000}"/>
    <cellStyle name="Normal 17" xfId="13772" xr:uid="{00000000-0005-0000-0000-0000EF350000}"/>
    <cellStyle name="Normal 17 10" xfId="13773" xr:uid="{00000000-0005-0000-0000-0000F0350000}"/>
    <cellStyle name="Normal 17 11" xfId="13774" xr:uid="{00000000-0005-0000-0000-0000F1350000}"/>
    <cellStyle name="Normal 17 12" xfId="13775" xr:uid="{00000000-0005-0000-0000-0000F2350000}"/>
    <cellStyle name="Normal 17 13" xfId="13776" xr:uid="{00000000-0005-0000-0000-0000F3350000}"/>
    <cellStyle name="Normal 17 14" xfId="13777" xr:uid="{00000000-0005-0000-0000-0000F4350000}"/>
    <cellStyle name="Normal 17 15" xfId="13778" xr:uid="{00000000-0005-0000-0000-0000F5350000}"/>
    <cellStyle name="Normal 17 16" xfId="13779" xr:uid="{00000000-0005-0000-0000-0000F6350000}"/>
    <cellStyle name="Normal 17 17" xfId="13780" xr:uid="{00000000-0005-0000-0000-0000F7350000}"/>
    <cellStyle name="Normal 17 18" xfId="13781" xr:uid="{00000000-0005-0000-0000-0000F8350000}"/>
    <cellStyle name="Normal 17 19" xfId="13782" xr:uid="{00000000-0005-0000-0000-0000F9350000}"/>
    <cellStyle name="Normal 17 2" xfId="13783" xr:uid="{00000000-0005-0000-0000-0000FA350000}"/>
    <cellStyle name="Normal 17 20" xfId="13784" xr:uid="{00000000-0005-0000-0000-0000FB350000}"/>
    <cellStyle name="Normal 17 21" xfId="13785" xr:uid="{00000000-0005-0000-0000-0000FC350000}"/>
    <cellStyle name="Normal 17 22" xfId="13786" xr:uid="{00000000-0005-0000-0000-0000FD350000}"/>
    <cellStyle name="Normal 17 23" xfId="13787" xr:uid="{00000000-0005-0000-0000-0000FE350000}"/>
    <cellStyle name="Normal 17 24" xfId="13788" xr:uid="{00000000-0005-0000-0000-0000FF350000}"/>
    <cellStyle name="Normal 17 25" xfId="13789" xr:uid="{00000000-0005-0000-0000-000000360000}"/>
    <cellStyle name="Normal 17 26" xfId="13790" xr:uid="{00000000-0005-0000-0000-000001360000}"/>
    <cellStyle name="Normal 17 3" xfId="13791" xr:uid="{00000000-0005-0000-0000-000002360000}"/>
    <cellStyle name="Normal 17 4" xfId="13792" xr:uid="{00000000-0005-0000-0000-000003360000}"/>
    <cellStyle name="Normal 17 5" xfId="13793" xr:uid="{00000000-0005-0000-0000-000004360000}"/>
    <cellStyle name="Normal 17 6" xfId="13794" xr:uid="{00000000-0005-0000-0000-000005360000}"/>
    <cellStyle name="Normal 17 7" xfId="13795" xr:uid="{00000000-0005-0000-0000-000006360000}"/>
    <cellStyle name="Normal 17 8" xfId="13796" xr:uid="{00000000-0005-0000-0000-000007360000}"/>
    <cellStyle name="Normal 17 9" xfId="13797" xr:uid="{00000000-0005-0000-0000-000008360000}"/>
    <cellStyle name="Normal 18" xfId="13798" xr:uid="{00000000-0005-0000-0000-000009360000}"/>
    <cellStyle name="Normal 18 10" xfId="13799" xr:uid="{00000000-0005-0000-0000-00000A360000}"/>
    <cellStyle name="Normal 18 11" xfId="13800" xr:uid="{00000000-0005-0000-0000-00000B360000}"/>
    <cellStyle name="Normal 18 12" xfId="13801" xr:uid="{00000000-0005-0000-0000-00000C360000}"/>
    <cellStyle name="Normal 18 13" xfId="13802" xr:uid="{00000000-0005-0000-0000-00000D360000}"/>
    <cellStyle name="Normal 18 14" xfId="13803" xr:uid="{00000000-0005-0000-0000-00000E360000}"/>
    <cellStyle name="Normal 18 15" xfId="13804" xr:uid="{00000000-0005-0000-0000-00000F360000}"/>
    <cellStyle name="Normal 18 16" xfId="13805" xr:uid="{00000000-0005-0000-0000-000010360000}"/>
    <cellStyle name="Normal 18 17" xfId="13806" xr:uid="{00000000-0005-0000-0000-000011360000}"/>
    <cellStyle name="Normal 18 18" xfId="13807" xr:uid="{00000000-0005-0000-0000-000012360000}"/>
    <cellStyle name="Normal 18 19" xfId="13808" xr:uid="{00000000-0005-0000-0000-000013360000}"/>
    <cellStyle name="Normal 18 2" xfId="13809" xr:uid="{00000000-0005-0000-0000-000014360000}"/>
    <cellStyle name="Normal 18 20" xfId="13810" xr:uid="{00000000-0005-0000-0000-000015360000}"/>
    <cellStyle name="Normal 18 21" xfId="13811" xr:uid="{00000000-0005-0000-0000-000016360000}"/>
    <cellStyle name="Normal 18 22" xfId="13812" xr:uid="{00000000-0005-0000-0000-000017360000}"/>
    <cellStyle name="Normal 18 23" xfId="13813" xr:uid="{00000000-0005-0000-0000-000018360000}"/>
    <cellStyle name="Normal 18 24" xfId="13814" xr:uid="{00000000-0005-0000-0000-000019360000}"/>
    <cellStyle name="Normal 18 25" xfId="13815" xr:uid="{00000000-0005-0000-0000-00001A360000}"/>
    <cellStyle name="Normal 18 26" xfId="13816" xr:uid="{00000000-0005-0000-0000-00001B360000}"/>
    <cellStyle name="Normal 18 3" xfId="13817" xr:uid="{00000000-0005-0000-0000-00001C360000}"/>
    <cellStyle name="Normal 18 4" xfId="13818" xr:uid="{00000000-0005-0000-0000-00001D360000}"/>
    <cellStyle name="Normal 18 5" xfId="13819" xr:uid="{00000000-0005-0000-0000-00001E360000}"/>
    <cellStyle name="Normal 18 6" xfId="13820" xr:uid="{00000000-0005-0000-0000-00001F360000}"/>
    <cellStyle name="Normal 18 7" xfId="13821" xr:uid="{00000000-0005-0000-0000-000020360000}"/>
    <cellStyle name="Normal 18 8" xfId="13822" xr:uid="{00000000-0005-0000-0000-000021360000}"/>
    <cellStyle name="Normal 18 9" xfId="13823" xr:uid="{00000000-0005-0000-0000-000022360000}"/>
    <cellStyle name="Normal 19" xfId="13824" xr:uid="{00000000-0005-0000-0000-000023360000}"/>
    <cellStyle name="Normal 19 10" xfId="13825" xr:uid="{00000000-0005-0000-0000-000024360000}"/>
    <cellStyle name="Normal 19 11" xfId="13826" xr:uid="{00000000-0005-0000-0000-000025360000}"/>
    <cellStyle name="Normal 19 12" xfId="13827" xr:uid="{00000000-0005-0000-0000-000026360000}"/>
    <cellStyle name="Normal 19 13" xfId="13828" xr:uid="{00000000-0005-0000-0000-000027360000}"/>
    <cellStyle name="Normal 19 14" xfId="13829" xr:uid="{00000000-0005-0000-0000-000028360000}"/>
    <cellStyle name="Normal 19 15" xfId="13830" xr:uid="{00000000-0005-0000-0000-000029360000}"/>
    <cellStyle name="Normal 19 16" xfId="13831" xr:uid="{00000000-0005-0000-0000-00002A360000}"/>
    <cellStyle name="Normal 19 17" xfId="13832" xr:uid="{00000000-0005-0000-0000-00002B360000}"/>
    <cellStyle name="Normal 19 18" xfId="13833" xr:uid="{00000000-0005-0000-0000-00002C360000}"/>
    <cellStyle name="Normal 19 19" xfId="13834" xr:uid="{00000000-0005-0000-0000-00002D360000}"/>
    <cellStyle name="Normal 19 2" xfId="13835" xr:uid="{00000000-0005-0000-0000-00002E360000}"/>
    <cellStyle name="Normal 19 20" xfId="13836" xr:uid="{00000000-0005-0000-0000-00002F360000}"/>
    <cellStyle name="Normal 19 21" xfId="13837" xr:uid="{00000000-0005-0000-0000-000030360000}"/>
    <cellStyle name="Normal 19 22" xfId="13838" xr:uid="{00000000-0005-0000-0000-000031360000}"/>
    <cellStyle name="Normal 19 23" xfId="13839" xr:uid="{00000000-0005-0000-0000-000032360000}"/>
    <cellStyle name="Normal 19 24" xfId="13840" xr:uid="{00000000-0005-0000-0000-000033360000}"/>
    <cellStyle name="Normal 19 25" xfId="13841" xr:uid="{00000000-0005-0000-0000-000034360000}"/>
    <cellStyle name="Normal 19 26" xfId="13842" xr:uid="{00000000-0005-0000-0000-000035360000}"/>
    <cellStyle name="Normal 19 3" xfId="13843" xr:uid="{00000000-0005-0000-0000-000036360000}"/>
    <cellStyle name="Normal 19 4" xfId="13844" xr:uid="{00000000-0005-0000-0000-000037360000}"/>
    <cellStyle name="Normal 19 5" xfId="13845" xr:uid="{00000000-0005-0000-0000-000038360000}"/>
    <cellStyle name="Normal 19 6" xfId="13846" xr:uid="{00000000-0005-0000-0000-000039360000}"/>
    <cellStyle name="Normal 19 7" xfId="13847" xr:uid="{00000000-0005-0000-0000-00003A360000}"/>
    <cellStyle name="Normal 19 8" xfId="13848" xr:uid="{00000000-0005-0000-0000-00003B360000}"/>
    <cellStyle name="Normal 19 9" xfId="13849" xr:uid="{00000000-0005-0000-0000-00003C360000}"/>
    <cellStyle name="Normal 2" xfId="13850" xr:uid="{00000000-0005-0000-0000-00003D360000}"/>
    <cellStyle name="Normal 2 10" xfId="13851" xr:uid="{00000000-0005-0000-0000-00003E360000}"/>
    <cellStyle name="Normal 2 10 2" xfId="13852" xr:uid="{00000000-0005-0000-0000-00003F360000}"/>
    <cellStyle name="Normal 2 11" xfId="13853" xr:uid="{00000000-0005-0000-0000-000040360000}"/>
    <cellStyle name="Normal 2 11 2" xfId="13854" xr:uid="{00000000-0005-0000-0000-000041360000}"/>
    <cellStyle name="Normal 2 12" xfId="13855" xr:uid="{00000000-0005-0000-0000-000042360000}"/>
    <cellStyle name="Normal 2 13" xfId="13856" xr:uid="{00000000-0005-0000-0000-000043360000}"/>
    <cellStyle name="Normal 2 2" xfId="13857" xr:uid="{00000000-0005-0000-0000-000044360000}"/>
    <cellStyle name="Normal 2 2 2" xfId="13858" xr:uid="{00000000-0005-0000-0000-000045360000}"/>
    <cellStyle name="Normal 2 2 2 2" xfId="13859" xr:uid="{00000000-0005-0000-0000-000046360000}"/>
    <cellStyle name="Normal 2 2 2 3" xfId="13860" xr:uid="{00000000-0005-0000-0000-000047360000}"/>
    <cellStyle name="Normal 2 2 3" xfId="13861" xr:uid="{00000000-0005-0000-0000-000048360000}"/>
    <cellStyle name="Normal 2 2 4" xfId="13862" xr:uid="{00000000-0005-0000-0000-000049360000}"/>
    <cellStyle name="Normal 2 2 5" xfId="13863" xr:uid="{00000000-0005-0000-0000-00004A360000}"/>
    <cellStyle name="Normal 2 2 6" xfId="13864" xr:uid="{00000000-0005-0000-0000-00004B360000}"/>
    <cellStyle name="Normal 2 2 7" xfId="13865" xr:uid="{00000000-0005-0000-0000-00004C360000}"/>
    <cellStyle name="Normal 2 2 8" xfId="13866" xr:uid="{00000000-0005-0000-0000-00004D360000}"/>
    <cellStyle name="Normal 2 3" xfId="13867" xr:uid="{00000000-0005-0000-0000-00004E360000}"/>
    <cellStyle name="Normal 2 3 2" xfId="13868" xr:uid="{00000000-0005-0000-0000-00004F360000}"/>
    <cellStyle name="Normal 2 3 2 2" xfId="13869" xr:uid="{00000000-0005-0000-0000-000050360000}"/>
    <cellStyle name="Normal 2 3 3" xfId="13870" xr:uid="{00000000-0005-0000-0000-000051360000}"/>
    <cellStyle name="Normal 2 3 3 2" xfId="13871" xr:uid="{00000000-0005-0000-0000-000052360000}"/>
    <cellStyle name="Normal 2 3 4" xfId="13872" xr:uid="{00000000-0005-0000-0000-000053360000}"/>
    <cellStyle name="Normal 2 3 5" xfId="13873" xr:uid="{00000000-0005-0000-0000-000054360000}"/>
    <cellStyle name="Normal 2 4" xfId="13874" xr:uid="{00000000-0005-0000-0000-000055360000}"/>
    <cellStyle name="Normal 2 4 2" xfId="13875" xr:uid="{00000000-0005-0000-0000-000056360000}"/>
    <cellStyle name="Normal 2 5" xfId="13876" xr:uid="{00000000-0005-0000-0000-000057360000}"/>
    <cellStyle name="Normal 2 5 2" xfId="13877" xr:uid="{00000000-0005-0000-0000-000058360000}"/>
    <cellStyle name="Normal 2 5 3" xfId="13878" xr:uid="{00000000-0005-0000-0000-000059360000}"/>
    <cellStyle name="Normal 2 6" xfId="13879" xr:uid="{00000000-0005-0000-0000-00005A360000}"/>
    <cellStyle name="Normal 2 6 2" xfId="13880" xr:uid="{00000000-0005-0000-0000-00005B360000}"/>
    <cellStyle name="Normal 2 6 3" xfId="13881" xr:uid="{00000000-0005-0000-0000-00005C360000}"/>
    <cellStyle name="Normal 2 7" xfId="13882" xr:uid="{00000000-0005-0000-0000-00005D360000}"/>
    <cellStyle name="Normal 2 7 2" xfId="13883" xr:uid="{00000000-0005-0000-0000-00005E360000}"/>
    <cellStyle name="Normal 2 7 3" xfId="13884" xr:uid="{00000000-0005-0000-0000-00005F360000}"/>
    <cellStyle name="Normal 2 8" xfId="13885" xr:uid="{00000000-0005-0000-0000-000060360000}"/>
    <cellStyle name="Normal 2 8 2" xfId="13886" xr:uid="{00000000-0005-0000-0000-000061360000}"/>
    <cellStyle name="Normal 2 9" xfId="13887" xr:uid="{00000000-0005-0000-0000-000062360000}"/>
    <cellStyle name="Normal 2 9 2" xfId="13888" xr:uid="{00000000-0005-0000-0000-000063360000}"/>
    <cellStyle name="Normal 2_Armado Informe Marzo 2010" xfId="13889" xr:uid="{00000000-0005-0000-0000-000064360000}"/>
    <cellStyle name="Normal 20" xfId="13890" xr:uid="{00000000-0005-0000-0000-000065360000}"/>
    <cellStyle name="Normal 20 10" xfId="13891" xr:uid="{00000000-0005-0000-0000-000066360000}"/>
    <cellStyle name="Normal 20 11" xfId="13892" xr:uid="{00000000-0005-0000-0000-000067360000}"/>
    <cellStyle name="Normal 20 12" xfId="13893" xr:uid="{00000000-0005-0000-0000-000068360000}"/>
    <cellStyle name="Normal 20 13" xfId="13894" xr:uid="{00000000-0005-0000-0000-000069360000}"/>
    <cellStyle name="Normal 20 14" xfId="13895" xr:uid="{00000000-0005-0000-0000-00006A360000}"/>
    <cellStyle name="Normal 20 15" xfId="13896" xr:uid="{00000000-0005-0000-0000-00006B360000}"/>
    <cellStyle name="Normal 20 16" xfId="13897" xr:uid="{00000000-0005-0000-0000-00006C360000}"/>
    <cellStyle name="Normal 20 17" xfId="13898" xr:uid="{00000000-0005-0000-0000-00006D360000}"/>
    <cellStyle name="Normal 20 18" xfId="13899" xr:uid="{00000000-0005-0000-0000-00006E360000}"/>
    <cellStyle name="Normal 20 19" xfId="13900" xr:uid="{00000000-0005-0000-0000-00006F360000}"/>
    <cellStyle name="Normal 20 2" xfId="13901" xr:uid="{00000000-0005-0000-0000-000070360000}"/>
    <cellStyle name="Normal 20 3" xfId="13902" xr:uid="{00000000-0005-0000-0000-000071360000}"/>
    <cellStyle name="Normal 20 4" xfId="13903" xr:uid="{00000000-0005-0000-0000-000072360000}"/>
    <cellStyle name="Normal 20 5" xfId="13904" xr:uid="{00000000-0005-0000-0000-000073360000}"/>
    <cellStyle name="Normal 20 6" xfId="13905" xr:uid="{00000000-0005-0000-0000-000074360000}"/>
    <cellStyle name="Normal 20 7" xfId="13906" xr:uid="{00000000-0005-0000-0000-000075360000}"/>
    <cellStyle name="Normal 20 8" xfId="13907" xr:uid="{00000000-0005-0000-0000-000076360000}"/>
    <cellStyle name="Normal 20 9" xfId="13908" xr:uid="{00000000-0005-0000-0000-000077360000}"/>
    <cellStyle name="Normal 21" xfId="13909" xr:uid="{00000000-0005-0000-0000-000078360000}"/>
    <cellStyle name="Normal 21 2" xfId="13910" xr:uid="{00000000-0005-0000-0000-000079360000}"/>
    <cellStyle name="Normal 22" xfId="13911" xr:uid="{00000000-0005-0000-0000-00007A360000}"/>
    <cellStyle name="Normal 22 2" xfId="13912" xr:uid="{00000000-0005-0000-0000-00007B360000}"/>
    <cellStyle name="Normal 23" xfId="13913" xr:uid="{00000000-0005-0000-0000-00007C360000}"/>
    <cellStyle name="Normal 23 10" xfId="13914" xr:uid="{00000000-0005-0000-0000-00007D360000}"/>
    <cellStyle name="Normal 23 11" xfId="13915" xr:uid="{00000000-0005-0000-0000-00007E360000}"/>
    <cellStyle name="Normal 23 12" xfId="13916" xr:uid="{00000000-0005-0000-0000-00007F360000}"/>
    <cellStyle name="Normal 23 13" xfId="13917" xr:uid="{00000000-0005-0000-0000-000080360000}"/>
    <cellStyle name="Normal 23 14" xfId="13918" xr:uid="{00000000-0005-0000-0000-000081360000}"/>
    <cellStyle name="Normal 23 15" xfId="13919" xr:uid="{00000000-0005-0000-0000-000082360000}"/>
    <cellStyle name="Normal 23 16" xfId="13920" xr:uid="{00000000-0005-0000-0000-000083360000}"/>
    <cellStyle name="Normal 23 17" xfId="13921" xr:uid="{00000000-0005-0000-0000-000084360000}"/>
    <cellStyle name="Normal 23 18" xfId="13922" xr:uid="{00000000-0005-0000-0000-000085360000}"/>
    <cellStyle name="Normal 23 19" xfId="13923" xr:uid="{00000000-0005-0000-0000-000086360000}"/>
    <cellStyle name="Normal 23 2" xfId="13924" xr:uid="{00000000-0005-0000-0000-000087360000}"/>
    <cellStyle name="Normal 23 20" xfId="13925" xr:uid="{00000000-0005-0000-0000-000088360000}"/>
    <cellStyle name="Normal 23 21" xfId="13926" xr:uid="{00000000-0005-0000-0000-000089360000}"/>
    <cellStyle name="Normal 23 22" xfId="13927" xr:uid="{00000000-0005-0000-0000-00008A360000}"/>
    <cellStyle name="Normal 23 23" xfId="13928" xr:uid="{00000000-0005-0000-0000-00008B360000}"/>
    <cellStyle name="Normal 23 24" xfId="13929" xr:uid="{00000000-0005-0000-0000-00008C360000}"/>
    <cellStyle name="Normal 23 25" xfId="13930" xr:uid="{00000000-0005-0000-0000-00008D360000}"/>
    <cellStyle name="Normal 23 3" xfId="13931" xr:uid="{00000000-0005-0000-0000-00008E360000}"/>
    <cellStyle name="Normal 23 4" xfId="13932" xr:uid="{00000000-0005-0000-0000-00008F360000}"/>
    <cellStyle name="Normal 23 5" xfId="13933" xr:uid="{00000000-0005-0000-0000-000090360000}"/>
    <cellStyle name="Normal 23 6" xfId="13934" xr:uid="{00000000-0005-0000-0000-000091360000}"/>
    <cellStyle name="Normal 23 7" xfId="13935" xr:uid="{00000000-0005-0000-0000-000092360000}"/>
    <cellStyle name="Normal 23 8" xfId="13936" xr:uid="{00000000-0005-0000-0000-000093360000}"/>
    <cellStyle name="Normal 23 9" xfId="13937" xr:uid="{00000000-0005-0000-0000-000094360000}"/>
    <cellStyle name="Normal 24" xfId="13938" xr:uid="{00000000-0005-0000-0000-000095360000}"/>
    <cellStyle name="Normal 24 10" xfId="13939" xr:uid="{00000000-0005-0000-0000-000096360000}"/>
    <cellStyle name="Normal 24 11" xfId="13940" xr:uid="{00000000-0005-0000-0000-000097360000}"/>
    <cellStyle name="Normal 24 12" xfId="13941" xr:uid="{00000000-0005-0000-0000-000098360000}"/>
    <cellStyle name="Normal 24 13" xfId="13942" xr:uid="{00000000-0005-0000-0000-000099360000}"/>
    <cellStyle name="Normal 24 14" xfId="13943" xr:uid="{00000000-0005-0000-0000-00009A360000}"/>
    <cellStyle name="Normal 24 15" xfId="13944" xr:uid="{00000000-0005-0000-0000-00009B360000}"/>
    <cellStyle name="Normal 24 16" xfId="13945" xr:uid="{00000000-0005-0000-0000-00009C360000}"/>
    <cellStyle name="Normal 24 17" xfId="13946" xr:uid="{00000000-0005-0000-0000-00009D360000}"/>
    <cellStyle name="Normal 24 18" xfId="13947" xr:uid="{00000000-0005-0000-0000-00009E360000}"/>
    <cellStyle name="Normal 24 19" xfId="13948" xr:uid="{00000000-0005-0000-0000-00009F360000}"/>
    <cellStyle name="Normal 24 2" xfId="13949" xr:uid="{00000000-0005-0000-0000-0000A0360000}"/>
    <cellStyle name="Normal 24 3" xfId="13950" xr:uid="{00000000-0005-0000-0000-0000A1360000}"/>
    <cellStyle name="Normal 24 4" xfId="13951" xr:uid="{00000000-0005-0000-0000-0000A2360000}"/>
    <cellStyle name="Normal 24 5" xfId="13952" xr:uid="{00000000-0005-0000-0000-0000A3360000}"/>
    <cellStyle name="Normal 24 6" xfId="13953" xr:uid="{00000000-0005-0000-0000-0000A4360000}"/>
    <cellStyle name="Normal 24 7" xfId="13954" xr:uid="{00000000-0005-0000-0000-0000A5360000}"/>
    <cellStyle name="Normal 24 8" xfId="13955" xr:uid="{00000000-0005-0000-0000-0000A6360000}"/>
    <cellStyle name="Normal 24 9" xfId="13956" xr:uid="{00000000-0005-0000-0000-0000A7360000}"/>
    <cellStyle name="Normal 25" xfId="13957" xr:uid="{00000000-0005-0000-0000-0000A8360000}"/>
    <cellStyle name="Normal 25 10" xfId="13958" xr:uid="{00000000-0005-0000-0000-0000A9360000}"/>
    <cellStyle name="Normal 25 11" xfId="13959" xr:uid="{00000000-0005-0000-0000-0000AA360000}"/>
    <cellStyle name="Normal 25 12" xfId="13960" xr:uid="{00000000-0005-0000-0000-0000AB360000}"/>
    <cellStyle name="Normal 25 13" xfId="13961" xr:uid="{00000000-0005-0000-0000-0000AC360000}"/>
    <cellStyle name="Normal 25 14" xfId="13962" xr:uid="{00000000-0005-0000-0000-0000AD360000}"/>
    <cellStyle name="Normal 25 15" xfId="13963" xr:uid="{00000000-0005-0000-0000-0000AE360000}"/>
    <cellStyle name="Normal 25 16" xfId="13964" xr:uid="{00000000-0005-0000-0000-0000AF360000}"/>
    <cellStyle name="Normal 25 17" xfId="13965" xr:uid="{00000000-0005-0000-0000-0000B0360000}"/>
    <cellStyle name="Normal 25 18" xfId="13966" xr:uid="{00000000-0005-0000-0000-0000B1360000}"/>
    <cellStyle name="Normal 25 19" xfId="13967" xr:uid="{00000000-0005-0000-0000-0000B2360000}"/>
    <cellStyle name="Normal 25 2" xfId="13968" xr:uid="{00000000-0005-0000-0000-0000B3360000}"/>
    <cellStyle name="Normal 25 3" xfId="13969" xr:uid="{00000000-0005-0000-0000-0000B4360000}"/>
    <cellStyle name="Normal 25 4" xfId="13970" xr:uid="{00000000-0005-0000-0000-0000B5360000}"/>
    <cellStyle name="Normal 25 5" xfId="13971" xr:uid="{00000000-0005-0000-0000-0000B6360000}"/>
    <cellStyle name="Normal 25 6" xfId="13972" xr:uid="{00000000-0005-0000-0000-0000B7360000}"/>
    <cellStyle name="Normal 25 7" xfId="13973" xr:uid="{00000000-0005-0000-0000-0000B8360000}"/>
    <cellStyle name="Normal 25 8" xfId="13974" xr:uid="{00000000-0005-0000-0000-0000B9360000}"/>
    <cellStyle name="Normal 25 9" xfId="13975" xr:uid="{00000000-0005-0000-0000-0000BA360000}"/>
    <cellStyle name="Normal 26" xfId="13976" xr:uid="{00000000-0005-0000-0000-0000BB360000}"/>
    <cellStyle name="Normal 26 10" xfId="13977" xr:uid="{00000000-0005-0000-0000-0000BC360000}"/>
    <cellStyle name="Normal 26 11" xfId="13978" xr:uid="{00000000-0005-0000-0000-0000BD360000}"/>
    <cellStyle name="Normal 26 12" xfId="13979" xr:uid="{00000000-0005-0000-0000-0000BE360000}"/>
    <cellStyle name="Normal 26 13" xfId="13980" xr:uid="{00000000-0005-0000-0000-0000BF360000}"/>
    <cellStyle name="Normal 26 14" xfId="13981" xr:uid="{00000000-0005-0000-0000-0000C0360000}"/>
    <cellStyle name="Normal 26 15" xfId="13982" xr:uid="{00000000-0005-0000-0000-0000C1360000}"/>
    <cellStyle name="Normal 26 16" xfId="13983" xr:uid="{00000000-0005-0000-0000-0000C2360000}"/>
    <cellStyle name="Normal 26 17" xfId="13984" xr:uid="{00000000-0005-0000-0000-0000C3360000}"/>
    <cellStyle name="Normal 26 18" xfId="13985" xr:uid="{00000000-0005-0000-0000-0000C4360000}"/>
    <cellStyle name="Normal 26 19" xfId="13986" xr:uid="{00000000-0005-0000-0000-0000C5360000}"/>
    <cellStyle name="Normal 26 2" xfId="13987" xr:uid="{00000000-0005-0000-0000-0000C6360000}"/>
    <cellStyle name="Normal 26 3" xfId="13988" xr:uid="{00000000-0005-0000-0000-0000C7360000}"/>
    <cellStyle name="Normal 26 4" xfId="13989" xr:uid="{00000000-0005-0000-0000-0000C8360000}"/>
    <cellStyle name="Normal 26 5" xfId="13990" xr:uid="{00000000-0005-0000-0000-0000C9360000}"/>
    <cellStyle name="Normal 26 6" xfId="13991" xr:uid="{00000000-0005-0000-0000-0000CA360000}"/>
    <cellStyle name="Normal 26 7" xfId="13992" xr:uid="{00000000-0005-0000-0000-0000CB360000}"/>
    <cellStyle name="Normal 26 8" xfId="13993" xr:uid="{00000000-0005-0000-0000-0000CC360000}"/>
    <cellStyle name="Normal 26 9" xfId="13994" xr:uid="{00000000-0005-0000-0000-0000CD360000}"/>
    <cellStyle name="Normal 27" xfId="13995" xr:uid="{00000000-0005-0000-0000-0000CE360000}"/>
    <cellStyle name="Normal 27 10" xfId="13996" xr:uid="{00000000-0005-0000-0000-0000CF360000}"/>
    <cellStyle name="Normal 27 11" xfId="13997" xr:uid="{00000000-0005-0000-0000-0000D0360000}"/>
    <cellStyle name="Normal 27 12" xfId="13998" xr:uid="{00000000-0005-0000-0000-0000D1360000}"/>
    <cellStyle name="Normal 27 13" xfId="13999" xr:uid="{00000000-0005-0000-0000-0000D2360000}"/>
    <cellStyle name="Normal 27 14" xfId="14000" xr:uid="{00000000-0005-0000-0000-0000D3360000}"/>
    <cellStyle name="Normal 27 15" xfId="14001" xr:uid="{00000000-0005-0000-0000-0000D4360000}"/>
    <cellStyle name="Normal 27 16" xfId="14002" xr:uid="{00000000-0005-0000-0000-0000D5360000}"/>
    <cellStyle name="Normal 27 17" xfId="14003" xr:uid="{00000000-0005-0000-0000-0000D6360000}"/>
    <cellStyle name="Normal 27 18" xfId="14004" xr:uid="{00000000-0005-0000-0000-0000D7360000}"/>
    <cellStyle name="Normal 27 19" xfId="14005" xr:uid="{00000000-0005-0000-0000-0000D8360000}"/>
    <cellStyle name="Normal 27 2" xfId="14006" xr:uid="{00000000-0005-0000-0000-0000D9360000}"/>
    <cellStyle name="Normal 27 3" xfId="14007" xr:uid="{00000000-0005-0000-0000-0000DA360000}"/>
    <cellStyle name="Normal 27 4" xfId="14008" xr:uid="{00000000-0005-0000-0000-0000DB360000}"/>
    <cellStyle name="Normal 27 5" xfId="14009" xr:uid="{00000000-0005-0000-0000-0000DC360000}"/>
    <cellStyle name="Normal 27 6" xfId="14010" xr:uid="{00000000-0005-0000-0000-0000DD360000}"/>
    <cellStyle name="Normal 27 7" xfId="14011" xr:uid="{00000000-0005-0000-0000-0000DE360000}"/>
    <cellStyle name="Normal 27 8" xfId="14012" xr:uid="{00000000-0005-0000-0000-0000DF360000}"/>
    <cellStyle name="Normal 27 9" xfId="14013" xr:uid="{00000000-0005-0000-0000-0000E0360000}"/>
    <cellStyle name="Normal 28" xfId="14014" xr:uid="{00000000-0005-0000-0000-0000E1360000}"/>
    <cellStyle name="Normal 28 10" xfId="14015" xr:uid="{00000000-0005-0000-0000-0000E2360000}"/>
    <cellStyle name="Normal 28 11" xfId="14016" xr:uid="{00000000-0005-0000-0000-0000E3360000}"/>
    <cellStyle name="Normal 28 12" xfId="14017" xr:uid="{00000000-0005-0000-0000-0000E4360000}"/>
    <cellStyle name="Normal 28 13" xfId="14018" xr:uid="{00000000-0005-0000-0000-0000E5360000}"/>
    <cellStyle name="Normal 28 14" xfId="14019" xr:uid="{00000000-0005-0000-0000-0000E6360000}"/>
    <cellStyle name="Normal 28 15" xfId="14020" xr:uid="{00000000-0005-0000-0000-0000E7360000}"/>
    <cellStyle name="Normal 28 16" xfId="14021" xr:uid="{00000000-0005-0000-0000-0000E8360000}"/>
    <cellStyle name="Normal 28 17" xfId="14022" xr:uid="{00000000-0005-0000-0000-0000E9360000}"/>
    <cellStyle name="Normal 28 18" xfId="14023" xr:uid="{00000000-0005-0000-0000-0000EA360000}"/>
    <cellStyle name="Normal 28 19" xfId="14024" xr:uid="{00000000-0005-0000-0000-0000EB360000}"/>
    <cellStyle name="Normal 28 2" xfId="14025" xr:uid="{00000000-0005-0000-0000-0000EC360000}"/>
    <cellStyle name="Normal 28 3" xfId="14026" xr:uid="{00000000-0005-0000-0000-0000ED360000}"/>
    <cellStyle name="Normal 28 4" xfId="14027" xr:uid="{00000000-0005-0000-0000-0000EE360000}"/>
    <cellStyle name="Normal 28 5" xfId="14028" xr:uid="{00000000-0005-0000-0000-0000EF360000}"/>
    <cellStyle name="Normal 28 6" xfId="14029" xr:uid="{00000000-0005-0000-0000-0000F0360000}"/>
    <cellStyle name="Normal 28 7" xfId="14030" xr:uid="{00000000-0005-0000-0000-0000F1360000}"/>
    <cellStyle name="Normal 28 8" xfId="14031" xr:uid="{00000000-0005-0000-0000-0000F2360000}"/>
    <cellStyle name="Normal 28 9" xfId="14032" xr:uid="{00000000-0005-0000-0000-0000F3360000}"/>
    <cellStyle name="Normal 29" xfId="14033" xr:uid="{00000000-0005-0000-0000-0000F4360000}"/>
    <cellStyle name="Normal 29 10" xfId="14034" xr:uid="{00000000-0005-0000-0000-0000F5360000}"/>
    <cellStyle name="Normal 29 11" xfId="14035" xr:uid="{00000000-0005-0000-0000-0000F6360000}"/>
    <cellStyle name="Normal 29 12" xfId="14036" xr:uid="{00000000-0005-0000-0000-0000F7360000}"/>
    <cellStyle name="Normal 29 13" xfId="14037" xr:uid="{00000000-0005-0000-0000-0000F8360000}"/>
    <cellStyle name="Normal 29 14" xfId="14038" xr:uid="{00000000-0005-0000-0000-0000F9360000}"/>
    <cellStyle name="Normal 29 15" xfId="14039" xr:uid="{00000000-0005-0000-0000-0000FA360000}"/>
    <cellStyle name="Normal 29 16" xfId="14040" xr:uid="{00000000-0005-0000-0000-0000FB360000}"/>
    <cellStyle name="Normal 29 17" xfId="14041" xr:uid="{00000000-0005-0000-0000-0000FC360000}"/>
    <cellStyle name="Normal 29 18" xfId="14042" xr:uid="{00000000-0005-0000-0000-0000FD360000}"/>
    <cellStyle name="Normal 29 19" xfId="14043" xr:uid="{00000000-0005-0000-0000-0000FE360000}"/>
    <cellStyle name="Normal 29 2" xfId="14044" xr:uid="{00000000-0005-0000-0000-0000FF360000}"/>
    <cellStyle name="Normal 29 3" xfId="14045" xr:uid="{00000000-0005-0000-0000-000000370000}"/>
    <cellStyle name="Normal 29 4" xfId="14046" xr:uid="{00000000-0005-0000-0000-000001370000}"/>
    <cellStyle name="Normal 29 5" xfId="14047" xr:uid="{00000000-0005-0000-0000-000002370000}"/>
    <cellStyle name="Normal 29 6" xfId="14048" xr:uid="{00000000-0005-0000-0000-000003370000}"/>
    <cellStyle name="Normal 29 7" xfId="14049" xr:uid="{00000000-0005-0000-0000-000004370000}"/>
    <cellStyle name="Normal 29 8" xfId="14050" xr:uid="{00000000-0005-0000-0000-000005370000}"/>
    <cellStyle name="Normal 29 9" xfId="14051" xr:uid="{00000000-0005-0000-0000-000006370000}"/>
    <cellStyle name="Normal 3" xfId="14052" xr:uid="{00000000-0005-0000-0000-000007370000}"/>
    <cellStyle name="Normal 3 10" xfId="14053" xr:uid="{00000000-0005-0000-0000-000008370000}"/>
    <cellStyle name="Normal 3 11" xfId="14054" xr:uid="{00000000-0005-0000-0000-000009370000}"/>
    <cellStyle name="Normal 3 12" xfId="14055" xr:uid="{00000000-0005-0000-0000-00000A370000}"/>
    <cellStyle name="Normal 3 13" xfId="14056" xr:uid="{00000000-0005-0000-0000-00000B370000}"/>
    <cellStyle name="Normal 3 14" xfId="14057" xr:uid="{00000000-0005-0000-0000-00000C370000}"/>
    <cellStyle name="Normal 3 15" xfId="14058" xr:uid="{00000000-0005-0000-0000-00000D370000}"/>
    <cellStyle name="Normal 3 16" xfId="14059" xr:uid="{00000000-0005-0000-0000-00000E370000}"/>
    <cellStyle name="Normal 3 17" xfId="14060" xr:uid="{00000000-0005-0000-0000-00000F370000}"/>
    <cellStyle name="Normal 3 18" xfId="14061" xr:uid="{00000000-0005-0000-0000-000010370000}"/>
    <cellStyle name="Normal 3 19" xfId="14062" xr:uid="{00000000-0005-0000-0000-000011370000}"/>
    <cellStyle name="Normal 3 2" xfId="14063" xr:uid="{00000000-0005-0000-0000-000012370000}"/>
    <cellStyle name="Normal 3 2 2" xfId="14064" xr:uid="{00000000-0005-0000-0000-000013370000}"/>
    <cellStyle name="Normal 3 2 2 2" xfId="14065" xr:uid="{00000000-0005-0000-0000-000014370000}"/>
    <cellStyle name="Normal 3 2 2 2 2" xfId="14066" xr:uid="{00000000-0005-0000-0000-000015370000}"/>
    <cellStyle name="Normal 3 2 3" xfId="14067" xr:uid="{00000000-0005-0000-0000-000016370000}"/>
    <cellStyle name="Normal 3 2 4" xfId="14068" xr:uid="{00000000-0005-0000-0000-000017370000}"/>
    <cellStyle name="Normal 3 2 5" xfId="14069" xr:uid="{00000000-0005-0000-0000-000018370000}"/>
    <cellStyle name="Normal 3 20" xfId="14070" xr:uid="{00000000-0005-0000-0000-000019370000}"/>
    <cellStyle name="Normal 3 21" xfId="14071" xr:uid="{00000000-0005-0000-0000-00001A370000}"/>
    <cellStyle name="Normal 3 22" xfId="14072" xr:uid="{00000000-0005-0000-0000-00001B370000}"/>
    <cellStyle name="Normal 3 23" xfId="14073" xr:uid="{00000000-0005-0000-0000-00001C370000}"/>
    <cellStyle name="Normal 3 24" xfId="14074" xr:uid="{00000000-0005-0000-0000-00001D370000}"/>
    <cellStyle name="Normal 3 25" xfId="14075" xr:uid="{00000000-0005-0000-0000-00001E370000}"/>
    <cellStyle name="Normal 3 26" xfId="14076" xr:uid="{00000000-0005-0000-0000-00001F370000}"/>
    <cellStyle name="Normal 3 27" xfId="14077" xr:uid="{00000000-0005-0000-0000-000020370000}"/>
    <cellStyle name="Normal 3 3" xfId="14078" xr:uid="{00000000-0005-0000-0000-000021370000}"/>
    <cellStyle name="Normal 3 3 2" xfId="14079" xr:uid="{00000000-0005-0000-0000-000022370000}"/>
    <cellStyle name="Normal 3 3 3" xfId="14080" xr:uid="{00000000-0005-0000-0000-000023370000}"/>
    <cellStyle name="Normal 3 4" xfId="14081" xr:uid="{00000000-0005-0000-0000-000024370000}"/>
    <cellStyle name="Normal 3 4 2" xfId="14082" xr:uid="{00000000-0005-0000-0000-000025370000}"/>
    <cellStyle name="Normal 3 4 3" xfId="14083" xr:uid="{00000000-0005-0000-0000-000026370000}"/>
    <cellStyle name="Normal 3 5" xfId="14084" xr:uid="{00000000-0005-0000-0000-000027370000}"/>
    <cellStyle name="Normal 3 5 2" xfId="14085" xr:uid="{00000000-0005-0000-0000-000028370000}"/>
    <cellStyle name="Normal 3 5 3" xfId="14086" xr:uid="{00000000-0005-0000-0000-000029370000}"/>
    <cellStyle name="Normal 3 6" xfId="14087" xr:uid="{00000000-0005-0000-0000-00002A370000}"/>
    <cellStyle name="Normal 3 6 2" xfId="14088" xr:uid="{00000000-0005-0000-0000-00002B370000}"/>
    <cellStyle name="Normal 3 6 3" xfId="14089" xr:uid="{00000000-0005-0000-0000-00002C370000}"/>
    <cellStyle name="Normal 3 7" xfId="14090" xr:uid="{00000000-0005-0000-0000-00002D370000}"/>
    <cellStyle name="Normal 3 7 2" xfId="14091" xr:uid="{00000000-0005-0000-0000-00002E370000}"/>
    <cellStyle name="Normal 3 7 3" xfId="14092" xr:uid="{00000000-0005-0000-0000-00002F370000}"/>
    <cellStyle name="Normal 3 8" xfId="14093" xr:uid="{00000000-0005-0000-0000-000030370000}"/>
    <cellStyle name="Normal 3 8 2" xfId="14094" xr:uid="{00000000-0005-0000-0000-000031370000}"/>
    <cellStyle name="Normal 3 8 3" xfId="14095" xr:uid="{00000000-0005-0000-0000-000032370000}"/>
    <cellStyle name="Normal 3 9" xfId="14096" xr:uid="{00000000-0005-0000-0000-000033370000}"/>
    <cellStyle name="Normal 3 9 2" xfId="14097" xr:uid="{00000000-0005-0000-0000-000034370000}"/>
    <cellStyle name="Normal 3 9 3" xfId="14098" xr:uid="{00000000-0005-0000-0000-000035370000}"/>
    <cellStyle name="Normal 30" xfId="14099" xr:uid="{00000000-0005-0000-0000-000036370000}"/>
    <cellStyle name="Normal 30 10" xfId="14100" xr:uid="{00000000-0005-0000-0000-000037370000}"/>
    <cellStyle name="Normal 30 11" xfId="14101" xr:uid="{00000000-0005-0000-0000-000038370000}"/>
    <cellStyle name="Normal 30 12" xfId="14102" xr:uid="{00000000-0005-0000-0000-000039370000}"/>
    <cellStyle name="Normal 30 13" xfId="14103" xr:uid="{00000000-0005-0000-0000-00003A370000}"/>
    <cellStyle name="Normal 30 14" xfId="14104" xr:uid="{00000000-0005-0000-0000-00003B370000}"/>
    <cellStyle name="Normal 30 15" xfId="14105" xr:uid="{00000000-0005-0000-0000-00003C370000}"/>
    <cellStyle name="Normal 30 16" xfId="14106" xr:uid="{00000000-0005-0000-0000-00003D370000}"/>
    <cellStyle name="Normal 30 17" xfId="14107" xr:uid="{00000000-0005-0000-0000-00003E370000}"/>
    <cellStyle name="Normal 30 18" xfId="14108" xr:uid="{00000000-0005-0000-0000-00003F370000}"/>
    <cellStyle name="Normal 30 19" xfId="14109" xr:uid="{00000000-0005-0000-0000-000040370000}"/>
    <cellStyle name="Normal 30 2" xfId="14110" xr:uid="{00000000-0005-0000-0000-000041370000}"/>
    <cellStyle name="Normal 30 3" xfId="14111" xr:uid="{00000000-0005-0000-0000-000042370000}"/>
    <cellStyle name="Normal 30 4" xfId="14112" xr:uid="{00000000-0005-0000-0000-000043370000}"/>
    <cellStyle name="Normal 30 5" xfId="14113" xr:uid="{00000000-0005-0000-0000-000044370000}"/>
    <cellStyle name="Normal 30 6" xfId="14114" xr:uid="{00000000-0005-0000-0000-000045370000}"/>
    <cellStyle name="Normal 30 7" xfId="14115" xr:uid="{00000000-0005-0000-0000-000046370000}"/>
    <cellStyle name="Normal 30 8" xfId="14116" xr:uid="{00000000-0005-0000-0000-000047370000}"/>
    <cellStyle name="Normal 30 9" xfId="14117" xr:uid="{00000000-0005-0000-0000-000048370000}"/>
    <cellStyle name="Normal 31" xfId="14118" xr:uid="{00000000-0005-0000-0000-000049370000}"/>
    <cellStyle name="Normal 31 2" xfId="14119" xr:uid="{00000000-0005-0000-0000-00004A370000}"/>
    <cellStyle name="Normal 32" xfId="14120" xr:uid="{00000000-0005-0000-0000-00004B370000}"/>
    <cellStyle name="Normal 32 2" xfId="14121" xr:uid="{00000000-0005-0000-0000-00004C370000}"/>
    <cellStyle name="Normal 33" xfId="14122" xr:uid="{00000000-0005-0000-0000-00004D370000}"/>
    <cellStyle name="Normal 34" xfId="14123" xr:uid="{00000000-0005-0000-0000-00004E370000}"/>
    <cellStyle name="Normal 34 10" xfId="14124" xr:uid="{00000000-0005-0000-0000-00004F370000}"/>
    <cellStyle name="Normal 34 11" xfId="14125" xr:uid="{00000000-0005-0000-0000-000050370000}"/>
    <cellStyle name="Normal 34 12" xfId="14126" xr:uid="{00000000-0005-0000-0000-000051370000}"/>
    <cellStyle name="Normal 34 13" xfId="14127" xr:uid="{00000000-0005-0000-0000-000052370000}"/>
    <cellStyle name="Normal 34 14" xfId="14128" xr:uid="{00000000-0005-0000-0000-000053370000}"/>
    <cellStyle name="Normal 34 15" xfId="14129" xr:uid="{00000000-0005-0000-0000-000054370000}"/>
    <cellStyle name="Normal 34 16" xfId="14130" xr:uid="{00000000-0005-0000-0000-000055370000}"/>
    <cellStyle name="Normal 34 17" xfId="14131" xr:uid="{00000000-0005-0000-0000-000056370000}"/>
    <cellStyle name="Normal 34 18" xfId="14132" xr:uid="{00000000-0005-0000-0000-000057370000}"/>
    <cellStyle name="Normal 34 19" xfId="14133" xr:uid="{00000000-0005-0000-0000-000058370000}"/>
    <cellStyle name="Normal 34 2" xfId="14134" xr:uid="{00000000-0005-0000-0000-000059370000}"/>
    <cellStyle name="Normal 34 3" xfId="14135" xr:uid="{00000000-0005-0000-0000-00005A370000}"/>
    <cellStyle name="Normal 34 4" xfId="14136" xr:uid="{00000000-0005-0000-0000-00005B370000}"/>
    <cellStyle name="Normal 34 5" xfId="14137" xr:uid="{00000000-0005-0000-0000-00005C370000}"/>
    <cellStyle name="Normal 34 6" xfId="14138" xr:uid="{00000000-0005-0000-0000-00005D370000}"/>
    <cellStyle name="Normal 34 7" xfId="14139" xr:uid="{00000000-0005-0000-0000-00005E370000}"/>
    <cellStyle name="Normal 34 8" xfId="14140" xr:uid="{00000000-0005-0000-0000-00005F370000}"/>
    <cellStyle name="Normal 34 9" xfId="14141" xr:uid="{00000000-0005-0000-0000-000060370000}"/>
    <cellStyle name="Normal 35" xfId="14142" xr:uid="{00000000-0005-0000-0000-000061370000}"/>
    <cellStyle name="Normal 36" xfId="14143" xr:uid="{00000000-0005-0000-0000-000062370000}"/>
    <cellStyle name="Normal 37" xfId="14144" xr:uid="{00000000-0005-0000-0000-000063370000}"/>
    <cellStyle name="Normal 38" xfId="14145" xr:uid="{00000000-0005-0000-0000-000064370000}"/>
    <cellStyle name="Normal 39" xfId="14146" xr:uid="{00000000-0005-0000-0000-000065370000}"/>
    <cellStyle name="Normal 4" xfId="14147" xr:uid="{00000000-0005-0000-0000-000066370000}"/>
    <cellStyle name="Normal 4 10" xfId="14148" xr:uid="{00000000-0005-0000-0000-000067370000}"/>
    <cellStyle name="Normal 4 11" xfId="14149" xr:uid="{00000000-0005-0000-0000-000068370000}"/>
    <cellStyle name="Normal 4 12" xfId="14150" xr:uid="{00000000-0005-0000-0000-000069370000}"/>
    <cellStyle name="Normal 4 13" xfId="14151" xr:uid="{00000000-0005-0000-0000-00006A370000}"/>
    <cellStyle name="Normal 4 14" xfId="14152" xr:uid="{00000000-0005-0000-0000-00006B370000}"/>
    <cellStyle name="Normal 4 15" xfId="14153" xr:uid="{00000000-0005-0000-0000-00006C370000}"/>
    <cellStyle name="Normal 4 16" xfId="14154" xr:uid="{00000000-0005-0000-0000-00006D370000}"/>
    <cellStyle name="Normal 4 17" xfId="14155" xr:uid="{00000000-0005-0000-0000-00006E370000}"/>
    <cellStyle name="Normal 4 18" xfId="14156" xr:uid="{00000000-0005-0000-0000-00006F370000}"/>
    <cellStyle name="Normal 4 19" xfId="14157" xr:uid="{00000000-0005-0000-0000-000070370000}"/>
    <cellStyle name="Normal 4 2" xfId="14158" xr:uid="{00000000-0005-0000-0000-000071370000}"/>
    <cellStyle name="Normal 4 2 2" xfId="14159" xr:uid="{00000000-0005-0000-0000-000072370000}"/>
    <cellStyle name="Normal 4 2 2 2" xfId="14160" xr:uid="{00000000-0005-0000-0000-000073370000}"/>
    <cellStyle name="Normal 4 2 2 2 2" xfId="14161" xr:uid="{00000000-0005-0000-0000-000074370000}"/>
    <cellStyle name="Normal 4 2 3" xfId="14162" xr:uid="{00000000-0005-0000-0000-000075370000}"/>
    <cellStyle name="Normal 4 2 4" xfId="14163" xr:uid="{00000000-0005-0000-0000-000076370000}"/>
    <cellStyle name="Normal 4 2 5" xfId="14164" xr:uid="{00000000-0005-0000-0000-000077370000}"/>
    <cellStyle name="Normal 4 2 6" xfId="14165" xr:uid="{00000000-0005-0000-0000-000078370000}"/>
    <cellStyle name="Normal 4 2 7" xfId="14166" xr:uid="{00000000-0005-0000-0000-000079370000}"/>
    <cellStyle name="Normal 4 2 8" xfId="14167" xr:uid="{00000000-0005-0000-0000-00007A370000}"/>
    <cellStyle name="Normal 4 2 9" xfId="14168" xr:uid="{00000000-0005-0000-0000-00007B370000}"/>
    <cellStyle name="Normal 4 20" xfId="14169" xr:uid="{00000000-0005-0000-0000-00007C370000}"/>
    <cellStyle name="Normal 4 21" xfId="14170" xr:uid="{00000000-0005-0000-0000-00007D370000}"/>
    <cellStyle name="Normal 4 22" xfId="14171" xr:uid="{00000000-0005-0000-0000-00007E370000}"/>
    <cellStyle name="Normal 4 23" xfId="14172" xr:uid="{00000000-0005-0000-0000-00007F370000}"/>
    <cellStyle name="Normal 4 24" xfId="14173" xr:uid="{00000000-0005-0000-0000-000080370000}"/>
    <cellStyle name="Normal 4 25" xfId="14174" xr:uid="{00000000-0005-0000-0000-000081370000}"/>
    <cellStyle name="Normal 4 3" xfId="14175" xr:uid="{00000000-0005-0000-0000-000082370000}"/>
    <cellStyle name="Normal 4 3 2" xfId="14176" xr:uid="{00000000-0005-0000-0000-000083370000}"/>
    <cellStyle name="Normal 4 3 3" xfId="14177" xr:uid="{00000000-0005-0000-0000-000084370000}"/>
    <cellStyle name="Normal 4 4" xfId="14178" xr:uid="{00000000-0005-0000-0000-000085370000}"/>
    <cellStyle name="Normal 4 4 2" xfId="14179" xr:uid="{00000000-0005-0000-0000-000086370000}"/>
    <cellStyle name="Normal 4 4 3" xfId="14180" xr:uid="{00000000-0005-0000-0000-000087370000}"/>
    <cellStyle name="Normal 4 5" xfId="14181" xr:uid="{00000000-0005-0000-0000-000088370000}"/>
    <cellStyle name="Normal 4 5 2" xfId="14182" xr:uid="{00000000-0005-0000-0000-000089370000}"/>
    <cellStyle name="Normal 4 5 3" xfId="14183" xr:uid="{00000000-0005-0000-0000-00008A370000}"/>
    <cellStyle name="Normal 4 6" xfId="14184" xr:uid="{00000000-0005-0000-0000-00008B370000}"/>
    <cellStyle name="Normal 4 6 2" xfId="14185" xr:uid="{00000000-0005-0000-0000-00008C370000}"/>
    <cellStyle name="Normal 4 6 3" xfId="14186" xr:uid="{00000000-0005-0000-0000-00008D370000}"/>
    <cellStyle name="Normal 4 7" xfId="14187" xr:uid="{00000000-0005-0000-0000-00008E370000}"/>
    <cellStyle name="Normal 4 7 2" xfId="14188" xr:uid="{00000000-0005-0000-0000-00008F370000}"/>
    <cellStyle name="Normal 4 7 3" xfId="14189" xr:uid="{00000000-0005-0000-0000-000090370000}"/>
    <cellStyle name="Normal 4 8" xfId="14190" xr:uid="{00000000-0005-0000-0000-000091370000}"/>
    <cellStyle name="Normal 4 8 2" xfId="14191" xr:uid="{00000000-0005-0000-0000-000092370000}"/>
    <cellStyle name="Normal 4 8 3" xfId="14192" xr:uid="{00000000-0005-0000-0000-000093370000}"/>
    <cellStyle name="Normal 4 9" xfId="14193" xr:uid="{00000000-0005-0000-0000-000094370000}"/>
    <cellStyle name="Normal 4 9 2" xfId="14194" xr:uid="{00000000-0005-0000-0000-000095370000}"/>
    <cellStyle name="Normal 4 9 3" xfId="14195" xr:uid="{00000000-0005-0000-0000-000096370000}"/>
    <cellStyle name="Normal 4_Fapasa - Apoyo a Audit. - IRACIS 12-2008" xfId="14196" xr:uid="{00000000-0005-0000-0000-000097370000}"/>
    <cellStyle name="Normal 40" xfId="14197" xr:uid="{00000000-0005-0000-0000-000098370000}"/>
    <cellStyle name="Normal 41" xfId="14198" xr:uid="{00000000-0005-0000-0000-000099370000}"/>
    <cellStyle name="Normal 41 2" xfId="14199" xr:uid="{00000000-0005-0000-0000-00009A370000}"/>
    <cellStyle name="Normal 42" xfId="14200" xr:uid="{00000000-0005-0000-0000-00009B370000}"/>
    <cellStyle name="Normal 43" xfId="14201" xr:uid="{00000000-0005-0000-0000-00009C370000}"/>
    <cellStyle name="Normal 44" xfId="14202" xr:uid="{00000000-0005-0000-0000-00009D370000}"/>
    <cellStyle name="Normal 45" xfId="14203" xr:uid="{00000000-0005-0000-0000-00009E370000}"/>
    <cellStyle name="Normal 46" xfId="14204" xr:uid="{00000000-0005-0000-0000-00009F370000}"/>
    <cellStyle name="Normal 47" xfId="14205" xr:uid="{00000000-0005-0000-0000-0000A0370000}"/>
    <cellStyle name="Normal 48" xfId="14206" xr:uid="{00000000-0005-0000-0000-0000A1370000}"/>
    <cellStyle name="Normal 49" xfId="14207" xr:uid="{00000000-0005-0000-0000-0000A2370000}"/>
    <cellStyle name="Normal 5" xfId="14208" xr:uid="{00000000-0005-0000-0000-0000A3370000}"/>
    <cellStyle name="Normal 5 10" xfId="14209" xr:uid="{00000000-0005-0000-0000-0000A4370000}"/>
    <cellStyle name="Normal 5 11" xfId="14210" xr:uid="{00000000-0005-0000-0000-0000A5370000}"/>
    <cellStyle name="Normal 5 12" xfId="14211" xr:uid="{00000000-0005-0000-0000-0000A6370000}"/>
    <cellStyle name="Normal 5 13" xfId="14212" xr:uid="{00000000-0005-0000-0000-0000A7370000}"/>
    <cellStyle name="Normal 5 14" xfId="14213" xr:uid="{00000000-0005-0000-0000-0000A8370000}"/>
    <cellStyle name="Normal 5 15" xfId="14214" xr:uid="{00000000-0005-0000-0000-0000A9370000}"/>
    <cellStyle name="Normal 5 16" xfId="14215" xr:uid="{00000000-0005-0000-0000-0000AA370000}"/>
    <cellStyle name="Normal 5 17" xfId="14216" xr:uid="{00000000-0005-0000-0000-0000AB370000}"/>
    <cellStyle name="Normal 5 18" xfId="14217" xr:uid="{00000000-0005-0000-0000-0000AC370000}"/>
    <cellStyle name="Normal 5 19" xfId="14218" xr:uid="{00000000-0005-0000-0000-0000AD370000}"/>
    <cellStyle name="Normal 5 2" xfId="14219" xr:uid="{00000000-0005-0000-0000-0000AE370000}"/>
    <cellStyle name="Normal 5 2 2" xfId="14220" xr:uid="{00000000-0005-0000-0000-0000AF370000}"/>
    <cellStyle name="Normal 5 2 2 2" xfId="14221" xr:uid="{00000000-0005-0000-0000-0000B0370000}"/>
    <cellStyle name="Normal 5 2 2 2 2" xfId="14222" xr:uid="{00000000-0005-0000-0000-0000B1370000}"/>
    <cellStyle name="Normal 5 2 3" xfId="14223" xr:uid="{00000000-0005-0000-0000-0000B2370000}"/>
    <cellStyle name="Normal 5 20" xfId="14224" xr:uid="{00000000-0005-0000-0000-0000B3370000}"/>
    <cellStyle name="Normal 5 21" xfId="14225" xr:uid="{00000000-0005-0000-0000-0000B4370000}"/>
    <cellStyle name="Normal 5 22" xfId="14226" xr:uid="{00000000-0005-0000-0000-0000B5370000}"/>
    <cellStyle name="Normal 5 23" xfId="14227" xr:uid="{00000000-0005-0000-0000-0000B6370000}"/>
    <cellStyle name="Normal 5 24" xfId="14228" xr:uid="{00000000-0005-0000-0000-0000B7370000}"/>
    <cellStyle name="Normal 5 25" xfId="14229" xr:uid="{00000000-0005-0000-0000-0000B8370000}"/>
    <cellStyle name="Normal 5 26" xfId="14230" xr:uid="{00000000-0005-0000-0000-0000B9370000}"/>
    <cellStyle name="Normal 5 3" xfId="14231" xr:uid="{00000000-0005-0000-0000-0000BA370000}"/>
    <cellStyle name="Normal 5 3 2" xfId="14232" xr:uid="{00000000-0005-0000-0000-0000BB370000}"/>
    <cellStyle name="Normal 5 3 2 2" xfId="14233" xr:uid="{00000000-0005-0000-0000-0000BC370000}"/>
    <cellStyle name="Normal 5 3 2 2 2" xfId="14234" xr:uid="{00000000-0005-0000-0000-0000BD370000}"/>
    <cellStyle name="Normal 5 3 3" xfId="14235" xr:uid="{00000000-0005-0000-0000-0000BE370000}"/>
    <cellStyle name="Normal 5 4" xfId="14236" xr:uid="{00000000-0005-0000-0000-0000BF370000}"/>
    <cellStyle name="Normal 5 4 2" xfId="14237" xr:uid="{00000000-0005-0000-0000-0000C0370000}"/>
    <cellStyle name="Normal 5 4 3" xfId="14238" xr:uid="{00000000-0005-0000-0000-0000C1370000}"/>
    <cellStyle name="Normal 5 5" xfId="14239" xr:uid="{00000000-0005-0000-0000-0000C2370000}"/>
    <cellStyle name="Normal 5 5 2" xfId="14240" xr:uid="{00000000-0005-0000-0000-0000C3370000}"/>
    <cellStyle name="Normal 5 5 3" xfId="14241" xr:uid="{00000000-0005-0000-0000-0000C4370000}"/>
    <cellStyle name="Normal 5 6" xfId="14242" xr:uid="{00000000-0005-0000-0000-0000C5370000}"/>
    <cellStyle name="Normal 5 6 2" xfId="14243" xr:uid="{00000000-0005-0000-0000-0000C6370000}"/>
    <cellStyle name="Normal 5 6 3" xfId="14244" xr:uid="{00000000-0005-0000-0000-0000C7370000}"/>
    <cellStyle name="Normal 5 7" xfId="14245" xr:uid="{00000000-0005-0000-0000-0000C8370000}"/>
    <cellStyle name="Normal 5 7 2" xfId="14246" xr:uid="{00000000-0005-0000-0000-0000C9370000}"/>
    <cellStyle name="Normal 5 7 3" xfId="14247" xr:uid="{00000000-0005-0000-0000-0000CA370000}"/>
    <cellStyle name="Normal 5 8" xfId="14248" xr:uid="{00000000-0005-0000-0000-0000CB370000}"/>
    <cellStyle name="Normal 5 8 2" xfId="14249" xr:uid="{00000000-0005-0000-0000-0000CC370000}"/>
    <cellStyle name="Normal 5 8 3" xfId="14250" xr:uid="{00000000-0005-0000-0000-0000CD370000}"/>
    <cellStyle name="Normal 5 9" xfId="14251" xr:uid="{00000000-0005-0000-0000-0000CE370000}"/>
    <cellStyle name="Normal 5 9 2" xfId="14252" xr:uid="{00000000-0005-0000-0000-0000CF370000}"/>
    <cellStyle name="Normal 5 9 3" xfId="14253" xr:uid="{00000000-0005-0000-0000-0000D0370000}"/>
    <cellStyle name="Normal 5_Fapasa - Apoyo a Audit. - IRACIS 12-2008" xfId="14254" xr:uid="{00000000-0005-0000-0000-0000D1370000}"/>
    <cellStyle name="Normal 50" xfId="14255" xr:uid="{00000000-0005-0000-0000-0000D2370000}"/>
    <cellStyle name="Normal 51" xfId="14256" xr:uid="{00000000-0005-0000-0000-0000D3370000}"/>
    <cellStyle name="Normal 52" xfId="14257" xr:uid="{00000000-0005-0000-0000-0000D4370000}"/>
    <cellStyle name="Normal 53" xfId="14258" xr:uid="{00000000-0005-0000-0000-0000D5370000}"/>
    <cellStyle name="Normal 54" xfId="14259" xr:uid="{00000000-0005-0000-0000-0000D6370000}"/>
    <cellStyle name="Normal 55" xfId="14260" xr:uid="{00000000-0005-0000-0000-0000D7370000}"/>
    <cellStyle name="Normal 56" xfId="14261" xr:uid="{00000000-0005-0000-0000-0000D8370000}"/>
    <cellStyle name="Normal 57" xfId="14262" xr:uid="{00000000-0005-0000-0000-0000D9370000}"/>
    <cellStyle name="Normal 58" xfId="14263" xr:uid="{00000000-0005-0000-0000-0000DA370000}"/>
    <cellStyle name="Normal 59" xfId="14264" xr:uid="{00000000-0005-0000-0000-0000DB370000}"/>
    <cellStyle name="Normal 6" xfId="14265" xr:uid="{00000000-0005-0000-0000-0000DC370000}"/>
    <cellStyle name="Normal 6 10" xfId="14266" xr:uid="{00000000-0005-0000-0000-0000DD370000}"/>
    <cellStyle name="Normal 6 11" xfId="14267" xr:uid="{00000000-0005-0000-0000-0000DE370000}"/>
    <cellStyle name="Normal 6 12" xfId="14268" xr:uid="{00000000-0005-0000-0000-0000DF370000}"/>
    <cellStyle name="Normal 6 13" xfId="14269" xr:uid="{00000000-0005-0000-0000-0000E0370000}"/>
    <cellStyle name="Normal 6 14" xfId="14270" xr:uid="{00000000-0005-0000-0000-0000E1370000}"/>
    <cellStyle name="Normal 6 15" xfId="14271" xr:uid="{00000000-0005-0000-0000-0000E2370000}"/>
    <cellStyle name="Normal 6 16" xfId="14272" xr:uid="{00000000-0005-0000-0000-0000E3370000}"/>
    <cellStyle name="Normal 6 17" xfId="14273" xr:uid="{00000000-0005-0000-0000-0000E4370000}"/>
    <cellStyle name="Normal 6 18" xfId="14274" xr:uid="{00000000-0005-0000-0000-0000E5370000}"/>
    <cellStyle name="Normal 6 19" xfId="14275" xr:uid="{00000000-0005-0000-0000-0000E6370000}"/>
    <cellStyle name="Normal 6 2" xfId="14276" xr:uid="{00000000-0005-0000-0000-0000E7370000}"/>
    <cellStyle name="Normal 6 2 2" xfId="14277" xr:uid="{00000000-0005-0000-0000-0000E8370000}"/>
    <cellStyle name="Normal 6 2 3" xfId="14278" xr:uid="{00000000-0005-0000-0000-0000E9370000}"/>
    <cellStyle name="Normal 6 2 4" xfId="14279" xr:uid="{00000000-0005-0000-0000-0000EA370000}"/>
    <cellStyle name="Normal 6 20" xfId="14280" xr:uid="{00000000-0005-0000-0000-0000EB370000}"/>
    <cellStyle name="Normal 6 21" xfId="14281" xr:uid="{00000000-0005-0000-0000-0000EC370000}"/>
    <cellStyle name="Normal 6 22" xfId="14282" xr:uid="{00000000-0005-0000-0000-0000ED370000}"/>
    <cellStyle name="Normal 6 23" xfId="14283" xr:uid="{00000000-0005-0000-0000-0000EE370000}"/>
    <cellStyle name="Normal 6 24" xfId="14284" xr:uid="{00000000-0005-0000-0000-0000EF370000}"/>
    <cellStyle name="Normal 6 25" xfId="14285" xr:uid="{00000000-0005-0000-0000-0000F0370000}"/>
    <cellStyle name="Normal 6 26" xfId="14286" xr:uid="{00000000-0005-0000-0000-0000F1370000}"/>
    <cellStyle name="Normal 6 27" xfId="14287" xr:uid="{00000000-0005-0000-0000-0000F2370000}"/>
    <cellStyle name="Normal 6 3" xfId="14288" xr:uid="{00000000-0005-0000-0000-0000F3370000}"/>
    <cellStyle name="Normal 6 3 2" xfId="14289" xr:uid="{00000000-0005-0000-0000-0000F4370000}"/>
    <cellStyle name="Normal 6 3 3" xfId="14290" xr:uid="{00000000-0005-0000-0000-0000F5370000}"/>
    <cellStyle name="Normal 6 3 4" xfId="14291" xr:uid="{00000000-0005-0000-0000-0000F6370000}"/>
    <cellStyle name="Normal 6 4" xfId="14292" xr:uid="{00000000-0005-0000-0000-0000F7370000}"/>
    <cellStyle name="Normal 6 4 2" xfId="14293" xr:uid="{00000000-0005-0000-0000-0000F8370000}"/>
    <cellStyle name="Normal 6 4 3" xfId="14294" xr:uid="{00000000-0005-0000-0000-0000F9370000}"/>
    <cellStyle name="Normal 6 5" xfId="14295" xr:uid="{00000000-0005-0000-0000-0000FA370000}"/>
    <cellStyle name="Normal 6 5 2" xfId="14296" xr:uid="{00000000-0005-0000-0000-0000FB370000}"/>
    <cellStyle name="Normal 6 5 3" xfId="14297" xr:uid="{00000000-0005-0000-0000-0000FC370000}"/>
    <cellStyle name="Normal 6 6" xfId="14298" xr:uid="{00000000-0005-0000-0000-0000FD370000}"/>
    <cellStyle name="Normal 6 6 2" xfId="14299" xr:uid="{00000000-0005-0000-0000-0000FE370000}"/>
    <cellStyle name="Normal 6 6 3" xfId="14300" xr:uid="{00000000-0005-0000-0000-0000FF370000}"/>
    <cellStyle name="Normal 6 7" xfId="14301" xr:uid="{00000000-0005-0000-0000-000000380000}"/>
    <cellStyle name="Normal 6 7 2" xfId="14302" xr:uid="{00000000-0005-0000-0000-000001380000}"/>
    <cellStyle name="Normal 6 7 3" xfId="14303" xr:uid="{00000000-0005-0000-0000-000002380000}"/>
    <cellStyle name="Normal 6 8" xfId="14304" xr:uid="{00000000-0005-0000-0000-000003380000}"/>
    <cellStyle name="Normal 6 8 2" xfId="14305" xr:uid="{00000000-0005-0000-0000-000004380000}"/>
    <cellStyle name="Normal 6 8 3" xfId="14306" xr:uid="{00000000-0005-0000-0000-000005380000}"/>
    <cellStyle name="Normal 6 9" xfId="14307" xr:uid="{00000000-0005-0000-0000-000006380000}"/>
    <cellStyle name="Normal 6 9 2" xfId="14308" xr:uid="{00000000-0005-0000-0000-000007380000}"/>
    <cellStyle name="Normal 6 9 3" xfId="14309" xr:uid="{00000000-0005-0000-0000-000008380000}"/>
    <cellStyle name="Normal 60" xfId="14310" xr:uid="{00000000-0005-0000-0000-000009380000}"/>
    <cellStyle name="Normal 61" xfId="14311" xr:uid="{00000000-0005-0000-0000-00000A380000}"/>
    <cellStyle name="Normal 62" xfId="14312" xr:uid="{00000000-0005-0000-0000-00000B380000}"/>
    <cellStyle name="Normal 63" xfId="14313" xr:uid="{00000000-0005-0000-0000-00000C380000}"/>
    <cellStyle name="Normal 64" xfId="14314" xr:uid="{00000000-0005-0000-0000-00000D380000}"/>
    <cellStyle name="Normal 65" xfId="14315" xr:uid="{00000000-0005-0000-0000-00000E380000}"/>
    <cellStyle name="Normal 66" xfId="14316" xr:uid="{00000000-0005-0000-0000-00000F380000}"/>
    <cellStyle name="Normal 67" xfId="14317" xr:uid="{00000000-0005-0000-0000-000010380000}"/>
    <cellStyle name="Normal 68" xfId="14318" xr:uid="{00000000-0005-0000-0000-000011380000}"/>
    <cellStyle name="Normal 69" xfId="14319" xr:uid="{00000000-0005-0000-0000-000012380000}"/>
    <cellStyle name="Normal 7" xfId="14320" xr:uid="{00000000-0005-0000-0000-000013380000}"/>
    <cellStyle name="Normal 7 10" xfId="14321" xr:uid="{00000000-0005-0000-0000-000014380000}"/>
    <cellStyle name="Normal 7 11" xfId="14322" xr:uid="{00000000-0005-0000-0000-000015380000}"/>
    <cellStyle name="Normal 7 12" xfId="14323" xr:uid="{00000000-0005-0000-0000-000016380000}"/>
    <cellStyle name="Normal 7 13" xfId="14324" xr:uid="{00000000-0005-0000-0000-000017380000}"/>
    <cellStyle name="Normal 7 14" xfId="14325" xr:uid="{00000000-0005-0000-0000-000018380000}"/>
    <cellStyle name="Normal 7 15" xfId="14326" xr:uid="{00000000-0005-0000-0000-000019380000}"/>
    <cellStyle name="Normal 7 16" xfId="14327" xr:uid="{00000000-0005-0000-0000-00001A380000}"/>
    <cellStyle name="Normal 7 17" xfId="14328" xr:uid="{00000000-0005-0000-0000-00001B380000}"/>
    <cellStyle name="Normal 7 18" xfId="14329" xr:uid="{00000000-0005-0000-0000-00001C380000}"/>
    <cellStyle name="Normal 7 19" xfId="14330" xr:uid="{00000000-0005-0000-0000-00001D380000}"/>
    <cellStyle name="Normal 7 2" xfId="14331" xr:uid="{00000000-0005-0000-0000-00001E380000}"/>
    <cellStyle name="Normal 7 2 2" xfId="14332" xr:uid="{00000000-0005-0000-0000-00001F380000}"/>
    <cellStyle name="Normal 7 2 2 2" xfId="14333" xr:uid="{00000000-0005-0000-0000-000020380000}"/>
    <cellStyle name="Normal 7 2 2 2 2" xfId="14334" xr:uid="{00000000-0005-0000-0000-000021380000}"/>
    <cellStyle name="Normal 7 2 3" xfId="14335" xr:uid="{00000000-0005-0000-0000-000022380000}"/>
    <cellStyle name="Normal 7 2 4" xfId="14336" xr:uid="{00000000-0005-0000-0000-000023380000}"/>
    <cellStyle name="Normal 7 2 5" xfId="14337" xr:uid="{00000000-0005-0000-0000-000024380000}"/>
    <cellStyle name="Normal 7 2 6" xfId="14338" xr:uid="{00000000-0005-0000-0000-000025380000}"/>
    <cellStyle name="Normal 7 2 7" xfId="14339" xr:uid="{00000000-0005-0000-0000-000026380000}"/>
    <cellStyle name="Normal 7 2 8" xfId="14340" xr:uid="{00000000-0005-0000-0000-000027380000}"/>
    <cellStyle name="Normal 7 20" xfId="14341" xr:uid="{00000000-0005-0000-0000-000028380000}"/>
    <cellStyle name="Normal 7 21" xfId="14342" xr:uid="{00000000-0005-0000-0000-000029380000}"/>
    <cellStyle name="Normal 7 22" xfId="14343" xr:uid="{00000000-0005-0000-0000-00002A380000}"/>
    <cellStyle name="Normal 7 23" xfId="14344" xr:uid="{00000000-0005-0000-0000-00002B380000}"/>
    <cellStyle name="Normal 7 24" xfId="14345" xr:uid="{00000000-0005-0000-0000-00002C380000}"/>
    <cellStyle name="Normal 7 25" xfId="14346" xr:uid="{00000000-0005-0000-0000-00002D380000}"/>
    <cellStyle name="Normal 7 26" xfId="14347" xr:uid="{00000000-0005-0000-0000-00002E380000}"/>
    <cellStyle name="Normal 7 27" xfId="14348" xr:uid="{00000000-0005-0000-0000-00002F380000}"/>
    <cellStyle name="Normal 7 3" xfId="14349" xr:uid="{00000000-0005-0000-0000-000030380000}"/>
    <cellStyle name="Normal 7 3 2" xfId="14350" xr:uid="{00000000-0005-0000-0000-000031380000}"/>
    <cellStyle name="Normal 7 3 2 2" xfId="14351" xr:uid="{00000000-0005-0000-0000-000032380000}"/>
    <cellStyle name="Normal 7 3 3" xfId="14352" xr:uid="{00000000-0005-0000-0000-000033380000}"/>
    <cellStyle name="Normal 7 4" xfId="14353" xr:uid="{00000000-0005-0000-0000-000034380000}"/>
    <cellStyle name="Normal 7 5" xfId="14354" xr:uid="{00000000-0005-0000-0000-000035380000}"/>
    <cellStyle name="Normal 7 6" xfId="14355" xr:uid="{00000000-0005-0000-0000-000036380000}"/>
    <cellStyle name="Normal 7 7" xfId="14356" xr:uid="{00000000-0005-0000-0000-000037380000}"/>
    <cellStyle name="Normal 7 8" xfId="14357" xr:uid="{00000000-0005-0000-0000-000038380000}"/>
    <cellStyle name="Normal 7 9" xfId="14358" xr:uid="{00000000-0005-0000-0000-000039380000}"/>
    <cellStyle name="Normal 70" xfId="14359" xr:uid="{00000000-0005-0000-0000-00003A380000}"/>
    <cellStyle name="Normal 71" xfId="14360" xr:uid="{00000000-0005-0000-0000-00003B380000}"/>
    <cellStyle name="Normal 72" xfId="14361" xr:uid="{00000000-0005-0000-0000-00003C380000}"/>
    <cellStyle name="Normal 72 2" xfId="14362" xr:uid="{00000000-0005-0000-0000-00003D380000}"/>
    <cellStyle name="Normal 73" xfId="14363" xr:uid="{00000000-0005-0000-0000-00003E380000}"/>
    <cellStyle name="Normal 74" xfId="14364" xr:uid="{00000000-0005-0000-0000-00003F380000}"/>
    <cellStyle name="Normal 75" xfId="14365" xr:uid="{00000000-0005-0000-0000-000040380000}"/>
    <cellStyle name="Normal 76" xfId="14366" xr:uid="{00000000-0005-0000-0000-000041380000}"/>
    <cellStyle name="Normal 77" xfId="14367" xr:uid="{00000000-0005-0000-0000-000042380000}"/>
    <cellStyle name="Normal 78" xfId="14368" xr:uid="{00000000-0005-0000-0000-000043380000}"/>
    <cellStyle name="Normal 79" xfId="14369" xr:uid="{00000000-0005-0000-0000-000044380000}"/>
    <cellStyle name="Normal 8" xfId="14370" xr:uid="{00000000-0005-0000-0000-000045380000}"/>
    <cellStyle name="Normal 8 10" xfId="14371" xr:uid="{00000000-0005-0000-0000-000046380000}"/>
    <cellStyle name="Normal 8 11" xfId="14372" xr:uid="{00000000-0005-0000-0000-000047380000}"/>
    <cellStyle name="Normal 8 12" xfId="14373" xr:uid="{00000000-0005-0000-0000-000048380000}"/>
    <cellStyle name="Normal 8 13" xfId="14374" xr:uid="{00000000-0005-0000-0000-000049380000}"/>
    <cellStyle name="Normal 8 14" xfId="14375" xr:uid="{00000000-0005-0000-0000-00004A380000}"/>
    <cellStyle name="Normal 8 15" xfId="14376" xr:uid="{00000000-0005-0000-0000-00004B380000}"/>
    <cellStyle name="Normal 8 16" xfId="14377" xr:uid="{00000000-0005-0000-0000-00004C380000}"/>
    <cellStyle name="Normal 8 17" xfId="14378" xr:uid="{00000000-0005-0000-0000-00004D380000}"/>
    <cellStyle name="Normal 8 18" xfId="14379" xr:uid="{00000000-0005-0000-0000-00004E380000}"/>
    <cellStyle name="Normal 8 19" xfId="14380" xr:uid="{00000000-0005-0000-0000-00004F380000}"/>
    <cellStyle name="Normal 8 2" xfId="14381" xr:uid="{00000000-0005-0000-0000-000050380000}"/>
    <cellStyle name="Normal 8 2 2" xfId="14382" xr:uid="{00000000-0005-0000-0000-000051380000}"/>
    <cellStyle name="Normal 8 2 3" xfId="14383" xr:uid="{00000000-0005-0000-0000-000052380000}"/>
    <cellStyle name="Normal 8 20" xfId="14384" xr:uid="{00000000-0005-0000-0000-000053380000}"/>
    <cellStyle name="Normal 8 21" xfId="14385" xr:uid="{00000000-0005-0000-0000-000054380000}"/>
    <cellStyle name="Normal 8 22" xfId="14386" xr:uid="{00000000-0005-0000-0000-000055380000}"/>
    <cellStyle name="Normal 8 23" xfId="14387" xr:uid="{00000000-0005-0000-0000-000056380000}"/>
    <cellStyle name="Normal 8 24" xfId="14388" xr:uid="{00000000-0005-0000-0000-000057380000}"/>
    <cellStyle name="Normal 8 25" xfId="14389" xr:uid="{00000000-0005-0000-0000-000058380000}"/>
    <cellStyle name="Normal 8 26" xfId="14390" xr:uid="{00000000-0005-0000-0000-000059380000}"/>
    <cellStyle name="Normal 8 27" xfId="14391" xr:uid="{00000000-0005-0000-0000-00005A380000}"/>
    <cellStyle name="Normal 8 3" xfId="14392" xr:uid="{00000000-0005-0000-0000-00005B380000}"/>
    <cellStyle name="Normal 8 3 2" xfId="14393" xr:uid="{00000000-0005-0000-0000-00005C380000}"/>
    <cellStyle name="Normal 8 3 3" xfId="14394" xr:uid="{00000000-0005-0000-0000-00005D380000}"/>
    <cellStyle name="Normal 8 4" xfId="14395" xr:uid="{00000000-0005-0000-0000-00005E380000}"/>
    <cellStyle name="Normal 8 4 2" xfId="14396" xr:uid="{00000000-0005-0000-0000-00005F380000}"/>
    <cellStyle name="Normal 8 4 3" xfId="14397" xr:uid="{00000000-0005-0000-0000-000060380000}"/>
    <cellStyle name="Normal 8 5" xfId="14398" xr:uid="{00000000-0005-0000-0000-000061380000}"/>
    <cellStyle name="Normal 8 5 2" xfId="14399" xr:uid="{00000000-0005-0000-0000-000062380000}"/>
    <cellStyle name="Normal 8 5 3" xfId="14400" xr:uid="{00000000-0005-0000-0000-000063380000}"/>
    <cellStyle name="Normal 8 6" xfId="14401" xr:uid="{00000000-0005-0000-0000-000064380000}"/>
    <cellStyle name="Normal 8 6 2" xfId="14402" xr:uid="{00000000-0005-0000-0000-000065380000}"/>
    <cellStyle name="Normal 8 6 3" xfId="14403" xr:uid="{00000000-0005-0000-0000-000066380000}"/>
    <cellStyle name="Normal 8 7" xfId="14404" xr:uid="{00000000-0005-0000-0000-000067380000}"/>
    <cellStyle name="Normal 8 7 2" xfId="14405" xr:uid="{00000000-0005-0000-0000-000068380000}"/>
    <cellStyle name="Normal 8 7 3" xfId="14406" xr:uid="{00000000-0005-0000-0000-000069380000}"/>
    <cellStyle name="Normal 8 8" xfId="14407" xr:uid="{00000000-0005-0000-0000-00006A380000}"/>
    <cellStyle name="Normal 8 8 2" xfId="14408" xr:uid="{00000000-0005-0000-0000-00006B380000}"/>
    <cellStyle name="Normal 8 8 3" xfId="14409" xr:uid="{00000000-0005-0000-0000-00006C380000}"/>
    <cellStyle name="Normal 8 9" xfId="14410" xr:uid="{00000000-0005-0000-0000-00006D380000}"/>
    <cellStyle name="Normal 8 9 2" xfId="14411" xr:uid="{00000000-0005-0000-0000-00006E380000}"/>
    <cellStyle name="Normal 8 9 3" xfId="14412" xr:uid="{00000000-0005-0000-0000-00006F380000}"/>
    <cellStyle name="Normal 80" xfId="14413" xr:uid="{00000000-0005-0000-0000-000070380000}"/>
    <cellStyle name="Normal 81" xfId="14414" xr:uid="{00000000-0005-0000-0000-000071380000}"/>
    <cellStyle name="Normal 82" xfId="14415" xr:uid="{00000000-0005-0000-0000-000072380000}"/>
    <cellStyle name="Normal 83" xfId="14416" xr:uid="{00000000-0005-0000-0000-000073380000}"/>
    <cellStyle name="Normal 84" xfId="14417" xr:uid="{00000000-0005-0000-0000-000074380000}"/>
    <cellStyle name="Normal 85" xfId="14418" xr:uid="{00000000-0005-0000-0000-000075380000}"/>
    <cellStyle name="Normal 86" xfId="14419" xr:uid="{00000000-0005-0000-0000-000076380000}"/>
    <cellStyle name="Normal 87" xfId="14420" xr:uid="{00000000-0005-0000-0000-000077380000}"/>
    <cellStyle name="Normal 88" xfId="14421" xr:uid="{00000000-0005-0000-0000-000078380000}"/>
    <cellStyle name="Normal 89" xfId="14422" xr:uid="{00000000-0005-0000-0000-000079380000}"/>
    <cellStyle name="Normal 9" xfId="14423" xr:uid="{00000000-0005-0000-0000-00007A380000}"/>
    <cellStyle name="Normal 9 10" xfId="14424" xr:uid="{00000000-0005-0000-0000-00007B380000}"/>
    <cellStyle name="Normal 9 11" xfId="14425" xr:uid="{00000000-0005-0000-0000-00007C380000}"/>
    <cellStyle name="Normal 9 12" xfId="14426" xr:uid="{00000000-0005-0000-0000-00007D380000}"/>
    <cellStyle name="Normal 9 13" xfId="14427" xr:uid="{00000000-0005-0000-0000-00007E380000}"/>
    <cellStyle name="Normal 9 14" xfId="14428" xr:uid="{00000000-0005-0000-0000-00007F380000}"/>
    <cellStyle name="Normal 9 15" xfId="14429" xr:uid="{00000000-0005-0000-0000-000080380000}"/>
    <cellStyle name="Normal 9 16" xfId="14430" xr:uid="{00000000-0005-0000-0000-000081380000}"/>
    <cellStyle name="Normal 9 17" xfId="14431" xr:uid="{00000000-0005-0000-0000-000082380000}"/>
    <cellStyle name="Normal 9 18" xfId="14432" xr:uid="{00000000-0005-0000-0000-000083380000}"/>
    <cellStyle name="Normal 9 19" xfId="14433" xr:uid="{00000000-0005-0000-0000-000084380000}"/>
    <cellStyle name="Normal 9 2" xfId="14434" xr:uid="{00000000-0005-0000-0000-000085380000}"/>
    <cellStyle name="Normal 9 20" xfId="14435" xr:uid="{00000000-0005-0000-0000-000086380000}"/>
    <cellStyle name="Normal 9 21" xfId="14436" xr:uid="{00000000-0005-0000-0000-000087380000}"/>
    <cellStyle name="Normal 9 22" xfId="14437" xr:uid="{00000000-0005-0000-0000-000088380000}"/>
    <cellStyle name="Normal 9 23" xfId="14438" xr:uid="{00000000-0005-0000-0000-000089380000}"/>
    <cellStyle name="Normal 9 24" xfId="14439" xr:uid="{00000000-0005-0000-0000-00008A380000}"/>
    <cellStyle name="Normal 9 25" xfId="14440" xr:uid="{00000000-0005-0000-0000-00008B380000}"/>
    <cellStyle name="Normal 9 26" xfId="14441" xr:uid="{00000000-0005-0000-0000-00008C380000}"/>
    <cellStyle name="Normal 9 27" xfId="14442" xr:uid="{00000000-0005-0000-0000-00008D380000}"/>
    <cellStyle name="Normal 9 3" xfId="14443" xr:uid="{00000000-0005-0000-0000-00008E380000}"/>
    <cellStyle name="Normal 9 4" xfId="14444" xr:uid="{00000000-0005-0000-0000-00008F380000}"/>
    <cellStyle name="Normal 9 5" xfId="14445" xr:uid="{00000000-0005-0000-0000-000090380000}"/>
    <cellStyle name="Normal 9 6" xfId="14446" xr:uid="{00000000-0005-0000-0000-000091380000}"/>
    <cellStyle name="Normal 9 7" xfId="14447" xr:uid="{00000000-0005-0000-0000-000092380000}"/>
    <cellStyle name="Normal 9 8" xfId="14448" xr:uid="{00000000-0005-0000-0000-000093380000}"/>
    <cellStyle name="Normal 9 9" xfId="14449" xr:uid="{00000000-0005-0000-0000-000094380000}"/>
    <cellStyle name="Normal 90" xfId="14450" xr:uid="{00000000-0005-0000-0000-000095380000}"/>
    <cellStyle name="Normal 91" xfId="14451" xr:uid="{00000000-0005-0000-0000-000096380000}"/>
    <cellStyle name="Normal 92" xfId="14452" xr:uid="{00000000-0005-0000-0000-000097380000}"/>
    <cellStyle name="Normal 93" xfId="14453" xr:uid="{00000000-0005-0000-0000-000098380000}"/>
    <cellStyle name="Normal 94" xfId="14454" xr:uid="{00000000-0005-0000-0000-000099380000}"/>
    <cellStyle name="Normal 95" xfId="14455" xr:uid="{00000000-0005-0000-0000-00009A380000}"/>
    <cellStyle name="Normal 96" xfId="14456" xr:uid="{00000000-0005-0000-0000-00009B380000}"/>
    <cellStyle name="Normal 97" xfId="14457" xr:uid="{00000000-0005-0000-0000-00009C380000}"/>
    <cellStyle name="Normal 98" xfId="14458" xr:uid="{00000000-0005-0000-0000-00009D380000}"/>
    <cellStyle name="Normal 99" xfId="14459" xr:uid="{00000000-0005-0000-0000-00009E380000}"/>
    <cellStyle name="Normal_informe1_Armado Informe Bayer SA" xfId="15647" xr:uid="{7E3D1A2B-8134-4AE7-BF67-A3A061708398}"/>
    <cellStyle name="Notas 10" xfId="14460" xr:uid="{00000000-0005-0000-0000-00009F380000}"/>
    <cellStyle name="Notas 10 10" xfId="14461" xr:uid="{00000000-0005-0000-0000-0000A0380000}"/>
    <cellStyle name="Notas 10 11" xfId="14462" xr:uid="{00000000-0005-0000-0000-0000A1380000}"/>
    <cellStyle name="Notas 10 12" xfId="14463" xr:uid="{00000000-0005-0000-0000-0000A2380000}"/>
    <cellStyle name="Notas 10 13" xfId="14464" xr:uid="{00000000-0005-0000-0000-0000A3380000}"/>
    <cellStyle name="Notas 10 14" xfId="14465" xr:uid="{00000000-0005-0000-0000-0000A4380000}"/>
    <cellStyle name="Notas 10 15" xfId="14466" xr:uid="{00000000-0005-0000-0000-0000A5380000}"/>
    <cellStyle name="Notas 10 16" xfId="14467" xr:uid="{00000000-0005-0000-0000-0000A6380000}"/>
    <cellStyle name="Notas 10 17" xfId="14468" xr:uid="{00000000-0005-0000-0000-0000A7380000}"/>
    <cellStyle name="Notas 10 18" xfId="14469" xr:uid="{00000000-0005-0000-0000-0000A8380000}"/>
    <cellStyle name="Notas 10 19" xfId="14470" xr:uid="{00000000-0005-0000-0000-0000A9380000}"/>
    <cellStyle name="Notas 10 2" xfId="14471" xr:uid="{00000000-0005-0000-0000-0000AA380000}"/>
    <cellStyle name="Notas 10 20" xfId="14472" xr:uid="{00000000-0005-0000-0000-0000AB380000}"/>
    <cellStyle name="Notas 10 21" xfId="14473" xr:uid="{00000000-0005-0000-0000-0000AC380000}"/>
    <cellStyle name="Notas 10 22" xfId="14474" xr:uid="{00000000-0005-0000-0000-0000AD380000}"/>
    <cellStyle name="Notas 10 23" xfId="14475" xr:uid="{00000000-0005-0000-0000-0000AE380000}"/>
    <cellStyle name="Notas 10 24" xfId="14476" xr:uid="{00000000-0005-0000-0000-0000AF380000}"/>
    <cellStyle name="Notas 10 25" xfId="14477" xr:uid="{00000000-0005-0000-0000-0000B0380000}"/>
    <cellStyle name="Notas 10 26" xfId="14478" xr:uid="{00000000-0005-0000-0000-0000B1380000}"/>
    <cellStyle name="Notas 10 3" xfId="14479" xr:uid="{00000000-0005-0000-0000-0000B2380000}"/>
    <cellStyle name="Notas 10 4" xfId="14480" xr:uid="{00000000-0005-0000-0000-0000B3380000}"/>
    <cellStyle name="Notas 10 5" xfId="14481" xr:uid="{00000000-0005-0000-0000-0000B4380000}"/>
    <cellStyle name="Notas 10 6" xfId="14482" xr:uid="{00000000-0005-0000-0000-0000B5380000}"/>
    <cellStyle name="Notas 10 7" xfId="14483" xr:uid="{00000000-0005-0000-0000-0000B6380000}"/>
    <cellStyle name="Notas 10 8" xfId="14484" xr:uid="{00000000-0005-0000-0000-0000B7380000}"/>
    <cellStyle name="Notas 10 9" xfId="14485" xr:uid="{00000000-0005-0000-0000-0000B8380000}"/>
    <cellStyle name="Notas 11" xfId="14486" xr:uid="{00000000-0005-0000-0000-0000B9380000}"/>
    <cellStyle name="Notas 11 10" xfId="14487" xr:uid="{00000000-0005-0000-0000-0000BA380000}"/>
    <cellStyle name="Notas 11 11" xfId="14488" xr:uid="{00000000-0005-0000-0000-0000BB380000}"/>
    <cellStyle name="Notas 11 12" xfId="14489" xr:uid="{00000000-0005-0000-0000-0000BC380000}"/>
    <cellStyle name="Notas 11 13" xfId="14490" xr:uid="{00000000-0005-0000-0000-0000BD380000}"/>
    <cellStyle name="Notas 11 14" xfId="14491" xr:uid="{00000000-0005-0000-0000-0000BE380000}"/>
    <cellStyle name="Notas 11 15" xfId="14492" xr:uid="{00000000-0005-0000-0000-0000BF380000}"/>
    <cellStyle name="Notas 11 16" xfId="14493" xr:uid="{00000000-0005-0000-0000-0000C0380000}"/>
    <cellStyle name="Notas 11 17" xfId="14494" xr:uid="{00000000-0005-0000-0000-0000C1380000}"/>
    <cellStyle name="Notas 11 18" xfId="14495" xr:uid="{00000000-0005-0000-0000-0000C2380000}"/>
    <cellStyle name="Notas 11 19" xfId="14496" xr:uid="{00000000-0005-0000-0000-0000C3380000}"/>
    <cellStyle name="Notas 11 2" xfId="14497" xr:uid="{00000000-0005-0000-0000-0000C4380000}"/>
    <cellStyle name="Notas 11 20" xfId="14498" xr:uid="{00000000-0005-0000-0000-0000C5380000}"/>
    <cellStyle name="Notas 11 21" xfId="14499" xr:uid="{00000000-0005-0000-0000-0000C6380000}"/>
    <cellStyle name="Notas 11 22" xfId="14500" xr:uid="{00000000-0005-0000-0000-0000C7380000}"/>
    <cellStyle name="Notas 11 23" xfId="14501" xr:uid="{00000000-0005-0000-0000-0000C8380000}"/>
    <cellStyle name="Notas 11 24" xfId="14502" xr:uid="{00000000-0005-0000-0000-0000C9380000}"/>
    <cellStyle name="Notas 11 25" xfId="14503" xr:uid="{00000000-0005-0000-0000-0000CA380000}"/>
    <cellStyle name="Notas 11 26" xfId="14504" xr:uid="{00000000-0005-0000-0000-0000CB380000}"/>
    <cellStyle name="Notas 11 3" xfId="14505" xr:uid="{00000000-0005-0000-0000-0000CC380000}"/>
    <cellStyle name="Notas 11 4" xfId="14506" xr:uid="{00000000-0005-0000-0000-0000CD380000}"/>
    <cellStyle name="Notas 11 5" xfId="14507" xr:uid="{00000000-0005-0000-0000-0000CE380000}"/>
    <cellStyle name="Notas 11 6" xfId="14508" xr:uid="{00000000-0005-0000-0000-0000CF380000}"/>
    <cellStyle name="Notas 11 7" xfId="14509" xr:uid="{00000000-0005-0000-0000-0000D0380000}"/>
    <cellStyle name="Notas 11 8" xfId="14510" xr:uid="{00000000-0005-0000-0000-0000D1380000}"/>
    <cellStyle name="Notas 11 9" xfId="14511" xr:uid="{00000000-0005-0000-0000-0000D2380000}"/>
    <cellStyle name="Notas 12" xfId="14512" xr:uid="{00000000-0005-0000-0000-0000D3380000}"/>
    <cellStyle name="Notas 12 10" xfId="14513" xr:uid="{00000000-0005-0000-0000-0000D4380000}"/>
    <cellStyle name="Notas 12 11" xfId="14514" xr:uid="{00000000-0005-0000-0000-0000D5380000}"/>
    <cellStyle name="Notas 12 12" xfId="14515" xr:uid="{00000000-0005-0000-0000-0000D6380000}"/>
    <cellStyle name="Notas 12 13" xfId="14516" xr:uid="{00000000-0005-0000-0000-0000D7380000}"/>
    <cellStyle name="Notas 12 14" xfId="14517" xr:uid="{00000000-0005-0000-0000-0000D8380000}"/>
    <cellStyle name="Notas 12 15" xfId="14518" xr:uid="{00000000-0005-0000-0000-0000D9380000}"/>
    <cellStyle name="Notas 12 16" xfId="14519" xr:uid="{00000000-0005-0000-0000-0000DA380000}"/>
    <cellStyle name="Notas 12 17" xfId="14520" xr:uid="{00000000-0005-0000-0000-0000DB380000}"/>
    <cellStyle name="Notas 12 18" xfId="14521" xr:uid="{00000000-0005-0000-0000-0000DC380000}"/>
    <cellStyle name="Notas 12 19" xfId="14522" xr:uid="{00000000-0005-0000-0000-0000DD380000}"/>
    <cellStyle name="Notas 12 2" xfId="14523" xr:uid="{00000000-0005-0000-0000-0000DE380000}"/>
    <cellStyle name="Notas 12 20" xfId="14524" xr:uid="{00000000-0005-0000-0000-0000DF380000}"/>
    <cellStyle name="Notas 12 21" xfId="14525" xr:uid="{00000000-0005-0000-0000-0000E0380000}"/>
    <cellStyle name="Notas 12 22" xfId="14526" xr:uid="{00000000-0005-0000-0000-0000E1380000}"/>
    <cellStyle name="Notas 12 23" xfId="14527" xr:uid="{00000000-0005-0000-0000-0000E2380000}"/>
    <cellStyle name="Notas 12 24" xfId="14528" xr:uid="{00000000-0005-0000-0000-0000E3380000}"/>
    <cellStyle name="Notas 12 25" xfId="14529" xr:uid="{00000000-0005-0000-0000-0000E4380000}"/>
    <cellStyle name="Notas 12 26" xfId="14530" xr:uid="{00000000-0005-0000-0000-0000E5380000}"/>
    <cellStyle name="Notas 12 3" xfId="14531" xr:uid="{00000000-0005-0000-0000-0000E6380000}"/>
    <cellStyle name="Notas 12 4" xfId="14532" xr:uid="{00000000-0005-0000-0000-0000E7380000}"/>
    <cellStyle name="Notas 12 5" xfId="14533" xr:uid="{00000000-0005-0000-0000-0000E8380000}"/>
    <cellStyle name="Notas 12 6" xfId="14534" xr:uid="{00000000-0005-0000-0000-0000E9380000}"/>
    <cellStyle name="Notas 12 7" xfId="14535" xr:uid="{00000000-0005-0000-0000-0000EA380000}"/>
    <cellStyle name="Notas 12 8" xfId="14536" xr:uid="{00000000-0005-0000-0000-0000EB380000}"/>
    <cellStyle name="Notas 12 9" xfId="14537" xr:uid="{00000000-0005-0000-0000-0000EC380000}"/>
    <cellStyle name="Notas 13" xfId="14538" xr:uid="{00000000-0005-0000-0000-0000ED380000}"/>
    <cellStyle name="Notas 13 10" xfId="14539" xr:uid="{00000000-0005-0000-0000-0000EE380000}"/>
    <cellStyle name="Notas 13 11" xfId="14540" xr:uid="{00000000-0005-0000-0000-0000EF380000}"/>
    <cellStyle name="Notas 13 12" xfId="14541" xr:uid="{00000000-0005-0000-0000-0000F0380000}"/>
    <cellStyle name="Notas 13 13" xfId="14542" xr:uid="{00000000-0005-0000-0000-0000F1380000}"/>
    <cellStyle name="Notas 13 14" xfId="14543" xr:uid="{00000000-0005-0000-0000-0000F2380000}"/>
    <cellStyle name="Notas 13 15" xfId="14544" xr:uid="{00000000-0005-0000-0000-0000F3380000}"/>
    <cellStyle name="Notas 13 16" xfId="14545" xr:uid="{00000000-0005-0000-0000-0000F4380000}"/>
    <cellStyle name="Notas 13 17" xfId="14546" xr:uid="{00000000-0005-0000-0000-0000F5380000}"/>
    <cellStyle name="Notas 13 18" xfId="14547" xr:uid="{00000000-0005-0000-0000-0000F6380000}"/>
    <cellStyle name="Notas 13 19" xfId="14548" xr:uid="{00000000-0005-0000-0000-0000F7380000}"/>
    <cellStyle name="Notas 13 2" xfId="14549" xr:uid="{00000000-0005-0000-0000-0000F8380000}"/>
    <cellStyle name="Notas 13 20" xfId="14550" xr:uid="{00000000-0005-0000-0000-0000F9380000}"/>
    <cellStyle name="Notas 13 21" xfId="14551" xr:uid="{00000000-0005-0000-0000-0000FA380000}"/>
    <cellStyle name="Notas 13 22" xfId="14552" xr:uid="{00000000-0005-0000-0000-0000FB380000}"/>
    <cellStyle name="Notas 13 23" xfId="14553" xr:uid="{00000000-0005-0000-0000-0000FC380000}"/>
    <cellStyle name="Notas 13 24" xfId="14554" xr:uid="{00000000-0005-0000-0000-0000FD380000}"/>
    <cellStyle name="Notas 13 25" xfId="14555" xr:uid="{00000000-0005-0000-0000-0000FE380000}"/>
    <cellStyle name="Notas 13 26" xfId="14556" xr:uid="{00000000-0005-0000-0000-0000FF380000}"/>
    <cellStyle name="Notas 13 3" xfId="14557" xr:uid="{00000000-0005-0000-0000-000000390000}"/>
    <cellStyle name="Notas 13 4" xfId="14558" xr:uid="{00000000-0005-0000-0000-000001390000}"/>
    <cellStyle name="Notas 13 5" xfId="14559" xr:uid="{00000000-0005-0000-0000-000002390000}"/>
    <cellStyle name="Notas 13 6" xfId="14560" xr:uid="{00000000-0005-0000-0000-000003390000}"/>
    <cellStyle name="Notas 13 7" xfId="14561" xr:uid="{00000000-0005-0000-0000-000004390000}"/>
    <cellStyle name="Notas 13 8" xfId="14562" xr:uid="{00000000-0005-0000-0000-000005390000}"/>
    <cellStyle name="Notas 13 9" xfId="14563" xr:uid="{00000000-0005-0000-0000-000006390000}"/>
    <cellStyle name="Notas 14" xfId="14564" xr:uid="{00000000-0005-0000-0000-000007390000}"/>
    <cellStyle name="Notas 14 10" xfId="14565" xr:uid="{00000000-0005-0000-0000-000008390000}"/>
    <cellStyle name="Notas 14 11" xfId="14566" xr:uid="{00000000-0005-0000-0000-000009390000}"/>
    <cellStyle name="Notas 14 12" xfId="14567" xr:uid="{00000000-0005-0000-0000-00000A390000}"/>
    <cellStyle name="Notas 14 13" xfId="14568" xr:uid="{00000000-0005-0000-0000-00000B390000}"/>
    <cellStyle name="Notas 14 14" xfId="14569" xr:uid="{00000000-0005-0000-0000-00000C390000}"/>
    <cellStyle name="Notas 14 15" xfId="14570" xr:uid="{00000000-0005-0000-0000-00000D390000}"/>
    <cellStyle name="Notas 14 16" xfId="14571" xr:uid="{00000000-0005-0000-0000-00000E390000}"/>
    <cellStyle name="Notas 14 17" xfId="14572" xr:uid="{00000000-0005-0000-0000-00000F390000}"/>
    <cellStyle name="Notas 14 18" xfId="14573" xr:uid="{00000000-0005-0000-0000-000010390000}"/>
    <cellStyle name="Notas 14 19" xfId="14574" xr:uid="{00000000-0005-0000-0000-000011390000}"/>
    <cellStyle name="Notas 14 2" xfId="14575" xr:uid="{00000000-0005-0000-0000-000012390000}"/>
    <cellStyle name="Notas 14 20" xfId="14576" xr:uid="{00000000-0005-0000-0000-000013390000}"/>
    <cellStyle name="Notas 14 21" xfId="14577" xr:uid="{00000000-0005-0000-0000-000014390000}"/>
    <cellStyle name="Notas 14 22" xfId="14578" xr:uid="{00000000-0005-0000-0000-000015390000}"/>
    <cellStyle name="Notas 14 23" xfId="14579" xr:uid="{00000000-0005-0000-0000-000016390000}"/>
    <cellStyle name="Notas 14 24" xfId="14580" xr:uid="{00000000-0005-0000-0000-000017390000}"/>
    <cellStyle name="Notas 14 25" xfId="14581" xr:uid="{00000000-0005-0000-0000-000018390000}"/>
    <cellStyle name="Notas 14 26" xfId="14582" xr:uid="{00000000-0005-0000-0000-000019390000}"/>
    <cellStyle name="Notas 14 3" xfId="14583" xr:uid="{00000000-0005-0000-0000-00001A390000}"/>
    <cellStyle name="Notas 14 4" xfId="14584" xr:uid="{00000000-0005-0000-0000-00001B390000}"/>
    <cellStyle name="Notas 14 5" xfId="14585" xr:uid="{00000000-0005-0000-0000-00001C390000}"/>
    <cellStyle name="Notas 14 6" xfId="14586" xr:uid="{00000000-0005-0000-0000-00001D390000}"/>
    <cellStyle name="Notas 14 7" xfId="14587" xr:uid="{00000000-0005-0000-0000-00001E390000}"/>
    <cellStyle name="Notas 14 8" xfId="14588" xr:uid="{00000000-0005-0000-0000-00001F390000}"/>
    <cellStyle name="Notas 14 9" xfId="14589" xr:uid="{00000000-0005-0000-0000-000020390000}"/>
    <cellStyle name="Notas 15" xfId="14590" xr:uid="{00000000-0005-0000-0000-000021390000}"/>
    <cellStyle name="Notas 15 10" xfId="14591" xr:uid="{00000000-0005-0000-0000-000022390000}"/>
    <cellStyle name="Notas 15 11" xfId="14592" xr:uid="{00000000-0005-0000-0000-000023390000}"/>
    <cellStyle name="Notas 15 12" xfId="14593" xr:uid="{00000000-0005-0000-0000-000024390000}"/>
    <cellStyle name="Notas 15 13" xfId="14594" xr:uid="{00000000-0005-0000-0000-000025390000}"/>
    <cellStyle name="Notas 15 14" xfId="14595" xr:uid="{00000000-0005-0000-0000-000026390000}"/>
    <cellStyle name="Notas 15 15" xfId="14596" xr:uid="{00000000-0005-0000-0000-000027390000}"/>
    <cellStyle name="Notas 15 16" xfId="14597" xr:uid="{00000000-0005-0000-0000-000028390000}"/>
    <cellStyle name="Notas 15 17" xfId="14598" xr:uid="{00000000-0005-0000-0000-000029390000}"/>
    <cellStyle name="Notas 15 18" xfId="14599" xr:uid="{00000000-0005-0000-0000-00002A390000}"/>
    <cellStyle name="Notas 15 19" xfId="14600" xr:uid="{00000000-0005-0000-0000-00002B390000}"/>
    <cellStyle name="Notas 15 2" xfId="14601" xr:uid="{00000000-0005-0000-0000-00002C390000}"/>
    <cellStyle name="Notas 15 20" xfId="14602" xr:uid="{00000000-0005-0000-0000-00002D390000}"/>
    <cellStyle name="Notas 15 21" xfId="14603" xr:uid="{00000000-0005-0000-0000-00002E390000}"/>
    <cellStyle name="Notas 15 22" xfId="14604" xr:uid="{00000000-0005-0000-0000-00002F390000}"/>
    <cellStyle name="Notas 15 23" xfId="14605" xr:uid="{00000000-0005-0000-0000-000030390000}"/>
    <cellStyle name="Notas 15 24" xfId="14606" xr:uid="{00000000-0005-0000-0000-000031390000}"/>
    <cellStyle name="Notas 15 25" xfId="14607" xr:uid="{00000000-0005-0000-0000-000032390000}"/>
    <cellStyle name="Notas 15 3" xfId="14608" xr:uid="{00000000-0005-0000-0000-000033390000}"/>
    <cellStyle name="Notas 15 4" xfId="14609" xr:uid="{00000000-0005-0000-0000-000034390000}"/>
    <cellStyle name="Notas 15 5" xfId="14610" xr:uid="{00000000-0005-0000-0000-000035390000}"/>
    <cellStyle name="Notas 15 6" xfId="14611" xr:uid="{00000000-0005-0000-0000-000036390000}"/>
    <cellStyle name="Notas 15 7" xfId="14612" xr:uid="{00000000-0005-0000-0000-000037390000}"/>
    <cellStyle name="Notas 15 8" xfId="14613" xr:uid="{00000000-0005-0000-0000-000038390000}"/>
    <cellStyle name="Notas 15 9" xfId="14614" xr:uid="{00000000-0005-0000-0000-000039390000}"/>
    <cellStyle name="Notas 16" xfId="14615" xr:uid="{00000000-0005-0000-0000-00003A390000}"/>
    <cellStyle name="Notas 16 10" xfId="14616" xr:uid="{00000000-0005-0000-0000-00003B390000}"/>
    <cellStyle name="Notas 16 11" xfId="14617" xr:uid="{00000000-0005-0000-0000-00003C390000}"/>
    <cellStyle name="Notas 16 12" xfId="14618" xr:uid="{00000000-0005-0000-0000-00003D390000}"/>
    <cellStyle name="Notas 16 13" xfId="14619" xr:uid="{00000000-0005-0000-0000-00003E390000}"/>
    <cellStyle name="Notas 16 14" xfId="14620" xr:uid="{00000000-0005-0000-0000-00003F390000}"/>
    <cellStyle name="Notas 16 15" xfId="14621" xr:uid="{00000000-0005-0000-0000-000040390000}"/>
    <cellStyle name="Notas 16 16" xfId="14622" xr:uid="{00000000-0005-0000-0000-000041390000}"/>
    <cellStyle name="Notas 16 17" xfId="14623" xr:uid="{00000000-0005-0000-0000-000042390000}"/>
    <cellStyle name="Notas 16 18" xfId="14624" xr:uid="{00000000-0005-0000-0000-000043390000}"/>
    <cellStyle name="Notas 16 19" xfId="14625" xr:uid="{00000000-0005-0000-0000-000044390000}"/>
    <cellStyle name="Notas 16 2" xfId="14626" xr:uid="{00000000-0005-0000-0000-000045390000}"/>
    <cellStyle name="Notas 16 20" xfId="14627" xr:uid="{00000000-0005-0000-0000-000046390000}"/>
    <cellStyle name="Notas 16 21" xfId="14628" xr:uid="{00000000-0005-0000-0000-000047390000}"/>
    <cellStyle name="Notas 16 22" xfId="14629" xr:uid="{00000000-0005-0000-0000-000048390000}"/>
    <cellStyle name="Notas 16 23" xfId="14630" xr:uid="{00000000-0005-0000-0000-000049390000}"/>
    <cellStyle name="Notas 16 24" xfId="14631" xr:uid="{00000000-0005-0000-0000-00004A390000}"/>
    <cellStyle name="Notas 16 25" xfId="14632" xr:uid="{00000000-0005-0000-0000-00004B390000}"/>
    <cellStyle name="Notas 16 3" xfId="14633" xr:uid="{00000000-0005-0000-0000-00004C390000}"/>
    <cellStyle name="Notas 16 4" xfId="14634" xr:uid="{00000000-0005-0000-0000-00004D390000}"/>
    <cellStyle name="Notas 16 5" xfId="14635" xr:uid="{00000000-0005-0000-0000-00004E390000}"/>
    <cellStyle name="Notas 16 6" xfId="14636" xr:uid="{00000000-0005-0000-0000-00004F390000}"/>
    <cellStyle name="Notas 16 7" xfId="14637" xr:uid="{00000000-0005-0000-0000-000050390000}"/>
    <cellStyle name="Notas 16 8" xfId="14638" xr:uid="{00000000-0005-0000-0000-000051390000}"/>
    <cellStyle name="Notas 16 9" xfId="14639" xr:uid="{00000000-0005-0000-0000-000052390000}"/>
    <cellStyle name="Notas 17" xfId="14640" xr:uid="{00000000-0005-0000-0000-000053390000}"/>
    <cellStyle name="Notas 17 10" xfId="14641" xr:uid="{00000000-0005-0000-0000-000054390000}"/>
    <cellStyle name="Notas 17 11" xfId="14642" xr:uid="{00000000-0005-0000-0000-000055390000}"/>
    <cellStyle name="Notas 17 12" xfId="14643" xr:uid="{00000000-0005-0000-0000-000056390000}"/>
    <cellStyle name="Notas 17 13" xfId="14644" xr:uid="{00000000-0005-0000-0000-000057390000}"/>
    <cellStyle name="Notas 17 14" xfId="14645" xr:uid="{00000000-0005-0000-0000-000058390000}"/>
    <cellStyle name="Notas 17 15" xfId="14646" xr:uid="{00000000-0005-0000-0000-000059390000}"/>
    <cellStyle name="Notas 17 16" xfId="14647" xr:uid="{00000000-0005-0000-0000-00005A390000}"/>
    <cellStyle name="Notas 17 17" xfId="14648" xr:uid="{00000000-0005-0000-0000-00005B390000}"/>
    <cellStyle name="Notas 17 18" xfId="14649" xr:uid="{00000000-0005-0000-0000-00005C390000}"/>
    <cellStyle name="Notas 17 19" xfId="14650" xr:uid="{00000000-0005-0000-0000-00005D390000}"/>
    <cellStyle name="Notas 17 2" xfId="14651" xr:uid="{00000000-0005-0000-0000-00005E390000}"/>
    <cellStyle name="Notas 17 20" xfId="14652" xr:uid="{00000000-0005-0000-0000-00005F390000}"/>
    <cellStyle name="Notas 17 21" xfId="14653" xr:uid="{00000000-0005-0000-0000-000060390000}"/>
    <cellStyle name="Notas 17 22" xfId="14654" xr:uid="{00000000-0005-0000-0000-000061390000}"/>
    <cellStyle name="Notas 17 23" xfId="14655" xr:uid="{00000000-0005-0000-0000-000062390000}"/>
    <cellStyle name="Notas 17 24" xfId="14656" xr:uid="{00000000-0005-0000-0000-000063390000}"/>
    <cellStyle name="Notas 17 25" xfId="14657" xr:uid="{00000000-0005-0000-0000-000064390000}"/>
    <cellStyle name="Notas 17 3" xfId="14658" xr:uid="{00000000-0005-0000-0000-000065390000}"/>
    <cellStyle name="Notas 17 4" xfId="14659" xr:uid="{00000000-0005-0000-0000-000066390000}"/>
    <cellStyle name="Notas 17 5" xfId="14660" xr:uid="{00000000-0005-0000-0000-000067390000}"/>
    <cellStyle name="Notas 17 6" xfId="14661" xr:uid="{00000000-0005-0000-0000-000068390000}"/>
    <cellStyle name="Notas 17 7" xfId="14662" xr:uid="{00000000-0005-0000-0000-000069390000}"/>
    <cellStyle name="Notas 17 8" xfId="14663" xr:uid="{00000000-0005-0000-0000-00006A390000}"/>
    <cellStyle name="Notas 17 9" xfId="14664" xr:uid="{00000000-0005-0000-0000-00006B390000}"/>
    <cellStyle name="Notas 18" xfId="14665" xr:uid="{00000000-0005-0000-0000-00006C390000}"/>
    <cellStyle name="Notas 18 10" xfId="14666" xr:uid="{00000000-0005-0000-0000-00006D390000}"/>
    <cellStyle name="Notas 18 11" xfId="14667" xr:uid="{00000000-0005-0000-0000-00006E390000}"/>
    <cellStyle name="Notas 18 12" xfId="14668" xr:uid="{00000000-0005-0000-0000-00006F390000}"/>
    <cellStyle name="Notas 18 13" xfId="14669" xr:uid="{00000000-0005-0000-0000-000070390000}"/>
    <cellStyle name="Notas 18 14" xfId="14670" xr:uid="{00000000-0005-0000-0000-000071390000}"/>
    <cellStyle name="Notas 18 15" xfId="14671" xr:uid="{00000000-0005-0000-0000-000072390000}"/>
    <cellStyle name="Notas 18 16" xfId="14672" xr:uid="{00000000-0005-0000-0000-000073390000}"/>
    <cellStyle name="Notas 18 17" xfId="14673" xr:uid="{00000000-0005-0000-0000-000074390000}"/>
    <cellStyle name="Notas 18 18" xfId="14674" xr:uid="{00000000-0005-0000-0000-000075390000}"/>
    <cellStyle name="Notas 18 19" xfId="14675" xr:uid="{00000000-0005-0000-0000-000076390000}"/>
    <cellStyle name="Notas 18 2" xfId="14676" xr:uid="{00000000-0005-0000-0000-000077390000}"/>
    <cellStyle name="Notas 18 20" xfId="14677" xr:uid="{00000000-0005-0000-0000-000078390000}"/>
    <cellStyle name="Notas 18 21" xfId="14678" xr:uid="{00000000-0005-0000-0000-000079390000}"/>
    <cellStyle name="Notas 18 22" xfId="14679" xr:uid="{00000000-0005-0000-0000-00007A390000}"/>
    <cellStyle name="Notas 18 23" xfId="14680" xr:uid="{00000000-0005-0000-0000-00007B390000}"/>
    <cellStyle name="Notas 18 24" xfId="14681" xr:uid="{00000000-0005-0000-0000-00007C390000}"/>
    <cellStyle name="Notas 18 25" xfId="14682" xr:uid="{00000000-0005-0000-0000-00007D390000}"/>
    <cellStyle name="Notas 18 3" xfId="14683" xr:uid="{00000000-0005-0000-0000-00007E390000}"/>
    <cellStyle name="Notas 18 4" xfId="14684" xr:uid="{00000000-0005-0000-0000-00007F390000}"/>
    <cellStyle name="Notas 18 5" xfId="14685" xr:uid="{00000000-0005-0000-0000-000080390000}"/>
    <cellStyle name="Notas 18 6" xfId="14686" xr:uid="{00000000-0005-0000-0000-000081390000}"/>
    <cellStyle name="Notas 18 7" xfId="14687" xr:uid="{00000000-0005-0000-0000-000082390000}"/>
    <cellStyle name="Notas 18 8" xfId="14688" xr:uid="{00000000-0005-0000-0000-000083390000}"/>
    <cellStyle name="Notas 18 9" xfId="14689" xr:uid="{00000000-0005-0000-0000-000084390000}"/>
    <cellStyle name="Notas 19" xfId="14690" xr:uid="{00000000-0005-0000-0000-000085390000}"/>
    <cellStyle name="Notas 19 10" xfId="14691" xr:uid="{00000000-0005-0000-0000-000086390000}"/>
    <cellStyle name="Notas 19 11" xfId="14692" xr:uid="{00000000-0005-0000-0000-000087390000}"/>
    <cellStyle name="Notas 19 12" xfId="14693" xr:uid="{00000000-0005-0000-0000-000088390000}"/>
    <cellStyle name="Notas 19 13" xfId="14694" xr:uid="{00000000-0005-0000-0000-000089390000}"/>
    <cellStyle name="Notas 19 14" xfId="14695" xr:uid="{00000000-0005-0000-0000-00008A390000}"/>
    <cellStyle name="Notas 19 15" xfId="14696" xr:uid="{00000000-0005-0000-0000-00008B390000}"/>
    <cellStyle name="Notas 19 16" xfId="14697" xr:uid="{00000000-0005-0000-0000-00008C390000}"/>
    <cellStyle name="Notas 19 17" xfId="14698" xr:uid="{00000000-0005-0000-0000-00008D390000}"/>
    <cellStyle name="Notas 19 18" xfId="14699" xr:uid="{00000000-0005-0000-0000-00008E390000}"/>
    <cellStyle name="Notas 19 19" xfId="14700" xr:uid="{00000000-0005-0000-0000-00008F390000}"/>
    <cellStyle name="Notas 19 2" xfId="14701" xr:uid="{00000000-0005-0000-0000-000090390000}"/>
    <cellStyle name="Notas 19 20" xfId="14702" xr:uid="{00000000-0005-0000-0000-000091390000}"/>
    <cellStyle name="Notas 19 21" xfId="14703" xr:uid="{00000000-0005-0000-0000-000092390000}"/>
    <cellStyle name="Notas 19 22" xfId="14704" xr:uid="{00000000-0005-0000-0000-000093390000}"/>
    <cellStyle name="Notas 19 23" xfId="14705" xr:uid="{00000000-0005-0000-0000-000094390000}"/>
    <cellStyle name="Notas 19 24" xfId="14706" xr:uid="{00000000-0005-0000-0000-000095390000}"/>
    <cellStyle name="Notas 19 25" xfId="14707" xr:uid="{00000000-0005-0000-0000-000096390000}"/>
    <cellStyle name="Notas 19 3" xfId="14708" xr:uid="{00000000-0005-0000-0000-000097390000}"/>
    <cellStyle name="Notas 19 4" xfId="14709" xr:uid="{00000000-0005-0000-0000-000098390000}"/>
    <cellStyle name="Notas 19 5" xfId="14710" xr:uid="{00000000-0005-0000-0000-000099390000}"/>
    <cellStyle name="Notas 19 6" xfId="14711" xr:uid="{00000000-0005-0000-0000-00009A390000}"/>
    <cellStyle name="Notas 19 7" xfId="14712" xr:uid="{00000000-0005-0000-0000-00009B390000}"/>
    <cellStyle name="Notas 19 8" xfId="14713" xr:uid="{00000000-0005-0000-0000-00009C390000}"/>
    <cellStyle name="Notas 19 9" xfId="14714" xr:uid="{00000000-0005-0000-0000-00009D390000}"/>
    <cellStyle name="Notas 2" xfId="14715" xr:uid="{00000000-0005-0000-0000-00009E390000}"/>
    <cellStyle name="Notas 2 10" xfId="14716" xr:uid="{00000000-0005-0000-0000-00009F390000}"/>
    <cellStyle name="Notas 2 11" xfId="14717" xr:uid="{00000000-0005-0000-0000-0000A0390000}"/>
    <cellStyle name="Notas 2 12" xfId="14718" xr:uid="{00000000-0005-0000-0000-0000A1390000}"/>
    <cellStyle name="Notas 2 13" xfId="14719" xr:uid="{00000000-0005-0000-0000-0000A2390000}"/>
    <cellStyle name="Notas 2 14" xfId="14720" xr:uid="{00000000-0005-0000-0000-0000A3390000}"/>
    <cellStyle name="Notas 2 15" xfId="14721" xr:uid="{00000000-0005-0000-0000-0000A4390000}"/>
    <cellStyle name="Notas 2 16" xfId="14722" xr:uid="{00000000-0005-0000-0000-0000A5390000}"/>
    <cellStyle name="Notas 2 17" xfId="14723" xr:uid="{00000000-0005-0000-0000-0000A6390000}"/>
    <cellStyle name="Notas 2 18" xfId="14724" xr:uid="{00000000-0005-0000-0000-0000A7390000}"/>
    <cellStyle name="Notas 2 19" xfId="14725" xr:uid="{00000000-0005-0000-0000-0000A8390000}"/>
    <cellStyle name="Notas 2 2" xfId="14726" xr:uid="{00000000-0005-0000-0000-0000A9390000}"/>
    <cellStyle name="Notas 2 2 2" xfId="14727" xr:uid="{00000000-0005-0000-0000-0000AA390000}"/>
    <cellStyle name="Notas 2 2 3" xfId="14728" xr:uid="{00000000-0005-0000-0000-0000AB390000}"/>
    <cellStyle name="Notas 2 2 4" xfId="14729" xr:uid="{00000000-0005-0000-0000-0000AC390000}"/>
    <cellStyle name="Notas 2 2 5" xfId="14730" xr:uid="{00000000-0005-0000-0000-0000AD390000}"/>
    <cellStyle name="Notas 2 2 6" xfId="14731" xr:uid="{00000000-0005-0000-0000-0000AE390000}"/>
    <cellStyle name="Notas 2 2 7" xfId="14732" xr:uid="{00000000-0005-0000-0000-0000AF390000}"/>
    <cellStyle name="Notas 2 20" xfId="14733" xr:uid="{00000000-0005-0000-0000-0000B0390000}"/>
    <cellStyle name="Notas 2 3" xfId="14734" xr:uid="{00000000-0005-0000-0000-0000B1390000}"/>
    <cellStyle name="Notas 2 3 2" xfId="14735" xr:uid="{00000000-0005-0000-0000-0000B2390000}"/>
    <cellStyle name="Notas 2 3 3" xfId="14736" xr:uid="{00000000-0005-0000-0000-0000B3390000}"/>
    <cellStyle name="Notas 2 3 4" xfId="14737" xr:uid="{00000000-0005-0000-0000-0000B4390000}"/>
    <cellStyle name="Notas 2 3 5" xfId="14738" xr:uid="{00000000-0005-0000-0000-0000B5390000}"/>
    <cellStyle name="Notas 2 3 6" xfId="14739" xr:uid="{00000000-0005-0000-0000-0000B6390000}"/>
    <cellStyle name="Notas 2 3 7" xfId="14740" xr:uid="{00000000-0005-0000-0000-0000B7390000}"/>
    <cellStyle name="Notas 2 4" xfId="14741" xr:uid="{00000000-0005-0000-0000-0000B8390000}"/>
    <cellStyle name="Notas 2 4 2" xfId="14742" xr:uid="{00000000-0005-0000-0000-0000B9390000}"/>
    <cellStyle name="Notas 2 4 3" xfId="14743" xr:uid="{00000000-0005-0000-0000-0000BA390000}"/>
    <cellStyle name="Notas 2 4 4" xfId="14744" xr:uid="{00000000-0005-0000-0000-0000BB390000}"/>
    <cellStyle name="Notas 2 4 5" xfId="14745" xr:uid="{00000000-0005-0000-0000-0000BC390000}"/>
    <cellStyle name="Notas 2 4 6" xfId="14746" xr:uid="{00000000-0005-0000-0000-0000BD390000}"/>
    <cellStyle name="Notas 2 4 7" xfId="14747" xr:uid="{00000000-0005-0000-0000-0000BE390000}"/>
    <cellStyle name="Notas 2 5" xfId="14748" xr:uid="{00000000-0005-0000-0000-0000BF390000}"/>
    <cellStyle name="Notas 2 5 2" xfId="14749" xr:uid="{00000000-0005-0000-0000-0000C0390000}"/>
    <cellStyle name="Notas 2 5 3" xfId="14750" xr:uid="{00000000-0005-0000-0000-0000C1390000}"/>
    <cellStyle name="Notas 2 5 4" xfId="14751" xr:uid="{00000000-0005-0000-0000-0000C2390000}"/>
    <cellStyle name="Notas 2 5 5" xfId="14752" xr:uid="{00000000-0005-0000-0000-0000C3390000}"/>
    <cellStyle name="Notas 2 5 6" xfId="14753" xr:uid="{00000000-0005-0000-0000-0000C4390000}"/>
    <cellStyle name="Notas 2 5 7" xfId="14754" xr:uid="{00000000-0005-0000-0000-0000C5390000}"/>
    <cellStyle name="Notas 2 6" xfId="14755" xr:uid="{00000000-0005-0000-0000-0000C6390000}"/>
    <cellStyle name="Notas 2 6 2" xfId="14756" xr:uid="{00000000-0005-0000-0000-0000C7390000}"/>
    <cellStyle name="Notas 2 6 3" xfId="14757" xr:uid="{00000000-0005-0000-0000-0000C8390000}"/>
    <cellStyle name="Notas 2 6 4" xfId="14758" xr:uid="{00000000-0005-0000-0000-0000C9390000}"/>
    <cellStyle name="Notas 2 6 5" xfId="14759" xr:uid="{00000000-0005-0000-0000-0000CA390000}"/>
    <cellStyle name="Notas 2 6 6" xfId="14760" xr:uid="{00000000-0005-0000-0000-0000CB390000}"/>
    <cellStyle name="Notas 2 6 7" xfId="14761" xr:uid="{00000000-0005-0000-0000-0000CC390000}"/>
    <cellStyle name="Notas 2 7" xfId="14762" xr:uid="{00000000-0005-0000-0000-0000CD390000}"/>
    <cellStyle name="Notas 2 8" xfId="14763" xr:uid="{00000000-0005-0000-0000-0000CE390000}"/>
    <cellStyle name="Notas 2 9" xfId="14764" xr:uid="{00000000-0005-0000-0000-0000CF390000}"/>
    <cellStyle name="Notas 20" xfId="14765" xr:uid="{00000000-0005-0000-0000-0000D0390000}"/>
    <cellStyle name="Notas 20 10" xfId="14766" xr:uid="{00000000-0005-0000-0000-0000D1390000}"/>
    <cellStyle name="Notas 20 11" xfId="14767" xr:uid="{00000000-0005-0000-0000-0000D2390000}"/>
    <cellStyle name="Notas 20 12" xfId="14768" xr:uid="{00000000-0005-0000-0000-0000D3390000}"/>
    <cellStyle name="Notas 20 13" xfId="14769" xr:uid="{00000000-0005-0000-0000-0000D4390000}"/>
    <cellStyle name="Notas 20 14" xfId="14770" xr:uid="{00000000-0005-0000-0000-0000D5390000}"/>
    <cellStyle name="Notas 20 15" xfId="14771" xr:uid="{00000000-0005-0000-0000-0000D6390000}"/>
    <cellStyle name="Notas 20 16" xfId="14772" xr:uid="{00000000-0005-0000-0000-0000D7390000}"/>
    <cellStyle name="Notas 20 17" xfId="14773" xr:uid="{00000000-0005-0000-0000-0000D8390000}"/>
    <cellStyle name="Notas 20 18" xfId="14774" xr:uid="{00000000-0005-0000-0000-0000D9390000}"/>
    <cellStyle name="Notas 20 19" xfId="14775" xr:uid="{00000000-0005-0000-0000-0000DA390000}"/>
    <cellStyle name="Notas 20 2" xfId="14776" xr:uid="{00000000-0005-0000-0000-0000DB390000}"/>
    <cellStyle name="Notas 20 20" xfId="14777" xr:uid="{00000000-0005-0000-0000-0000DC390000}"/>
    <cellStyle name="Notas 20 21" xfId="14778" xr:uid="{00000000-0005-0000-0000-0000DD390000}"/>
    <cellStyle name="Notas 20 22" xfId="14779" xr:uid="{00000000-0005-0000-0000-0000DE390000}"/>
    <cellStyle name="Notas 20 23" xfId="14780" xr:uid="{00000000-0005-0000-0000-0000DF390000}"/>
    <cellStyle name="Notas 20 24" xfId="14781" xr:uid="{00000000-0005-0000-0000-0000E0390000}"/>
    <cellStyle name="Notas 20 25" xfId="14782" xr:uid="{00000000-0005-0000-0000-0000E1390000}"/>
    <cellStyle name="Notas 20 3" xfId="14783" xr:uid="{00000000-0005-0000-0000-0000E2390000}"/>
    <cellStyle name="Notas 20 4" xfId="14784" xr:uid="{00000000-0005-0000-0000-0000E3390000}"/>
    <cellStyle name="Notas 20 5" xfId="14785" xr:uid="{00000000-0005-0000-0000-0000E4390000}"/>
    <cellStyle name="Notas 20 6" xfId="14786" xr:uid="{00000000-0005-0000-0000-0000E5390000}"/>
    <cellStyle name="Notas 20 7" xfId="14787" xr:uid="{00000000-0005-0000-0000-0000E6390000}"/>
    <cellStyle name="Notas 20 8" xfId="14788" xr:uid="{00000000-0005-0000-0000-0000E7390000}"/>
    <cellStyle name="Notas 20 9" xfId="14789" xr:uid="{00000000-0005-0000-0000-0000E8390000}"/>
    <cellStyle name="Notas 21" xfId="14790" xr:uid="{00000000-0005-0000-0000-0000E9390000}"/>
    <cellStyle name="Notas 21 10" xfId="14791" xr:uid="{00000000-0005-0000-0000-0000EA390000}"/>
    <cellStyle name="Notas 21 11" xfId="14792" xr:uid="{00000000-0005-0000-0000-0000EB390000}"/>
    <cellStyle name="Notas 21 12" xfId="14793" xr:uid="{00000000-0005-0000-0000-0000EC390000}"/>
    <cellStyle name="Notas 21 13" xfId="14794" xr:uid="{00000000-0005-0000-0000-0000ED390000}"/>
    <cellStyle name="Notas 21 14" xfId="14795" xr:uid="{00000000-0005-0000-0000-0000EE390000}"/>
    <cellStyle name="Notas 21 15" xfId="14796" xr:uid="{00000000-0005-0000-0000-0000EF390000}"/>
    <cellStyle name="Notas 21 16" xfId="14797" xr:uid="{00000000-0005-0000-0000-0000F0390000}"/>
    <cellStyle name="Notas 21 17" xfId="14798" xr:uid="{00000000-0005-0000-0000-0000F1390000}"/>
    <cellStyle name="Notas 21 18" xfId="14799" xr:uid="{00000000-0005-0000-0000-0000F2390000}"/>
    <cellStyle name="Notas 21 19" xfId="14800" xr:uid="{00000000-0005-0000-0000-0000F3390000}"/>
    <cellStyle name="Notas 21 2" xfId="14801" xr:uid="{00000000-0005-0000-0000-0000F4390000}"/>
    <cellStyle name="Notas 21 20" xfId="14802" xr:uid="{00000000-0005-0000-0000-0000F5390000}"/>
    <cellStyle name="Notas 21 21" xfId="14803" xr:uid="{00000000-0005-0000-0000-0000F6390000}"/>
    <cellStyle name="Notas 21 22" xfId="14804" xr:uid="{00000000-0005-0000-0000-0000F7390000}"/>
    <cellStyle name="Notas 21 23" xfId="14805" xr:uid="{00000000-0005-0000-0000-0000F8390000}"/>
    <cellStyle name="Notas 21 24" xfId="14806" xr:uid="{00000000-0005-0000-0000-0000F9390000}"/>
    <cellStyle name="Notas 21 25" xfId="14807" xr:uid="{00000000-0005-0000-0000-0000FA390000}"/>
    <cellStyle name="Notas 21 3" xfId="14808" xr:uid="{00000000-0005-0000-0000-0000FB390000}"/>
    <cellStyle name="Notas 21 4" xfId="14809" xr:uid="{00000000-0005-0000-0000-0000FC390000}"/>
    <cellStyle name="Notas 21 5" xfId="14810" xr:uid="{00000000-0005-0000-0000-0000FD390000}"/>
    <cellStyle name="Notas 21 6" xfId="14811" xr:uid="{00000000-0005-0000-0000-0000FE390000}"/>
    <cellStyle name="Notas 21 7" xfId="14812" xr:uid="{00000000-0005-0000-0000-0000FF390000}"/>
    <cellStyle name="Notas 21 8" xfId="14813" xr:uid="{00000000-0005-0000-0000-0000003A0000}"/>
    <cellStyle name="Notas 21 9" xfId="14814" xr:uid="{00000000-0005-0000-0000-0000013A0000}"/>
    <cellStyle name="Notas 22" xfId="14815" xr:uid="{00000000-0005-0000-0000-0000023A0000}"/>
    <cellStyle name="Notas 22 10" xfId="14816" xr:uid="{00000000-0005-0000-0000-0000033A0000}"/>
    <cellStyle name="Notas 22 11" xfId="14817" xr:uid="{00000000-0005-0000-0000-0000043A0000}"/>
    <cellStyle name="Notas 22 12" xfId="14818" xr:uid="{00000000-0005-0000-0000-0000053A0000}"/>
    <cellStyle name="Notas 22 13" xfId="14819" xr:uid="{00000000-0005-0000-0000-0000063A0000}"/>
    <cellStyle name="Notas 22 14" xfId="14820" xr:uid="{00000000-0005-0000-0000-0000073A0000}"/>
    <cellStyle name="Notas 22 15" xfId="14821" xr:uid="{00000000-0005-0000-0000-0000083A0000}"/>
    <cellStyle name="Notas 22 16" xfId="14822" xr:uid="{00000000-0005-0000-0000-0000093A0000}"/>
    <cellStyle name="Notas 22 17" xfId="14823" xr:uid="{00000000-0005-0000-0000-00000A3A0000}"/>
    <cellStyle name="Notas 22 18" xfId="14824" xr:uid="{00000000-0005-0000-0000-00000B3A0000}"/>
    <cellStyle name="Notas 22 19" xfId="14825" xr:uid="{00000000-0005-0000-0000-00000C3A0000}"/>
    <cellStyle name="Notas 22 2" xfId="14826" xr:uid="{00000000-0005-0000-0000-00000D3A0000}"/>
    <cellStyle name="Notas 22 20" xfId="14827" xr:uid="{00000000-0005-0000-0000-00000E3A0000}"/>
    <cellStyle name="Notas 22 21" xfId="14828" xr:uid="{00000000-0005-0000-0000-00000F3A0000}"/>
    <cellStyle name="Notas 22 22" xfId="14829" xr:uid="{00000000-0005-0000-0000-0000103A0000}"/>
    <cellStyle name="Notas 22 23" xfId="14830" xr:uid="{00000000-0005-0000-0000-0000113A0000}"/>
    <cellStyle name="Notas 22 24" xfId="14831" xr:uid="{00000000-0005-0000-0000-0000123A0000}"/>
    <cellStyle name="Notas 22 25" xfId="14832" xr:uid="{00000000-0005-0000-0000-0000133A0000}"/>
    <cellStyle name="Notas 22 3" xfId="14833" xr:uid="{00000000-0005-0000-0000-0000143A0000}"/>
    <cellStyle name="Notas 22 4" xfId="14834" xr:uid="{00000000-0005-0000-0000-0000153A0000}"/>
    <cellStyle name="Notas 22 5" xfId="14835" xr:uid="{00000000-0005-0000-0000-0000163A0000}"/>
    <cellStyle name="Notas 22 6" xfId="14836" xr:uid="{00000000-0005-0000-0000-0000173A0000}"/>
    <cellStyle name="Notas 22 7" xfId="14837" xr:uid="{00000000-0005-0000-0000-0000183A0000}"/>
    <cellStyle name="Notas 22 8" xfId="14838" xr:uid="{00000000-0005-0000-0000-0000193A0000}"/>
    <cellStyle name="Notas 22 9" xfId="14839" xr:uid="{00000000-0005-0000-0000-00001A3A0000}"/>
    <cellStyle name="Notas 23" xfId="14840" xr:uid="{00000000-0005-0000-0000-00001B3A0000}"/>
    <cellStyle name="Notas 23 10" xfId="14841" xr:uid="{00000000-0005-0000-0000-00001C3A0000}"/>
    <cellStyle name="Notas 23 11" xfId="14842" xr:uid="{00000000-0005-0000-0000-00001D3A0000}"/>
    <cellStyle name="Notas 23 12" xfId="14843" xr:uid="{00000000-0005-0000-0000-00001E3A0000}"/>
    <cellStyle name="Notas 23 13" xfId="14844" xr:uid="{00000000-0005-0000-0000-00001F3A0000}"/>
    <cellStyle name="Notas 23 14" xfId="14845" xr:uid="{00000000-0005-0000-0000-0000203A0000}"/>
    <cellStyle name="Notas 23 15" xfId="14846" xr:uid="{00000000-0005-0000-0000-0000213A0000}"/>
    <cellStyle name="Notas 23 16" xfId="14847" xr:uid="{00000000-0005-0000-0000-0000223A0000}"/>
    <cellStyle name="Notas 23 17" xfId="14848" xr:uid="{00000000-0005-0000-0000-0000233A0000}"/>
    <cellStyle name="Notas 23 18" xfId="14849" xr:uid="{00000000-0005-0000-0000-0000243A0000}"/>
    <cellStyle name="Notas 23 19" xfId="14850" xr:uid="{00000000-0005-0000-0000-0000253A0000}"/>
    <cellStyle name="Notas 23 2" xfId="14851" xr:uid="{00000000-0005-0000-0000-0000263A0000}"/>
    <cellStyle name="Notas 23 20" xfId="14852" xr:uid="{00000000-0005-0000-0000-0000273A0000}"/>
    <cellStyle name="Notas 23 21" xfId="14853" xr:uid="{00000000-0005-0000-0000-0000283A0000}"/>
    <cellStyle name="Notas 23 22" xfId="14854" xr:uid="{00000000-0005-0000-0000-0000293A0000}"/>
    <cellStyle name="Notas 23 23" xfId="14855" xr:uid="{00000000-0005-0000-0000-00002A3A0000}"/>
    <cellStyle name="Notas 23 24" xfId="14856" xr:uid="{00000000-0005-0000-0000-00002B3A0000}"/>
    <cellStyle name="Notas 23 25" xfId="14857" xr:uid="{00000000-0005-0000-0000-00002C3A0000}"/>
    <cellStyle name="Notas 23 3" xfId="14858" xr:uid="{00000000-0005-0000-0000-00002D3A0000}"/>
    <cellStyle name="Notas 23 4" xfId="14859" xr:uid="{00000000-0005-0000-0000-00002E3A0000}"/>
    <cellStyle name="Notas 23 5" xfId="14860" xr:uid="{00000000-0005-0000-0000-00002F3A0000}"/>
    <cellStyle name="Notas 23 6" xfId="14861" xr:uid="{00000000-0005-0000-0000-0000303A0000}"/>
    <cellStyle name="Notas 23 7" xfId="14862" xr:uid="{00000000-0005-0000-0000-0000313A0000}"/>
    <cellStyle name="Notas 23 8" xfId="14863" xr:uid="{00000000-0005-0000-0000-0000323A0000}"/>
    <cellStyle name="Notas 23 9" xfId="14864" xr:uid="{00000000-0005-0000-0000-0000333A0000}"/>
    <cellStyle name="Notas 24" xfId="14865" xr:uid="{00000000-0005-0000-0000-0000343A0000}"/>
    <cellStyle name="Notas 24 10" xfId="14866" xr:uid="{00000000-0005-0000-0000-0000353A0000}"/>
    <cellStyle name="Notas 24 11" xfId="14867" xr:uid="{00000000-0005-0000-0000-0000363A0000}"/>
    <cellStyle name="Notas 24 12" xfId="14868" xr:uid="{00000000-0005-0000-0000-0000373A0000}"/>
    <cellStyle name="Notas 24 13" xfId="14869" xr:uid="{00000000-0005-0000-0000-0000383A0000}"/>
    <cellStyle name="Notas 24 14" xfId="14870" xr:uid="{00000000-0005-0000-0000-0000393A0000}"/>
    <cellStyle name="Notas 24 15" xfId="14871" xr:uid="{00000000-0005-0000-0000-00003A3A0000}"/>
    <cellStyle name="Notas 24 16" xfId="14872" xr:uid="{00000000-0005-0000-0000-00003B3A0000}"/>
    <cellStyle name="Notas 24 17" xfId="14873" xr:uid="{00000000-0005-0000-0000-00003C3A0000}"/>
    <cellStyle name="Notas 24 18" xfId="14874" xr:uid="{00000000-0005-0000-0000-00003D3A0000}"/>
    <cellStyle name="Notas 24 19" xfId="14875" xr:uid="{00000000-0005-0000-0000-00003E3A0000}"/>
    <cellStyle name="Notas 24 2" xfId="14876" xr:uid="{00000000-0005-0000-0000-00003F3A0000}"/>
    <cellStyle name="Notas 24 20" xfId="14877" xr:uid="{00000000-0005-0000-0000-0000403A0000}"/>
    <cellStyle name="Notas 24 21" xfId="14878" xr:uid="{00000000-0005-0000-0000-0000413A0000}"/>
    <cellStyle name="Notas 24 22" xfId="14879" xr:uid="{00000000-0005-0000-0000-0000423A0000}"/>
    <cellStyle name="Notas 24 23" xfId="14880" xr:uid="{00000000-0005-0000-0000-0000433A0000}"/>
    <cellStyle name="Notas 24 24" xfId="14881" xr:uid="{00000000-0005-0000-0000-0000443A0000}"/>
    <cellStyle name="Notas 24 25" xfId="14882" xr:uid="{00000000-0005-0000-0000-0000453A0000}"/>
    <cellStyle name="Notas 24 3" xfId="14883" xr:uid="{00000000-0005-0000-0000-0000463A0000}"/>
    <cellStyle name="Notas 24 4" xfId="14884" xr:uid="{00000000-0005-0000-0000-0000473A0000}"/>
    <cellStyle name="Notas 24 5" xfId="14885" xr:uid="{00000000-0005-0000-0000-0000483A0000}"/>
    <cellStyle name="Notas 24 6" xfId="14886" xr:uid="{00000000-0005-0000-0000-0000493A0000}"/>
    <cellStyle name="Notas 24 7" xfId="14887" xr:uid="{00000000-0005-0000-0000-00004A3A0000}"/>
    <cellStyle name="Notas 24 8" xfId="14888" xr:uid="{00000000-0005-0000-0000-00004B3A0000}"/>
    <cellStyle name="Notas 24 9" xfId="14889" xr:uid="{00000000-0005-0000-0000-00004C3A0000}"/>
    <cellStyle name="Notas 25" xfId="14890" xr:uid="{00000000-0005-0000-0000-00004D3A0000}"/>
    <cellStyle name="Notas 25 10" xfId="14891" xr:uid="{00000000-0005-0000-0000-00004E3A0000}"/>
    <cellStyle name="Notas 25 11" xfId="14892" xr:uid="{00000000-0005-0000-0000-00004F3A0000}"/>
    <cellStyle name="Notas 25 12" xfId="14893" xr:uid="{00000000-0005-0000-0000-0000503A0000}"/>
    <cellStyle name="Notas 25 13" xfId="14894" xr:uid="{00000000-0005-0000-0000-0000513A0000}"/>
    <cellStyle name="Notas 25 14" xfId="14895" xr:uid="{00000000-0005-0000-0000-0000523A0000}"/>
    <cellStyle name="Notas 25 15" xfId="14896" xr:uid="{00000000-0005-0000-0000-0000533A0000}"/>
    <cellStyle name="Notas 25 16" xfId="14897" xr:uid="{00000000-0005-0000-0000-0000543A0000}"/>
    <cellStyle name="Notas 25 17" xfId="14898" xr:uid="{00000000-0005-0000-0000-0000553A0000}"/>
    <cellStyle name="Notas 25 18" xfId="14899" xr:uid="{00000000-0005-0000-0000-0000563A0000}"/>
    <cellStyle name="Notas 25 19" xfId="14900" xr:uid="{00000000-0005-0000-0000-0000573A0000}"/>
    <cellStyle name="Notas 25 2" xfId="14901" xr:uid="{00000000-0005-0000-0000-0000583A0000}"/>
    <cellStyle name="Notas 25 20" xfId="14902" xr:uid="{00000000-0005-0000-0000-0000593A0000}"/>
    <cellStyle name="Notas 25 21" xfId="14903" xr:uid="{00000000-0005-0000-0000-00005A3A0000}"/>
    <cellStyle name="Notas 25 22" xfId="14904" xr:uid="{00000000-0005-0000-0000-00005B3A0000}"/>
    <cellStyle name="Notas 25 23" xfId="14905" xr:uid="{00000000-0005-0000-0000-00005C3A0000}"/>
    <cellStyle name="Notas 25 24" xfId="14906" xr:uid="{00000000-0005-0000-0000-00005D3A0000}"/>
    <cellStyle name="Notas 25 25" xfId="14907" xr:uid="{00000000-0005-0000-0000-00005E3A0000}"/>
    <cellStyle name="Notas 25 3" xfId="14908" xr:uid="{00000000-0005-0000-0000-00005F3A0000}"/>
    <cellStyle name="Notas 25 4" xfId="14909" xr:uid="{00000000-0005-0000-0000-0000603A0000}"/>
    <cellStyle name="Notas 25 5" xfId="14910" xr:uid="{00000000-0005-0000-0000-0000613A0000}"/>
    <cellStyle name="Notas 25 6" xfId="14911" xr:uid="{00000000-0005-0000-0000-0000623A0000}"/>
    <cellStyle name="Notas 25 7" xfId="14912" xr:uid="{00000000-0005-0000-0000-0000633A0000}"/>
    <cellStyle name="Notas 25 8" xfId="14913" xr:uid="{00000000-0005-0000-0000-0000643A0000}"/>
    <cellStyle name="Notas 25 9" xfId="14914" xr:uid="{00000000-0005-0000-0000-0000653A0000}"/>
    <cellStyle name="Notas 26" xfId="14915" xr:uid="{00000000-0005-0000-0000-0000663A0000}"/>
    <cellStyle name="Notas 26 10" xfId="14916" xr:uid="{00000000-0005-0000-0000-0000673A0000}"/>
    <cellStyle name="Notas 26 11" xfId="14917" xr:uid="{00000000-0005-0000-0000-0000683A0000}"/>
    <cellStyle name="Notas 26 12" xfId="14918" xr:uid="{00000000-0005-0000-0000-0000693A0000}"/>
    <cellStyle name="Notas 26 13" xfId="14919" xr:uid="{00000000-0005-0000-0000-00006A3A0000}"/>
    <cellStyle name="Notas 26 14" xfId="14920" xr:uid="{00000000-0005-0000-0000-00006B3A0000}"/>
    <cellStyle name="Notas 26 15" xfId="14921" xr:uid="{00000000-0005-0000-0000-00006C3A0000}"/>
    <cellStyle name="Notas 26 16" xfId="14922" xr:uid="{00000000-0005-0000-0000-00006D3A0000}"/>
    <cellStyle name="Notas 26 17" xfId="14923" xr:uid="{00000000-0005-0000-0000-00006E3A0000}"/>
    <cellStyle name="Notas 26 18" xfId="14924" xr:uid="{00000000-0005-0000-0000-00006F3A0000}"/>
    <cellStyle name="Notas 26 19" xfId="14925" xr:uid="{00000000-0005-0000-0000-0000703A0000}"/>
    <cellStyle name="Notas 26 2" xfId="14926" xr:uid="{00000000-0005-0000-0000-0000713A0000}"/>
    <cellStyle name="Notas 26 20" xfId="14927" xr:uid="{00000000-0005-0000-0000-0000723A0000}"/>
    <cellStyle name="Notas 26 21" xfId="14928" xr:uid="{00000000-0005-0000-0000-0000733A0000}"/>
    <cellStyle name="Notas 26 22" xfId="14929" xr:uid="{00000000-0005-0000-0000-0000743A0000}"/>
    <cellStyle name="Notas 26 23" xfId="14930" xr:uid="{00000000-0005-0000-0000-0000753A0000}"/>
    <cellStyle name="Notas 26 24" xfId="14931" xr:uid="{00000000-0005-0000-0000-0000763A0000}"/>
    <cellStyle name="Notas 26 25" xfId="14932" xr:uid="{00000000-0005-0000-0000-0000773A0000}"/>
    <cellStyle name="Notas 26 3" xfId="14933" xr:uid="{00000000-0005-0000-0000-0000783A0000}"/>
    <cellStyle name="Notas 26 4" xfId="14934" xr:uid="{00000000-0005-0000-0000-0000793A0000}"/>
    <cellStyle name="Notas 26 5" xfId="14935" xr:uid="{00000000-0005-0000-0000-00007A3A0000}"/>
    <cellStyle name="Notas 26 6" xfId="14936" xr:uid="{00000000-0005-0000-0000-00007B3A0000}"/>
    <cellStyle name="Notas 26 7" xfId="14937" xr:uid="{00000000-0005-0000-0000-00007C3A0000}"/>
    <cellStyle name="Notas 26 8" xfId="14938" xr:uid="{00000000-0005-0000-0000-00007D3A0000}"/>
    <cellStyle name="Notas 26 9" xfId="14939" xr:uid="{00000000-0005-0000-0000-00007E3A0000}"/>
    <cellStyle name="Notas 27" xfId="14940" xr:uid="{00000000-0005-0000-0000-00007F3A0000}"/>
    <cellStyle name="Notas 27 10" xfId="14941" xr:uid="{00000000-0005-0000-0000-0000803A0000}"/>
    <cellStyle name="Notas 27 11" xfId="14942" xr:uid="{00000000-0005-0000-0000-0000813A0000}"/>
    <cellStyle name="Notas 27 12" xfId="14943" xr:uid="{00000000-0005-0000-0000-0000823A0000}"/>
    <cellStyle name="Notas 27 13" xfId="14944" xr:uid="{00000000-0005-0000-0000-0000833A0000}"/>
    <cellStyle name="Notas 27 14" xfId="14945" xr:uid="{00000000-0005-0000-0000-0000843A0000}"/>
    <cellStyle name="Notas 27 15" xfId="14946" xr:uid="{00000000-0005-0000-0000-0000853A0000}"/>
    <cellStyle name="Notas 27 16" xfId="14947" xr:uid="{00000000-0005-0000-0000-0000863A0000}"/>
    <cellStyle name="Notas 27 17" xfId="14948" xr:uid="{00000000-0005-0000-0000-0000873A0000}"/>
    <cellStyle name="Notas 27 18" xfId="14949" xr:uid="{00000000-0005-0000-0000-0000883A0000}"/>
    <cellStyle name="Notas 27 19" xfId="14950" xr:uid="{00000000-0005-0000-0000-0000893A0000}"/>
    <cellStyle name="Notas 27 2" xfId="14951" xr:uid="{00000000-0005-0000-0000-00008A3A0000}"/>
    <cellStyle name="Notas 27 3" xfId="14952" xr:uid="{00000000-0005-0000-0000-00008B3A0000}"/>
    <cellStyle name="Notas 27 4" xfId="14953" xr:uid="{00000000-0005-0000-0000-00008C3A0000}"/>
    <cellStyle name="Notas 27 5" xfId="14954" xr:uid="{00000000-0005-0000-0000-00008D3A0000}"/>
    <cellStyle name="Notas 27 6" xfId="14955" xr:uid="{00000000-0005-0000-0000-00008E3A0000}"/>
    <cellStyle name="Notas 27 7" xfId="14956" xr:uid="{00000000-0005-0000-0000-00008F3A0000}"/>
    <cellStyle name="Notas 27 8" xfId="14957" xr:uid="{00000000-0005-0000-0000-0000903A0000}"/>
    <cellStyle name="Notas 27 9" xfId="14958" xr:uid="{00000000-0005-0000-0000-0000913A0000}"/>
    <cellStyle name="Notas 28" xfId="14959" xr:uid="{00000000-0005-0000-0000-0000923A0000}"/>
    <cellStyle name="Notas 28 10" xfId="14960" xr:uid="{00000000-0005-0000-0000-0000933A0000}"/>
    <cellStyle name="Notas 28 11" xfId="14961" xr:uid="{00000000-0005-0000-0000-0000943A0000}"/>
    <cellStyle name="Notas 28 12" xfId="14962" xr:uid="{00000000-0005-0000-0000-0000953A0000}"/>
    <cellStyle name="Notas 28 13" xfId="14963" xr:uid="{00000000-0005-0000-0000-0000963A0000}"/>
    <cellStyle name="Notas 28 14" xfId="14964" xr:uid="{00000000-0005-0000-0000-0000973A0000}"/>
    <cellStyle name="Notas 28 15" xfId="14965" xr:uid="{00000000-0005-0000-0000-0000983A0000}"/>
    <cellStyle name="Notas 28 16" xfId="14966" xr:uid="{00000000-0005-0000-0000-0000993A0000}"/>
    <cellStyle name="Notas 28 17" xfId="14967" xr:uid="{00000000-0005-0000-0000-00009A3A0000}"/>
    <cellStyle name="Notas 28 18" xfId="14968" xr:uid="{00000000-0005-0000-0000-00009B3A0000}"/>
    <cellStyle name="Notas 28 19" xfId="14969" xr:uid="{00000000-0005-0000-0000-00009C3A0000}"/>
    <cellStyle name="Notas 28 2" xfId="14970" xr:uid="{00000000-0005-0000-0000-00009D3A0000}"/>
    <cellStyle name="Notas 28 3" xfId="14971" xr:uid="{00000000-0005-0000-0000-00009E3A0000}"/>
    <cellStyle name="Notas 28 4" xfId="14972" xr:uid="{00000000-0005-0000-0000-00009F3A0000}"/>
    <cellStyle name="Notas 28 5" xfId="14973" xr:uid="{00000000-0005-0000-0000-0000A03A0000}"/>
    <cellStyle name="Notas 28 6" xfId="14974" xr:uid="{00000000-0005-0000-0000-0000A13A0000}"/>
    <cellStyle name="Notas 28 7" xfId="14975" xr:uid="{00000000-0005-0000-0000-0000A23A0000}"/>
    <cellStyle name="Notas 28 8" xfId="14976" xr:uid="{00000000-0005-0000-0000-0000A33A0000}"/>
    <cellStyle name="Notas 28 9" xfId="14977" xr:uid="{00000000-0005-0000-0000-0000A43A0000}"/>
    <cellStyle name="Notas 29" xfId="14978" xr:uid="{00000000-0005-0000-0000-0000A53A0000}"/>
    <cellStyle name="Notas 29 10" xfId="14979" xr:uid="{00000000-0005-0000-0000-0000A63A0000}"/>
    <cellStyle name="Notas 29 11" xfId="14980" xr:uid="{00000000-0005-0000-0000-0000A73A0000}"/>
    <cellStyle name="Notas 29 12" xfId="14981" xr:uid="{00000000-0005-0000-0000-0000A83A0000}"/>
    <cellStyle name="Notas 29 13" xfId="14982" xr:uid="{00000000-0005-0000-0000-0000A93A0000}"/>
    <cellStyle name="Notas 29 14" xfId="14983" xr:uid="{00000000-0005-0000-0000-0000AA3A0000}"/>
    <cellStyle name="Notas 29 15" xfId="14984" xr:uid="{00000000-0005-0000-0000-0000AB3A0000}"/>
    <cellStyle name="Notas 29 16" xfId="14985" xr:uid="{00000000-0005-0000-0000-0000AC3A0000}"/>
    <cellStyle name="Notas 29 17" xfId="14986" xr:uid="{00000000-0005-0000-0000-0000AD3A0000}"/>
    <cellStyle name="Notas 29 18" xfId="14987" xr:uid="{00000000-0005-0000-0000-0000AE3A0000}"/>
    <cellStyle name="Notas 29 19" xfId="14988" xr:uid="{00000000-0005-0000-0000-0000AF3A0000}"/>
    <cellStyle name="Notas 29 2" xfId="14989" xr:uid="{00000000-0005-0000-0000-0000B03A0000}"/>
    <cellStyle name="Notas 29 3" xfId="14990" xr:uid="{00000000-0005-0000-0000-0000B13A0000}"/>
    <cellStyle name="Notas 29 4" xfId="14991" xr:uid="{00000000-0005-0000-0000-0000B23A0000}"/>
    <cellStyle name="Notas 29 5" xfId="14992" xr:uid="{00000000-0005-0000-0000-0000B33A0000}"/>
    <cellStyle name="Notas 29 6" xfId="14993" xr:uid="{00000000-0005-0000-0000-0000B43A0000}"/>
    <cellStyle name="Notas 29 7" xfId="14994" xr:uid="{00000000-0005-0000-0000-0000B53A0000}"/>
    <cellStyle name="Notas 29 8" xfId="14995" xr:uid="{00000000-0005-0000-0000-0000B63A0000}"/>
    <cellStyle name="Notas 29 9" xfId="14996" xr:uid="{00000000-0005-0000-0000-0000B73A0000}"/>
    <cellStyle name="Notas 3" xfId="14997" xr:uid="{00000000-0005-0000-0000-0000B83A0000}"/>
    <cellStyle name="Notas 3 10" xfId="14998" xr:uid="{00000000-0005-0000-0000-0000B93A0000}"/>
    <cellStyle name="Notas 3 11" xfId="14999" xr:uid="{00000000-0005-0000-0000-0000BA3A0000}"/>
    <cellStyle name="Notas 3 12" xfId="15000" xr:uid="{00000000-0005-0000-0000-0000BB3A0000}"/>
    <cellStyle name="Notas 3 13" xfId="15001" xr:uid="{00000000-0005-0000-0000-0000BC3A0000}"/>
    <cellStyle name="Notas 3 14" xfId="15002" xr:uid="{00000000-0005-0000-0000-0000BD3A0000}"/>
    <cellStyle name="Notas 3 15" xfId="15003" xr:uid="{00000000-0005-0000-0000-0000BE3A0000}"/>
    <cellStyle name="Notas 3 16" xfId="15004" xr:uid="{00000000-0005-0000-0000-0000BF3A0000}"/>
    <cellStyle name="Notas 3 17" xfId="15005" xr:uid="{00000000-0005-0000-0000-0000C03A0000}"/>
    <cellStyle name="Notas 3 18" xfId="15006" xr:uid="{00000000-0005-0000-0000-0000C13A0000}"/>
    <cellStyle name="Notas 3 19" xfId="15007" xr:uid="{00000000-0005-0000-0000-0000C23A0000}"/>
    <cellStyle name="Notas 3 2" xfId="15008" xr:uid="{00000000-0005-0000-0000-0000C33A0000}"/>
    <cellStyle name="Notas 3 2 2" xfId="15009" xr:uid="{00000000-0005-0000-0000-0000C43A0000}"/>
    <cellStyle name="Notas 3 2 3" xfId="15010" xr:uid="{00000000-0005-0000-0000-0000C53A0000}"/>
    <cellStyle name="Notas 3 2 4" xfId="15011" xr:uid="{00000000-0005-0000-0000-0000C63A0000}"/>
    <cellStyle name="Notas 3 2 5" xfId="15012" xr:uid="{00000000-0005-0000-0000-0000C73A0000}"/>
    <cellStyle name="Notas 3 2 6" xfId="15013" xr:uid="{00000000-0005-0000-0000-0000C83A0000}"/>
    <cellStyle name="Notas 3 2 7" xfId="15014" xr:uid="{00000000-0005-0000-0000-0000C93A0000}"/>
    <cellStyle name="Notas 3 20" xfId="15015" xr:uid="{00000000-0005-0000-0000-0000CA3A0000}"/>
    <cellStyle name="Notas 3 3" xfId="15016" xr:uid="{00000000-0005-0000-0000-0000CB3A0000}"/>
    <cellStyle name="Notas 3 3 2" xfId="15017" xr:uid="{00000000-0005-0000-0000-0000CC3A0000}"/>
    <cellStyle name="Notas 3 3 3" xfId="15018" xr:uid="{00000000-0005-0000-0000-0000CD3A0000}"/>
    <cellStyle name="Notas 3 3 4" xfId="15019" xr:uid="{00000000-0005-0000-0000-0000CE3A0000}"/>
    <cellStyle name="Notas 3 3 5" xfId="15020" xr:uid="{00000000-0005-0000-0000-0000CF3A0000}"/>
    <cellStyle name="Notas 3 3 6" xfId="15021" xr:uid="{00000000-0005-0000-0000-0000D03A0000}"/>
    <cellStyle name="Notas 3 3 7" xfId="15022" xr:uid="{00000000-0005-0000-0000-0000D13A0000}"/>
    <cellStyle name="Notas 3 4" xfId="15023" xr:uid="{00000000-0005-0000-0000-0000D23A0000}"/>
    <cellStyle name="Notas 3 4 2" xfId="15024" xr:uid="{00000000-0005-0000-0000-0000D33A0000}"/>
    <cellStyle name="Notas 3 4 3" xfId="15025" xr:uid="{00000000-0005-0000-0000-0000D43A0000}"/>
    <cellStyle name="Notas 3 4 4" xfId="15026" xr:uid="{00000000-0005-0000-0000-0000D53A0000}"/>
    <cellStyle name="Notas 3 4 5" xfId="15027" xr:uid="{00000000-0005-0000-0000-0000D63A0000}"/>
    <cellStyle name="Notas 3 4 6" xfId="15028" xr:uid="{00000000-0005-0000-0000-0000D73A0000}"/>
    <cellStyle name="Notas 3 4 7" xfId="15029" xr:uid="{00000000-0005-0000-0000-0000D83A0000}"/>
    <cellStyle name="Notas 3 5" xfId="15030" xr:uid="{00000000-0005-0000-0000-0000D93A0000}"/>
    <cellStyle name="Notas 3 5 2" xfId="15031" xr:uid="{00000000-0005-0000-0000-0000DA3A0000}"/>
    <cellStyle name="Notas 3 5 3" xfId="15032" xr:uid="{00000000-0005-0000-0000-0000DB3A0000}"/>
    <cellStyle name="Notas 3 5 4" xfId="15033" xr:uid="{00000000-0005-0000-0000-0000DC3A0000}"/>
    <cellStyle name="Notas 3 5 5" xfId="15034" xr:uid="{00000000-0005-0000-0000-0000DD3A0000}"/>
    <cellStyle name="Notas 3 5 6" xfId="15035" xr:uid="{00000000-0005-0000-0000-0000DE3A0000}"/>
    <cellStyle name="Notas 3 5 7" xfId="15036" xr:uid="{00000000-0005-0000-0000-0000DF3A0000}"/>
    <cellStyle name="Notas 3 6" xfId="15037" xr:uid="{00000000-0005-0000-0000-0000E03A0000}"/>
    <cellStyle name="Notas 3 6 2" xfId="15038" xr:uid="{00000000-0005-0000-0000-0000E13A0000}"/>
    <cellStyle name="Notas 3 6 3" xfId="15039" xr:uid="{00000000-0005-0000-0000-0000E23A0000}"/>
    <cellStyle name="Notas 3 6 4" xfId="15040" xr:uid="{00000000-0005-0000-0000-0000E33A0000}"/>
    <cellStyle name="Notas 3 6 5" xfId="15041" xr:uid="{00000000-0005-0000-0000-0000E43A0000}"/>
    <cellStyle name="Notas 3 6 6" xfId="15042" xr:uid="{00000000-0005-0000-0000-0000E53A0000}"/>
    <cellStyle name="Notas 3 6 7" xfId="15043" xr:uid="{00000000-0005-0000-0000-0000E63A0000}"/>
    <cellStyle name="Notas 3 7" xfId="15044" xr:uid="{00000000-0005-0000-0000-0000E73A0000}"/>
    <cellStyle name="Notas 3 8" xfId="15045" xr:uid="{00000000-0005-0000-0000-0000E83A0000}"/>
    <cellStyle name="Notas 3 9" xfId="15046" xr:uid="{00000000-0005-0000-0000-0000E93A0000}"/>
    <cellStyle name="Notas 30" xfId="15047" xr:uid="{00000000-0005-0000-0000-0000EA3A0000}"/>
    <cellStyle name="Notas 30 10" xfId="15048" xr:uid="{00000000-0005-0000-0000-0000EB3A0000}"/>
    <cellStyle name="Notas 30 11" xfId="15049" xr:uid="{00000000-0005-0000-0000-0000EC3A0000}"/>
    <cellStyle name="Notas 30 12" xfId="15050" xr:uid="{00000000-0005-0000-0000-0000ED3A0000}"/>
    <cellStyle name="Notas 30 13" xfId="15051" xr:uid="{00000000-0005-0000-0000-0000EE3A0000}"/>
    <cellStyle name="Notas 30 14" xfId="15052" xr:uid="{00000000-0005-0000-0000-0000EF3A0000}"/>
    <cellStyle name="Notas 30 15" xfId="15053" xr:uid="{00000000-0005-0000-0000-0000F03A0000}"/>
    <cellStyle name="Notas 30 16" xfId="15054" xr:uid="{00000000-0005-0000-0000-0000F13A0000}"/>
    <cellStyle name="Notas 30 17" xfId="15055" xr:uid="{00000000-0005-0000-0000-0000F23A0000}"/>
    <cellStyle name="Notas 30 18" xfId="15056" xr:uid="{00000000-0005-0000-0000-0000F33A0000}"/>
    <cellStyle name="Notas 30 19" xfId="15057" xr:uid="{00000000-0005-0000-0000-0000F43A0000}"/>
    <cellStyle name="Notas 30 2" xfId="15058" xr:uid="{00000000-0005-0000-0000-0000F53A0000}"/>
    <cellStyle name="Notas 30 3" xfId="15059" xr:uid="{00000000-0005-0000-0000-0000F63A0000}"/>
    <cellStyle name="Notas 30 4" xfId="15060" xr:uid="{00000000-0005-0000-0000-0000F73A0000}"/>
    <cellStyle name="Notas 30 5" xfId="15061" xr:uid="{00000000-0005-0000-0000-0000F83A0000}"/>
    <cellStyle name="Notas 30 6" xfId="15062" xr:uid="{00000000-0005-0000-0000-0000F93A0000}"/>
    <cellStyle name="Notas 30 7" xfId="15063" xr:uid="{00000000-0005-0000-0000-0000FA3A0000}"/>
    <cellStyle name="Notas 30 8" xfId="15064" xr:uid="{00000000-0005-0000-0000-0000FB3A0000}"/>
    <cellStyle name="Notas 30 9" xfId="15065" xr:uid="{00000000-0005-0000-0000-0000FC3A0000}"/>
    <cellStyle name="Notas 31" xfId="15066" xr:uid="{00000000-0005-0000-0000-0000FD3A0000}"/>
    <cellStyle name="Notas 31 10" xfId="15067" xr:uid="{00000000-0005-0000-0000-0000FE3A0000}"/>
    <cellStyle name="Notas 31 11" xfId="15068" xr:uid="{00000000-0005-0000-0000-0000FF3A0000}"/>
    <cellStyle name="Notas 31 12" xfId="15069" xr:uid="{00000000-0005-0000-0000-0000003B0000}"/>
    <cellStyle name="Notas 31 13" xfId="15070" xr:uid="{00000000-0005-0000-0000-0000013B0000}"/>
    <cellStyle name="Notas 31 14" xfId="15071" xr:uid="{00000000-0005-0000-0000-0000023B0000}"/>
    <cellStyle name="Notas 31 15" xfId="15072" xr:uid="{00000000-0005-0000-0000-0000033B0000}"/>
    <cellStyle name="Notas 31 16" xfId="15073" xr:uid="{00000000-0005-0000-0000-0000043B0000}"/>
    <cellStyle name="Notas 31 17" xfId="15074" xr:uid="{00000000-0005-0000-0000-0000053B0000}"/>
    <cellStyle name="Notas 31 18" xfId="15075" xr:uid="{00000000-0005-0000-0000-0000063B0000}"/>
    <cellStyle name="Notas 31 19" xfId="15076" xr:uid="{00000000-0005-0000-0000-0000073B0000}"/>
    <cellStyle name="Notas 31 2" xfId="15077" xr:uid="{00000000-0005-0000-0000-0000083B0000}"/>
    <cellStyle name="Notas 31 3" xfId="15078" xr:uid="{00000000-0005-0000-0000-0000093B0000}"/>
    <cellStyle name="Notas 31 4" xfId="15079" xr:uid="{00000000-0005-0000-0000-00000A3B0000}"/>
    <cellStyle name="Notas 31 5" xfId="15080" xr:uid="{00000000-0005-0000-0000-00000B3B0000}"/>
    <cellStyle name="Notas 31 6" xfId="15081" xr:uid="{00000000-0005-0000-0000-00000C3B0000}"/>
    <cellStyle name="Notas 31 7" xfId="15082" xr:uid="{00000000-0005-0000-0000-00000D3B0000}"/>
    <cellStyle name="Notas 31 8" xfId="15083" xr:uid="{00000000-0005-0000-0000-00000E3B0000}"/>
    <cellStyle name="Notas 31 9" xfId="15084" xr:uid="{00000000-0005-0000-0000-00000F3B0000}"/>
    <cellStyle name="Notas 32" xfId="15085" xr:uid="{00000000-0005-0000-0000-0000103B0000}"/>
    <cellStyle name="Notas 32 10" xfId="15086" xr:uid="{00000000-0005-0000-0000-0000113B0000}"/>
    <cellStyle name="Notas 32 11" xfId="15087" xr:uid="{00000000-0005-0000-0000-0000123B0000}"/>
    <cellStyle name="Notas 32 12" xfId="15088" xr:uid="{00000000-0005-0000-0000-0000133B0000}"/>
    <cellStyle name="Notas 32 13" xfId="15089" xr:uid="{00000000-0005-0000-0000-0000143B0000}"/>
    <cellStyle name="Notas 32 14" xfId="15090" xr:uid="{00000000-0005-0000-0000-0000153B0000}"/>
    <cellStyle name="Notas 32 15" xfId="15091" xr:uid="{00000000-0005-0000-0000-0000163B0000}"/>
    <cellStyle name="Notas 32 16" xfId="15092" xr:uid="{00000000-0005-0000-0000-0000173B0000}"/>
    <cellStyle name="Notas 32 17" xfId="15093" xr:uid="{00000000-0005-0000-0000-0000183B0000}"/>
    <cellStyle name="Notas 32 18" xfId="15094" xr:uid="{00000000-0005-0000-0000-0000193B0000}"/>
    <cellStyle name="Notas 32 19" xfId="15095" xr:uid="{00000000-0005-0000-0000-00001A3B0000}"/>
    <cellStyle name="Notas 32 2" xfId="15096" xr:uid="{00000000-0005-0000-0000-00001B3B0000}"/>
    <cellStyle name="Notas 32 3" xfId="15097" xr:uid="{00000000-0005-0000-0000-00001C3B0000}"/>
    <cellStyle name="Notas 32 4" xfId="15098" xr:uid="{00000000-0005-0000-0000-00001D3B0000}"/>
    <cellStyle name="Notas 32 5" xfId="15099" xr:uid="{00000000-0005-0000-0000-00001E3B0000}"/>
    <cellStyle name="Notas 32 6" xfId="15100" xr:uid="{00000000-0005-0000-0000-00001F3B0000}"/>
    <cellStyle name="Notas 32 7" xfId="15101" xr:uid="{00000000-0005-0000-0000-0000203B0000}"/>
    <cellStyle name="Notas 32 8" xfId="15102" xr:uid="{00000000-0005-0000-0000-0000213B0000}"/>
    <cellStyle name="Notas 32 9" xfId="15103" xr:uid="{00000000-0005-0000-0000-0000223B0000}"/>
    <cellStyle name="Notas 33" xfId="15104" xr:uid="{00000000-0005-0000-0000-0000233B0000}"/>
    <cellStyle name="Notas 33 10" xfId="15105" xr:uid="{00000000-0005-0000-0000-0000243B0000}"/>
    <cellStyle name="Notas 33 11" xfId="15106" xr:uid="{00000000-0005-0000-0000-0000253B0000}"/>
    <cellStyle name="Notas 33 12" xfId="15107" xr:uid="{00000000-0005-0000-0000-0000263B0000}"/>
    <cellStyle name="Notas 33 13" xfId="15108" xr:uid="{00000000-0005-0000-0000-0000273B0000}"/>
    <cellStyle name="Notas 33 14" xfId="15109" xr:uid="{00000000-0005-0000-0000-0000283B0000}"/>
    <cellStyle name="Notas 33 15" xfId="15110" xr:uid="{00000000-0005-0000-0000-0000293B0000}"/>
    <cellStyle name="Notas 33 16" xfId="15111" xr:uid="{00000000-0005-0000-0000-00002A3B0000}"/>
    <cellStyle name="Notas 33 17" xfId="15112" xr:uid="{00000000-0005-0000-0000-00002B3B0000}"/>
    <cellStyle name="Notas 33 18" xfId="15113" xr:uid="{00000000-0005-0000-0000-00002C3B0000}"/>
    <cellStyle name="Notas 33 19" xfId="15114" xr:uid="{00000000-0005-0000-0000-00002D3B0000}"/>
    <cellStyle name="Notas 33 2" xfId="15115" xr:uid="{00000000-0005-0000-0000-00002E3B0000}"/>
    <cellStyle name="Notas 33 3" xfId="15116" xr:uid="{00000000-0005-0000-0000-00002F3B0000}"/>
    <cellStyle name="Notas 33 4" xfId="15117" xr:uid="{00000000-0005-0000-0000-0000303B0000}"/>
    <cellStyle name="Notas 33 5" xfId="15118" xr:uid="{00000000-0005-0000-0000-0000313B0000}"/>
    <cellStyle name="Notas 33 6" xfId="15119" xr:uid="{00000000-0005-0000-0000-0000323B0000}"/>
    <cellStyle name="Notas 33 7" xfId="15120" xr:uid="{00000000-0005-0000-0000-0000333B0000}"/>
    <cellStyle name="Notas 33 8" xfId="15121" xr:uid="{00000000-0005-0000-0000-0000343B0000}"/>
    <cellStyle name="Notas 33 9" xfId="15122" xr:uid="{00000000-0005-0000-0000-0000353B0000}"/>
    <cellStyle name="Notas 34" xfId="15123" xr:uid="{00000000-0005-0000-0000-0000363B0000}"/>
    <cellStyle name="Notas 34 10" xfId="15124" xr:uid="{00000000-0005-0000-0000-0000373B0000}"/>
    <cellStyle name="Notas 34 11" xfId="15125" xr:uid="{00000000-0005-0000-0000-0000383B0000}"/>
    <cellStyle name="Notas 34 12" xfId="15126" xr:uid="{00000000-0005-0000-0000-0000393B0000}"/>
    <cellStyle name="Notas 34 13" xfId="15127" xr:uid="{00000000-0005-0000-0000-00003A3B0000}"/>
    <cellStyle name="Notas 34 14" xfId="15128" xr:uid="{00000000-0005-0000-0000-00003B3B0000}"/>
    <cellStyle name="Notas 34 15" xfId="15129" xr:uid="{00000000-0005-0000-0000-00003C3B0000}"/>
    <cellStyle name="Notas 34 16" xfId="15130" xr:uid="{00000000-0005-0000-0000-00003D3B0000}"/>
    <cellStyle name="Notas 34 17" xfId="15131" xr:uid="{00000000-0005-0000-0000-00003E3B0000}"/>
    <cellStyle name="Notas 34 18" xfId="15132" xr:uid="{00000000-0005-0000-0000-00003F3B0000}"/>
    <cellStyle name="Notas 34 19" xfId="15133" xr:uid="{00000000-0005-0000-0000-0000403B0000}"/>
    <cellStyle name="Notas 34 2" xfId="15134" xr:uid="{00000000-0005-0000-0000-0000413B0000}"/>
    <cellStyle name="Notas 34 3" xfId="15135" xr:uid="{00000000-0005-0000-0000-0000423B0000}"/>
    <cellStyle name="Notas 34 4" xfId="15136" xr:uid="{00000000-0005-0000-0000-0000433B0000}"/>
    <cellStyle name="Notas 34 5" xfId="15137" xr:uid="{00000000-0005-0000-0000-0000443B0000}"/>
    <cellStyle name="Notas 34 6" xfId="15138" xr:uid="{00000000-0005-0000-0000-0000453B0000}"/>
    <cellStyle name="Notas 34 7" xfId="15139" xr:uid="{00000000-0005-0000-0000-0000463B0000}"/>
    <cellStyle name="Notas 34 8" xfId="15140" xr:uid="{00000000-0005-0000-0000-0000473B0000}"/>
    <cellStyle name="Notas 34 9" xfId="15141" xr:uid="{00000000-0005-0000-0000-0000483B0000}"/>
    <cellStyle name="Notas 35" xfId="15142" xr:uid="{00000000-0005-0000-0000-0000493B0000}"/>
    <cellStyle name="Notas 35 10" xfId="15143" xr:uid="{00000000-0005-0000-0000-00004A3B0000}"/>
    <cellStyle name="Notas 35 11" xfId="15144" xr:uid="{00000000-0005-0000-0000-00004B3B0000}"/>
    <cellStyle name="Notas 35 12" xfId="15145" xr:uid="{00000000-0005-0000-0000-00004C3B0000}"/>
    <cellStyle name="Notas 35 13" xfId="15146" xr:uid="{00000000-0005-0000-0000-00004D3B0000}"/>
    <cellStyle name="Notas 35 14" xfId="15147" xr:uid="{00000000-0005-0000-0000-00004E3B0000}"/>
    <cellStyle name="Notas 35 15" xfId="15148" xr:uid="{00000000-0005-0000-0000-00004F3B0000}"/>
    <cellStyle name="Notas 35 16" xfId="15149" xr:uid="{00000000-0005-0000-0000-0000503B0000}"/>
    <cellStyle name="Notas 35 17" xfId="15150" xr:uid="{00000000-0005-0000-0000-0000513B0000}"/>
    <cellStyle name="Notas 35 18" xfId="15151" xr:uid="{00000000-0005-0000-0000-0000523B0000}"/>
    <cellStyle name="Notas 35 19" xfId="15152" xr:uid="{00000000-0005-0000-0000-0000533B0000}"/>
    <cellStyle name="Notas 35 2" xfId="15153" xr:uid="{00000000-0005-0000-0000-0000543B0000}"/>
    <cellStyle name="Notas 35 3" xfId="15154" xr:uid="{00000000-0005-0000-0000-0000553B0000}"/>
    <cellStyle name="Notas 35 4" xfId="15155" xr:uid="{00000000-0005-0000-0000-0000563B0000}"/>
    <cellStyle name="Notas 35 5" xfId="15156" xr:uid="{00000000-0005-0000-0000-0000573B0000}"/>
    <cellStyle name="Notas 35 6" xfId="15157" xr:uid="{00000000-0005-0000-0000-0000583B0000}"/>
    <cellStyle name="Notas 35 7" xfId="15158" xr:uid="{00000000-0005-0000-0000-0000593B0000}"/>
    <cellStyle name="Notas 35 8" xfId="15159" xr:uid="{00000000-0005-0000-0000-00005A3B0000}"/>
    <cellStyle name="Notas 35 9" xfId="15160" xr:uid="{00000000-0005-0000-0000-00005B3B0000}"/>
    <cellStyle name="Notas 36" xfId="15161" xr:uid="{00000000-0005-0000-0000-00005C3B0000}"/>
    <cellStyle name="Notas 36 10" xfId="15162" xr:uid="{00000000-0005-0000-0000-00005D3B0000}"/>
    <cellStyle name="Notas 36 11" xfId="15163" xr:uid="{00000000-0005-0000-0000-00005E3B0000}"/>
    <cellStyle name="Notas 36 12" xfId="15164" xr:uid="{00000000-0005-0000-0000-00005F3B0000}"/>
    <cellStyle name="Notas 36 13" xfId="15165" xr:uid="{00000000-0005-0000-0000-0000603B0000}"/>
    <cellStyle name="Notas 36 14" xfId="15166" xr:uid="{00000000-0005-0000-0000-0000613B0000}"/>
    <cellStyle name="Notas 36 15" xfId="15167" xr:uid="{00000000-0005-0000-0000-0000623B0000}"/>
    <cellStyle name="Notas 36 16" xfId="15168" xr:uid="{00000000-0005-0000-0000-0000633B0000}"/>
    <cellStyle name="Notas 36 17" xfId="15169" xr:uid="{00000000-0005-0000-0000-0000643B0000}"/>
    <cellStyle name="Notas 36 18" xfId="15170" xr:uid="{00000000-0005-0000-0000-0000653B0000}"/>
    <cellStyle name="Notas 36 19" xfId="15171" xr:uid="{00000000-0005-0000-0000-0000663B0000}"/>
    <cellStyle name="Notas 36 2" xfId="15172" xr:uid="{00000000-0005-0000-0000-0000673B0000}"/>
    <cellStyle name="Notas 36 3" xfId="15173" xr:uid="{00000000-0005-0000-0000-0000683B0000}"/>
    <cellStyle name="Notas 36 4" xfId="15174" xr:uid="{00000000-0005-0000-0000-0000693B0000}"/>
    <cellStyle name="Notas 36 5" xfId="15175" xr:uid="{00000000-0005-0000-0000-00006A3B0000}"/>
    <cellStyle name="Notas 36 6" xfId="15176" xr:uid="{00000000-0005-0000-0000-00006B3B0000}"/>
    <cellStyle name="Notas 36 7" xfId="15177" xr:uid="{00000000-0005-0000-0000-00006C3B0000}"/>
    <cellStyle name="Notas 36 8" xfId="15178" xr:uid="{00000000-0005-0000-0000-00006D3B0000}"/>
    <cellStyle name="Notas 36 9" xfId="15179" xr:uid="{00000000-0005-0000-0000-00006E3B0000}"/>
    <cellStyle name="Notas 37" xfId="15180" xr:uid="{00000000-0005-0000-0000-00006F3B0000}"/>
    <cellStyle name="Notas 37 10" xfId="15181" xr:uid="{00000000-0005-0000-0000-0000703B0000}"/>
    <cellStyle name="Notas 37 11" xfId="15182" xr:uid="{00000000-0005-0000-0000-0000713B0000}"/>
    <cellStyle name="Notas 37 12" xfId="15183" xr:uid="{00000000-0005-0000-0000-0000723B0000}"/>
    <cellStyle name="Notas 37 13" xfId="15184" xr:uid="{00000000-0005-0000-0000-0000733B0000}"/>
    <cellStyle name="Notas 37 14" xfId="15185" xr:uid="{00000000-0005-0000-0000-0000743B0000}"/>
    <cellStyle name="Notas 37 15" xfId="15186" xr:uid="{00000000-0005-0000-0000-0000753B0000}"/>
    <cellStyle name="Notas 37 16" xfId="15187" xr:uid="{00000000-0005-0000-0000-0000763B0000}"/>
    <cellStyle name="Notas 37 17" xfId="15188" xr:uid="{00000000-0005-0000-0000-0000773B0000}"/>
    <cellStyle name="Notas 37 18" xfId="15189" xr:uid="{00000000-0005-0000-0000-0000783B0000}"/>
    <cellStyle name="Notas 37 19" xfId="15190" xr:uid="{00000000-0005-0000-0000-0000793B0000}"/>
    <cellStyle name="Notas 37 2" xfId="15191" xr:uid="{00000000-0005-0000-0000-00007A3B0000}"/>
    <cellStyle name="Notas 37 3" xfId="15192" xr:uid="{00000000-0005-0000-0000-00007B3B0000}"/>
    <cellStyle name="Notas 37 4" xfId="15193" xr:uid="{00000000-0005-0000-0000-00007C3B0000}"/>
    <cellStyle name="Notas 37 5" xfId="15194" xr:uid="{00000000-0005-0000-0000-00007D3B0000}"/>
    <cellStyle name="Notas 37 6" xfId="15195" xr:uid="{00000000-0005-0000-0000-00007E3B0000}"/>
    <cellStyle name="Notas 37 7" xfId="15196" xr:uid="{00000000-0005-0000-0000-00007F3B0000}"/>
    <cellStyle name="Notas 37 8" xfId="15197" xr:uid="{00000000-0005-0000-0000-0000803B0000}"/>
    <cellStyle name="Notas 37 9" xfId="15198" xr:uid="{00000000-0005-0000-0000-0000813B0000}"/>
    <cellStyle name="Notas 38" xfId="15199" xr:uid="{00000000-0005-0000-0000-0000823B0000}"/>
    <cellStyle name="Notas 39" xfId="15200" xr:uid="{00000000-0005-0000-0000-0000833B0000}"/>
    <cellStyle name="Notas 4" xfId="15201" xr:uid="{00000000-0005-0000-0000-0000843B0000}"/>
    <cellStyle name="Notas 4 10" xfId="15202" xr:uid="{00000000-0005-0000-0000-0000853B0000}"/>
    <cellStyle name="Notas 4 11" xfId="15203" xr:uid="{00000000-0005-0000-0000-0000863B0000}"/>
    <cellStyle name="Notas 4 12" xfId="15204" xr:uid="{00000000-0005-0000-0000-0000873B0000}"/>
    <cellStyle name="Notas 4 13" xfId="15205" xr:uid="{00000000-0005-0000-0000-0000883B0000}"/>
    <cellStyle name="Notas 4 14" xfId="15206" xr:uid="{00000000-0005-0000-0000-0000893B0000}"/>
    <cellStyle name="Notas 4 15" xfId="15207" xr:uid="{00000000-0005-0000-0000-00008A3B0000}"/>
    <cellStyle name="Notas 4 16" xfId="15208" xr:uid="{00000000-0005-0000-0000-00008B3B0000}"/>
    <cellStyle name="Notas 4 17" xfId="15209" xr:uid="{00000000-0005-0000-0000-00008C3B0000}"/>
    <cellStyle name="Notas 4 18" xfId="15210" xr:uid="{00000000-0005-0000-0000-00008D3B0000}"/>
    <cellStyle name="Notas 4 19" xfId="15211" xr:uid="{00000000-0005-0000-0000-00008E3B0000}"/>
    <cellStyle name="Notas 4 2" xfId="15212" xr:uid="{00000000-0005-0000-0000-00008F3B0000}"/>
    <cellStyle name="Notas 4 2 2" xfId="15213" xr:uid="{00000000-0005-0000-0000-0000903B0000}"/>
    <cellStyle name="Notas 4 2 3" xfId="15214" xr:uid="{00000000-0005-0000-0000-0000913B0000}"/>
    <cellStyle name="Notas 4 2 4" xfId="15215" xr:uid="{00000000-0005-0000-0000-0000923B0000}"/>
    <cellStyle name="Notas 4 2 5" xfId="15216" xr:uid="{00000000-0005-0000-0000-0000933B0000}"/>
    <cellStyle name="Notas 4 2 6" xfId="15217" xr:uid="{00000000-0005-0000-0000-0000943B0000}"/>
    <cellStyle name="Notas 4 2 7" xfId="15218" xr:uid="{00000000-0005-0000-0000-0000953B0000}"/>
    <cellStyle name="Notas 4 20" xfId="15219" xr:uid="{00000000-0005-0000-0000-0000963B0000}"/>
    <cellStyle name="Notas 4 21" xfId="15220" xr:uid="{00000000-0005-0000-0000-0000973B0000}"/>
    <cellStyle name="Notas 4 22" xfId="15221" xr:uid="{00000000-0005-0000-0000-0000983B0000}"/>
    <cellStyle name="Notas 4 23" xfId="15222" xr:uid="{00000000-0005-0000-0000-0000993B0000}"/>
    <cellStyle name="Notas 4 24" xfId="15223" xr:uid="{00000000-0005-0000-0000-00009A3B0000}"/>
    <cellStyle name="Notas 4 25" xfId="15224" xr:uid="{00000000-0005-0000-0000-00009B3B0000}"/>
    <cellStyle name="Notas 4 26" xfId="15225" xr:uid="{00000000-0005-0000-0000-00009C3B0000}"/>
    <cellStyle name="Notas 4 3" xfId="15226" xr:uid="{00000000-0005-0000-0000-00009D3B0000}"/>
    <cellStyle name="Notas 4 4" xfId="15227" xr:uid="{00000000-0005-0000-0000-00009E3B0000}"/>
    <cellStyle name="Notas 4 5" xfId="15228" xr:uid="{00000000-0005-0000-0000-00009F3B0000}"/>
    <cellStyle name="Notas 4 6" xfId="15229" xr:uid="{00000000-0005-0000-0000-0000A03B0000}"/>
    <cellStyle name="Notas 4 7" xfId="15230" xr:uid="{00000000-0005-0000-0000-0000A13B0000}"/>
    <cellStyle name="Notas 4 8" xfId="15231" xr:uid="{00000000-0005-0000-0000-0000A23B0000}"/>
    <cellStyle name="Notas 4 9" xfId="15232" xr:uid="{00000000-0005-0000-0000-0000A33B0000}"/>
    <cellStyle name="Notas 40" xfId="15233" xr:uid="{00000000-0005-0000-0000-0000A43B0000}"/>
    <cellStyle name="Notas 41" xfId="15234" xr:uid="{00000000-0005-0000-0000-0000A53B0000}"/>
    <cellStyle name="Notas 42" xfId="15235" xr:uid="{00000000-0005-0000-0000-0000A63B0000}"/>
    <cellStyle name="Notas 43" xfId="15236" xr:uid="{00000000-0005-0000-0000-0000A73B0000}"/>
    <cellStyle name="Notas 44" xfId="15237" xr:uid="{00000000-0005-0000-0000-0000A83B0000}"/>
    <cellStyle name="Notas 45" xfId="15238" xr:uid="{00000000-0005-0000-0000-0000A93B0000}"/>
    <cellStyle name="Notas 46" xfId="15239" xr:uid="{00000000-0005-0000-0000-0000AA3B0000}"/>
    <cellStyle name="Notas 47" xfId="15240" xr:uid="{00000000-0005-0000-0000-0000AB3B0000}"/>
    <cellStyle name="Notas 48" xfId="15241" xr:uid="{00000000-0005-0000-0000-0000AC3B0000}"/>
    <cellStyle name="Notas 49" xfId="15242" xr:uid="{00000000-0005-0000-0000-0000AD3B0000}"/>
    <cellStyle name="Notas 5" xfId="15243" xr:uid="{00000000-0005-0000-0000-0000AE3B0000}"/>
    <cellStyle name="Notas 5 10" xfId="15244" xr:uid="{00000000-0005-0000-0000-0000AF3B0000}"/>
    <cellStyle name="Notas 5 11" xfId="15245" xr:uid="{00000000-0005-0000-0000-0000B03B0000}"/>
    <cellStyle name="Notas 5 12" xfId="15246" xr:uid="{00000000-0005-0000-0000-0000B13B0000}"/>
    <cellStyle name="Notas 5 13" xfId="15247" xr:uid="{00000000-0005-0000-0000-0000B23B0000}"/>
    <cellStyle name="Notas 5 14" xfId="15248" xr:uid="{00000000-0005-0000-0000-0000B33B0000}"/>
    <cellStyle name="Notas 5 15" xfId="15249" xr:uid="{00000000-0005-0000-0000-0000B43B0000}"/>
    <cellStyle name="Notas 5 16" xfId="15250" xr:uid="{00000000-0005-0000-0000-0000B53B0000}"/>
    <cellStyle name="Notas 5 17" xfId="15251" xr:uid="{00000000-0005-0000-0000-0000B63B0000}"/>
    <cellStyle name="Notas 5 18" xfId="15252" xr:uid="{00000000-0005-0000-0000-0000B73B0000}"/>
    <cellStyle name="Notas 5 19" xfId="15253" xr:uid="{00000000-0005-0000-0000-0000B83B0000}"/>
    <cellStyle name="Notas 5 2" xfId="15254" xr:uid="{00000000-0005-0000-0000-0000B93B0000}"/>
    <cellStyle name="Notas 5 2 2" xfId="15255" xr:uid="{00000000-0005-0000-0000-0000BA3B0000}"/>
    <cellStyle name="Notas 5 2 3" xfId="15256" xr:uid="{00000000-0005-0000-0000-0000BB3B0000}"/>
    <cellStyle name="Notas 5 2 4" xfId="15257" xr:uid="{00000000-0005-0000-0000-0000BC3B0000}"/>
    <cellStyle name="Notas 5 2 5" xfId="15258" xr:uid="{00000000-0005-0000-0000-0000BD3B0000}"/>
    <cellStyle name="Notas 5 2 6" xfId="15259" xr:uid="{00000000-0005-0000-0000-0000BE3B0000}"/>
    <cellStyle name="Notas 5 2 7" xfId="15260" xr:uid="{00000000-0005-0000-0000-0000BF3B0000}"/>
    <cellStyle name="Notas 5 20" xfId="15261" xr:uid="{00000000-0005-0000-0000-0000C03B0000}"/>
    <cellStyle name="Notas 5 21" xfId="15262" xr:uid="{00000000-0005-0000-0000-0000C13B0000}"/>
    <cellStyle name="Notas 5 22" xfId="15263" xr:uid="{00000000-0005-0000-0000-0000C23B0000}"/>
    <cellStyle name="Notas 5 23" xfId="15264" xr:uid="{00000000-0005-0000-0000-0000C33B0000}"/>
    <cellStyle name="Notas 5 24" xfId="15265" xr:uid="{00000000-0005-0000-0000-0000C43B0000}"/>
    <cellStyle name="Notas 5 25" xfId="15266" xr:uid="{00000000-0005-0000-0000-0000C53B0000}"/>
    <cellStyle name="Notas 5 26" xfId="15267" xr:uid="{00000000-0005-0000-0000-0000C63B0000}"/>
    <cellStyle name="Notas 5 3" xfId="15268" xr:uid="{00000000-0005-0000-0000-0000C73B0000}"/>
    <cellStyle name="Notas 5 4" xfId="15269" xr:uid="{00000000-0005-0000-0000-0000C83B0000}"/>
    <cellStyle name="Notas 5 5" xfId="15270" xr:uid="{00000000-0005-0000-0000-0000C93B0000}"/>
    <cellStyle name="Notas 5 6" xfId="15271" xr:uid="{00000000-0005-0000-0000-0000CA3B0000}"/>
    <cellStyle name="Notas 5 7" xfId="15272" xr:uid="{00000000-0005-0000-0000-0000CB3B0000}"/>
    <cellStyle name="Notas 5 8" xfId="15273" xr:uid="{00000000-0005-0000-0000-0000CC3B0000}"/>
    <cellStyle name="Notas 5 9" xfId="15274" xr:uid="{00000000-0005-0000-0000-0000CD3B0000}"/>
    <cellStyle name="Notas 50" xfId="15275" xr:uid="{00000000-0005-0000-0000-0000CE3B0000}"/>
    <cellStyle name="Notas 51" xfId="15276" xr:uid="{00000000-0005-0000-0000-0000CF3B0000}"/>
    <cellStyle name="Notas 52" xfId="15277" xr:uid="{00000000-0005-0000-0000-0000D03B0000}"/>
    <cellStyle name="Notas 53" xfId="15278" xr:uid="{00000000-0005-0000-0000-0000D13B0000}"/>
    <cellStyle name="Notas 54" xfId="15279" xr:uid="{00000000-0005-0000-0000-0000D23B0000}"/>
    <cellStyle name="Notas 55" xfId="15280" xr:uid="{00000000-0005-0000-0000-0000D33B0000}"/>
    <cellStyle name="Notas 56" xfId="15281" xr:uid="{00000000-0005-0000-0000-0000D43B0000}"/>
    <cellStyle name="Notas 57" xfId="15282" xr:uid="{00000000-0005-0000-0000-0000D53B0000}"/>
    <cellStyle name="Notas 58" xfId="15283" xr:uid="{00000000-0005-0000-0000-0000D63B0000}"/>
    <cellStyle name="Notas 59" xfId="15284" xr:uid="{00000000-0005-0000-0000-0000D73B0000}"/>
    <cellStyle name="Notas 6" xfId="15285" xr:uid="{00000000-0005-0000-0000-0000D83B0000}"/>
    <cellStyle name="Notas 6 10" xfId="15286" xr:uid="{00000000-0005-0000-0000-0000D93B0000}"/>
    <cellStyle name="Notas 6 11" xfId="15287" xr:uid="{00000000-0005-0000-0000-0000DA3B0000}"/>
    <cellStyle name="Notas 6 12" xfId="15288" xr:uid="{00000000-0005-0000-0000-0000DB3B0000}"/>
    <cellStyle name="Notas 6 13" xfId="15289" xr:uid="{00000000-0005-0000-0000-0000DC3B0000}"/>
    <cellStyle name="Notas 6 14" xfId="15290" xr:uid="{00000000-0005-0000-0000-0000DD3B0000}"/>
    <cellStyle name="Notas 6 15" xfId="15291" xr:uid="{00000000-0005-0000-0000-0000DE3B0000}"/>
    <cellStyle name="Notas 6 16" xfId="15292" xr:uid="{00000000-0005-0000-0000-0000DF3B0000}"/>
    <cellStyle name="Notas 6 17" xfId="15293" xr:uid="{00000000-0005-0000-0000-0000E03B0000}"/>
    <cellStyle name="Notas 6 18" xfId="15294" xr:uid="{00000000-0005-0000-0000-0000E13B0000}"/>
    <cellStyle name="Notas 6 19" xfId="15295" xr:uid="{00000000-0005-0000-0000-0000E23B0000}"/>
    <cellStyle name="Notas 6 2" xfId="15296" xr:uid="{00000000-0005-0000-0000-0000E33B0000}"/>
    <cellStyle name="Notas 6 20" xfId="15297" xr:uid="{00000000-0005-0000-0000-0000E43B0000}"/>
    <cellStyle name="Notas 6 21" xfId="15298" xr:uid="{00000000-0005-0000-0000-0000E53B0000}"/>
    <cellStyle name="Notas 6 22" xfId="15299" xr:uid="{00000000-0005-0000-0000-0000E63B0000}"/>
    <cellStyle name="Notas 6 23" xfId="15300" xr:uid="{00000000-0005-0000-0000-0000E73B0000}"/>
    <cellStyle name="Notas 6 24" xfId="15301" xr:uid="{00000000-0005-0000-0000-0000E83B0000}"/>
    <cellStyle name="Notas 6 25" xfId="15302" xr:uid="{00000000-0005-0000-0000-0000E93B0000}"/>
    <cellStyle name="Notas 6 26" xfId="15303" xr:uid="{00000000-0005-0000-0000-0000EA3B0000}"/>
    <cellStyle name="Notas 6 3" xfId="15304" xr:uid="{00000000-0005-0000-0000-0000EB3B0000}"/>
    <cellStyle name="Notas 6 4" xfId="15305" xr:uid="{00000000-0005-0000-0000-0000EC3B0000}"/>
    <cellStyle name="Notas 6 5" xfId="15306" xr:uid="{00000000-0005-0000-0000-0000ED3B0000}"/>
    <cellStyle name="Notas 6 6" xfId="15307" xr:uid="{00000000-0005-0000-0000-0000EE3B0000}"/>
    <cellStyle name="Notas 6 7" xfId="15308" xr:uid="{00000000-0005-0000-0000-0000EF3B0000}"/>
    <cellStyle name="Notas 6 8" xfId="15309" xr:uid="{00000000-0005-0000-0000-0000F03B0000}"/>
    <cellStyle name="Notas 6 9" xfId="15310" xr:uid="{00000000-0005-0000-0000-0000F13B0000}"/>
    <cellStyle name="Notas 60" xfId="15311" xr:uid="{00000000-0005-0000-0000-0000F23B0000}"/>
    <cellStyle name="Notas 61" xfId="15312" xr:uid="{00000000-0005-0000-0000-0000F33B0000}"/>
    <cellStyle name="Notas 62" xfId="15313" xr:uid="{00000000-0005-0000-0000-0000F43B0000}"/>
    <cellStyle name="Notas 63" xfId="15314" xr:uid="{00000000-0005-0000-0000-0000F53B0000}"/>
    <cellStyle name="Notas 64" xfId="15315" xr:uid="{00000000-0005-0000-0000-0000F63B0000}"/>
    <cellStyle name="Notas 65" xfId="15316" xr:uid="{00000000-0005-0000-0000-0000F73B0000}"/>
    <cellStyle name="Notas 66" xfId="15317" xr:uid="{00000000-0005-0000-0000-0000F83B0000}"/>
    <cellStyle name="Notas 67" xfId="15318" xr:uid="{00000000-0005-0000-0000-0000F93B0000}"/>
    <cellStyle name="Notas 68" xfId="15319" xr:uid="{00000000-0005-0000-0000-0000FA3B0000}"/>
    <cellStyle name="Notas 69" xfId="15320" xr:uid="{00000000-0005-0000-0000-0000FB3B0000}"/>
    <cellStyle name="Notas 7" xfId="15321" xr:uid="{00000000-0005-0000-0000-0000FC3B0000}"/>
    <cellStyle name="Notas 7 10" xfId="15322" xr:uid="{00000000-0005-0000-0000-0000FD3B0000}"/>
    <cellStyle name="Notas 7 11" xfId="15323" xr:uid="{00000000-0005-0000-0000-0000FE3B0000}"/>
    <cellStyle name="Notas 7 12" xfId="15324" xr:uid="{00000000-0005-0000-0000-0000FF3B0000}"/>
    <cellStyle name="Notas 7 13" xfId="15325" xr:uid="{00000000-0005-0000-0000-0000003C0000}"/>
    <cellStyle name="Notas 7 14" xfId="15326" xr:uid="{00000000-0005-0000-0000-0000013C0000}"/>
    <cellStyle name="Notas 7 15" xfId="15327" xr:uid="{00000000-0005-0000-0000-0000023C0000}"/>
    <cellStyle name="Notas 7 16" xfId="15328" xr:uid="{00000000-0005-0000-0000-0000033C0000}"/>
    <cellStyle name="Notas 7 17" xfId="15329" xr:uid="{00000000-0005-0000-0000-0000043C0000}"/>
    <cellStyle name="Notas 7 18" xfId="15330" xr:uid="{00000000-0005-0000-0000-0000053C0000}"/>
    <cellStyle name="Notas 7 19" xfId="15331" xr:uid="{00000000-0005-0000-0000-0000063C0000}"/>
    <cellStyle name="Notas 7 2" xfId="15332" xr:uid="{00000000-0005-0000-0000-0000073C0000}"/>
    <cellStyle name="Notas 7 20" xfId="15333" xr:uid="{00000000-0005-0000-0000-0000083C0000}"/>
    <cellStyle name="Notas 7 21" xfId="15334" xr:uid="{00000000-0005-0000-0000-0000093C0000}"/>
    <cellStyle name="Notas 7 22" xfId="15335" xr:uid="{00000000-0005-0000-0000-00000A3C0000}"/>
    <cellStyle name="Notas 7 23" xfId="15336" xr:uid="{00000000-0005-0000-0000-00000B3C0000}"/>
    <cellStyle name="Notas 7 24" xfId="15337" xr:uid="{00000000-0005-0000-0000-00000C3C0000}"/>
    <cellStyle name="Notas 7 25" xfId="15338" xr:uid="{00000000-0005-0000-0000-00000D3C0000}"/>
    <cellStyle name="Notas 7 26" xfId="15339" xr:uid="{00000000-0005-0000-0000-00000E3C0000}"/>
    <cellStyle name="Notas 7 3" xfId="15340" xr:uid="{00000000-0005-0000-0000-00000F3C0000}"/>
    <cellStyle name="Notas 7 4" xfId="15341" xr:uid="{00000000-0005-0000-0000-0000103C0000}"/>
    <cellStyle name="Notas 7 5" xfId="15342" xr:uid="{00000000-0005-0000-0000-0000113C0000}"/>
    <cellStyle name="Notas 7 6" xfId="15343" xr:uid="{00000000-0005-0000-0000-0000123C0000}"/>
    <cellStyle name="Notas 7 7" xfId="15344" xr:uid="{00000000-0005-0000-0000-0000133C0000}"/>
    <cellStyle name="Notas 7 8" xfId="15345" xr:uid="{00000000-0005-0000-0000-0000143C0000}"/>
    <cellStyle name="Notas 7 9" xfId="15346" xr:uid="{00000000-0005-0000-0000-0000153C0000}"/>
    <cellStyle name="Notas 70" xfId="15347" xr:uid="{00000000-0005-0000-0000-0000163C0000}"/>
    <cellStyle name="Notas 71" xfId="15348" xr:uid="{00000000-0005-0000-0000-0000173C0000}"/>
    <cellStyle name="Notas 72" xfId="15349" xr:uid="{00000000-0005-0000-0000-0000183C0000}"/>
    <cellStyle name="Notas 73" xfId="15350" xr:uid="{00000000-0005-0000-0000-0000193C0000}"/>
    <cellStyle name="Notas 74" xfId="15351" xr:uid="{00000000-0005-0000-0000-00001A3C0000}"/>
    <cellStyle name="Notas 75" xfId="15352" xr:uid="{00000000-0005-0000-0000-00001B3C0000}"/>
    <cellStyle name="Notas 76" xfId="15353" xr:uid="{00000000-0005-0000-0000-00001C3C0000}"/>
    <cellStyle name="Notas 77" xfId="15354" xr:uid="{00000000-0005-0000-0000-00001D3C0000}"/>
    <cellStyle name="Notas 78" xfId="15355" xr:uid="{00000000-0005-0000-0000-00001E3C0000}"/>
    <cellStyle name="Notas 79" xfId="15356" xr:uid="{00000000-0005-0000-0000-00001F3C0000}"/>
    <cellStyle name="Notas 8" xfId="15357" xr:uid="{00000000-0005-0000-0000-0000203C0000}"/>
    <cellStyle name="Notas 8 10" xfId="15358" xr:uid="{00000000-0005-0000-0000-0000213C0000}"/>
    <cellStyle name="Notas 8 11" xfId="15359" xr:uid="{00000000-0005-0000-0000-0000223C0000}"/>
    <cellStyle name="Notas 8 12" xfId="15360" xr:uid="{00000000-0005-0000-0000-0000233C0000}"/>
    <cellStyle name="Notas 8 13" xfId="15361" xr:uid="{00000000-0005-0000-0000-0000243C0000}"/>
    <cellStyle name="Notas 8 14" xfId="15362" xr:uid="{00000000-0005-0000-0000-0000253C0000}"/>
    <cellStyle name="Notas 8 15" xfId="15363" xr:uid="{00000000-0005-0000-0000-0000263C0000}"/>
    <cellStyle name="Notas 8 16" xfId="15364" xr:uid="{00000000-0005-0000-0000-0000273C0000}"/>
    <cellStyle name="Notas 8 17" xfId="15365" xr:uid="{00000000-0005-0000-0000-0000283C0000}"/>
    <cellStyle name="Notas 8 18" xfId="15366" xr:uid="{00000000-0005-0000-0000-0000293C0000}"/>
    <cellStyle name="Notas 8 19" xfId="15367" xr:uid="{00000000-0005-0000-0000-00002A3C0000}"/>
    <cellStyle name="Notas 8 2" xfId="15368" xr:uid="{00000000-0005-0000-0000-00002B3C0000}"/>
    <cellStyle name="Notas 8 20" xfId="15369" xr:uid="{00000000-0005-0000-0000-00002C3C0000}"/>
    <cellStyle name="Notas 8 21" xfId="15370" xr:uid="{00000000-0005-0000-0000-00002D3C0000}"/>
    <cellStyle name="Notas 8 22" xfId="15371" xr:uid="{00000000-0005-0000-0000-00002E3C0000}"/>
    <cellStyle name="Notas 8 23" xfId="15372" xr:uid="{00000000-0005-0000-0000-00002F3C0000}"/>
    <cellStyle name="Notas 8 24" xfId="15373" xr:uid="{00000000-0005-0000-0000-0000303C0000}"/>
    <cellStyle name="Notas 8 25" xfId="15374" xr:uid="{00000000-0005-0000-0000-0000313C0000}"/>
    <cellStyle name="Notas 8 26" xfId="15375" xr:uid="{00000000-0005-0000-0000-0000323C0000}"/>
    <cellStyle name="Notas 8 3" xfId="15376" xr:uid="{00000000-0005-0000-0000-0000333C0000}"/>
    <cellStyle name="Notas 8 4" xfId="15377" xr:uid="{00000000-0005-0000-0000-0000343C0000}"/>
    <cellStyle name="Notas 8 5" xfId="15378" xr:uid="{00000000-0005-0000-0000-0000353C0000}"/>
    <cellStyle name="Notas 8 6" xfId="15379" xr:uid="{00000000-0005-0000-0000-0000363C0000}"/>
    <cellStyle name="Notas 8 7" xfId="15380" xr:uid="{00000000-0005-0000-0000-0000373C0000}"/>
    <cellStyle name="Notas 8 8" xfId="15381" xr:uid="{00000000-0005-0000-0000-0000383C0000}"/>
    <cellStyle name="Notas 8 9" xfId="15382" xr:uid="{00000000-0005-0000-0000-0000393C0000}"/>
    <cellStyle name="Notas 80" xfId="15383" xr:uid="{00000000-0005-0000-0000-00003A3C0000}"/>
    <cellStyle name="Notas 81" xfId="15384" xr:uid="{00000000-0005-0000-0000-00003B3C0000}"/>
    <cellStyle name="Notas 82" xfId="15385" xr:uid="{00000000-0005-0000-0000-00003C3C0000}"/>
    <cellStyle name="Notas 83" xfId="15386" xr:uid="{00000000-0005-0000-0000-00003D3C0000}"/>
    <cellStyle name="Notas 84" xfId="15387" xr:uid="{00000000-0005-0000-0000-00003E3C0000}"/>
    <cellStyle name="Notas 85" xfId="15388" xr:uid="{00000000-0005-0000-0000-00003F3C0000}"/>
    <cellStyle name="Notas 86" xfId="15389" xr:uid="{00000000-0005-0000-0000-0000403C0000}"/>
    <cellStyle name="Notas 87" xfId="15390" xr:uid="{00000000-0005-0000-0000-0000413C0000}"/>
    <cellStyle name="Notas 88" xfId="15391" xr:uid="{00000000-0005-0000-0000-0000423C0000}"/>
    <cellStyle name="Notas 89" xfId="15392" xr:uid="{00000000-0005-0000-0000-0000433C0000}"/>
    <cellStyle name="Notas 9" xfId="15393" xr:uid="{00000000-0005-0000-0000-0000443C0000}"/>
    <cellStyle name="Notas 9 10" xfId="15394" xr:uid="{00000000-0005-0000-0000-0000453C0000}"/>
    <cellStyle name="Notas 9 11" xfId="15395" xr:uid="{00000000-0005-0000-0000-0000463C0000}"/>
    <cellStyle name="Notas 9 12" xfId="15396" xr:uid="{00000000-0005-0000-0000-0000473C0000}"/>
    <cellStyle name="Notas 9 13" xfId="15397" xr:uid="{00000000-0005-0000-0000-0000483C0000}"/>
    <cellStyle name="Notas 9 14" xfId="15398" xr:uid="{00000000-0005-0000-0000-0000493C0000}"/>
    <cellStyle name="Notas 9 15" xfId="15399" xr:uid="{00000000-0005-0000-0000-00004A3C0000}"/>
    <cellStyle name="Notas 9 16" xfId="15400" xr:uid="{00000000-0005-0000-0000-00004B3C0000}"/>
    <cellStyle name="Notas 9 17" xfId="15401" xr:uid="{00000000-0005-0000-0000-00004C3C0000}"/>
    <cellStyle name="Notas 9 18" xfId="15402" xr:uid="{00000000-0005-0000-0000-00004D3C0000}"/>
    <cellStyle name="Notas 9 19" xfId="15403" xr:uid="{00000000-0005-0000-0000-00004E3C0000}"/>
    <cellStyle name="Notas 9 2" xfId="15404" xr:uid="{00000000-0005-0000-0000-00004F3C0000}"/>
    <cellStyle name="Notas 9 20" xfId="15405" xr:uid="{00000000-0005-0000-0000-0000503C0000}"/>
    <cellStyle name="Notas 9 21" xfId="15406" xr:uid="{00000000-0005-0000-0000-0000513C0000}"/>
    <cellStyle name="Notas 9 22" xfId="15407" xr:uid="{00000000-0005-0000-0000-0000523C0000}"/>
    <cellStyle name="Notas 9 23" xfId="15408" xr:uid="{00000000-0005-0000-0000-0000533C0000}"/>
    <cellStyle name="Notas 9 24" xfId="15409" xr:uid="{00000000-0005-0000-0000-0000543C0000}"/>
    <cellStyle name="Notas 9 25" xfId="15410" xr:uid="{00000000-0005-0000-0000-0000553C0000}"/>
    <cellStyle name="Notas 9 26" xfId="15411" xr:uid="{00000000-0005-0000-0000-0000563C0000}"/>
    <cellStyle name="Notas 9 3" xfId="15412" xr:uid="{00000000-0005-0000-0000-0000573C0000}"/>
    <cellStyle name="Notas 9 4" xfId="15413" xr:uid="{00000000-0005-0000-0000-0000583C0000}"/>
    <cellStyle name="Notas 9 5" xfId="15414" xr:uid="{00000000-0005-0000-0000-0000593C0000}"/>
    <cellStyle name="Notas 9 6" xfId="15415" xr:uid="{00000000-0005-0000-0000-00005A3C0000}"/>
    <cellStyle name="Notas 9 7" xfId="15416" xr:uid="{00000000-0005-0000-0000-00005B3C0000}"/>
    <cellStyle name="Notas 9 8" xfId="15417" xr:uid="{00000000-0005-0000-0000-00005C3C0000}"/>
    <cellStyle name="Notas 9 9" xfId="15418" xr:uid="{00000000-0005-0000-0000-00005D3C0000}"/>
    <cellStyle name="Notas 90" xfId="15419" xr:uid="{00000000-0005-0000-0000-00005E3C0000}"/>
    <cellStyle name="Notas 91" xfId="15420" xr:uid="{00000000-0005-0000-0000-00005F3C0000}"/>
    <cellStyle name="Notas 92" xfId="15421" xr:uid="{00000000-0005-0000-0000-0000603C0000}"/>
    <cellStyle name="Notas 93" xfId="15422" xr:uid="{00000000-0005-0000-0000-0000613C0000}"/>
    <cellStyle name="Notas 94" xfId="15423" xr:uid="{00000000-0005-0000-0000-0000623C0000}"/>
    <cellStyle name="Notas 95" xfId="15424" xr:uid="{00000000-0005-0000-0000-0000633C0000}"/>
    <cellStyle name="Notas 96" xfId="15425" xr:uid="{00000000-0005-0000-0000-0000643C0000}"/>
    <cellStyle name="Notas 97" xfId="15426" xr:uid="{00000000-0005-0000-0000-0000653C0000}"/>
    <cellStyle name="Notas 98" xfId="15427" xr:uid="{00000000-0005-0000-0000-0000663C0000}"/>
    <cellStyle name="Notas 99" xfId="15619" xr:uid="{00000000-0005-0000-0000-0000673C0000}"/>
    <cellStyle name="Note" xfId="15428" xr:uid="{00000000-0005-0000-0000-0000683C0000}"/>
    <cellStyle name="Note 2" xfId="15429" xr:uid="{00000000-0005-0000-0000-0000693C0000}"/>
    <cellStyle name="Note 3" xfId="15430" xr:uid="{00000000-0005-0000-0000-00006A3C0000}"/>
    <cellStyle name="Note 4" xfId="15431" xr:uid="{00000000-0005-0000-0000-00006B3C0000}"/>
    <cellStyle name="Note 5" xfId="15432" xr:uid="{00000000-0005-0000-0000-00006C3C0000}"/>
    <cellStyle name="Note 6" xfId="15433" xr:uid="{00000000-0005-0000-0000-00006D3C0000}"/>
    <cellStyle name="Output" xfId="15434" xr:uid="{00000000-0005-0000-0000-00006E3C0000}"/>
    <cellStyle name="Output 2" xfId="15435" xr:uid="{00000000-0005-0000-0000-00006F3C0000}"/>
    <cellStyle name="Output 3" xfId="15436" xr:uid="{00000000-0005-0000-0000-0000703C0000}"/>
    <cellStyle name="Output 4" xfId="15437" xr:uid="{00000000-0005-0000-0000-0000713C0000}"/>
    <cellStyle name="Output 5" xfId="15438" xr:uid="{00000000-0005-0000-0000-0000723C0000}"/>
    <cellStyle name="Output 6" xfId="15439" xr:uid="{00000000-0005-0000-0000-0000733C0000}"/>
    <cellStyle name="Percent [2]" xfId="15440" xr:uid="{00000000-0005-0000-0000-0000743C0000}"/>
    <cellStyle name="Percent 2" xfId="15441" xr:uid="{00000000-0005-0000-0000-0000753C0000}"/>
    <cellStyle name="Percent 2 2" xfId="15442" xr:uid="{00000000-0005-0000-0000-0000763C0000}"/>
    <cellStyle name="Percent 3" xfId="15443" xr:uid="{00000000-0005-0000-0000-0000773C0000}"/>
    <cellStyle name="Percent_0 Hoja llave" xfId="15444" xr:uid="{00000000-0005-0000-0000-0000783C0000}"/>
    <cellStyle name="Porcentaje" xfId="15646" builtinId="5"/>
    <cellStyle name="Porcentaje 2" xfId="15445" xr:uid="{00000000-0005-0000-0000-0000793C0000}"/>
    <cellStyle name="Porcentaje 3" xfId="15446" xr:uid="{00000000-0005-0000-0000-00007A3C0000}"/>
    <cellStyle name="Porcentaje 4" xfId="15447" xr:uid="{00000000-0005-0000-0000-00007B3C0000}"/>
    <cellStyle name="Porcentaje 5" xfId="15448" xr:uid="{00000000-0005-0000-0000-00007C3C0000}"/>
    <cellStyle name="Porcentaje 5 2" xfId="15449" xr:uid="{00000000-0005-0000-0000-00007D3C0000}"/>
    <cellStyle name="Porcentaje 6" xfId="15450" xr:uid="{00000000-0005-0000-0000-00007E3C0000}"/>
    <cellStyle name="Porcentaje 7" xfId="15451" xr:uid="{00000000-0005-0000-0000-00007F3C0000}"/>
    <cellStyle name="Porcentual 2" xfId="15452" xr:uid="{00000000-0005-0000-0000-0000803C0000}"/>
    <cellStyle name="Porcentual 2 2" xfId="15453" xr:uid="{00000000-0005-0000-0000-0000813C0000}"/>
    <cellStyle name="Porcentual 2 3" xfId="15454" xr:uid="{00000000-0005-0000-0000-0000823C0000}"/>
    <cellStyle name="Porcentual 2 4" xfId="15455" xr:uid="{00000000-0005-0000-0000-0000833C0000}"/>
    <cellStyle name="Porcentual 2 5" xfId="15456" xr:uid="{00000000-0005-0000-0000-0000843C0000}"/>
    <cellStyle name="Porcentual 2 6" xfId="15457" xr:uid="{00000000-0005-0000-0000-0000853C0000}"/>
    <cellStyle name="Porcentual 2 7" xfId="15458" xr:uid="{00000000-0005-0000-0000-0000863C0000}"/>
    <cellStyle name="Porcentual 2 8" xfId="15459" xr:uid="{00000000-0005-0000-0000-0000873C0000}"/>
    <cellStyle name="Porcentual 2 9" xfId="15460" xr:uid="{00000000-0005-0000-0000-0000883C0000}"/>
    <cellStyle name="Porcentual 3" xfId="15461" xr:uid="{00000000-0005-0000-0000-0000893C0000}"/>
    <cellStyle name="Porcentual 3 2" xfId="15462" xr:uid="{00000000-0005-0000-0000-00008A3C0000}"/>
    <cellStyle name="Porcentual 3 3" xfId="15463" xr:uid="{00000000-0005-0000-0000-00008B3C0000}"/>
    <cellStyle name="Porcentual 3 4" xfId="15464" xr:uid="{00000000-0005-0000-0000-00008C3C0000}"/>
    <cellStyle name="Porcentual 3 5" xfId="15465" xr:uid="{00000000-0005-0000-0000-00008D3C0000}"/>
    <cellStyle name="Porcentual 3 6" xfId="15466" xr:uid="{00000000-0005-0000-0000-00008E3C0000}"/>
    <cellStyle name="Porcentual 3 7" xfId="15467" xr:uid="{00000000-0005-0000-0000-00008F3C0000}"/>
    <cellStyle name="Porcentual 3 8" xfId="15468" xr:uid="{00000000-0005-0000-0000-0000903C0000}"/>
    <cellStyle name="Porcentual 3 9" xfId="15469" xr:uid="{00000000-0005-0000-0000-0000913C0000}"/>
    <cellStyle name="Porcentual 4" xfId="15470" xr:uid="{00000000-0005-0000-0000-0000923C0000}"/>
    <cellStyle name="Porcentual 5" xfId="15471" xr:uid="{00000000-0005-0000-0000-0000933C0000}"/>
    <cellStyle name="Porcentual 5 2" xfId="15472" xr:uid="{00000000-0005-0000-0000-0000943C0000}"/>
    <cellStyle name="Porcentual 6" xfId="15473" xr:uid="{00000000-0005-0000-0000-0000953C0000}"/>
    <cellStyle name="Porcentual 7" xfId="15474" xr:uid="{00000000-0005-0000-0000-0000963C0000}"/>
    <cellStyle name="Porcentual 8" xfId="15475" xr:uid="{00000000-0005-0000-0000-0000973C0000}"/>
    <cellStyle name="Porcentual 8 2" xfId="15476" xr:uid="{00000000-0005-0000-0000-0000983C0000}"/>
    <cellStyle name="Punto0" xfId="15477" xr:uid="{00000000-0005-0000-0000-0000993C0000}"/>
    <cellStyle name="Punto0 2" xfId="15478" xr:uid="{00000000-0005-0000-0000-00009A3C0000}"/>
    <cellStyle name="S1" xfId="15479" xr:uid="{00000000-0005-0000-0000-00009B3C0000}"/>
    <cellStyle name="Saída" xfId="15480" xr:uid="{00000000-0005-0000-0000-00009C3C0000}"/>
    <cellStyle name="Salida" xfId="15481" builtinId="21" customBuiltin="1"/>
    <cellStyle name="Salida 10" xfId="15482" xr:uid="{00000000-0005-0000-0000-00009E3C0000}"/>
    <cellStyle name="Salida 11" xfId="15614" xr:uid="{00000000-0005-0000-0000-00009F3C0000}"/>
    <cellStyle name="Salida 2" xfId="15483" xr:uid="{00000000-0005-0000-0000-0000A03C0000}"/>
    <cellStyle name="Salida 2 2" xfId="15484" xr:uid="{00000000-0005-0000-0000-0000A13C0000}"/>
    <cellStyle name="Salida 3" xfId="15485" xr:uid="{00000000-0005-0000-0000-0000A23C0000}"/>
    <cellStyle name="Salida 3 2" xfId="15486" xr:uid="{00000000-0005-0000-0000-0000A33C0000}"/>
    <cellStyle name="Salida 4" xfId="15487" xr:uid="{00000000-0005-0000-0000-0000A43C0000}"/>
    <cellStyle name="Salida 5" xfId="15488" xr:uid="{00000000-0005-0000-0000-0000A53C0000}"/>
    <cellStyle name="Salida 6" xfId="15489" xr:uid="{00000000-0005-0000-0000-0000A63C0000}"/>
    <cellStyle name="Salida 7" xfId="15490" xr:uid="{00000000-0005-0000-0000-0000A73C0000}"/>
    <cellStyle name="Salida 8" xfId="15491" xr:uid="{00000000-0005-0000-0000-0000A83C0000}"/>
    <cellStyle name="Salida 9" xfId="15492" xr:uid="{00000000-0005-0000-0000-0000A93C0000}"/>
    <cellStyle name="Separador de milhares [0]_104A.XLS" xfId="15493" xr:uid="{00000000-0005-0000-0000-0000AA3C0000}"/>
    <cellStyle name="Separador de milhares 2" xfId="15494" xr:uid="{00000000-0005-0000-0000-0000AB3C0000}"/>
    <cellStyle name="Separador de milhares_104A.XLS" xfId="15495" xr:uid="{00000000-0005-0000-0000-0000AC3C0000}"/>
    <cellStyle name="Style 1" xfId="15496" xr:uid="{00000000-0005-0000-0000-0000AD3C0000}"/>
    <cellStyle name="Style 1 10" xfId="15497" xr:uid="{00000000-0005-0000-0000-0000AE3C0000}"/>
    <cellStyle name="Style 1 11" xfId="15498" xr:uid="{00000000-0005-0000-0000-0000AF3C0000}"/>
    <cellStyle name="Style 1 12" xfId="15499" xr:uid="{00000000-0005-0000-0000-0000B03C0000}"/>
    <cellStyle name="Style 1 13" xfId="15500" xr:uid="{00000000-0005-0000-0000-0000B13C0000}"/>
    <cellStyle name="Style 1 14" xfId="15501" xr:uid="{00000000-0005-0000-0000-0000B23C0000}"/>
    <cellStyle name="Style 1 2" xfId="15502" xr:uid="{00000000-0005-0000-0000-0000B33C0000}"/>
    <cellStyle name="Style 1 3" xfId="15503" xr:uid="{00000000-0005-0000-0000-0000B43C0000}"/>
    <cellStyle name="Style 1 4" xfId="15504" xr:uid="{00000000-0005-0000-0000-0000B53C0000}"/>
    <cellStyle name="Style 1 5" xfId="15505" xr:uid="{00000000-0005-0000-0000-0000B63C0000}"/>
    <cellStyle name="Style 1 6" xfId="15506" xr:uid="{00000000-0005-0000-0000-0000B73C0000}"/>
    <cellStyle name="Style 1 7" xfId="15507" xr:uid="{00000000-0005-0000-0000-0000B83C0000}"/>
    <cellStyle name="Style 1 8" xfId="15508" xr:uid="{00000000-0005-0000-0000-0000B93C0000}"/>
    <cellStyle name="Style 1 9" xfId="15509" xr:uid="{00000000-0005-0000-0000-0000BA3C0000}"/>
    <cellStyle name="STYLE1_Financial Statements for WIUS December 2008 vs Forecast 2008 as of December 18th 2008 V3" xfId="15510" xr:uid="{00000000-0005-0000-0000-0000BB3C0000}"/>
    <cellStyle name="STYLE2_Financial Statements for WIUS December 2008 vs Forecast 2008 as of December 18th 2008 V3" xfId="15511" xr:uid="{00000000-0005-0000-0000-0000BC3C0000}"/>
    <cellStyle name="STYLE3_Financial Statements for WIUS December 2008 vs Forecast 2008 as of December 18th 2008 V3" xfId="15512" xr:uid="{00000000-0005-0000-0000-0000BD3C0000}"/>
    <cellStyle name="Tabelle Überschrift 10" xfId="15513" xr:uid="{00000000-0005-0000-0000-0000BE3C0000}"/>
    <cellStyle name="Texto de advertencia" xfId="15514" builtinId="11" customBuiltin="1"/>
    <cellStyle name="Texto de advertencia 10" xfId="15515" xr:uid="{00000000-0005-0000-0000-0000C03C0000}"/>
    <cellStyle name="Texto de advertencia 11" xfId="15618" xr:uid="{00000000-0005-0000-0000-0000C13C0000}"/>
    <cellStyle name="Texto de advertencia 2" xfId="15516" xr:uid="{00000000-0005-0000-0000-0000C23C0000}"/>
    <cellStyle name="Texto de advertencia 2 2" xfId="15517" xr:uid="{00000000-0005-0000-0000-0000C33C0000}"/>
    <cellStyle name="Texto de advertencia 3" xfId="15518" xr:uid="{00000000-0005-0000-0000-0000C43C0000}"/>
    <cellStyle name="Texto de advertencia 3 2" xfId="15519" xr:uid="{00000000-0005-0000-0000-0000C53C0000}"/>
    <cellStyle name="Texto de advertencia 4" xfId="15520" xr:uid="{00000000-0005-0000-0000-0000C63C0000}"/>
    <cellStyle name="Texto de advertencia 5" xfId="15521" xr:uid="{00000000-0005-0000-0000-0000C73C0000}"/>
    <cellStyle name="Texto de advertencia 6" xfId="15522" xr:uid="{00000000-0005-0000-0000-0000C83C0000}"/>
    <cellStyle name="Texto de advertencia 7" xfId="15523" xr:uid="{00000000-0005-0000-0000-0000C93C0000}"/>
    <cellStyle name="Texto de advertencia 8" xfId="15524" xr:uid="{00000000-0005-0000-0000-0000CA3C0000}"/>
    <cellStyle name="Texto de advertencia 9" xfId="15525" xr:uid="{00000000-0005-0000-0000-0000CB3C0000}"/>
    <cellStyle name="Texto de Aviso" xfId="15526" xr:uid="{00000000-0005-0000-0000-0000CC3C0000}"/>
    <cellStyle name="Texto explicativo" xfId="15527" builtinId="53" customBuiltin="1"/>
    <cellStyle name="Texto explicativo 10" xfId="15528" xr:uid="{00000000-0005-0000-0000-0000CE3C0000}"/>
    <cellStyle name="Texto explicativo 11" xfId="15620" xr:uid="{00000000-0005-0000-0000-0000CF3C0000}"/>
    <cellStyle name="Texto explicativo 2" xfId="15529" xr:uid="{00000000-0005-0000-0000-0000D03C0000}"/>
    <cellStyle name="Texto explicativo 2 2" xfId="15530" xr:uid="{00000000-0005-0000-0000-0000D13C0000}"/>
    <cellStyle name="Texto explicativo 3" xfId="15531" xr:uid="{00000000-0005-0000-0000-0000D23C0000}"/>
    <cellStyle name="Texto explicativo 3 2" xfId="15532" xr:uid="{00000000-0005-0000-0000-0000D33C0000}"/>
    <cellStyle name="Texto explicativo 4" xfId="15533" xr:uid="{00000000-0005-0000-0000-0000D43C0000}"/>
    <cellStyle name="Texto explicativo 5" xfId="15534" xr:uid="{00000000-0005-0000-0000-0000D53C0000}"/>
    <cellStyle name="Texto explicativo 6" xfId="15535" xr:uid="{00000000-0005-0000-0000-0000D63C0000}"/>
    <cellStyle name="Texto explicativo 7" xfId="15536" xr:uid="{00000000-0005-0000-0000-0000D73C0000}"/>
    <cellStyle name="Texto explicativo 8" xfId="15537" xr:uid="{00000000-0005-0000-0000-0000D83C0000}"/>
    <cellStyle name="Texto explicativo 9" xfId="15538" xr:uid="{00000000-0005-0000-0000-0000D93C0000}"/>
    <cellStyle name="Title" xfId="15539" xr:uid="{00000000-0005-0000-0000-0000DA3C0000}"/>
    <cellStyle name="Título" xfId="15540" builtinId="15" customBuiltin="1"/>
    <cellStyle name="Título 1 10" xfId="15542" xr:uid="{00000000-0005-0000-0000-0000DD3C0000}"/>
    <cellStyle name="Título 1 11" xfId="15606" xr:uid="{00000000-0005-0000-0000-0000DE3C0000}"/>
    <cellStyle name="Título 1 2" xfId="15543" xr:uid="{00000000-0005-0000-0000-0000DF3C0000}"/>
    <cellStyle name="Título 1 2 2" xfId="15544" xr:uid="{00000000-0005-0000-0000-0000E03C0000}"/>
    <cellStyle name="Título 1 3" xfId="15545" xr:uid="{00000000-0005-0000-0000-0000E13C0000}"/>
    <cellStyle name="Título 1 3 2" xfId="15546" xr:uid="{00000000-0005-0000-0000-0000E23C0000}"/>
    <cellStyle name="Título 1 4" xfId="15547" xr:uid="{00000000-0005-0000-0000-0000E33C0000}"/>
    <cellStyle name="Título 1 5" xfId="15548" xr:uid="{00000000-0005-0000-0000-0000E43C0000}"/>
    <cellStyle name="Título 1 6" xfId="15549" xr:uid="{00000000-0005-0000-0000-0000E53C0000}"/>
    <cellStyle name="Título 1 7" xfId="15550" xr:uid="{00000000-0005-0000-0000-0000E63C0000}"/>
    <cellStyle name="Título 1 8" xfId="15551" xr:uid="{00000000-0005-0000-0000-0000E73C0000}"/>
    <cellStyle name="Título 1 9" xfId="15552" xr:uid="{00000000-0005-0000-0000-0000E83C0000}"/>
    <cellStyle name="Título 10" xfId="15553" xr:uid="{00000000-0005-0000-0000-0000E93C0000}"/>
    <cellStyle name="Título 11" xfId="15554" xr:uid="{00000000-0005-0000-0000-0000EA3C0000}"/>
    <cellStyle name="Título 12" xfId="15555" xr:uid="{00000000-0005-0000-0000-0000EB3C0000}"/>
    <cellStyle name="Título 13" xfId="15605" xr:uid="{00000000-0005-0000-0000-0000EC3C0000}"/>
    <cellStyle name="Título 2" xfId="15556" builtinId="17" customBuiltin="1"/>
    <cellStyle name="Título 2 10" xfId="15557" xr:uid="{00000000-0005-0000-0000-0000EE3C0000}"/>
    <cellStyle name="Título 2 11" xfId="15607" xr:uid="{00000000-0005-0000-0000-0000EF3C0000}"/>
    <cellStyle name="Título 2 2" xfId="15558" xr:uid="{00000000-0005-0000-0000-0000F03C0000}"/>
    <cellStyle name="Título 2 2 2" xfId="15559" xr:uid="{00000000-0005-0000-0000-0000F13C0000}"/>
    <cellStyle name="Título 2 3" xfId="15560" xr:uid="{00000000-0005-0000-0000-0000F23C0000}"/>
    <cellStyle name="Título 2 3 2" xfId="15561" xr:uid="{00000000-0005-0000-0000-0000F33C0000}"/>
    <cellStyle name="Título 2 4" xfId="15562" xr:uid="{00000000-0005-0000-0000-0000F43C0000}"/>
    <cellStyle name="Título 2 5" xfId="15563" xr:uid="{00000000-0005-0000-0000-0000F53C0000}"/>
    <cellStyle name="Título 2 6" xfId="15564" xr:uid="{00000000-0005-0000-0000-0000F63C0000}"/>
    <cellStyle name="Título 2 7" xfId="15565" xr:uid="{00000000-0005-0000-0000-0000F73C0000}"/>
    <cellStyle name="Título 2 8" xfId="15566" xr:uid="{00000000-0005-0000-0000-0000F83C0000}"/>
    <cellStyle name="Título 2 9" xfId="15567" xr:uid="{00000000-0005-0000-0000-0000F93C0000}"/>
    <cellStyle name="Título 3" xfId="15568" builtinId="18" customBuiltin="1"/>
    <cellStyle name="Título 3 10" xfId="15569" xr:uid="{00000000-0005-0000-0000-0000FB3C0000}"/>
    <cellStyle name="Título 3 11" xfId="15608" xr:uid="{00000000-0005-0000-0000-0000FC3C0000}"/>
    <cellStyle name="Título 3 2" xfId="15570" xr:uid="{00000000-0005-0000-0000-0000FD3C0000}"/>
    <cellStyle name="Título 3 2 2" xfId="15571" xr:uid="{00000000-0005-0000-0000-0000FE3C0000}"/>
    <cellStyle name="Título 3 3" xfId="15572" xr:uid="{00000000-0005-0000-0000-0000FF3C0000}"/>
    <cellStyle name="Título 3 3 2" xfId="15573" xr:uid="{00000000-0005-0000-0000-0000003D0000}"/>
    <cellStyle name="Título 3 4" xfId="15574" xr:uid="{00000000-0005-0000-0000-0000013D0000}"/>
    <cellStyle name="Título 3 5" xfId="15575" xr:uid="{00000000-0005-0000-0000-0000023D0000}"/>
    <cellStyle name="Título 3 6" xfId="15576" xr:uid="{00000000-0005-0000-0000-0000033D0000}"/>
    <cellStyle name="Título 3 7" xfId="15577" xr:uid="{00000000-0005-0000-0000-0000043D0000}"/>
    <cellStyle name="Título 3 8" xfId="15578" xr:uid="{00000000-0005-0000-0000-0000053D0000}"/>
    <cellStyle name="Título 3 9" xfId="15579" xr:uid="{00000000-0005-0000-0000-0000063D0000}"/>
    <cellStyle name="Título 4" xfId="15580" xr:uid="{00000000-0005-0000-0000-0000073D0000}"/>
    <cellStyle name="Título 5" xfId="15581" xr:uid="{00000000-0005-0000-0000-0000083D0000}"/>
    <cellStyle name="Título 6" xfId="15582" xr:uid="{00000000-0005-0000-0000-0000093D0000}"/>
    <cellStyle name="Título 7" xfId="15583" xr:uid="{00000000-0005-0000-0000-00000A3D0000}"/>
    <cellStyle name="Título 8" xfId="15584" xr:uid="{00000000-0005-0000-0000-00000B3D0000}"/>
    <cellStyle name="Título 9" xfId="15585" xr:uid="{00000000-0005-0000-0000-00000C3D0000}"/>
    <cellStyle name="Total" xfId="15586" builtinId="25" customBuiltin="1"/>
    <cellStyle name="Total 10" xfId="15587" xr:uid="{00000000-0005-0000-0000-00000E3D0000}"/>
    <cellStyle name="Total 11" xfId="15621" xr:uid="{00000000-0005-0000-0000-00000F3D0000}"/>
    <cellStyle name="Total 2" xfId="15588" xr:uid="{00000000-0005-0000-0000-0000103D0000}"/>
    <cellStyle name="Total 2 2" xfId="15589" xr:uid="{00000000-0005-0000-0000-0000113D0000}"/>
    <cellStyle name="Total 3" xfId="15590" xr:uid="{00000000-0005-0000-0000-0000123D0000}"/>
    <cellStyle name="Total 3 2" xfId="15591" xr:uid="{00000000-0005-0000-0000-0000133D0000}"/>
    <cellStyle name="Total 4" xfId="15592" xr:uid="{00000000-0005-0000-0000-0000143D0000}"/>
    <cellStyle name="Total 5" xfId="15593" xr:uid="{00000000-0005-0000-0000-0000153D0000}"/>
    <cellStyle name="Total 6" xfId="15594" xr:uid="{00000000-0005-0000-0000-0000163D0000}"/>
    <cellStyle name="Total 7" xfId="15595" xr:uid="{00000000-0005-0000-0000-0000173D0000}"/>
    <cellStyle name="Total 8" xfId="15596" xr:uid="{00000000-0005-0000-0000-0000183D0000}"/>
    <cellStyle name="Total 9" xfId="15597" xr:uid="{00000000-0005-0000-0000-0000193D0000}"/>
    <cellStyle name="Vírgula 2" xfId="15598" xr:uid="{00000000-0005-0000-0000-00001A3D0000}"/>
    <cellStyle name="Warning Text" xfId="15599" xr:uid="{00000000-0005-0000-0000-00001B3D0000}"/>
    <cellStyle name="Zero" xfId="15600" xr:uid="{00000000-0005-0000-0000-00001C3D0000}"/>
    <cellStyle name="Zero &amp; Negative" xfId="15601" xr:uid="{00000000-0005-0000-0000-00001D3D0000}"/>
  </cellStyles>
  <dxfs count="1">
    <dxf>
      <fill>
        <patternFill patternType="solid">
          <fgColor rgb="FF92D05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6.xml"/><Relationship Id="rId68" Type="http://schemas.openxmlformats.org/officeDocument/2006/relationships/externalLink" Target="externalLinks/externalLink21.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74" Type="http://schemas.openxmlformats.org/officeDocument/2006/relationships/externalLink" Target="externalLinks/externalLink27.xml"/><Relationship Id="rId79" Type="http://schemas.openxmlformats.org/officeDocument/2006/relationships/externalLink" Target="externalLinks/externalLink32.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externalLink" Target="externalLinks/externalLink22.xml"/><Relationship Id="rId77"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4.xml"/><Relationship Id="rId72" Type="http://schemas.openxmlformats.org/officeDocument/2006/relationships/externalLink" Target="externalLinks/externalLink25.xml"/><Relationship Id="rId80" Type="http://schemas.openxmlformats.org/officeDocument/2006/relationships/externalLink" Target="externalLinks/externalLink33.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externalLink" Target="externalLinks/externalLink23.xml"/><Relationship Id="rId75" Type="http://schemas.openxmlformats.org/officeDocument/2006/relationships/externalLink" Target="externalLinks/externalLink28.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73" Type="http://schemas.openxmlformats.org/officeDocument/2006/relationships/externalLink" Target="externalLinks/externalLink26.xml"/><Relationship Id="rId78" Type="http://schemas.openxmlformats.org/officeDocument/2006/relationships/externalLink" Target="externalLinks/externalLink31.xml"/><Relationship Id="rId81"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6" Type="http://schemas.openxmlformats.org/officeDocument/2006/relationships/externalLink" Target="externalLinks/externalLink29.xml"/><Relationship Id="rId7" Type="http://schemas.openxmlformats.org/officeDocument/2006/relationships/worksheet" Target="worksheets/sheet7.xml"/><Relationship Id="rId71" Type="http://schemas.openxmlformats.org/officeDocument/2006/relationships/externalLink" Target="externalLinks/externalLink24.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9.xml"/><Relationship Id="rId61" Type="http://schemas.openxmlformats.org/officeDocument/2006/relationships/externalLink" Target="externalLinks/externalLink14.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38100</xdr:rowOff>
    </xdr:from>
    <xdr:to>
      <xdr:col>9</xdr:col>
      <xdr:colOff>9525</xdr:colOff>
      <xdr:row>4</xdr:row>
      <xdr:rowOff>104775</xdr:rowOff>
    </xdr:to>
    <xdr:pic>
      <xdr:nvPicPr>
        <xdr:cNvPr id="1053" name="Imagen 2">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09550"/>
          <a:ext cx="63912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4</xdr:row>
      <xdr:rowOff>12700</xdr:rowOff>
    </xdr:from>
    <xdr:to>
      <xdr:col>3</xdr:col>
      <xdr:colOff>368300</xdr:colOff>
      <xdr:row>12</xdr:row>
      <xdr:rowOff>12700</xdr:rowOff>
    </xdr:to>
    <xdr:pic>
      <xdr:nvPicPr>
        <xdr:cNvPr id="2" name="Imagen 1" descr="Grupo PENNER - Inicio | Facebook">
          <a:extLst>
            <a:ext uri="{FF2B5EF4-FFF2-40B4-BE49-F238E27FC236}">
              <a16:creationId xmlns:a16="http://schemas.microsoft.com/office/drawing/2014/main" id="{812156F5-58CA-5947-9C4B-9B0BD86147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100" y="698500"/>
          <a:ext cx="1790700" cy="138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247650</xdr:colOff>
      <xdr:row>1</xdr:row>
      <xdr:rowOff>104775</xdr:rowOff>
    </xdr:to>
    <xdr:sp macro="" textlink="">
      <xdr:nvSpPr>
        <xdr:cNvPr id="2" name="Imagen_x0020_2" descr="Loguito DISNEY_Mail-2">
          <a:extLst>
            <a:ext uri="{FF2B5EF4-FFF2-40B4-BE49-F238E27FC236}">
              <a16:creationId xmlns:a16="http://schemas.microsoft.com/office/drawing/2014/main" id="{4DD283A6-5A5D-4B1B-BE4D-8150AFF3FD94}"/>
            </a:ext>
          </a:extLst>
        </xdr:cNvPr>
        <xdr:cNvSpPr>
          <a:spLocks noChangeAspect="1" noChangeArrowheads="1"/>
        </xdr:cNvSpPr>
      </xdr:nvSpPr>
      <xdr:spPr bwMode="auto">
        <a:xfrm>
          <a:off x="3876675" y="0"/>
          <a:ext cx="247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247650</xdr:colOff>
      <xdr:row>1</xdr:row>
      <xdr:rowOff>104775</xdr:rowOff>
    </xdr:to>
    <xdr:sp macro="" textlink="">
      <xdr:nvSpPr>
        <xdr:cNvPr id="3" name="Imagen_x0020_2" descr="Loguito DISNEY_Mail-2">
          <a:extLst>
            <a:ext uri="{FF2B5EF4-FFF2-40B4-BE49-F238E27FC236}">
              <a16:creationId xmlns:a16="http://schemas.microsoft.com/office/drawing/2014/main" id="{560681DF-100C-493A-B659-66FFE5F817E6}"/>
            </a:ext>
          </a:extLst>
        </xdr:cNvPr>
        <xdr:cNvSpPr>
          <a:spLocks noChangeAspect="1" noChangeArrowheads="1"/>
        </xdr:cNvSpPr>
      </xdr:nvSpPr>
      <xdr:spPr bwMode="auto">
        <a:xfrm>
          <a:off x="3876675" y="0"/>
          <a:ext cx="247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1</xdr:col>
      <xdr:colOff>247650</xdr:colOff>
      <xdr:row>1</xdr:row>
      <xdr:rowOff>104775</xdr:rowOff>
    </xdr:to>
    <xdr:sp macro="" textlink="">
      <xdr:nvSpPr>
        <xdr:cNvPr id="4" name="Imagen_x0020_2" descr="Loguito DISNEY_Mail-2">
          <a:extLst>
            <a:ext uri="{FF2B5EF4-FFF2-40B4-BE49-F238E27FC236}">
              <a16:creationId xmlns:a16="http://schemas.microsoft.com/office/drawing/2014/main" id="{F6D02F55-923F-450F-B476-54B51C6D1227}"/>
            </a:ext>
          </a:extLst>
        </xdr:cNvPr>
        <xdr:cNvSpPr>
          <a:spLocks noChangeAspect="1" noChangeArrowheads="1"/>
        </xdr:cNvSpPr>
      </xdr:nvSpPr>
      <xdr:spPr bwMode="auto">
        <a:xfrm>
          <a:off x="3876675" y="0"/>
          <a:ext cx="2476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5" name="Imagen_x0020_2" descr="Loguito DISNEY_Mail-2">
          <a:extLst>
            <a:ext uri="{FF2B5EF4-FFF2-40B4-BE49-F238E27FC236}">
              <a16:creationId xmlns:a16="http://schemas.microsoft.com/office/drawing/2014/main" id="{5DAD1D29-8A2B-4267-9A53-3EB055951FAD}"/>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6" name="Imagen_x0020_2" descr="Loguito DISNEY_Mail-2">
          <a:extLst>
            <a:ext uri="{FF2B5EF4-FFF2-40B4-BE49-F238E27FC236}">
              <a16:creationId xmlns:a16="http://schemas.microsoft.com/office/drawing/2014/main" id="{86FCDD6A-EAFF-4E3B-86D1-19F77E8422F3}"/>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7" name="Imagen_x0020_2" descr="Loguito DISNEY_Mail-2">
          <a:extLst>
            <a:ext uri="{FF2B5EF4-FFF2-40B4-BE49-F238E27FC236}">
              <a16:creationId xmlns:a16="http://schemas.microsoft.com/office/drawing/2014/main" id="{1A94997D-CECF-4913-83C3-8E8B7D2F649C}"/>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8" name="Imagen_x0020_2" descr="Loguito DISNEY_Mail-2">
          <a:extLst>
            <a:ext uri="{FF2B5EF4-FFF2-40B4-BE49-F238E27FC236}">
              <a16:creationId xmlns:a16="http://schemas.microsoft.com/office/drawing/2014/main" id="{1C44C31C-8B78-4848-A406-63DF238CCBDE}"/>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9" name="Imagen_x0020_2" descr="Loguito DISNEY_Mail-2">
          <a:extLst>
            <a:ext uri="{FF2B5EF4-FFF2-40B4-BE49-F238E27FC236}">
              <a16:creationId xmlns:a16="http://schemas.microsoft.com/office/drawing/2014/main" id="{8F1F875B-0139-4ADC-AC0F-B93E96A62D75}"/>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0" name="Imagen_x0020_2" descr="Loguito DISNEY_Mail-2">
          <a:extLst>
            <a:ext uri="{FF2B5EF4-FFF2-40B4-BE49-F238E27FC236}">
              <a16:creationId xmlns:a16="http://schemas.microsoft.com/office/drawing/2014/main" id="{0DE2A961-3994-497C-96CA-798518F4EA5E}"/>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1" name="Imagen_x0020_2" descr="Loguito DISNEY_Mail-2">
          <a:extLst>
            <a:ext uri="{FF2B5EF4-FFF2-40B4-BE49-F238E27FC236}">
              <a16:creationId xmlns:a16="http://schemas.microsoft.com/office/drawing/2014/main" id="{CCA78B6E-6187-4FE2-B7E3-45A7EB790E7D}"/>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2" name="Imagen_x0020_2" descr="Loguito DISNEY_Mail-2">
          <a:extLst>
            <a:ext uri="{FF2B5EF4-FFF2-40B4-BE49-F238E27FC236}">
              <a16:creationId xmlns:a16="http://schemas.microsoft.com/office/drawing/2014/main" id="{C7F3C300-31B3-4475-A86A-3E6D5E2F1EA6}"/>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3" name="Imagen_x0020_2" descr="Loguito DISNEY_Mail-2">
          <a:extLst>
            <a:ext uri="{FF2B5EF4-FFF2-40B4-BE49-F238E27FC236}">
              <a16:creationId xmlns:a16="http://schemas.microsoft.com/office/drawing/2014/main" id="{B050EA0F-CAC4-42AE-9B3B-CC626084E1CB}"/>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4" name="Imagen_x0020_2" descr="Loguito DISNEY_Mail-2">
          <a:extLst>
            <a:ext uri="{FF2B5EF4-FFF2-40B4-BE49-F238E27FC236}">
              <a16:creationId xmlns:a16="http://schemas.microsoft.com/office/drawing/2014/main" id="{D2901697-8823-4FB1-911C-F4A747B2C8A0}"/>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5" name="Imagen_x0020_2" descr="Loguito DISNEY_Mail-2">
          <a:extLst>
            <a:ext uri="{FF2B5EF4-FFF2-40B4-BE49-F238E27FC236}">
              <a16:creationId xmlns:a16="http://schemas.microsoft.com/office/drawing/2014/main" id="{A7D083BD-9084-4045-A2AE-491909B335A1}"/>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0</xdr:row>
      <xdr:rowOff>0</xdr:rowOff>
    </xdr:from>
    <xdr:to>
      <xdr:col>2</xdr:col>
      <xdr:colOff>184150</xdr:colOff>
      <xdr:row>1</xdr:row>
      <xdr:rowOff>66675</xdr:rowOff>
    </xdr:to>
    <xdr:sp macro="" textlink="">
      <xdr:nvSpPr>
        <xdr:cNvPr id="16" name="Imagen_x0020_2" descr="Loguito DISNEY_Mail-2">
          <a:extLst>
            <a:ext uri="{FF2B5EF4-FFF2-40B4-BE49-F238E27FC236}">
              <a16:creationId xmlns:a16="http://schemas.microsoft.com/office/drawing/2014/main" id="{E9FAD39E-2CFA-4F40-BCA5-12C88DCBA326}"/>
            </a:ext>
          </a:extLst>
        </xdr:cNvPr>
        <xdr:cNvSpPr>
          <a:spLocks noChangeAspect="1" noChangeArrowheads="1"/>
        </xdr:cNvSpPr>
      </xdr:nvSpPr>
      <xdr:spPr bwMode="auto">
        <a:xfrm>
          <a:off x="3876675" y="0"/>
          <a:ext cx="76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38100</xdr:colOff>
      <xdr:row>16</xdr:row>
      <xdr:rowOff>6517</xdr:rowOff>
    </xdr:to>
    <xdr:sp macro="" textlink="">
      <xdr:nvSpPr>
        <xdr:cNvPr id="4" name="WordArt 1">
          <a:extLst>
            <a:ext uri="{FF2B5EF4-FFF2-40B4-BE49-F238E27FC236}">
              <a16:creationId xmlns:a16="http://schemas.microsoft.com/office/drawing/2014/main" id="{00000000-0008-0000-1700-000004000000}"/>
            </a:ext>
          </a:extLst>
        </xdr:cNvPr>
        <xdr:cNvSpPr>
          <a:spLocks noChangeArrowheads="1" noChangeShapeType="1" noTextEdit="1"/>
        </xdr:cNvSpPr>
      </xdr:nvSpPr>
      <xdr:spPr bwMode="auto">
        <a:xfrm>
          <a:off x="3990975" y="2238375"/>
          <a:ext cx="3848100" cy="492292"/>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13</xdr:row>
      <xdr:rowOff>0</xdr:rowOff>
    </xdr:from>
    <xdr:to>
      <xdr:col>11</xdr:col>
      <xdr:colOff>76200</xdr:colOff>
      <xdr:row>13</xdr:row>
      <xdr:rowOff>0</xdr:rowOff>
    </xdr:to>
    <xdr:sp macro="" textlink="">
      <xdr:nvSpPr>
        <xdr:cNvPr id="3073" name="WordArt 1">
          <a:extLst>
            <a:ext uri="{FF2B5EF4-FFF2-40B4-BE49-F238E27FC236}">
              <a16:creationId xmlns:a16="http://schemas.microsoft.com/office/drawing/2014/main" id="{00000000-0008-0000-1C00-0000010C0000}"/>
            </a:ext>
          </a:extLst>
        </xdr:cNvPr>
        <xdr:cNvSpPr>
          <a:spLocks noChangeArrowheads="1" noChangeShapeType="1" noTextEdit="1"/>
        </xdr:cNvSpPr>
      </xdr:nvSpPr>
      <xdr:spPr bwMode="auto">
        <a:xfrm>
          <a:off x="7677150" y="1943100"/>
          <a:ext cx="2714625" cy="0"/>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21981</xdr:colOff>
      <xdr:row>28</xdr:row>
      <xdr:rowOff>36635</xdr:rowOff>
    </xdr:from>
    <xdr:to>
      <xdr:col>4</xdr:col>
      <xdr:colOff>0</xdr:colOff>
      <xdr:row>30</xdr:row>
      <xdr:rowOff>109904</xdr:rowOff>
    </xdr:to>
    <xdr:cxnSp macro="">
      <xdr:nvCxnSpPr>
        <xdr:cNvPr id="3" name="2 Conector recto">
          <a:extLst>
            <a:ext uri="{FF2B5EF4-FFF2-40B4-BE49-F238E27FC236}">
              <a16:creationId xmlns:a16="http://schemas.microsoft.com/office/drawing/2014/main" id="{00000000-0008-0000-1F00-000003000000}"/>
            </a:ext>
          </a:extLst>
        </xdr:cNvPr>
        <xdr:cNvCxnSpPr/>
      </xdr:nvCxnSpPr>
      <xdr:spPr>
        <a:xfrm>
          <a:off x="21981" y="5824904"/>
          <a:ext cx="3084634"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723900</xdr:colOff>
      <xdr:row>7</xdr:row>
      <xdr:rowOff>66675</xdr:rowOff>
    </xdr:from>
    <xdr:to>
      <xdr:col>8</xdr:col>
      <xdr:colOff>76200</xdr:colOff>
      <xdr:row>12</xdr:row>
      <xdr:rowOff>19050</xdr:rowOff>
    </xdr:to>
    <xdr:pic>
      <xdr:nvPicPr>
        <xdr:cNvPr id="46109" name="2 Imagen">
          <a:extLst>
            <a:ext uri="{FF2B5EF4-FFF2-40B4-BE49-F238E27FC236}">
              <a16:creationId xmlns:a16="http://schemas.microsoft.com/office/drawing/2014/main" id="{00000000-0008-0000-2000-00001DB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200150"/>
          <a:ext cx="54483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19050</xdr:colOff>
      <xdr:row>0</xdr:row>
      <xdr:rowOff>180975</xdr:rowOff>
    </xdr:from>
    <xdr:to>
      <xdr:col>3</xdr:col>
      <xdr:colOff>971550</xdr:colOff>
      <xdr:row>6</xdr:row>
      <xdr:rowOff>0</xdr:rowOff>
    </xdr:to>
    <xdr:pic>
      <xdr:nvPicPr>
        <xdr:cNvPr id="79903" name="1 Imagen" descr="ORG-LOGO-GRUPO-PENNER">
          <a:extLst>
            <a:ext uri="{FF2B5EF4-FFF2-40B4-BE49-F238E27FC236}">
              <a16:creationId xmlns:a16="http://schemas.microsoft.com/office/drawing/2014/main" id="{00000000-0008-0000-2500-00001F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161925"/>
          <a:ext cx="15621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Auditoria/PDVSA/PDVSA%202016/AG/Balance%20Tecnomyl%202008%20CNV%20%20version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Armado%20del%20Informe.%20Diageo%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ID4CAQ/Armado%20del%20Informe.%20Diageo%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arioaguilar/Desktop/Clientes/PDVSA/2014/VOL_RVI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arioaguilar/Desktop/Clientes/PDVSA/2014/ECON80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Auditoria/PDVSA/PDVSA%202016/AG/PLANILLA%20IVA%20%20MARZO-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ID4CAQ/Auditoria/PDVSA/PDVSA%202016/AG/PLANILLA%20IVA%20%20MARZO-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Auditoria/PDVSA/PDVSA%202016/AG/Sector%20Financie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ID4CAQ/Auditoria/PDVSA/PDVSA%202016/AG/Sector%20Financie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arioaguilar/Desktop/Clientes/PDVSA/2014/donaciones%20abril%20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arioaguilar/Library/Caches/TemporaryItems/Outlook%20Temp/Armado%20Informe%20Bayer%20S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ID4CAQ/Auditoria/PDVSA/PDVSA%202016/AG/Balance%20Tecnomyl%202008%20CNV%20%20version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arioaguilar/Library/Caches/TemporaryItems/Outlook%20Temp/Copia%20de%20Balance%20FlorJara%202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acandia/Documents/BCA/CLIENTES/BEPSA/ARMADO/Balance%20y%20Anexos%20a%20JUN%6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90.100.100.162/Documents%20and%20Settings/sbueno/Escritorio/Users/jbenitez/Documents/Flor%20Jara/Balance%20FlorJara%202008%20#2.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Balance%20FNP-respald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Auditoria/PDVSA/PDVSA%202016/AG/resumen%20comisiones(marzo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ID4CAQ/Auditoria/PDVSA/PDVSA%202016/AG/resumen%20comisiones(marzo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marioaguilar/Library/Caches/TemporaryItems/Outlook%20Temp/Comprobante%20Ejempl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mguerrero/Library/Application%20Support/Microsoft/Office/Office%202011%20AutoRecovery/Auditoria%202014/For%20Jara/Flor%20Jara%202013/Bienes%20de%20uso/Sistema%20B.Uso%202013.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Auditoria%202014/For%20Jara/Flor%20Jara%202013/Bienes%20de%20uso/Sistema%20B.Uso%202013.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marioaguilar/Desktop/Clientes/PDVSA/2014/P&amp;G2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bueno/Escritorio/Mis%20documentos/Control%20de%20asistencias%20a&#241;o%20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sbueno/Mis%20documentos/BCA/SILVIA%202008/Diebold/Diebold%202008%20versi&#243;n%20semifina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mmeza/Documents/BCA/CLIENTES%20AUDIT/PDVSA/2010/30.11.2010/Pt's/BienDeUso_64%20pdvsa%20US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vovelar/Documents/BCA/CLIENTES/BEPSA/2012/Diciembre/Archivo%20General/Informe%202012/BEPSA%20Armado%20de%20informe%2031.12.201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Anibal/Configuraci&#243;n%20local/Archivos%20temporales%20de%20Internet/OLK11/Copia%20de%20Copia%20de%20Res%20173%20Wisdom%20Product%20S%20A%2031%2003%20201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contabilidad/Escritorio/AJUSTES/CV%203/flujo%20a%20marzo%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Copia%20de%20Balance%20Tecnomyl%202007%20CNV%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ID4CAQ/Copia%20de%20Balance%20Tecnomyl%202007%20CNV%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rioaguilar/Desktop/Clientes/PDVSA/2014/PLP%202000-2002%20uruguay.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rmado%20Informe%20de%20Bouncopy%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guerrero/Library/Application%20Support/Microsoft/Office/Office%202011%20AutoRecovery/L.11%20-%20CBU%2020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guerrero/AppData/Local/Microsoft/Windows/INetCache/Content.Outlook/VAVAS74J/L.11%20-%20CBU%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2006"/>
      <sheetName val="2008-2007"/>
      <sheetName val="BG"/>
      <sheetName val="ER"/>
      <sheetName val="EEPN"/>
      <sheetName val="EFE"/>
      <sheetName val="EOAF"/>
      <sheetName val="CBU"/>
      <sheetName val="1"/>
      <sheetName val="2"/>
      <sheetName val="2.2"/>
      <sheetName val="3"/>
      <sheetName val="4"/>
      <sheetName val="5"/>
      <sheetName val="6"/>
      <sheetName val="7"/>
      <sheetName val="8"/>
      <sheetName val="9"/>
      <sheetName val="10"/>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2006"/>
      <sheetName val="2008-2007"/>
      <sheetName val="BG"/>
      <sheetName val="ER"/>
      <sheetName val="EEPN"/>
      <sheetName val="EFE"/>
      <sheetName val="EOAF"/>
      <sheetName val="CBU"/>
      <sheetName val="1"/>
      <sheetName val="2"/>
      <sheetName val="2.2"/>
      <sheetName val="3"/>
      <sheetName val="4"/>
      <sheetName val="5"/>
      <sheetName val="6"/>
      <sheetName val="7"/>
      <sheetName val="8"/>
      <sheetName val="9"/>
      <sheetName val="10"/>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A"/>
      <sheetName val="FOODSERVICE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acion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acion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8"/>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8"/>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acione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S BAYER"/>
      <sheetName val="ESP"/>
      <sheetName val="Detalle EOAF"/>
      <sheetName val="ER"/>
      <sheetName val="EOAF DIRECTO"/>
      <sheetName val="EEPN"/>
      <sheetName val="BU"/>
      <sheetName val="1"/>
      <sheetName val="2"/>
      <sheetName val="3"/>
      <sheetName val="4"/>
      <sheetName val="5"/>
      <sheetName val="6"/>
      <sheetName val="7"/>
      <sheetName val="8"/>
      <sheetName val="9"/>
      <sheetName val="10"/>
      <sheetName val="11"/>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
      <sheetName val="Hoja1"/>
      <sheetName val="Flor Jara 2007"/>
      <sheetName val="bal fj"/>
      <sheetName val="EEAF 2008"/>
      <sheetName val="ESP"/>
      <sheetName val="ER"/>
      <sheetName val="EEP"/>
      <sheetName val="3"/>
      <sheetName val="4"/>
      <sheetName val="5"/>
      <sheetName val="6"/>
      <sheetName val="7"/>
      <sheetName val="8"/>
      <sheetName val="EOAF 2008"/>
    </sheetNames>
    <sheetDataSet>
      <sheetData sheetId="0"/>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CON"/>
      <sheetName val="Bal Sist.Excel"/>
      <sheetName val="Det"/>
      <sheetName val="PASIVO"/>
      <sheetName val="INGRESOS"/>
      <sheetName val="EGRESOS"/>
      <sheetName val="ENCAB"/>
      <sheetName val="BALANCE"/>
      <sheetName val="RESULT"/>
      <sheetName val="EVOLUC"/>
      <sheetName val="Flujo de Efectivo"/>
      <sheetName val="Hoja1"/>
      <sheetName val="ACTIVO"/>
      <sheetName val="BIENUSO"/>
      <sheetName val="ACTINTA"/>
      <sheetName val="INVACDE"/>
      <sheetName val="OTRAINV"/>
      <sheetName val="PREVIS"/>
      <sheetName val="COSTOMAC"/>
      <sheetName val="ACTEXT"/>
      <sheetName val="Costos y Gastos"/>
      <sheetName val="DATOSES"/>
      <sheetName val="INDICES"/>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tabla"/>
      <sheetName val="2008 balance ultimo"/>
      <sheetName val="bal"/>
      <sheetName val="BG"/>
      <sheetName val="ER"/>
      <sheetName val="EEP"/>
      <sheetName val="Flujo 2008"/>
      <sheetName val="EEAF 2008"/>
      <sheetName val="3"/>
      <sheetName val="4"/>
      <sheetName val="5"/>
      <sheetName val="6"/>
      <sheetName val="7"/>
      <sheetName val="8"/>
      <sheetName val="9"/>
      <sheetName val="10"/>
    </sheetNames>
    <sheetDataSet>
      <sheetData sheetId="0"/>
      <sheetData sheetId="1" refreshError="1"/>
      <sheetData sheetId="2" refreshError="1"/>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
      <sheetName val="ER"/>
      <sheetName val="CBU"/>
      <sheetName val="EEP"/>
      <sheetName val="EOAF"/>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 val="Mayor 110138"/>
      <sheetName val="Papel de trabajo"/>
      <sheetName val="Planilha resultados"/>
      <sheetName val="CVsku"/>
    </sheetNames>
    <sheetDataSet>
      <sheetData sheetId="0" refreshError="1">
        <row r="13">
          <cell r="E13" t="str">
            <v>30 de junio de 2002</v>
          </cell>
        </row>
      </sheetData>
      <sheetData sheetId="1">
        <row r="13">
          <cell r="E13" t="str">
            <v>30 de junio de 2002</v>
          </cell>
        </row>
      </sheetData>
      <sheetData sheetId="2"/>
      <sheetData sheetId="3"/>
      <sheetData sheetId="4">
        <row r="13">
          <cell r="E13" t="str">
            <v>30 de junio de 2002</v>
          </cell>
        </row>
      </sheetData>
      <sheetData sheetId="5">
        <row r="13">
          <cell r="E13" t="str">
            <v>30 de junio de 2002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comisione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comision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s>
    <sheetDataSet>
      <sheetData sheetId="0" refreshError="1">
        <row r="2">
          <cell r="A2" t="str">
            <v>Fijo</v>
          </cell>
        </row>
        <row r="3">
          <cell r="A3" t="str">
            <v>Auto Reversible</v>
          </cell>
        </row>
        <row r="4">
          <cell r="A4" t="str">
            <v>Recurrente</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Control"/>
      <sheetName val="RegistroDatos"/>
      <sheetName val="Resumen"/>
      <sheetName val="TablaCoeficientes"/>
      <sheetName val="TipoBienes"/>
      <sheetName val="Cuaresumen"/>
      <sheetName val="Asiento"/>
    </sheetNames>
    <sheetDataSet>
      <sheetData sheetId="0"/>
      <sheetData sheetId="1"/>
      <sheetData sheetId="2"/>
      <sheetData sheetId="3"/>
      <sheetData sheetId="4">
        <row r="1">
          <cell r="A1" t="str">
            <v>TipoDelBien</v>
          </cell>
        </row>
        <row r="2">
          <cell r="A2" t="str">
            <v>barcazas 1</v>
          </cell>
        </row>
        <row r="3">
          <cell r="A3" t="str">
            <v>barcazas 2</v>
          </cell>
        </row>
        <row r="4">
          <cell r="A4" t="str">
            <v>barcazas 3</v>
          </cell>
        </row>
        <row r="5">
          <cell r="A5" t="str">
            <v>bienes de oficina 1</v>
          </cell>
        </row>
        <row r="6">
          <cell r="A6" t="str">
            <v>bienes de oficina 2</v>
          </cell>
        </row>
        <row r="7">
          <cell r="A7" t="str">
            <v>bienes de oficina 3</v>
          </cell>
        </row>
        <row r="8">
          <cell r="A8" t="str">
            <v>Equipos y Utiles a bordo 1</v>
          </cell>
        </row>
        <row r="9">
          <cell r="A9" t="str">
            <v>Equipos y Utiles a bordo 2</v>
          </cell>
        </row>
        <row r="10">
          <cell r="A10" t="str">
            <v>Estancia Flor Jara 1</v>
          </cell>
        </row>
        <row r="11">
          <cell r="A11" t="str">
            <v>Estancia Flor Jara 2</v>
          </cell>
        </row>
        <row r="12">
          <cell r="A12" t="str">
            <v>Estancia Flor Jara 3</v>
          </cell>
        </row>
        <row r="13">
          <cell r="A13" t="str">
            <v>Inmueble 1</v>
          </cell>
        </row>
        <row r="14">
          <cell r="A14" t="str">
            <v>Inmueble 2</v>
          </cell>
        </row>
        <row r="15">
          <cell r="A15" t="str">
            <v>Maquinarias y equipos</v>
          </cell>
        </row>
        <row r="16">
          <cell r="A16" t="str">
            <v>Remolcador 1</v>
          </cell>
        </row>
        <row r="17">
          <cell r="A17" t="str">
            <v>Remolcador 2</v>
          </cell>
        </row>
        <row r="18">
          <cell r="A18" t="str">
            <v>vehiculos</v>
          </cell>
        </row>
        <row r="19">
          <cell r="A19" t="str">
            <v>inmueble alta del año</v>
          </cell>
        </row>
        <row r="20">
          <cell r="A20" t="str">
            <v>barcazas 4</v>
          </cell>
        </row>
        <row r="21">
          <cell r="A21" t="str">
            <v>Obras en Curso</v>
          </cell>
        </row>
        <row r="22">
          <cell r="A22" t="str">
            <v>barcazas - alta mod. Pira 500</v>
          </cell>
        </row>
        <row r="23">
          <cell r="A23" t="str">
            <v>Barcaza  - VN=0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Control"/>
      <sheetName val="RegistroDatos"/>
      <sheetName val="Resumen"/>
      <sheetName val="TablaCoeficientes"/>
      <sheetName val="TipoBienes"/>
      <sheetName val="Cuaresumen"/>
      <sheetName val="Asiento"/>
    </sheetNames>
    <sheetDataSet>
      <sheetData sheetId="0"/>
      <sheetData sheetId="1"/>
      <sheetData sheetId="2"/>
      <sheetData sheetId="3"/>
      <sheetData sheetId="4">
        <row r="1">
          <cell r="A1" t="str">
            <v>TipoDelBien</v>
          </cell>
        </row>
        <row r="2">
          <cell r="A2" t="str">
            <v>barcazas 1</v>
          </cell>
        </row>
        <row r="3">
          <cell r="A3" t="str">
            <v>barcazas 2</v>
          </cell>
        </row>
        <row r="4">
          <cell r="A4" t="str">
            <v>barcazas 3</v>
          </cell>
        </row>
        <row r="5">
          <cell r="A5" t="str">
            <v>bienes de oficina 1</v>
          </cell>
        </row>
        <row r="6">
          <cell r="A6" t="str">
            <v>bienes de oficina 2</v>
          </cell>
        </row>
        <row r="7">
          <cell r="A7" t="str">
            <v>bienes de oficina 3</v>
          </cell>
        </row>
        <row r="8">
          <cell r="A8" t="str">
            <v>Equipos y Utiles a bordo 1</v>
          </cell>
        </row>
        <row r="9">
          <cell r="A9" t="str">
            <v>Equipos y Utiles a bordo 2</v>
          </cell>
        </row>
        <row r="10">
          <cell r="A10" t="str">
            <v>Estancia Flor Jara 1</v>
          </cell>
        </row>
        <row r="11">
          <cell r="A11" t="str">
            <v>Estancia Flor Jara 2</v>
          </cell>
        </row>
        <row r="12">
          <cell r="A12" t="str">
            <v>Estancia Flor Jara 3</v>
          </cell>
        </row>
        <row r="13">
          <cell r="A13" t="str">
            <v>Inmueble 1</v>
          </cell>
        </row>
        <row r="14">
          <cell r="A14" t="str">
            <v>Inmueble 2</v>
          </cell>
        </row>
        <row r="15">
          <cell r="A15" t="str">
            <v>Maquinarias y equipos</v>
          </cell>
        </row>
        <row r="16">
          <cell r="A16" t="str">
            <v>Remolcador 1</v>
          </cell>
        </row>
        <row r="17">
          <cell r="A17" t="str">
            <v>Remolcador 2</v>
          </cell>
        </row>
        <row r="18">
          <cell r="A18" t="str">
            <v>vehiculos</v>
          </cell>
        </row>
        <row r="19">
          <cell r="A19" t="str">
            <v>inmueble alta del año</v>
          </cell>
        </row>
        <row r="20">
          <cell r="A20" t="str">
            <v>barcazas 4</v>
          </cell>
        </row>
        <row r="21">
          <cell r="A21" t="str">
            <v>Obras en Curso</v>
          </cell>
        </row>
        <row r="22">
          <cell r="A22" t="str">
            <v>barcazas - alta mod. Pira 500</v>
          </cell>
        </row>
        <row r="23">
          <cell r="A23" t="str">
            <v>Barcaza  - VN=0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s>
    <sheetDataSet>
      <sheetData sheetId="0" refreshError="1">
        <row r="2">
          <cell r="D2">
            <v>0</v>
          </cell>
        </row>
        <row r="3">
          <cell r="B3" t="str">
            <v xml:space="preserve"> DIVISIÓN LBCF</v>
          </cell>
          <cell r="C3" t="str">
            <v xml:space="preserve">ESTADOS DE INGRESOS </v>
          </cell>
        </row>
        <row r="4">
          <cell r="B4" t="str">
            <v xml:space="preserve"> CONTRALORÍA</v>
          </cell>
          <cell r="C4" t="str">
            <v>CANAL DETALLE (SIN INST SIN REFRIG SIN MARG)</v>
          </cell>
        </row>
        <row r="5">
          <cell r="B5" t="str">
            <v xml:space="preserve">  IMPORTES EN  :  $ MILES  DE CADA  AÑO</v>
          </cell>
          <cell r="E5">
            <v>0</v>
          </cell>
        </row>
        <row r="6">
          <cell r="D6" t="str">
            <v>COD.</v>
          </cell>
          <cell r="E6" t="str">
            <v>EFECTIVO</v>
          </cell>
          <cell r="G6" t="str">
            <v>EFECTIVO</v>
          </cell>
          <cell r="I6" t="str">
            <v>P.O.</v>
          </cell>
          <cell r="K6" t="str">
            <v>STATUS REPORT</v>
          </cell>
          <cell r="M6" t="str">
            <v>PLP</v>
          </cell>
          <cell r="O6" t="str">
            <v>PLP</v>
          </cell>
          <cell r="Q6" t="str">
            <v>PLP</v>
          </cell>
          <cell r="S6" t="str">
            <v>REV.DIC</v>
          </cell>
        </row>
        <row r="7">
          <cell r="E7">
            <v>1997</v>
          </cell>
          <cell r="F7" t="str">
            <v>%</v>
          </cell>
          <cell r="G7">
            <v>1998</v>
          </cell>
          <cell r="H7" t="str">
            <v>%</v>
          </cell>
          <cell r="I7">
            <v>1999</v>
          </cell>
          <cell r="J7" t="str">
            <v>%</v>
          </cell>
          <cell r="K7">
            <v>1999</v>
          </cell>
          <cell r="L7" t="str">
            <v>%</v>
          </cell>
          <cell r="M7">
            <v>2000</v>
          </cell>
          <cell r="N7" t="str">
            <v>%</v>
          </cell>
          <cell r="O7">
            <v>2001</v>
          </cell>
          <cell r="P7" t="str">
            <v>%</v>
          </cell>
          <cell r="Q7">
            <v>2002</v>
          </cell>
          <cell r="R7" t="str">
            <v>%</v>
          </cell>
          <cell r="S7">
            <v>1998</v>
          </cell>
          <cell r="T7" t="str">
            <v>%</v>
          </cell>
        </row>
        <row r="8">
          <cell r="B8" t="str">
            <v xml:space="preserve">   VOLUMEN DE VENTAS               (Tns.)</v>
          </cell>
          <cell r="D8" t="str">
            <v>3000</v>
          </cell>
          <cell r="E8">
            <v>75889</v>
          </cell>
          <cell r="G8">
            <v>84821</v>
          </cell>
          <cell r="I8">
            <v>90200.260999999999</v>
          </cell>
          <cell r="K8">
            <v>88450.002000000008</v>
          </cell>
          <cell r="M8">
            <v>95911</v>
          </cell>
          <cell r="O8">
            <v>101265</v>
          </cell>
          <cell r="Q8">
            <v>106568</v>
          </cell>
          <cell r="S8">
            <v>85526.66</v>
          </cell>
        </row>
        <row r="9">
          <cell r="B9" t="str">
            <v xml:space="preserve">   PRODUCTO BRUTO DE LAS VENTAS</v>
          </cell>
          <cell r="D9" t="str">
            <v>3001</v>
          </cell>
          <cell r="E9">
            <v>125886696</v>
          </cell>
          <cell r="F9">
            <v>105.45241580493835</v>
          </cell>
          <cell r="G9">
            <v>139811970</v>
          </cell>
          <cell r="H9">
            <v>104.54640413817566</v>
          </cell>
          <cell r="I9">
            <v>148910097.75999999</v>
          </cell>
          <cell r="J9">
            <v>104.45492046888451</v>
          </cell>
          <cell r="K9">
            <v>147978795.9802646</v>
          </cell>
          <cell r="L9">
            <v>104.45986047263752</v>
          </cell>
          <cell r="M9">
            <v>161925743.48803294</v>
          </cell>
          <cell r="N9">
            <v>104.45276482656016</v>
          </cell>
          <cell r="O9">
            <v>176189172.36776602</v>
          </cell>
          <cell r="P9">
            <v>104.46678221634028</v>
          </cell>
          <cell r="Q9">
            <v>191182140.720101</v>
          </cell>
          <cell r="R9">
            <v>104.49298101762399</v>
          </cell>
          <cell r="S9" t="e">
            <v>#REF!</v>
          </cell>
          <cell r="T9" t="e">
            <v>#REF!</v>
          </cell>
        </row>
        <row r="10">
          <cell r="B10" t="str">
            <v xml:space="preserve">   Reducciones de precio</v>
          </cell>
          <cell r="D10" t="str">
            <v>3002</v>
          </cell>
          <cell r="E10">
            <v>6508970</v>
          </cell>
          <cell r="F10">
            <v>5.4524158049383518</v>
          </cell>
          <cell r="G10">
            <v>6079996</v>
          </cell>
          <cell r="H10">
            <v>4.5464041381756619</v>
          </cell>
          <cell r="I10">
            <v>6350898.9289999995</v>
          </cell>
          <cell r="J10">
            <v>4.4549204688845192</v>
          </cell>
          <cell r="K10">
            <v>6317879.2312646015</v>
          </cell>
          <cell r="L10">
            <v>4.4598604726375237</v>
          </cell>
          <cell r="M10">
            <v>6902806.7980329497</v>
          </cell>
          <cell r="N10">
            <v>4.4527648265601627</v>
          </cell>
          <cell r="O10">
            <v>7533482.3677659994</v>
          </cell>
          <cell r="P10">
            <v>4.4667822163402837</v>
          </cell>
          <cell r="Q10">
            <v>8220434.7201009998</v>
          </cell>
          <cell r="R10">
            <v>4.4929810176239826</v>
          </cell>
          <cell r="S10" t="e">
            <v>#REF!</v>
          </cell>
          <cell r="T10" t="e">
            <v>#REF!</v>
          </cell>
        </row>
        <row r="11">
          <cell r="B11" t="str">
            <v>* PRODUCTO NETO DE LAS VENTAS (PNV)</v>
          </cell>
          <cell r="D11" t="str">
            <v>3030</v>
          </cell>
          <cell r="E11">
            <v>119377726</v>
          </cell>
          <cell r="F11">
            <v>100</v>
          </cell>
          <cell r="G11">
            <v>133731974</v>
          </cell>
          <cell r="H11">
            <v>100</v>
          </cell>
          <cell r="I11">
            <v>142559198.831</v>
          </cell>
          <cell r="J11">
            <v>100</v>
          </cell>
          <cell r="K11">
            <v>141660916.74900001</v>
          </cell>
          <cell r="L11">
            <v>100</v>
          </cell>
          <cell r="M11">
            <v>155022936.69</v>
          </cell>
          <cell r="N11">
            <v>100</v>
          </cell>
          <cell r="O11">
            <v>168655690.00000003</v>
          </cell>
          <cell r="P11">
            <v>100</v>
          </cell>
          <cell r="Q11">
            <v>182961706</v>
          </cell>
          <cell r="R11">
            <v>100</v>
          </cell>
          <cell r="S11" t="e">
            <v>#REF!</v>
          </cell>
          <cell r="T11" t="e">
            <v>#REF!</v>
          </cell>
        </row>
        <row r="12">
          <cell r="B12" t="str">
            <v xml:space="preserve">   Bonificaciones periódicas</v>
          </cell>
          <cell r="D12" t="str">
            <v>3035</v>
          </cell>
          <cell r="E12">
            <v>3086</v>
          </cell>
          <cell r="F12">
            <v>2.5850718583800129E-3</v>
          </cell>
          <cell r="G12">
            <v>202730</v>
          </cell>
          <cell r="H12">
            <v>0.1515942627153623</v>
          </cell>
          <cell r="I12">
            <v>531399.53299999994</v>
          </cell>
          <cell r="J12">
            <v>0.37275709835459964</v>
          </cell>
          <cell r="K12">
            <v>531399.53299999994</v>
          </cell>
          <cell r="L12">
            <v>0.3751207779782712</v>
          </cell>
          <cell r="M12">
            <v>586289.99468800006</v>
          </cell>
          <cell r="N12">
            <v>0.3781956445970357</v>
          </cell>
          <cell r="O12">
            <v>673571</v>
          </cell>
          <cell r="P12">
            <v>0.39937638629328182</v>
          </cell>
          <cell r="Q12">
            <v>758659</v>
          </cell>
          <cell r="R12">
            <v>0.41465452885534421</v>
          </cell>
          <cell r="S12">
            <v>458076</v>
          </cell>
          <cell r="T12" t="e">
            <v>#REF!</v>
          </cell>
        </row>
        <row r="13">
          <cell r="B13" t="str">
            <v xml:space="preserve">   Promociones temporales de precio</v>
          </cell>
          <cell r="D13" t="str">
            <v>3040</v>
          </cell>
          <cell r="E13">
            <v>4754526</v>
          </cell>
          <cell r="F13">
            <v>3.9827580565573846</v>
          </cell>
          <cell r="G13">
            <v>5990364</v>
          </cell>
          <cell r="H13">
            <v>4.4793805257073371</v>
          </cell>
          <cell r="I13">
            <v>7215001</v>
          </cell>
          <cell r="J13">
            <v>5.0610560799750175</v>
          </cell>
          <cell r="K13">
            <v>6878201</v>
          </cell>
          <cell r="L13">
            <v>4.8553977750878508</v>
          </cell>
          <cell r="M13">
            <v>7006087.6335999994</v>
          </cell>
          <cell r="N13">
            <v>4.5193877649280383</v>
          </cell>
          <cell r="O13">
            <v>7268096.9999999991</v>
          </cell>
          <cell r="P13">
            <v>4.3094288725153582</v>
          </cell>
          <cell r="Q13">
            <v>7703073.0000000009</v>
          </cell>
          <cell r="R13">
            <v>4.2102105235070342</v>
          </cell>
          <cell r="S13">
            <v>5286586</v>
          </cell>
          <cell r="T13" t="e">
            <v>#REF!</v>
          </cell>
        </row>
        <row r="14">
          <cell r="B14" t="str">
            <v xml:space="preserve">   Descuentos a clientes</v>
          </cell>
          <cell r="D14" t="str">
            <v>3045</v>
          </cell>
          <cell r="E14">
            <v>34528</v>
          </cell>
          <cell r="F14">
            <v>2.8923318576197374E-2</v>
          </cell>
          <cell r="G14">
            <v>70821</v>
          </cell>
          <cell r="H14">
            <v>5.2957417647929134E-2</v>
          </cell>
          <cell r="I14">
            <v>96548.323999999993</v>
          </cell>
          <cell r="J14">
            <v>6.7725074770134883E-2</v>
          </cell>
          <cell r="K14">
            <v>95096.415922254164</v>
          </cell>
          <cell r="L14">
            <v>6.7129606460721594E-2</v>
          </cell>
          <cell r="M14">
            <v>128566.7536084</v>
          </cell>
          <cell r="N14">
            <v>8.2934020186635649E-2</v>
          </cell>
          <cell r="O14">
            <v>138974</v>
          </cell>
          <cell r="P14">
            <v>8.2401014753786236E-2</v>
          </cell>
          <cell r="Q14">
            <v>156853</v>
          </cell>
          <cell r="R14">
            <v>8.5729961437941551E-2</v>
          </cell>
          <cell r="S14">
            <v>72416</v>
          </cell>
          <cell r="T14" t="e">
            <v>#REF!</v>
          </cell>
        </row>
        <row r="15">
          <cell r="B15" t="str">
            <v xml:space="preserve">   Costo prod.vendido (fab.propia)</v>
          </cell>
          <cell r="D15" t="str">
            <v>3075</v>
          </cell>
          <cell r="E15">
            <v>51005503</v>
          </cell>
          <cell r="F15">
            <v>42.726147254639443</v>
          </cell>
          <cell r="G15">
            <v>56074492</v>
          </cell>
          <cell r="H15">
            <v>41.930504966598342</v>
          </cell>
          <cell r="I15">
            <v>59521857.199999996</v>
          </cell>
          <cell r="J15">
            <v>41.752379143601608</v>
          </cell>
          <cell r="K15">
            <v>58278938.951000005</v>
          </cell>
          <cell r="L15">
            <v>41.139744319359984</v>
          </cell>
          <cell r="M15">
            <v>64034051.246000007</v>
          </cell>
          <cell r="N15">
            <v>41.306178694091678</v>
          </cell>
          <cell r="O15">
            <v>69500608</v>
          </cell>
          <cell r="P15">
            <v>41.208575886173769</v>
          </cell>
          <cell r="Q15">
            <v>75213999</v>
          </cell>
          <cell r="R15">
            <v>41.109148271715398</v>
          </cell>
          <cell r="S15">
            <v>57361974.175999992</v>
          </cell>
          <cell r="T15" t="e">
            <v>#REF!</v>
          </cell>
        </row>
        <row r="16">
          <cell r="B16" t="str">
            <v xml:space="preserve">   Costo prod.vendido (comprados)</v>
          </cell>
          <cell r="D16" t="str">
            <v>3100</v>
          </cell>
          <cell r="E16">
            <v>390443</v>
          </cell>
          <cell r="F16">
            <v>0.32706520142626938</v>
          </cell>
          <cell r="G16">
            <v>1417983</v>
          </cell>
          <cell r="H16">
            <v>1.060317108607101</v>
          </cell>
          <cell r="I16">
            <v>3391769.2149999999</v>
          </cell>
          <cell r="J16">
            <v>2.3792005305956083</v>
          </cell>
          <cell r="K16">
            <v>3231925.2149999999</v>
          </cell>
          <cell r="L16">
            <v>2.2814515740614913</v>
          </cell>
          <cell r="M16">
            <v>3714631.966</v>
          </cell>
          <cell r="N16">
            <v>2.3961821684672149</v>
          </cell>
          <cell r="O16">
            <v>4437680</v>
          </cell>
          <cell r="P16">
            <v>2.6312068095656893</v>
          </cell>
          <cell r="Q16">
            <v>5262579</v>
          </cell>
          <cell r="R16">
            <v>2.8763281208145268</v>
          </cell>
          <cell r="S16">
            <v>1602996.7370000002</v>
          </cell>
          <cell r="T16" t="e">
            <v>#REF!</v>
          </cell>
        </row>
        <row r="17">
          <cell r="B17" t="str">
            <v xml:space="preserve">   Subsidios a las exportaciones</v>
          </cell>
          <cell r="D17" t="str">
            <v>3110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t="e">
            <v>#REF!</v>
          </cell>
        </row>
        <row r="18">
          <cell r="B18" t="str">
            <v xml:space="preserve">   Gastos variables de distribución</v>
          </cell>
          <cell r="D18" t="str">
            <v>3115</v>
          </cell>
          <cell r="E18">
            <v>2713004</v>
          </cell>
          <cell r="F18">
            <v>2.2726216111705799</v>
          </cell>
          <cell r="G18">
            <v>3117414</v>
          </cell>
          <cell r="H18">
            <v>2.3310909924951826</v>
          </cell>
          <cell r="I18">
            <v>3289339.5870000003</v>
          </cell>
          <cell r="J18">
            <v>2.307349938813434</v>
          </cell>
          <cell r="K18">
            <v>3278425.170463339</v>
          </cell>
          <cell r="L18">
            <v>2.3142764043184703</v>
          </cell>
          <cell r="M18">
            <v>3480227.0919999997</v>
          </cell>
          <cell r="N18">
            <v>2.244975592843673</v>
          </cell>
          <cell r="O18">
            <v>3791303</v>
          </cell>
          <cell r="P18">
            <v>2.2479543975065406</v>
          </cell>
          <cell r="Q18">
            <v>4105494</v>
          </cell>
          <cell r="R18">
            <v>2.243908897526349</v>
          </cell>
          <cell r="S18">
            <v>3108203.2570000002</v>
          </cell>
          <cell r="T18" t="e">
            <v>#REF!</v>
          </cell>
        </row>
        <row r="19">
          <cell r="B19" t="str">
            <v xml:space="preserve">   Comisiones a agentes/vendedores</v>
          </cell>
          <cell r="D19" t="str">
            <v>3120</v>
          </cell>
          <cell r="E19">
            <v>0</v>
          </cell>
          <cell r="F19">
            <v>0</v>
          </cell>
          <cell r="G19">
            <v>160836</v>
          </cell>
          <cell r="H19">
            <v>0.12026742385482174</v>
          </cell>
          <cell r="I19">
            <v>200072.52700000003</v>
          </cell>
          <cell r="J19">
            <v>0.14034347039027659</v>
          </cell>
          <cell r="K19">
            <v>199536.16699819799</v>
          </cell>
          <cell r="L19">
            <v>0.14085477602248153</v>
          </cell>
          <cell r="M19">
            <v>223118.25</v>
          </cell>
          <cell r="N19">
            <v>0.14392596009593761</v>
          </cell>
          <cell r="O19">
            <v>247941</v>
          </cell>
          <cell r="P19">
            <v>0.14701016016714288</v>
          </cell>
          <cell r="Q19">
            <v>275992.00000000012</v>
          </cell>
          <cell r="R19">
            <v>0.15084686628359276</v>
          </cell>
          <cell r="S19" t="e">
            <v>#REF!</v>
          </cell>
          <cell r="T19" t="e">
            <v>#REF!</v>
          </cell>
        </row>
        <row r="20">
          <cell r="B20" t="str">
            <v xml:space="preserve">   Otros gastos variables</v>
          </cell>
          <cell r="D20" t="str">
            <v>3125</v>
          </cell>
          <cell r="E20">
            <v>0</v>
          </cell>
          <cell r="F20">
            <v>0</v>
          </cell>
          <cell r="G20">
            <v>3301</v>
          </cell>
          <cell r="H20">
            <v>2.468370054868105E-3</v>
          </cell>
          <cell r="I20">
            <v>0</v>
          </cell>
          <cell r="J20">
            <v>0</v>
          </cell>
          <cell r="K20">
            <v>0</v>
          </cell>
          <cell r="L20">
            <v>0</v>
          </cell>
          <cell r="M20">
            <v>0</v>
          </cell>
          <cell r="N20">
            <v>0</v>
          </cell>
          <cell r="O20">
            <v>0</v>
          </cell>
          <cell r="P20">
            <v>0</v>
          </cell>
          <cell r="Q20">
            <v>0</v>
          </cell>
          <cell r="R20">
            <v>0</v>
          </cell>
          <cell r="S20">
            <v>0</v>
          </cell>
          <cell r="T20" t="e">
            <v>#REF!</v>
          </cell>
        </row>
        <row r="21">
          <cell r="B21" t="str">
            <v xml:space="preserve">   Regalías / Asist. Técnica (Netas)</v>
          </cell>
          <cell r="D21" t="str">
            <v>3130</v>
          </cell>
          <cell r="E21">
            <v>3136341</v>
          </cell>
          <cell r="F21">
            <v>2.6272413666180912</v>
          </cell>
          <cell r="G21">
            <v>3607980.1919999998</v>
          </cell>
          <cell r="H21">
            <v>2.6979188926052942</v>
          </cell>
          <cell r="I21">
            <v>3726674.7209999999</v>
          </cell>
          <cell r="J21">
            <v>2.6141243438228563</v>
          </cell>
          <cell r="K21">
            <v>3706392.0887094997</v>
          </cell>
          <cell r="L21">
            <v>2.6163829613474974</v>
          </cell>
          <cell r="M21">
            <v>4214751.932</v>
          </cell>
          <cell r="N21">
            <v>2.7187924716122858</v>
          </cell>
          <cell r="O21">
            <v>4584823</v>
          </cell>
          <cell r="P21">
            <v>2.7184514201685097</v>
          </cell>
          <cell r="Q21">
            <v>4972738</v>
          </cell>
          <cell r="R21">
            <v>2.7179119110312624</v>
          </cell>
          <cell r="S21" t="e">
            <v>#REF!</v>
          </cell>
          <cell r="T21" t="e">
            <v>#REF!</v>
          </cell>
        </row>
        <row r="22">
          <cell r="B22" t="str">
            <v xml:space="preserve">   Impuesto sobre regalías / Asist. Tec.</v>
          </cell>
          <cell r="D22" t="str">
            <v>3135</v>
          </cell>
          <cell r="E22">
            <v>1529306</v>
          </cell>
          <cell r="F22">
            <v>1.2810647775280961</v>
          </cell>
          <cell r="G22">
            <v>1546281.368</v>
          </cell>
          <cell r="H22">
            <v>1.156254051854495</v>
          </cell>
          <cell r="I22">
            <v>1597144.7379999999</v>
          </cell>
          <cell r="J22">
            <v>1.1203379024971731</v>
          </cell>
          <cell r="K22">
            <v>1564762.8427331997</v>
          </cell>
          <cell r="L22">
            <v>1.1045833096687518</v>
          </cell>
          <cell r="M22">
            <v>1825203.9040000006</v>
          </cell>
          <cell r="N22">
            <v>1.1773766792006193</v>
          </cell>
          <cell r="O22">
            <v>1985046</v>
          </cell>
          <cell r="P22">
            <v>1.1769813399121012</v>
          </cell>
          <cell r="Q22">
            <v>2152460</v>
          </cell>
          <cell r="R22">
            <v>1.1764538312733048</v>
          </cell>
          <cell r="S22" t="e">
            <v>#REF!</v>
          </cell>
          <cell r="T22" t="e">
            <v>#REF!</v>
          </cell>
        </row>
        <row r="23">
          <cell r="B23" t="str">
            <v>* TOTAL GASTOS VARIABLES</v>
          </cell>
          <cell r="D23" t="str">
            <v>3150</v>
          </cell>
          <cell r="E23">
            <v>63566737</v>
          </cell>
          <cell r="F23">
            <v>53.248406658374449</v>
          </cell>
          <cell r="G23">
            <v>72192202.560000002</v>
          </cell>
          <cell r="H23">
            <v>53.982754012140731</v>
          </cell>
          <cell r="I23">
            <v>79569806.844999999</v>
          </cell>
          <cell r="J23">
            <v>55.815273582820716</v>
          </cell>
          <cell r="K23">
            <v>77764677.383826494</v>
          </cell>
          <cell r="L23">
            <v>54.894941504305514</v>
          </cell>
          <cell r="M23">
            <v>85212928.771896392</v>
          </cell>
          <cell r="N23">
            <v>54.967948996023111</v>
          </cell>
          <cell r="O23">
            <v>92628043</v>
          </cell>
          <cell r="P23">
            <v>54.921386287056187</v>
          </cell>
          <cell r="Q23">
            <v>100601847</v>
          </cell>
          <cell r="R23">
            <v>54.985192912444745</v>
          </cell>
          <cell r="S23" t="e">
            <v>#REF!</v>
          </cell>
          <cell r="T23" t="e">
            <v>#REF!</v>
          </cell>
        </row>
        <row r="24">
          <cell r="B24" t="str">
            <v>* CONTRIBUCION MARGINAL</v>
          </cell>
          <cell r="D24" t="str">
            <v>3190</v>
          </cell>
          <cell r="E24">
            <v>55810989</v>
          </cell>
          <cell r="F24">
            <v>46.751593341625558</v>
          </cell>
          <cell r="G24">
            <v>61539771.439999998</v>
          </cell>
          <cell r="H24">
            <v>46.017245987859269</v>
          </cell>
          <cell r="I24">
            <v>62989391.986000001</v>
          </cell>
          <cell r="J24">
            <v>44.184726417179284</v>
          </cell>
          <cell r="K24">
            <v>63896239.365173519</v>
          </cell>
          <cell r="L24">
            <v>45.105058495694486</v>
          </cell>
          <cell r="M24">
            <v>69810007.918103606</v>
          </cell>
          <cell r="N24">
            <v>45.032051003976889</v>
          </cell>
          <cell r="O24">
            <v>76027647.00000003</v>
          </cell>
          <cell r="P24">
            <v>45.078613712943813</v>
          </cell>
          <cell r="Q24">
            <v>82359859</v>
          </cell>
          <cell r="R24">
            <v>45.014807087555255</v>
          </cell>
          <cell r="S24" t="e">
            <v>#REF!</v>
          </cell>
          <cell r="T24" t="e">
            <v>#REF!</v>
          </cell>
        </row>
        <row r="25">
          <cell r="B25" t="str">
            <v xml:space="preserve">   Publicidad Medios</v>
          </cell>
          <cell r="D25" t="str">
            <v>3205</v>
          </cell>
          <cell r="E25">
            <v>4045310</v>
          </cell>
          <cell r="F25">
            <v>3.3886639790742872</v>
          </cell>
          <cell r="G25">
            <v>3847727</v>
          </cell>
          <cell r="H25">
            <v>2.8771930039707629</v>
          </cell>
          <cell r="I25">
            <v>4867318</v>
          </cell>
          <cell r="J25">
            <v>3.4142433739193998</v>
          </cell>
          <cell r="K25">
            <v>4867318</v>
          </cell>
          <cell r="L25">
            <v>3.435893337203296</v>
          </cell>
          <cell r="M25">
            <v>5497404.8448418854</v>
          </cell>
          <cell r="N25">
            <v>3.5461880430217039</v>
          </cell>
          <cell r="O25">
            <v>6452651.1621509613</v>
          </cell>
          <cell r="P25">
            <v>3.825931495196492</v>
          </cell>
          <cell r="Q25">
            <v>6908098.8056597542</v>
          </cell>
          <cell r="R25">
            <v>3.7757074727209607</v>
          </cell>
          <cell r="S25">
            <v>4401300</v>
          </cell>
          <cell r="T25" t="e">
            <v>#REF!</v>
          </cell>
        </row>
        <row r="26">
          <cell r="B26" t="str">
            <v xml:space="preserve">   Otras promociones</v>
          </cell>
          <cell r="D26" t="str">
            <v>3210</v>
          </cell>
          <cell r="E26">
            <v>4054261</v>
          </cell>
          <cell r="F26">
            <v>3.3961620277471192</v>
          </cell>
          <cell r="G26">
            <v>4886528</v>
          </cell>
          <cell r="H26">
            <v>3.653971338223124</v>
          </cell>
          <cell r="I26">
            <v>3975028.9809999997</v>
          </cell>
          <cell r="J26">
            <v>2.7883356623743984</v>
          </cell>
          <cell r="K26">
            <v>3975028.9809999997</v>
          </cell>
          <cell r="L26">
            <v>2.8060166997529046</v>
          </cell>
          <cell r="M26">
            <v>4315717.0713754194</v>
          </cell>
          <cell r="N26">
            <v>2.7839216334841965</v>
          </cell>
          <cell r="O26">
            <v>5080387.0959344702</v>
          </cell>
          <cell r="P26">
            <v>3.0122832475645911</v>
          </cell>
          <cell r="Q26">
            <v>5493780.9875657624</v>
          </cell>
          <cell r="R26">
            <v>3.002694447747313</v>
          </cell>
          <cell r="S26">
            <v>4673000</v>
          </cell>
          <cell r="T26" t="e">
            <v>#REF!</v>
          </cell>
        </row>
        <row r="27">
          <cell r="B27" t="str">
            <v xml:space="preserve">   Estudios de Mercado</v>
          </cell>
          <cell r="D27" t="str">
            <v>3215</v>
          </cell>
          <cell r="E27">
            <v>389471</v>
          </cell>
          <cell r="F27">
            <v>0.32625097918182827</v>
          </cell>
          <cell r="G27">
            <v>411441</v>
          </cell>
          <cell r="H27">
            <v>0.30766090389124146</v>
          </cell>
          <cell r="I27">
            <v>428351</v>
          </cell>
          <cell r="J27">
            <v>0.30047236762869178</v>
          </cell>
          <cell r="K27">
            <v>428351</v>
          </cell>
          <cell r="L27">
            <v>0.3023776845655799</v>
          </cell>
          <cell r="M27">
            <v>483190.16521675541</v>
          </cell>
          <cell r="N27">
            <v>0.31168946707737372</v>
          </cell>
          <cell r="O27">
            <v>571176.61609384033</v>
          </cell>
          <cell r="P27">
            <v>0.33866430245777074</v>
          </cell>
          <cell r="Q27">
            <v>616412.52582111605</v>
          </cell>
          <cell r="R27">
            <v>0.33690794609289226</v>
          </cell>
          <cell r="S27">
            <v>440600</v>
          </cell>
          <cell r="T27" t="e">
            <v>#REF!</v>
          </cell>
        </row>
        <row r="28">
          <cell r="B28" t="str">
            <v xml:space="preserve">   Reserva producto</v>
          </cell>
          <cell r="D28" t="str">
            <v>3220</v>
          </cell>
          <cell r="E28">
            <v>0</v>
          </cell>
          <cell r="F28">
            <v>0</v>
          </cell>
          <cell r="G28">
            <v>0</v>
          </cell>
          <cell r="H28">
            <v>0</v>
          </cell>
          <cell r="I28">
            <v>558000</v>
          </cell>
          <cell r="J28">
            <v>0.39141634112400808</v>
          </cell>
          <cell r="K28">
            <v>279000</v>
          </cell>
          <cell r="L28">
            <v>0.19694917017538607</v>
          </cell>
          <cell r="M28">
            <v>904432.91856594209</v>
          </cell>
          <cell r="N28">
            <v>0.58341877523230024</v>
          </cell>
          <cell r="O28">
            <v>1147133.125820732</v>
          </cell>
          <cell r="P28">
            <v>0.68016271838841125</v>
          </cell>
          <cell r="Q28">
            <v>1423132.6809533702</v>
          </cell>
          <cell r="R28">
            <v>0.77783089809698769</v>
          </cell>
          <cell r="S28">
            <v>0</v>
          </cell>
          <cell r="T28" t="e">
            <v>#REF!</v>
          </cell>
        </row>
        <row r="29">
          <cell r="B29" t="str">
            <v>* TOTAL GASTOS FIJOS MARK. PRODUCTOS</v>
          </cell>
          <cell r="D29" t="str">
            <v>3225</v>
          </cell>
          <cell r="E29">
            <v>8489042</v>
          </cell>
          <cell r="F29">
            <v>7.1110769860032343</v>
          </cell>
          <cell r="G29">
            <v>9145696</v>
          </cell>
          <cell r="H29">
            <v>6.8388252460851282</v>
          </cell>
          <cell r="I29">
            <v>9828697.9809999987</v>
          </cell>
          <cell r="J29">
            <v>6.894467745046498</v>
          </cell>
          <cell r="K29">
            <v>9549697.9809999987</v>
          </cell>
          <cell r="L29">
            <v>6.7412368916971666</v>
          </cell>
          <cell r="M29">
            <v>11200745.000000002</v>
          </cell>
          <cell r="N29">
            <v>7.2252179188155736</v>
          </cell>
          <cell r="O29">
            <v>13251348.000000004</v>
          </cell>
          <cell r="P29">
            <v>7.8570417636072643</v>
          </cell>
          <cell r="Q29">
            <v>14441425.000000002</v>
          </cell>
          <cell r="R29">
            <v>7.8931407646581535</v>
          </cell>
          <cell r="S29">
            <v>9514900</v>
          </cell>
          <cell r="T29" t="e">
            <v>#REF!</v>
          </cell>
        </row>
        <row r="30">
          <cell r="B30" t="str">
            <v xml:space="preserve">   Gastos fijos fabricación</v>
          </cell>
          <cell r="D30" t="str">
            <v>3250</v>
          </cell>
          <cell r="E30">
            <v>5629645</v>
          </cell>
          <cell r="F30">
            <v>4.7158252955831976</v>
          </cell>
          <cell r="G30">
            <v>6459866</v>
          </cell>
          <cell r="H30">
            <v>4.8304573743897627</v>
          </cell>
          <cell r="I30">
            <v>7657516.3700000001</v>
          </cell>
          <cell r="J30">
            <v>5.371464228750173</v>
          </cell>
          <cell r="K30">
            <v>7481516.3700000001</v>
          </cell>
          <cell r="L30">
            <v>5.2812847337816011</v>
          </cell>
          <cell r="M30">
            <v>7272478.5800000001</v>
          </cell>
          <cell r="N30">
            <v>4.6912274630320061</v>
          </cell>
          <cell r="O30">
            <v>7590640.6890000002</v>
          </cell>
          <cell r="P30">
            <v>4.5006727546517995</v>
          </cell>
          <cell r="Q30">
            <v>8186862.573588619</v>
          </cell>
          <cell r="R30">
            <v>4.4746317426601925</v>
          </cell>
          <cell r="S30">
            <v>6848265.0220000008</v>
          </cell>
          <cell r="T30" t="e">
            <v>#REF!</v>
          </cell>
        </row>
        <row r="31">
          <cell r="B31" t="str">
            <v xml:space="preserve">   Amortización activo fijo fábricas</v>
          </cell>
          <cell r="D31" t="str">
            <v>3255</v>
          </cell>
          <cell r="E31">
            <v>2234905</v>
          </cell>
          <cell r="F31">
            <v>1.8721289765563132</v>
          </cell>
          <cell r="G31">
            <v>2323859</v>
          </cell>
          <cell r="H31">
            <v>1.737698869232275</v>
          </cell>
          <cell r="I31">
            <v>2673242</v>
          </cell>
          <cell r="J31">
            <v>1.8751802913602611</v>
          </cell>
          <cell r="K31">
            <v>2553999.6541861678</v>
          </cell>
          <cell r="L31">
            <v>1.8028964606458375</v>
          </cell>
          <cell r="M31">
            <v>3155200</v>
          </cell>
          <cell r="N31">
            <v>2.035311720554918</v>
          </cell>
          <cell r="O31">
            <v>3393941</v>
          </cell>
          <cell r="P31">
            <v>2.012348945950178</v>
          </cell>
          <cell r="Q31">
            <v>3398808</v>
          </cell>
          <cell r="R31">
            <v>1.8576608593713049</v>
          </cell>
          <cell r="S31">
            <v>2505457.9740000004</v>
          </cell>
          <cell r="T31" t="e">
            <v>#REF!</v>
          </cell>
        </row>
        <row r="32">
          <cell r="B32" t="str">
            <v xml:space="preserve">   Otros gastos fijos de los productos</v>
          </cell>
          <cell r="D32" t="str">
            <v>3260</v>
          </cell>
          <cell r="E32">
            <v>1075899</v>
          </cell>
          <cell r="F32">
            <v>0.90125606848969453</v>
          </cell>
          <cell r="G32">
            <v>703075</v>
          </cell>
          <cell r="H32">
            <v>0.52573440664234872</v>
          </cell>
          <cell r="I32">
            <v>402733.103</v>
          </cell>
          <cell r="J32">
            <v>0.28250236133652029</v>
          </cell>
          <cell r="K32">
            <v>402733.103</v>
          </cell>
          <cell r="L32">
            <v>0.28429372916848844</v>
          </cell>
          <cell r="M32">
            <v>452219.75236431992</v>
          </cell>
          <cell r="N32">
            <v>0.29171151187041799</v>
          </cell>
          <cell r="O32">
            <v>503480.44276256673</v>
          </cell>
          <cell r="P32">
            <v>0.29852561912531184</v>
          </cell>
          <cell r="Q32">
            <v>555456.75566008245</v>
          </cell>
          <cell r="R32">
            <v>0.30359181044151529</v>
          </cell>
          <cell r="S32">
            <v>700767.50210399996</v>
          </cell>
          <cell r="T32" t="e">
            <v>#REF!</v>
          </cell>
        </row>
        <row r="33">
          <cell r="B33" t="str">
            <v xml:space="preserve">   Productos Defectuosos</v>
          </cell>
          <cell r="D33" t="str">
            <v>3261</v>
          </cell>
          <cell r="E33">
            <v>845654</v>
          </cell>
          <cell r="F33">
            <v>0.70838508014468293</v>
          </cell>
          <cell r="G33">
            <v>1090064</v>
          </cell>
          <cell r="H33">
            <v>0.81511097712503677</v>
          </cell>
          <cell r="I33">
            <v>949359</v>
          </cell>
          <cell r="J33">
            <v>0.66594019031029972</v>
          </cell>
          <cell r="K33">
            <v>855159</v>
          </cell>
          <cell r="L33">
            <v>0.60366614845165945</v>
          </cell>
          <cell r="M33">
            <v>882420.02584115253</v>
          </cell>
          <cell r="N33">
            <v>0.56921901022023047</v>
          </cell>
          <cell r="O33">
            <v>942690.82119014894</v>
          </cell>
          <cell r="P33">
            <v>0.55894397703993792</v>
          </cell>
          <cell r="Q33">
            <v>954816.66063513409</v>
          </cell>
          <cell r="R33">
            <v>0.52186694227432162</v>
          </cell>
          <cell r="S33">
            <v>1072275</v>
          </cell>
          <cell r="T33" t="e">
            <v>#REF!</v>
          </cell>
        </row>
        <row r="34">
          <cell r="B34" t="str">
            <v xml:space="preserve">   Interés Operacional</v>
          </cell>
          <cell r="D34" t="str">
            <v>3265</v>
          </cell>
          <cell r="E34">
            <v>2711803</v>
          </cell>
          <cell r="F34">
            <v>2.2716155608459152</v>
          </cell>
          <cell r="G34">
            <v>2845072</v>
          </cell>
          <cell r="H34">
            <v>2.1274433592074251</v>
          </cell>
          <cell r="I34">
            <v>2707977.199</v>
          </cell>
          <cell r="J34">
            <v>1.8995457474548747</v>
          </cell>
          <cell r="K34">
            <v>2533028.173</v>
          </cell>
          <cell r="L34">
            <v>1.7880924613018787</v>
          </cell>
          <cell r="M34">
            <v>2785290.8159324899</v>
          </cell>
          <cell r="N34">
            <v>1.7966959440990642</v>
          </cell>
          <cell r="O34">
            <v>2671615.5081618316</v>
          </cell>
          <cell r="P34">
            <v>1.584064853170285</v>
          </cell>
          <cell r="Q34">
            <v>2857134.0173308658</v>
          </cell>
          <cell r="R34">
            <v>1.5616021952325181</v>
          </cell>
          <cell r="S34">
            <v>2888803.0648659999</v>
          </cell>
          <cell r="T34" t="e">
            <v>#REF!</v>
          </cell>
        </row>
        <row r="35">
          <cell r="B35" t="str">
            <v>* TOTAL GASTOS ESPECIFICOS</v>
          </cell>
          <cell r="D35" t="str">
            <v>3270</v>
          </cell>
          <cell r="E35">
            <v>20986948</v>
          </cell>
          <cell r="F35">
            <v>17.58028796762304</v>
          </cell>
          <cell r="G35">
            <v>22567632</v>
          </cell>
          <cell r="H35">
            <v>16.875270232681977</v>
          </cell>
          <cell r="I35">
            <v>24219525.653000001</v>
          </cell>
          <cell r="J35">
            <v>16.989100564258628</v>
          </cell>
          <cell r="K35">
            <v>23376134.281186167</v>
          </cell>
          <cell r="L35">
            <v>16.501470425046634</v>
          </cell>
          <cell r="M35">
            <v>25748354.174137965</v>
          </cell>
          <cell r="N35">
            <v>16.609383568592211</v>
          </cell>
          <cell r="O35">
            <v>28353716.461114552</v>
          </cell>
          <cell r="P35">
            <v>16.811597913544777</v>
          </cell>
          <cell r="Q35">
            <v>30394503.007214703</v>
          </cell>
          <cell r="R35">
            <v>16.612494314638006</v>
          </cell>
          <cell r="S35">
            <v>23530468.562969998</v>
          </cell>
          <cell r="T35" t="e">
            <v>#REF!</v>
          </cell>
        </row>
        <row r="36">
          <cell r="B36" t="str">
            <v>* CONTRIBUCION DEL PRODUCTO</v>
          </cell>
          <cell r="D36" t="str">
            <v>3290</v>
          </cell>
          <cell r="E36">
            <v>34824041</v>
          </cell>
          <cell r="F36">
            <v>29.171305374002515</v>
          </cell>
          <cell r="G36">
            <v>38972139.439999998</v>
          </cell>
          <cell r="H36">
            <v>29.141975755177292</v>
          </cell>
          <cell r="I36">
            <v>38769866.333000004</v>
          </cell>
          <cell r="J36">
            <v>27.195625852920664</v>
          </cell>
          <cell r="K36">
            <v>40520105.083987355</v>
          </cell>
          <cell r="L36">
            <v>28.603588070647856</v>
          </cell>
          <cell r="M36">
            <v>44061653.743965641</v>
          </cell>
          <cell r="N36">
            <v>28.422667435384678</v>
          </cell>
          <cell r="O36">
            <v>47673930.538885474</v>
          </cell>
          <cell r="P36">
            <v>28.267015799399037</v>
          </cell>
          <cell r="Q36">
            <v>51965355.992785297</v>
          </cell>
          <cell r="R36">
            <v>28.402312772917242</v>
          </cell>
          <cell r="S36" t="e">
            <v>#REF!</v>
          </cell>
          <cell r="T36" t="e">
            <v>#REF!</v>
          </cell>
        </row>
        <row r="37">
          <cell r="B37" t="str">
            <v xml:space="preserve">   Gastos fijos de distribución</v>
          </cell>
          <cell r="D37" t="str">
            <v>3305</v>
          </cell>
          <cell r="E37">
            <v>2063477</v>
          </cell>
          <cell r="F37">
            <v>1.7285276484492593</v>
          </cell>
          <cell r="G37">
            <v>2432972</v>
          </cell>
          <cell r="H37">
            <v>1.8192896786224064</v>
          </cell>
          <cell r="I37">
            <v>2599511.753</v>
          </cell>
          <cell r="J37">
            <v>1.8234612528102445</v>
          </cell>
          <cell r="K37">
            <v>2599511.753</v>
          </cell>
          <cell r="L37">
            <v>1.8350239520233445</v>
          </cell>
          <cell r="M37">
            <v>2824211.1895670719</v>
          </cell>
          <cell r="N37">
            <v>1.8218021473910397</v>
          </cell>
          <cell r="O37">
            <v>2938269.3576127016</v>
          </cell>
          <cell r="P37">
            <v>1.7421703101820647</v>
          </cell>
          <cell r="Q37">
            <v>3220908.6274776426</v>
          </cell>
          <cell r="R37">
            <v>1.7604277408069438</v>
          </cell>
          <cell r="S37">
            <v>2372912.6719279997</v>
          </cell>
          <cell r="T37" t="e">
            <v>#REF!</v>
          </cell>
        </row>
        <row r="38">
          <cell r="B38" t="str">
            <v xml:space="preserve">   Gastos generales marketing</v>
          </cell>
          <cell r="D38" t="str">
            <v>3310</v>
          </cell>
          <cell r="E38">
            <v>4011897</v>
          </cell>
          <cell r="F38">
            <v>3.3606746705830202</v>
          </cell>
          <cell r="G38">
            <v>4805559</v>
          </cell>
          <cell r="H38">
            <v>3.5934256081496261</v>
          </cell>
          <cell r="I38">
            <v>4742002.0630000001</v>
          </cell>
          <cell r="J38">
            <v>3.3263388836952656</v>
          </cell>
          <cell r="K38">
            <v>4577074.9907949995</v>
          </cell>
          <cell r="L38">
            <v>3.2310076031096342</v>
          </cell>
          <cell r="M38">
            <v>5071111.6602026084</v>
          </cell>
          <cell r="N38">
            <v>3.2712008741927852</v>
          </cell>
          <cell r="O38">
            <v>5330904.0210141698</v>
          </cell>
          <cell r="P38">
            <v>3.1608207354368942</v>
          </cell>
          <cell r="Q38">
            <v>5619007.5063407822</v>
          </cell>
          <cell r="R38">
            <v>3.0711385618260372</v>
          </cell>
          <cell r="S38">
            <v>4785717.0385919996</v>
          </cell>
          <cell r="T38" t="e">
            <v>#REF!</v>
          </cell>
        </row>
        <row r="39">
          <cell r="B39" t="str">
            <v xml:space="preserve">   Otros gastos generales</v>
          </cell>
          <cell r="D39" t="str">
            <v>3315</v>
          </cell>
          <cell r="E39">
            <v>636228</v>
          </cell>
          <cell r="F39">
            <v>0.53295369355586486</v>
          </cell>
          <cell r="G39">
            <v>656088</v>
          </cell>
          <cell r="H39">
            <v>0.49059920404674501</v>
          </cell>
          <cell r="I39">
            <v>681002</v>
          </cell>
          <cell r="J39">
            <v>0.47769769021170572</v>
          </cell>
          <cell r="K39">
            <v>655929.92599999998</v>
          </cell>
          <cell r="L39">
            <v>0.46302815275592246</v>
          </cell>
          <cell r="M39">
            <v>709904.83378394693</v>
          </cell>
          <cell r="N39">
            <v>0.45793535391704421</v>
          </cell>
          <cell r="O39">
            <v>741981.12509155076</v>
          </cell>
          <cell r="P39">
            <v>0.43993838873242319</v>
          </cell>
          <cell r="Q39">
            <v>773061.82106019906</v>
          </cell>
          <cell r="R39">
            <v>0.42252657015572376</v>
          </cell>
          <cell r="S39">
            <v>695741.10138499993</v>
          </cell>
          <cell r="T39" t="e">
            <v>#REF!</v>
          </cell>
        </row>
        <row r="40">
          <cell r="B40" t="str">
            <v xml:space="preserve">   Pérdida y provisión sobre deudores</v>
          </cell>
          <cell r="D40" t="str">
            <v>3320</v>
          </cell>
          <cell r="E40">
            <v>232848</v>
          </cell>
          <cell r="F40">
            <v>0.19505146211278979</v>
          </cell>
          <cell r="G40">
            <v>139757</v>
          </cell>
          <cell r="H40">
            <v>0.10450529953292996</v>
          </cell>
          <cell r="I40">
            <v>111178.76200000002</v>
          </cell>
          <cell r="J40">
            <v>7.7987785363327816E-2</v>
          </cell>
          <cell r="K40">
            <v>111178.76200000002</v>
          </cell>
          <cell r="L40">
            <v>7.8482311530561816E-2</v>
          </cell>
          <cell r="M40">
            <v>115241.55910874295</v>
          </cell>
          <cell r="N40">
            <v>7.4338392478780074E-2</v>
          </cell>
          <cell r="O40">
            <v>117439.44236213849</v>
          </cell>
          <cell r="P40">
            <v>6.9632659510117004E-2</v>
          </cell>
          <cell r="Q40">
            <v>118971.47606412249</v>
          </cell>
          <cell r="R40">
            <v>6.5025342551256318E-2</v>
          </cell>
          <cell r="S40">
            <v>139894.15450564402</v>
          </cell>
          <cell r="T40" t="e">
            <v>#REF!</v>
          </cell>
        </row>
        <row r="41">
          <cell r="B41" t="str">
            <v xml:space="preserve">   Reserva general para riesgos</v>
          </cell>
          <cell r="D41" t="str">
            <v>3335</v>
          </cell>
          <cell r="E41">
            <v>0</v>
          </cell>
          <cell r="F41">
            <v>0</v>
          </cell>
          <cell r="H41">
            <v>0</v>
          </cell>
          <cell r="J41">
            <v>0</v>
          </cell>
          <cell r="L41">
            <v>0</v>
          </cell>
          <cell r="N41">
            <v>0</v>
          </cell>
          <cell r="P41">
            <v>0</v>
          </cell>
          <cell r="R41">
            <v>0</v>
          </cell>
          <cell r="T41" t="e">
            <v>#REF!</v>
          </cell>
        </row>
        <row r="42">
          <cell r="B42" t="str">
            <v>* TOTAL GTOS. FIJOS COMUNES</v>
          </cell>
          <cell r="D42" t="str">
            <v>3340</v>
          </cell>
          <cell r="E42">
            <v>6944450</v>
          </cell>
          <cell r="F42">
            <v>5.8172074747009344</v>
          </cell>
          <cell r="G42">
            <v>8034376</v>
          </cell>
          <cell r="H42">
            <v>6.0078197903517072</v>
          </cell>
          <cell r="I42">
            <v>8133694.5779999997</v>
          </cell>
          <cell r="J42">
            <v>5.7054856120805439</v>
          </cell>
          <cell r="K42">
            <v>7943695.4317950001</v>
          </cell>
          <cell r="L42">
            <v>5.607542019419463</v>
          </cell>
          <cell r="M42">
            <v>8720469.2426623702</v>
          </cell>
          <cell r="N42">
            <v>5.62527676797965</v>
          </cell>
          <cell r="O42">
            <v>9128593.9460805617</v>
          </cell>
          <cell r="P42">
            <v>5.4125620938614993</v>
          </cell>
          <cell r="Q42">
            <v>9731949.4309427477</v>
          </cell>
          <cell r="R42">
            <v>5.3191182153399614</v>
          </cell>
          <cell r="S42">
            <v>7994264.9664106434</v>
          </cell>
          <cell r="T42" t="e">
            <v>#REF!</v>
          </cell>
        </row>
        <row r="43">
          <cell r="B43" t="str">
            <v>* CONTRIBUCION DIVISIONAL</v>
          </cell>
          <cell r="D43" t="str">
            <v>-</v>
          </cell>
          <cell r="E43">
            <v>27879591</v>
          </cell>
          <cell r="F43">
            <v>23.354097899301586</v>
          </cell>
          <cell r="G43">
            <v>30937763.439999998</v>
          </cell>
          <cell r="H43">
            <v>23.134155964825585</v>
          </cell>
          <cell r="I43">
            <v>30636171.755000003</v>
          </cell>
          <cell r="J43">
            <v>21.490140240840116</v>
          </cell>
          <cell r="K43">
            <v>32576409.652192354</v>
          </cell>
          <cell r="L43">
            <v>22.99604605122839</v>
          </cell>
          <cell r="M43">
            <v>35341184.50130327</v>
          </cell>
          <cell r="N43">
            <v>22.797390667405033</v>
          </cell>
          <cell r="O43">
            <v>38545336.592804909</v>
          </cell>
          <cell r="P43">
            <v>22.854453705537537</v>
          </cell>
          <cell r="Q43">
            <v>42233406.561842546</v>
          </cell>
          <cell r="R43">
            <v>23.083194557577279</v>
          </cell>
          <cell r="S43" t="e">
            <v>#REF!</v>
          </cell>
          <cell r="T43" t="e">
            <v>#REF!</v>
          </cell>
        </row>
        <row r="44">
          <cell r="B44" t="str">
            <v xml:space="preserve">   Gastos Corporativos</v>
          </cell>
          <cell r="D44" t="str">
            <v>33151</v>
          </cell>
          <cell r="E44">
            <v>5196317</v>
          </cell>
          <cell r="F44">
            <v>4.3528363071683911</v>
          </cell>
          <cell r="G44">
            <v>5406390</v>
          </cell>
          <cell r="H44">
            <v>4.0427055985878138</v>
          </cell>
          <cell r="I44">
            <v>5534870.4509999994</v>
          </cell>
          <cell r="J44">
            <v>3.8825067034512695</v>
          </cell>
          <cell r="K44">
            <v>5330080.2443129998</v>
          </cell>
          <cell r="L44">
            <v>3.7625622977980799</v>
          </cell>
          <cell r="M44">
            <v>5568583.1884981999</v>
          </cell>
          <cell r="N44">
            <v>3.5921027606603264</v>
          </cell>
          <cell r="O44">
            <v>5803875.5404472752</v>
          </cell>
          <cell r="P44">
            <v>3.4412568828524401</v>
          </cell>
          <cell r="Q44">
            <v>6028650.4978786688</v>
          </cell>
          <cell r="R44">
            <v>3.295034042740435</v>
          </cell>
          <cell r="S44">
            <v>5330709</v>
          </cell>
          <cell r="T44" t="e">
            <v>#REF!</v>
          </cell>
        </row>
        <row r="45">
          <cell r="B45" t="str">
            <v>* RESULTADO EXPLOTACION</v>
          </cell>
          <cell r="D45" t="str">
            <v>3390</v>
          </cell>
          <cell r="E45">
            <v>22683274</v>
          </cell>
          <cell r="F45">
            <v>19.001261592133194</v>
          </cell>
          <cell r="G45">
            <v>25531373.439999998</v>
          </cell>
          <cell r="H45">
            <v>19.091450366237769</v>
          </cell>
          <cell r="I45">
            <v>25101301.304000005</v>
          </cell>
          <cell r="J45">
            <v>17.607633537388846</v>
          </cell>
          <cell r="K45">
            <v>27246329.407879353</v>
          </cell>
          <cell r="L45">
            <v>19.23348375343031</v>
          </cell>
          <cell r="M45">
            <v>29772601.312805071</v>
          </cell>
          <cell r="N45">
            <v>19.205287906744704</v>
          </cell>
          <cell r="O45">
            <v>32741461.052357633</v>
          </cell>
          <cell r="P45">
            <v>19.413196822685098</v>
          </cell>
          <cell r="Q45">
            <v>36204756.063963875</v>
          </cell>
          <cell r="R45">
            <v>19.788160514836843</v>
          </cell>
          <cell r="S45" t="e">
            <v>#REF!</v>
          </cell>
          <cell r="T45" t="e">
            <v>#REF!</v>
          </cell>
        </row>
        <row r="105">
          <cell r="D105" t="str">
            <v>COD.</v>
          </cell>
          <cell r="E105" t="str">
            <v xml:space="preserve">EFECTIVO </v>
          </cell>
          <cell r="G105" t="str">
            <v>EFECTIVO</v>
          </cell>
          <cell r="I105" t="str">
            <v>P.O.</v>
          </cell>
          <cell r="K105" t="str">
            <v>STATUS REPORT</v>
          </cell>
          <cell r="M105" t="str">
            <v>PLP</v>
          </cell>
          <cell r="O105" t="str">
            <v>PLP</v>
          </cell>
          <cell r="Q105" t="str">
            <v>PLP</v>
          </cell>
          <cell r="S105" t="str">
            <v>REV.DIC</v>
          </cell>
        </row>
        <row r="106">
          <cell r="E106">
            <v>1997</v>
          </cell>
          <cell r="F106" t="str">
            <v>%</v>
          </cell>
          <cell r="G106">
            <v>1998</v>
          </cell>
          <cell r="H106" t="str">
            <v>%</v>
          </cell>
          <cell r="I106">
            <v>1999</v>
          </cell>
          <cell r="J106" t="str">
            <v>%</v>
          </cell>
          <cell r="K106">
            <v>1999</v>
          </cell>
          <cell r="L106" t="str">
            <v>%</v>
          </cell>
          <cell r="M106">
            <v>2000</v>
          </cell>
          <cell r="N106" t="str">
            <v>%</v>
          </cell>
          <cell r="O106">
            <v>2001</v>
          </cell>
          <cell r="P106" t="str">
            <v>%</v>
          </cell>
          <cell r="Q106">
            <v>2002</v>
          </cell>
          <cell r="R106" t="str">
            <v>%</v>
          </cell>
          <cell r="S106">
            <v>1998</v>
          </cell>
          <cell r="T106" t="str">
            <v>%</v>
          </cell>
        </row>
        <row r="107">
          <cell r="B107" t="str">
            <v xml:space="preserve">   VOLUMEN DE VENTAS               (Tns.)</v>
          </cell>
          <cell r="D107" t="str">
            <v>3000</v>
          </cell>
          <cell r="E107">
            <v>14835</v>
          </cell>
          <cell r="G107">
            <v>13918</v>
          </cell>
          <cell r="I107">
            <v>16150</v>
          </cell>
          <cell r="K107">
            <v>15648</v>
          </cell>
          <cell r="M107">
            <v>16571</v>
          </cell>
          <cell r="O107">
            <v>17736</v>
          </cell>
          <cell r="Q107">
            <v>19249</v>
          </cell>
          <cell r="S107">
            <v>14006.172999999999</v>
          </cell>
        </row>
        <row r="108">
          <cell r="B108" t="str">
            <v xml:space="preserve">   PRODUCTO BRUTO DE LAS VENTAS</v>
          </cell>
          <cell r="D108" t="str">
            <v>3001</v>
          </cell>
          <cell r="E108">
            <v>14276767</v>
          </cell>
          <cell r="F108">
            <v>104.48432954647997</v>
          </cell>
          <cell r="G108">
            <v>15500857</v>
          </cell>
          <cell r="H108">
            <v>105.28832666974317</v>
          </cell>
          <cell r="I108">
            <v>18157603.636</v>
          </cell>
          <cell r="J108">
            <v>103.90608759097671</v>
          </cell>
          <cell r="K108">
            <v>17526865.163159922</v>
          </cell>
          <cell r="L108">
            <v>103.90692487778583</v>
          </cell>
          <cell r="M108">
            <v>19553651.374536481</v>
          </cell>
          <cell r="N108">
            <v>103.89686375174112</v>
          </cell>
          <cell r="O108">
            <v>21702517.44633726</v>
          </cell>
          <cell r="P108">
            <v>103.9015432864703</v>
          </cell>
          <cell r="Q108">
            <v>24182161.308703862</v>
          </cell>
          <cell r="R108">
            <v>103.91100153392756</v>
          </cell>
          <cell r="S108" t="e">
            <v>#REF!</v>
          </cell>
          <cell r="T108" t="e">
            <v>#REF!</v>
          </cell>
        </row>
        <row r="109">
          <cell r="B109" t="str">
            <v xml:space="preserve">   Reducciones de precio</v>
          </cell>
          <cell r="D109" t="str">
            <v>3002</v>
          </cell>
          <cell r="E109">
            <v>612740</v>
          </cell>
          <cell r="F109">
            <v>4.484329546479966</v>
          </cell>
          <cell r="G109">
            <v>778563</v>
          </cell>
          <cell r="H109">
            <v>5.2883266697431797</v>
          </cell>
          <cell r="I109">
            <v>682589.36400000006</v>
          </cell>
          <cell r="J109">
            <v>3.9060875909767043</v>
          </cell>
          <cell r="K109">
            <v>659014.26315992186</v>
          </cell>
          <cell r="L109">
            <v>3.9069248777858356</v>
          </cell>
          <cell r="M109">
            <v>733399.57053648005</v>
          </cell>
          <cell r="N109">
            <v>3.8968637517411189</v>
          </cell>
          <cell r="O109">
            <v>814937.95533725992</v>
          </cell>
          <cell r="P109">
            <v>3.9015432864703103</v>
          </cell>
          <cell r="Q109">
            <v>910168.01470386016</v>
          </cell>
          <cell r="R109">
            <v>3.9110015339275646</v>
          </cell>
          <cell r="S109" t="e">
            <v>#REF!</v>
          </cell>
          <cell r="T109" t="e">
            <v>#REF!</v>
          </cell>
        </row>
        <row r="110">
          <cell r="B110" t="str">
            <v>* PRODUCTO NETO DE LAS VENTAS (PNV)</v>
          </cell>
          <cell r="D110" t="str">
            <v>3030</v>
          </cell>
          <cell r="E110">
            <v>13664027</v>
          </cell>
          <cell r="F110">
            <v>100</v>
          </cell>
          <cell r="G110">
            <v>14722294</v>
          </cell>
          <cell r="H110">
            <v>100</v>
          </cell>
          <cell r="I110">
            <v>17475014.272</v>
          </cell>
          <cell r="J110">
            <v>100</v>
          </cell>
          <cell r="K110">
            <v>16867850.899999999</v>
          </cell>
          <cell r="L110">
            <v>100</v>
          </cell>
          <cell r="M110">
            <v>18820251.804000001</v>
          </cell>
          <cell r="N110">
            <v>100</v>
          </cell>
          <cell r="O110">
            <v>20887579.491</v>
          </cell>
          <cell r="P110">
            <v>100</v>
          </cell>
          <cell r="Q110">
            <v>23271993.294000003</v>
          </cell>
          <cell r="R110">
            <v>100</v>
          </cell>
          <cell r="S110" t="e">
            <v>#REF!</v>
          </cell>
          <cell r="T110" t="e">
            <v>#REF!</v>
          </cell>
        </row>
        <row r="111">
          <cell r="B111" t="str">
            <v xml:space="preserve">   Bonificaciones periódicas</v>
          </cell>
          <cell r="D111" t="str">
            <v>3035</v>
          </cell>
          <cell r="E111">
            <v>104157</v>
          </cell>
          <cell r="F111">
            <v>0.762271620218549</v>
          </cell>
          <cell r="G111">
            <v>92346</v>
          </cell>
          <cell r="H111">
            <v>0.62725279090337416</v>
          </cell>
          <cell r="I111">
            <v>112000</v>
          </cell>
          <cell r="J111">
            <v>0.64091507026381211</v>
          </cell>
          <cell r="K111">
            <v>112000</v>
          </cell>
          <cell r="L111">
            <v>0.66398500119538051</v>
          </cell>
          <cell r="M111">
            <v>113710.13393600001</v>
          </cell>
          <cell r="N111">
            <v>0.60419028990798307</v>
          </cell>
          <cell r="O111">
            <v>126430.6113</v>
          </cell>
          <cell r="P111">
            <v>0.6052908684535524</v>
          </cell>
          <cell r="Q111">
            <v>141341.26729800002</v>
          </cell>
          <cell r="R111">
            <v>0.60734491245509559</v>
          </cell>
          <cell r="S111">
            <v>100000</v>
          </cell>
          <cell r="T111" t="e">
            <v>#REF!</v>
          </cell>
        </row>
        <row r="112">
          <cell r="B112" t="str">
            <v xml:space="preserve">   Promociones temporales de precio</v>
          </cell>
          <cell r="D112" t="str">
            <v>3040</v>
          </cell>
          <cell r="E112">
            <v>286472</v>
          </cell>
          <cell r="F112">
            <v>2.0965415246910739</v>
          </cell>
          <cell r="G112">
            <v>416153</v>
          </cell>
          <cell r="H112">
            <v>2.8266858412146911</v>
          </cell>
          <cell r="I112">
            <v>352600</v>
          </cell>
          <cell r="J112">
            <v>2.0177379801341084</v>
          </cell>
          <cell r="K112">
            <v>336000</v>
          </cell>
          <cell r="L112">
            <v>1.9919550035861415</v>
          </cell>
          <cell r="M112">
            <v>338764.53247200005</v>
          </cell>
          <cell r="N112">
            <v>1.8000000000000003</v>
          </cell>
          <cell r="O112">
            <v>375976.43083799997</v>
          </cell>
          <cell r="P112">
            <v>1.7999999999999998</v>
          </cell>
          <cell r="Q112">
            <v>426000.00000000035</v>
          </cell>
          <cell r="R112">
            <v>1.8305264814158908</v>
          </cell>
          <cell r="S112">
            <v>338937.71500000003</v>
          </cell>
          <cell r="T112" t="e">
            <v>#REF!</v>
          </cell>
        </row>
        <row r="113">
          <cell r="B113" t="str">
            <v xml:space="preserve">   Descuentos a clientes</v>
          </cell>
          <cell r="D113" t="str">
            <v>3045</v>
          </cell>
          <cell r="E113">
            <v>4628</v>
          </cell>
          <cell r="F113">
            <v>3.3869956492328358E-2</v>
          </cell>
          <cell r="G113">
            <v>4980</v>
          </cell>
          <cell r="H113">
            <v>3.3826250175414241E-2</v>
          </cell>
          <cell r="I113">
            <v>0</v>
          </cell>
          <cell r="J113">
            <v>0</v>
          </cell>
          <cell r="K113">
            <v>0</v>
          </cell>
          <cell r="L113">
            <v>0</v>
          </cell>
          <cell r="M113">
            <v>0</v>
          </cell>
          <cell r="N113">
            <v>0</v>
          </cell>
          <cell r="O113">
            <v>0</v>
          </cell>
          <cell r="P113">
            <v>0</v>
          </cell>
          <cell r="Q113">
            <v>0</v>
          </cell>
          <cell r="R113">
            <v>0</v>
          </cell>
          <cell r="S113">
            <v>8833.8119999999999</v>
          </cell>
          <cell r="T113" t="e">
            <v>#REF!</v>
          </cell>
        </row>
        <row r="114">
          <cell r="B114" t="str">
            <v xml:space="preserve">   Costo prod.vendido (fab.propia)</v>
          </cell>
          <cell r="D114" t="str">
            <v>3075</v>
          </cell>
          <cell r="E114">
            <v>7718932</v>
          </cell>
          <cell r="F114">
            <v>56.490901254805777</v>
          </cell>
          <cell r="G114">
            <v>8343476</v>
          </cell>
          <cell r="H114">
            <v>56.672390865173597</v>
          </cell>
          <cell r="I114">
            <v>9623750.2410000004</v>
          </cell>
          <cell r="J114">
            <v>55.071487159927621</v>
          </cell>
          <cell r="K114">
            <v>9004350.2410000004</v>
          </cell>
          <cell r="L114">
            <v>53.381727727982231</v>
          </cell>
          <cell r="M114">
            <v>10421368.146000002</v>
          </cell>
          <cell r="N114">
            <v>55.37316001152054</v>
          </cell>
          <cell r="O114">
            <v>11564023.827</v>
          </cell>
          <cell r="P114">
            <v>55.363158914524703</v>
          </cell>
          <cell r="Q114">
            <v>12835596.972000001</v>
          </cell>
          <cell r="R114">
            <v>55.15469521602725</v>
          </cell>
          <cell r="S114">
            <v>8366119.2719999999</v>
          </cell>
          <cell r="T114" t="e">
            <v>#REF!</v>
          </cell>
        </row>
        <row r="115">
          <cell r="B115" t="str">
            <v xml:space="preserve">   Costo prod.vendido (comprados)</v>
          </cell>
          <cell r="D115" t="str">
            <v>3100</v>
          </cell>
          <cell r="E115">
            <v>5407</v>
          </cell>
          <cell r="F115">
            <v>3.9571057639157178E-2</v>
          </cell>
          <cell r="G115">
            <v>11913</v>
          </cell>
          <cell r="H115">
            <v>8.091809605215057E-2</v>
          </cell>
          <cell r="I115">
            <v>291591</v>
          </cell>
          <cell r="J115">
            <v>1.6686166629758505</v>
          </cell>
          <cell r="K115">
            <v>291591</v>
          </cell>
          <cell r="L115">
            <v>1.7286790221746624</v>
          </cell>
          <cell r="M115">
            <v>41714.385999999999</v>
          </cell>
          <cell r="N115">
            <v>0.22164626931895853</v>
          </cell>
          <cell r="O115">
            <v>49701.036</v>
          </cell>
          <cell r="P115">
            <v>0.23794540684532206</v>
          </cell>
          <cell r="Q115">
            <v>58065.744000000006</v>
          </cell>
          <cell r="R115">
            <v>0.24950911280543614</v>
          </cell>
          <cell r="S115">
            <v>20926.686999999998</v>
          </cell>
          <cell r="T115" t="e">
            <v>#REF!</v>
          </cell>
        </row>
        <row r="116">
          <cell r="B116" t="str">
            <v xml:space="preserve">   Subsidios a las exportaciones</v>
          </cell>
          <cell r="D116" t="str">
            <v>3110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t="e">
            <v>#REF!</v>
          </cell>
        </row>
        <row r="117">
          <cell r="B117" t="str">
            <v xml:space="preserve">   Gastos variables de distribución</v>
          </cell>
          <cell r="D117" t="str">
            <v>3115</v>
          </cell>
          <cell r="E117">
            <v>439283</v>
          </cell>
          <cell r="F117">
            <v>3.2148867972816504</v>
          </cell>
          <cell r="G117">
            <v>419894</v>
          </cell>
          <cell r="H117">
            <v>2.8520962833645354</v>
          </cell>
          <cell r="I117">
            <v>482626</v>
          </cell>
          <cell r="J117">
            <v>2.7618060419744874</v>
          </cell>
          <cell r="K117">
            <v>464626</v>
          </cell>
          <cell r="L117">
            <v>2.7545062068339723</v>
          </cell>
          <cell r="M117">
            <v>500537.20400000003</v>
          </cell>
          <cell r="N117">
            <v>2.6595669877999044</v>
          </cell>
          <cell r="O117">
            <v>547793.31299999997</v>
          </cell>
          <cell r="P117">
            <v>2.6225791898770852</v>
          </cell>
          <cell r="Q117">
            <v>597480.7080000001</v>
          </cell>
          <cell r="R117">
            <v>2.5673808876270297</v>
          </cell>
          <cell r="S117">
            <v>421753.96600000001</v>
          </cell>
          <cell r="T117" t="e">
            <v>#REF!</v>
          </cell>
        </row>
        <row r="118">
          <cell r="B118" t="str">
            <v xml:space="preserve">   Comisiones a agentes/vendedores</v>
          </cell>
          <cell r="D118" t="str">
            <v>3120</v>
          </cell>
          <cell r="E118">
            <v>0</v>
          </cell>
          <cell r="F118">
            <v>0</v>
          </cell>
          <cell r="G118">
            <v>0</v>
          </cell>
          <cell r="H118">
            <v>0</v>
          </cell>
          <cell r="I118">
            <v>57510</v>
          </cell>
          <cell r="J118">
            <v>0.32909844366849855</v>
          </cell>
          <cell r="K118">
            <v>58224.392</v>
          </cell>
          <cell r="L118">
            <v>0.34517966956893131</v>
          </cell>
          <cell r="M118">
            <v>72647.198000000004</v>
          </cell>
          <cell r="N118">
            <v>0.38600545176850282</v>
          </cell>
          <cell r="O118">
            <v>91921.790999999997</v>
          </cell>
          <cell r="P118">
            <v>0.44007871299595569</v>
          </cell>
          <cell r="Q118">
            <v>133107.34800000003</v>
          </cell>
          <cell r="R118">
            <v>0.57196367461277087</v>
          </cell>
          <cell r="S118">
            <v>0</v>
          </cell>
          <cell r="T118" t="e">
            <v>#REF!</v>
          </cell>
        </row>
        <row r="119">
          <cell r="B119" t="str">
            <v xml:space="preserve">   Otros gastos variables</v>
          </cell>
          <cell r="D119" t="str">
            <v>3125</v>
          </cell>
          <cell r="E119">
            <v>0</v>
          </cell>
          <cell r="F119">
            <v>0</v>
          </cell>
          <cell r="G119">
            <v>10293</v>
          </cell>
          <cell r="H119">
            <v>6.991437611557004E-2</v>
          </cell>
          <cell r="I119">
            <v>0</v>
          </cell>
          <cell r="J119">
            <v>0</v>
          </cell>
          <cell r="K119">
            <v>0</v>
          </cell>
          <cell r="L119">
            <v>0</v>
          </cell>
          <cell r="M119">
            <v>0</v>
          </cell>
          <cell r="N119">
            <v>0</v>
          </cell>
          <cell r="O119">
            <v>0</v>
          </cell>
          <cell r="P119">
            <v>0</v>
          </cell>
          <cell r="Q119">
            <v>0</v>
          </cell>
          <cell r="R119">
            <v>0</v>
          </cell>
          <cell r="S119">
            <v>0</v>
          </cell>
          <cell r="T119" t="e">
            <v>#REF!</v>
          </cell>
        </row>
        <row r="120">
          <cell r="B120" t="str">
            <v xml:space="preserve">   Regalías / Asist. Técnica (Netas)</v>
          </cell>
          <cell r="D120" t="str">
            <v>3130</v>
          </cell>
          <cell r="E120">
            <v>362605</v>
          </cell>
          <cell r="F120">
            <v>2.6537198733579785</v>
          </cell>
          <cell r="G120">
            <v>395468</v>
          </cell>
          <cell r="H120">
            <v>2.6861846394318709</v>
          </cell>
          <cell r="I120">
            <v>472714.19</v>
          </cell>
          <cell r="J120">
            <v>2.705086145522777</v>
          </cell>
          <cell r="K120">
            <v>452221.02135</v>
          </cell>
          <cell r="L120">
            <v>2.6809640660862137</v>
          </cell>
          <cell r="M120">
            <v>518877.446</v>
          </cell>
          <cell r="N120">
            <v>2.7570164916163304</v>
          </cell>
          <cell r="O120">
            <v>575556.01799999992</v>
          </cell>
          <cell r="P120">
            <v>2.7554940879961434</v>
          </cell>
          <cell r="Q120">
            <v>640397.20799999998</v>
          </cell>
          <cell r="R120">
            <v>2.7517935395981206</v>
          </cell>
          <cell r="S120" t="e">
            <v>#REF!</v>
          </cell>
          <cell r="T120" t="e">
            <v>#REF!</v>
          </cell>
        </row>
        <row r="121">
          <cell r="B121" t="str">
            <v xml:space="preserve">   Impuesto sobre regalías / Asist. Tec.</v>
          </cell>
          <cell r="D121" t="str">
            <v>3135</v>
          </cell>
          <cell r="E121">
            <v>176810</v>
          </cell>
          <cell r="F121">
            <v>1.2939816351358204</v>
          </cell>
          <cell r="G121">
            <v>169487</v>
          </cell>
          <cell r="H121">
            <v>1.1512268400563119</v>
          </cell>
          <cell r="I121">
            <v>202591.65299999999</v>
          </cell>
          <cell r="J121">
            <v>1.1593218171192574</v>
          </cell>
          <cell r="K121">
            <v>201112.77337000001</v>
          </cell>
          <cell r="L121">
            <v>1.1922845095221943</v>
          </cell>
          <cell r="M121">
            <v>222230.46599999999</v>
          </cell>
          <cell r="N121">
            <v>1.1808049558230023</v>
          </cell>
          <cell r="O121">
            <v>246471.30600000001</v>
          </cell>
          <cell r="P121">
            <v>1.1799897930068877</v>
          </cell>
          <cell r="Q121">
            <v>274149.48000000004</v>
          </cell>
          <cell r="R121">
            <v>1.1780231995455299</v>
          </cell>
          <cell r="S121" t="e">
            <v>#REF!</v>
          </cell>
          <cell r="T121" t="e">
            <v>#REF!</v>
          </cell>
        </row>
        <row r="122">
          <cell r="B122" t="str">
            <v>* TOTAL GASTOS VARIABLES</v>
          </cell>
          <cell r="D122" t="str">
            <v>3150</v>
          </cell>
          <cell r="E122">
            <v>9098294</v>
          </cell>
          <cell r="F122">
            <v>66.585743719622343</v>
          </cell>
          <cell r="G122">
            <v>9864010</v>
          </cell>
          <cell r="H122">
            <v>67.000495982487507</v>
          </cell>
          <cell r="I122">
            <v>11595383.084000001</v>
          </cell>
          <cell r="J122">
            <v>66.354069321586422</v>
          </cell>
          <cell r="K122">
            <v>10920125.427720001</v>
          </cell>
          <cell r="L122">
            <v>64.739281206949741</v>
          </cell>
          <cell r="M122">
            <v>12229849.512408003</v>
          </cell>
          <cell r="N122">
            <v>64.98239045775523</v>
          </cell>
          <cell r="O122">
            <v>13577874.333137996</v>
          </cell>
          <cell r="P122">
            <v>65.004536973699629</v>
          </cell>
          <cell r="Q122">
            <v>15106138.727298003</v>
          </cell>
          <cell r="R122">
            <v>64.911237024087114</v>
          </cell>
          <cell r="S122" t="e">
            <v>#REF!</v>
          </cell>
          <cell r="T122" t="e">
            <v>#REF!</v>
          </cell>
        </row>
        <row r="123">
          <cell r="B123" t="str">
            <v>* CONTRIBUCION MARGINAL</v>
          </cell>
          <cell r="D123" t="str">
            <v>3190</v>
          </cell>
          <cell r="E123">
            <v>4565733</v>
          </cell>
          <cell r="F123">
            <v>33.414256280377671</v>
          </cell>
          <cell r="G123">
            <v>4858284</v>
          </cell>
          <cell r="H123">
            <v>32.999504017512486</v>
          </cell>
          <cell r="I123">
            <v>5879631.1879999992</v>
          </cell>
          <cell r="J123">
            <v>33.645930678413578</v>
          </cell>
          <cell r="K123">
            <v>5947725.4722799975</v>
          </cell>
          <cell r="L123">
            <v>35.260718793050266</v>
          </cell>
          <cell r="M123">
            <v>6590402.2915919982</v>
          </cell>
          <cell r="N123">
            <v>35.01760954224477</v>
          </cell>
          <cell r="O123">
            <v>7309705.1578620039</v>
          </cell>
          <cell r="P123">
            <v>34.995463026300364</v>
          </cell>
          <cell r="Q123">
            <v>8165854.5667020008</v>
          </cell>
          <cell r="R123">
            <v>35.088762975912879</v>
          </cell>
          <cell r="S123" t="e">
            <v>#REF!</v>
          </cell>
          <cell r="T123" t="e">
            <v>#REF!</v>
          </cell>
        </row>
        <row r="124">
          <cell r="B124" t="str">
            <v xml:space="preserve">   Publicidad Medios</v>
          </cell>
          <cell r="D124" t="str">
            <v>3205</v>
          </cell>
          <cell r="E124">
            <v>32416</v>
          </cell>
          <cell r="F124">
            <v>0.23723606518049181</v>
          </cell>
          <cell r="G124">
            <v>36534</v>
          </cell>
          <cell r="H124">
            <v>0.24815426182903288</v>
          </cell>
          <cell r="I124">
            <v>37000</v>
          </cell>
          <cell r="J124">
            <v>0.21173087142643796</v>
          </cell>
          <cell r="K124">
            <v>37000</v>
          </cell>
          <cell r="L124">
            <v>0.21935218789490252</v>
          </cell>
          <cell r="M124">
            <v>34328.01791489248</v>
          </cell>
          <cell r="N124">
            <v>0.18239935507981089</v>
          </cell>
          <cell r="O124">
            <v>41375.491791459819</v>
          </cell>
          <cell r="P124">
            <v>0.19808657967902701</v>
          </cell>
          <cell r="Q124">
            <v>45808.580197687654</v>
          </cell>
          <cell r="R124">
            <v>0.19683995100453233</v>
          </cell>
          <cell r="S124">
            <v>37800</v>
          </cell>
          <cell r="T124" t="e">
            <v>#REF!</v>
          </cell>
        </row>
        <row r="125">
          <cell r="B125" t="str">
            <v xml:space="preserve">   Otras promociones</v>
          </cell>
          <cell r="D125" t="str">
            <v>3210</v>
          </cell>
          <cell r="E125">
            <v>131781</v>
          </cell>
          <cell r="F125">
            <v>0.96443749708632742</v>
          </cell>
          <cell r="G125">
            <v>134389</v>
          </cell>
          <cell r="H125">
            <v>0.91282649293649487</v>
          </cell>
          <cell r="I125">
            <v>237250</v>
          </cell>
          <cell r="J125">
            <v>1.357652682322227</v>
          </cell>
          <cell r="K125">
            <v>237250</v>
          </cell>
          <cell r="L125">
            <v>1.406521799407179</v>
          </cell>
          <cell r="M125">
            <v>220116.81757589846</v>
          </cell>
          <cell r="N125">
            <v>1.1695742430455447</v>
          </cell>
          <cell r="O125">
            <v>265306.36290604982</v>
          </cell>
          <cell r="P125">
            <v>1.2701632710499775</v>
          </cell>
          <cell r="Q125">
            <v>293732.04464598373</v>
          </cell>
          <cell r="R125">
            <v>1.2621696858331164</v>
          </cell>
          <cell r="S125">
            <v>159260</v>
          </cell>
          <cell r="T125" t="e">
            <v>#REF!</v>
          </cell>
        </row>
        <row r="126">
          <cell r="B126" t="str">
            <v xml:space="preserve">   Estudios de Mercado</v>
          </cell>
          <cell r="D126" t="str">
            <v>3215</v>
          </cell>
          <cell r="E126">
            <v>3</v>
          </cell>
          <cell r="F126">
            <v>2.1955460128994184E-5</v>
          </cell>
          <cell r="G126">
            <v>6876</v>
          </cell>
          <cell r="H126">
            <v>4.6704677953041826E-2</v>
          </cell>
          <cell r="I126">
            <v>8000</v>
          </cell>
          <cell r="J126">
            <v>4.5779647875986582E-2</v>
          </cell>
          <cell r="K126">
            <v>8000</v>
          </cell>
          <cell r="L126">
            <v>4.7427500085384329E-2</v>
          </cell>
          <cell r="M126">
            <v>7422.2741437605373</v>
          </cell>
          <cell r="N126">
            <v>3.9437698395634796E-2</v>
          </cell>
          <cell r="O126">
            <v>8946.0522792345564</v>
          </cell>
          <cell r="P126">
            <v>4.2829530741411249E-2</v>
          </cell>
          <cell r="Q126">
            <v>9904.5578805811147</v>
          </cell>
          <cell r="R126">
            <v>4.2559989406385369E-2</v>
          </cell>
          <cell r="S126">
            <v>14000</v>
          </cell>
          <cell r="T126" t="e">
            <v>#REF!</v>
          </cell>
        </row>
        <row r="127">
          <cell r="B127" t="str">
            <v xml:space="preserve">   Reserva producto</v>
          </cell>
          <cell r="D127" t="str">
            <v>3220</v>
          </cell>
          <cell r="E127">
            <v>0</v>
          </cell>
          <cell r="F127">
            <v>0</v>
          </cell>
          <cell r="G127">
            <v>0</v>
          </cell>
          <cell r="H127">
            <v>0</v>
          </cell>
          <cell r="I127">
            <v>38000</v>
          </cell>
          <cell r="J127">
            <v>0.21745332741093626</v>
          </cell>
          <cell r="K127">
            <v>19000</v>
          </cell>
          <cell r="L127">
            <v>0.11264031270278778</v>
          </cell>
          <cell r="M127">
            <v>40132.890365448504</v>
          </cell>
          <cell r="N127">
            <v>0.21324311057792955</v>
          </cell>
          <cell r="O127">
            <v>48372.093023255817</v>
          </cell>
          <cell r="P127">
            <v>0.23158304696864607</v>
          </cell>
          <cell r="Q127">
            <v>53554.817275747511</v>
          </cell>
          <cell r="R127">
            <v>0.23012561321747649</v>
          </cell>
          <cell r="S127">
            <v>0</v>
          </cell>
          <cell r="T127" t="e">
            <v>#REF!</v>
          </cell>
        </row>
        <row r="128">
          <cell r="B128" t="str">
            <v>* TOTAL GASTOS FIJOS MARK. PRODUCTOS</v>
          </cell>
          <cell r="D128" t="str">
            <v>3225</v>
          </cell>
          <cell r="E128">
            <v>164200</v>
          </cell>
          <cell r="F128">
            <v>1.2016955177269484</v>
          </cell>
          <cell r="G128">
            <v>177799</v>
          </cell>
          <cell r="H128">
            <v>1.2076854327185695</v>
          </cell>
          <cell r="I128">
            <v>320250</v>
          </cell>
          <cell r="J128">
            <v>1.832616529035588</v>
          </cell>
          <cell r="K128">
            <v>301250</v>
          </cell>
          <cell r="L128">
            <v>1.7859418000902534</v>
          </cell>
          <cell r="M128">
            <v>302000</v>
          </cell>
          <cell r="N128">
            <v>1.6046544070989199</v>
          </cell>
          <cell r="O128">
            <v>364000.00000000006</v>
          </cell>
          <cell r="P128">
            <v>1.7426624284390619</v>
          </cell>
          <cell r="Q128">
            <v>403000</v>
          </cell>
          <cell r="R128">
            <v>1.7316952394615104</v>
          </cell>
          <cell r="S128">
            <v>211060</v>
          </cell>
          <cell r="T128" t="e">
            <v>#REF!</v>
          </cell>
        </row>
        <row r="129">
          <cell r="B129" t="str">
            <v xml:space="preserve">   Gastos fijos fabricación</v>
          </cell>
          <cell r="D129" t="str">
            <v>3250</v>
          </cell>
          <cell r="E129">
            <v>899866</v>
          </cell>
          <cell r="F129">
            <v>6.5856573614791598</v>
          </cell>
          <cell r="G129">
            <v>1054060</v>
          </cell>
          <cell r="H129">
            <v>7.1596179236741238</v>
          </cell>
          <cell r="I129">
            <v>1172673.112</v>
          </cell>
          <cell r="J129">
            <v>6.7105702676246715</v>
          </cell>
          <cell r="K129">
            <v>1172673.112</v>
          </cell>
          <cell r="L129">
            <v>6.9521192649384878</v>
          </cell>
          <cell r="M129">
            <v>1244453.3060000001</v>
          </cell>
          <cell r="N129">
            <v>6.6123095427209302</v>
          </cell>
          <cell r="O129">
            <v>1328160.8759999999</v>
          </cell>
          <cell r="P129">
            <v>6.3586155426590976</v>
          </cell>
          <cell r="Q129">
            <v>1455759.0960000004</v>
          </cell>
          <cell r="R129">
            <v>6.2554121497419164</v>
          </cell>
          <cell r="S129">
            <v>957036.46200000006</v>
          </cell>
          <cell r="T129" t="e">
            <v>#REF!</v>
          </cell>
        </row>
        <row r="130">
          <cell r="B130" t="str">
            <v xml:space="preserve">   Amortización activo fijo fábricas</v>
          </cell>
          <cell r="D130" t="str">
            <v>3255</v>
          </cell>
          <cell r="E130">
            <v>400183</v>
          </cell>
          <cell r="F130">
            <v>2.92873396693376</v>
          </cell>
          <cell r="G130">
            <v>485734</v>
          </cell>
          <cell r="H130">
            <v>3.2993091973302531</v>
          </cell>
          <cell r="I130">
            <v>548392</v>
          </cell>
          <cell r="J130">
            <v>3.1381490822510045</v>
          </cell>
          <cell r="K130">
            <v>548392</v>
          </cell>
          <cell r="L130">
            <v>3.2511077033530102</v>
          </cell>
          <cell r="M130">
            <v>621584.48199999996</v>
          </cell>
          <cell r="N130">
            <v>3.3027426437933749</v>
          </cell>
          <cell r="O130">
            <v>691558.62800000003</v>
          </cell>
          <cell r="P130">
            <v>3.3108605441716095</v>
          </cell>
          <cell r="Q130">
            <v>793942.06599999988</v>
          </cell>
          <cell r="R130">
            <v>3.4115774096785012</v>
          </cell>
          <cell r="S130">
            <v>457046.88500000001</v>
          </cell>
          <cell r="T130" t="e">
            <v>#REF!</v>
          </cell>
        </row>
        <row r="131">
          <cell r="B131" t="str">
            <v xml:space="preserve">   Otros gastos fijos de los productos</v>
          </cell>
          <cell r="D131" t="str">
            <v>3260</v>
          </cell>
          <cell r="E131">
            <v>163663</v>
          </cell>
          <cell r="F131">
            <v>1.1977654903638584</v>
          </cell>
          <cell r="G131">
            <v>35526</v>
          </cell>
          <cell r="H131">
            <v>0.2413075027573828</v>
          </cell>
          <cell r="I131">
            <v>55800</v>
          </cell>
          <cell r="J131">
            <v>0.31931304393500637</v>
          </cell>
          <cell r="K131">
            <v>55800</v>
          </cell>
          <cell r="L131">
            <v>0.33080681309555565</v>
          </cell>
          <cell r="M131">
            <v>62263.845198723444</v>
          </cell>
          <cell r="N131">
            <v>0.33083428344720694</v>
          </cell>
          <cell r="O131">
            <v>69156.896594181846</v>
          </cell>
          <cell r="P131">
            <v>0.33109100374210443</v>
          </cell>
          <cell r="Q131">
            <v>77162.948497653008</v>
          </cell>
          <cell r="R131">
            <v>0.33157000142977522</v>
          </cell>
          <cell r="S131">
            <v>40000</v>
          </cell>
          <cell r="T131" t="e">
            <v>#REF!</v>
          </cell>
        </row>
        <row r="132">
          <cell r="B132" t="str">
            <v xml:space="preserve">   Productos Defectuosos</v>
          </cell>
          <cell r="D132" t="str">
            <v>3261</v>
          </cell>
          <cell r="E132">
            <v>116501</v>
          </cell>
          <cell r="F132">
            <v>0.85261102016265033</v>
          </cell>
          <cell r="G132">
            <v>97287</v>
          </cell>
          <cell r="H132">
            <v>0.66081413670994482</v>
          </cell>
          <cell r="I132">
            <v>86483</v>
          </cell>
          <cell r="J132">
            <v>0.49489516090736846</v>
          </cell>
          <cell r="K132">
            <v>76383</v>
          </cell>
          <cell r="L132">
            <v>0.45283184237773888</v>
          </cell>
          <cell r="M132">
            <v>85187.971014794864</v>
          </cell>
          <cell r="N132">
            <v>0.45263991099571399</v>
          </cell>
          <cell r="O132">
            <v>94195.734350045794</v>
          </cell>
          <cell r="P132">
            <v>0.45096529442596578</v>
          </cell>
          <cell r="Q132">
            <v>81773.148343232664</v>
          </cell>
          <cell r="R132">
            <v>0.35138007866440668</v>
          </cell>
          <cell r="S132">
            <v>77417</v>
          </cell>
          <cell r="T132" t="e">
            <v>#REF!</v>
          </cell>
        </row>
        <row r="133">
          <cell r="B133" t="str">
            <v xml:space="preserve">   Interés Operacional</v>
          </cell>
          <cell r="D133" t="str">
            <v>3265</v>
          </cell>
          <cell r="E133">
            <v>378000</v>
          </cell>
          <cell r="F133">
            <v>2.766387976253267</v>
          </cell>
          <cell r="G133">
            <v>348392</v>
          </cell>
          <cell r="H133">
            <v>2.3664246889784977</v>
          </cell>
          <cell r="I133">
            <v>421524</v>
          </cell>
          <cell r="J133">
            <v>2.4121525364096708</v>
          </cell>
          <cell r="K133">
            <v>395024</v>
          </cell>
          <cell r="L133">
            <v>2.3418750992161073</v>
          </cell>
          <cell r="M133">
            <v>440380.29245859274</v>
          </cell>
          <cell r="N133">
            <v>2.339927738719179</v>
          </cell>
          <cell r="O133">
            <v>468215.50034726347</v>
          </cell>
          <cell r="P133">
            <v>2.2415976946922322</v>
          </cell>
          <cell r="Q133">
            <v>521557.21589990327</v>
          </cell>
          <cell r="R133">
            <v>2.2411368433763319</v>
          </cell>
          <cell r="S133">
            <v>354480</v>
          </cell>
          <cell r="T133" t="e">
            <v>#REF!</v>
          </cell>
        </row>
        <row r="134">
          <cell r="B134" t="str">
            <v>* TOTAL GASTOS ESPECIFICOS</v>
          </cell>
          <cell r="D134" t="str">
            <v>3270</v>
          </cell>
          <cell r="E134">
            <v>2122413</v>
          </cell>
          <cell r="F134">
            <v>15.532851332919645</v>
          </cell>
          <cell r="G134">
            <v>2198798</v>
          </cell>
          <cell r="H134">
            <v>14.93515888216877</v>
          </cell>
          <cell r="I134">
            <v>2605122.1119999997</v>
          </cell>
          <cell r="J134">
            <v>14.907696620163307</v>
          </cell>
          <cell r="K134">
            <v>2549522.1119999997</v>
          </cell>
          <cell r="L134">
            <v>15.114682523071151</v>
          </cell>
          <cell r="M134">
            <v>2755869.8966721115</v>
          </cell>
          <cell r="N134">
            <v>14.643108526775329</v>
          </cell>
          <cell r="O134">
            <v>3015287.6352914907</v>
          </cell>
          <cell r="P134">
            <v>14.435792508130069</v>
          </cell>
          <cell r="Q134">
            <v>3333194.4747407893</v>
          </cell>
          <cell r="R134">
            <v>14.322771722352442</v>
          </cell>
          <cell r="S134">
            <v>2097040.3470000001</v>
          </cell>
          <cell r="T134" t="e">
            <v>#REF!</v>
          </cell>
        </row>
        <row r="135">
          <cell r="B135" t="str">
            <v>* CONTRIBUCION DEL PRODUCTO</v>
          </cell>
          <cell r="D135" t="str">
            <v>3290</v>
          </cell>
          <cell r="E135">
            <v>2443320</v>
          </cell>
          <cell r="F135">
            <v>17.881404947458019</v>
          </cell>
          <cell r="G135">
            <v>2659486</v>
          </cell>
          <cell r="H135">
            <v>18.064345135343718</v>
          </cell>
          <cell r="I135">
            <v>3274509.0759999994</v>
          </cell>
          <cell r="J135">
            <v>18.738234058250271</v>
          </cell>
          <cell r="K135">
            <v>3398203.3602799978</v>
          </cell>
          <cell r="L135">
            <v>20.146036269979113</v>
          </cell>
          <cell r="M135">
            <v>3834532.3949198867</v>
          </cell>
          <cell r="N135">
            <v>20.374501015469445</v>
          </cell>
          <cell r="O135">
            <v>4294417.5225705132</v>
          </cell>
          <cell r="P135">
            <v>20.5596705181703</v>
          </cell>
          <cell r="Q135">
            <v>4832660.0919612115</v>
          </cell>
          <cell r="R135">
            <v>20.765991253560433</v>
          </cell>
          <cell r="S135" t="e">
            <v>#REF!</v>
          </cell>
          <cell r="T135" t="e">
            <v>#REF!</v>
          </cell>
        </row>
        <row r="136">
          <cell r="B136" t="str">
            <v xml:space="preserve">   Gastos fijos de distribución</v>
          </cell>
          <cell r="D136" t="str">
            <v>3305</v>
          </cell>
          <cell r="E136">
            <v>301605</v>
          </cell>
          <cell r="F136">
            <v>2.2072921840684301</v>
          </cell>
          <cell r="G136">
            <v>286604</v>
          </cell>
          <cell r="H136">
            <v>1.946734659693659</v>
          </cell>
          <cell r="I136">
            <v>367971</v>
          </cell>
          <cell r="J136">
            <v>2.1056978510718323</v>
          </cell>
          <cell r="K136">
            <v>367971</v>
          </cell>
          <cell r="L136">
            <v>2.1814930792398695</v>
          </cell>
          <cell r="M136">
            <v>395812.10093653318</v>
          </cell>
          <cell r="N136">
            <v>2.1031179872546044</v>
          </cell>
          <cell r="O136">
            <v>412562.7393452978</v>
          </cell>
          <cell r="P136">
            <v>1.9751582011839237</v>
          </cell>
          <cell r="Q136">
            <v>472542.38660723181</v>
          </cell>
          <cell r="R136">
            <v>2.0305196062816973</v>
          </cell>
          <cell r="S136">
            <v>329323</v>
          </cell>
          <cell r="T136" t="e">
            <v>#REF!</v>
          </cell>
        </row>
        <row r="137">
          <cell r="B137" t="str">
            <v xml:space="preserve">   Gastos generales marketing</v>
          </cell>
          <cell r="D137" t="str">
            <v>3310</v>
          </cell>
          <cell r="E137">
            <v>585673</v>
          </cell>
          <cell r="F137">
            <v>4.2862400667094702</v>
          </cell>
          <cell r="G137">
            <v>638608</v>
          </cell>
          <cell r="H137">
            <v>4.3376935686789029</v>
          </cell>
          <cell r="I137">
            <v>736333</v>
          </cell>
          <cell r="J137">
            <v>4.213633182433604</v>
          </cell>
          <cell r="K137">
            <v>710561.34499999997</v>
          </cell>
          <cell r="L137">
            <v>4.2125185313322877</v>
          </cell>
          <cell r="M137">
            <v>775324.19160489819</v>
          </cell>
          <cell r="N137">
            <v>4.1196270893682359</v>
          </cell>
          <cell r="O137">
            <v>852284.71873328439</v>
          </cell>
          <cell r="P137">
            <v>4.0803421913990325</v>
          </cell>
          <cell r="Q137">
            <v>907852.46842064033</v>
          </cell>
          <cell r="R137">
            <v>3.9010516071895882</v>
          </cell>
          <cell r="S137">
            <v>720417</v>
          </cell>
          <cell r="T137" t="e">
            <v>#REF!</v>
          </cell>
        </row>
        <row r="138">
          <cell r="B138" t="str">
            <v xml:space="preserve">   Otros gastos generales</v>
          </cell>
          <cell r="D138" t="str">
            <v>3315</v>
          </cell>
          <cell r="E138">
            <v>61386</v>
          </cell>
          <cell r="F138">
            <v>0.44925262515947895</v>
          </cell>
          <cell r="G138">
            <v>63405</v>
          </cell>
          <cell r="H138">
            <v>0.43067337196227701</v>
          </cell>
          <cell r="I138">
            <v>72912</v>
          </cell>
          <cell r="J138">
            <v>0.41723571074174171</v>
          </cell>
          <cell r="K138">
            <v>70214.255999999994</v>
          </cell>
          <cell r="L138">
            <v>0.41626082905439959</v>
          </cell>
          <cell r="M138">
            <v>75960.733190753337</v>
          </cell>
          <cell r="N138">
            <v>0.403611673115919</v>
          </cell>
          <cell r="O138">
            <v>78949.555381482496</v>
          </cell>
          <cell r="P138">
            <v>0.37797369204746833</v>
          </cell>
          <cell r="Q138">
            <v>81792.614162533122</v>
          </cell>
          <cell r="R138">
            <v>0.35146372349471644</v>
          </cell>
          <cell r="S138">
            <v>69038</v>
          </cell>
          <cell r="T138" t="e">
            <v>#REF!</v>
          </cell>
        </row>
        <row r="139">
          <cell r="B139" t="str">
            <v xml:space="preserve">   Pérdida y provisión sobre deudores</v>
          </cell>
          <cell r="D139" t="str">
            <v>3320</v>
          </cell>
          <cell r="E139">
            <v>31752</v>
          </cell>
          <cell r="F139">
            <v>0.23237659000527444</v>
          </cell>
          <cell r="G139">
            <v>12000</v>
          </cell>
          <cell r="H139">
            <v>8.1509036567263229E-2</v>
          </cell>
          <cell r="I139">
            <v>13822</v>
          </cell>
          <cell r="J139">
            <v>7.9095786617735808E-2</v>
          </cell>
          <cell r="K139">
            <v>13822</v>
          </cell>
          <cell r="L139">
            <v>8.1942863272522759E-2</v>
          </cell>
          <cell r="M139">
            <v>14402.523999999999</v>
          </cell>
          <cell r="N139">
            <v>7.6526733807774708E-2</v>
          </cell>
          <cell r="O139">
            <v>14969.220035484992</v>
          </cell>
          <cell r="P139">
            <v>7.1665652029881677E-2</v>
          </cell>
          <cell r="Q139">
            <v>15508.277820696367</v>
          </cell>
          <cell r="R139">
            <v>6.6639232938824886E-2</v>
          </cell>
          <cell r="S139">
            <v>15080.736230980003</v>
          </cell>
          <cell r="T139" t="e">
            <v>#REF!</v>
          </cell>
        </row>
        <row r="140">
          <cell r="B140" t="str">
            <v xml:space="preserve">   Reserva general para riesgos</v>
          </cell>
          <cell r="D140" t="str">
            <v>3335</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t="e">
            <v>#REF!</v>
          </cell>
        </row>
        <row r="141">
          <cell r="B141" t="str">
            <v>* TOTAL GTOS. FIJOS COMUNES</v>
          </cell>
          <cell r="D141" t="str">
            <v>3340</v>
          </cell>
          <cell r="E141">
            <v>980416</v>
          </cell>
          <cell r="F141">
            <v>7.1751614659426535</v>
          </cell>
          <cell r="G141">
            <v>1000617</v>
          </cell>
          <cell r="H141">
            <v>6.796610636902102</v>
          </cell>
          <cell r="I141">
            <v>1191038</v>
          </cell>
          <cell r="J141">
            <v>6.8156625308649135</v>
          </cell>
          <cell r="K141">
            <v>1162568.601</v>
          </cell>
          <cell r="L141">
            <v>6.8922153028990794</v>
          </cell>
          <cell r="M141">
            <v>1261499.5497321845</v>
          </cell>
          <cell r="N141">
            <v>6.7028834835465334</v>
          </cell>
          <cell r="O141">
            <v>1358766.2334955498</v>
          </cell>
          <cell r="P141">
            <v>6.5051397366603076</v>
          </cell>
          <cell r="Q141">
            <v>1477695.7470111016</v>
          </cell>
          <cell r="R141">
            <v>6.3496741699048256</v>
          </cell>
          <cell r="S141">
            <v>1133858.7362309799</v>
          </cell>
          <cell r="T141" t="e">
            <v>#REF!</v>
          </cell>
        </row>
        <row r="142">
          <cell r="B142" t="str">
            <v>* CONTRIBUCION DIVISIONAL</v>
          </cell>
          <cell r="D142" t="str">
            <v>-</v>
          </cell>
          <cell r="E142">
            <v>1462904</v>
          </cell>
          <cell r="F142">
            <v>10.706243481515369</v>
          </cell>
          <cell r="G142">
            <v>1658869</v>
          </cell>
          <cell r="H142">
            <v>11.267734498441614</v>
          </cell>
          <cell r="I142">
            <v>2083471.0759999994</v>
          </cell>
          <cell r="J142">
            <v>11.922571527385356</v>
          </cell>
          <cell r="K142">
            <v>2235634.759279998</v>
          </cell>
          <cell r="L142">
            <v>13.253820967080035</v>
          </cell>
          <cell r="M142">
            <v>2573032.8451877022</v>
          </cell>
          <cell r="N142">
            <v>13.671617531922911</v>
          </cell>
          <cell r="O142">
            <v>2935651.2890749634</v>
          </cell>
          <cell r="P142">
            <v>14.054530781509994</v>
          </cell>
          <cell r="Q142">
            <v>3354964.3449501097</v>
          </cell>
          <cell r="R142">
            <v>14.416317083655608</v>
          </cell>
          <cell r="S142" t="e">
            <v>#REF!</v>
          </cell>
          <cell r="T142" t="e">
            <v>#REF!</v>
          </cell>
        </row>
        <row r="143">
          <cell r="B143" t="str">
            <v xml:space="preserve">   Gastos Corporativos</v>
          </cell>
          <cell r="D143" t="str">
            <v>33151</v>
          </cell>
          <cell r="E143">
            <v>504683</v>
          </cell>
          <cell r="F143">
            <v>3.6935158280937235</v>
          </cell>
          <cell r="G143">
            <v>514923</v>
          </cell>
          <cell r="H143">
            <v>3.4975731363604066</v>
          </cell>
          <cell r="I143">
            <v>585031</v>
          </cell>
          <cell r="J143">
            <v>3.3478141470670382</v>
          </cell>
          <cell r="K143">
            <v>563384.853</v>
          </cell>
          <cell r="L143">
            <v>3.339991895470217</v>
          </cell>
          <cell r="M143">
            <v>587043.78805297369</v>
          </cell>
          <cell r="N143">
            <v>3.1192132505273129</v>
          </cell>
          <cell r="O143">
            <v>610142.18729723594</v>
          </cell>
          <cell r="P143">
            <v>2.9210765544190167</v>
          </cell>
          <cell r="Q143">
            <v>632114.0666181891</v>
          </cell>
          <cell r="R143">
            <v>2.7162007939438562</v>
          </cell>
          <cell r="S143">
            <v>535291</v>
          </cell>
          <cell r="T143" t="e">
            <v>#REF!</v>
          </cell>
        </row>
        <row r="144">
          <cell r="B144" t="str">
            <v>* RESULTADO EXPLOTACION</v>
          </cell>
          <cell r="D144" t="str">
            <v>3390</v>
          </cell>
          <cell r="E144">
            <v>958221</v>
          </cell>
          <cell r="F144">
            <v>7.0127276534216447</v>
          </cell>
          <cell r="G144">
            <v>1143946</v>
          </cell>
          <cell r="H144">
            <v>7.7701613620812084</v>
          </cell>
          <cell r="I144">
            <v>1498440.0759999994</v>
          </cell>
          <cell r="J144">
            <v>8.5747573803183172</v>
          </cell>
          <cell r="K144">
            <v>1672249.9062799979</v>
          </cell>
          <cell r="L144">
            <v>9.9138290716098165</v>
          </cell>
          <cell r="M144">
            <v>1985989.0571347284</v>
          </cell>
          <cell r="N144">
            <v>10.552404281395598</v>
          </cell>
          <cell r="O144">
            <v>2325509.1017777277</v>
          </cell>
          <cell r="P144">
            <v>11.133454227090978</v>
          </cell>
          <cell r="Q144">
            <v>2722850.2783319205</v>
          </cell>
          <cell r="R144">
            <v>11.700116289711749</v>
          </cell>
          <cell r="S144" t="e">
            <v>#REF!</v>
          </cell>
          <cell r="T144" t="e">
            <v>#REF!</v>
          </cell>
        </row>
        <row r="150">
          <cell r="B150">
            <v>0</v>
          </cell>
          <cell r="D150">
            <v>0</v>
          </cell>
          <cell r="E150">
            <v>0</v>
          </cell>
        </row>
        <row r="151">
          <cell r="B151" t="str">
            <v xml:space="preserve"> DIVISIÓN LBCF</v>
          </cell>
          <cell r="C151" t="str">
            <v>ESTADOS DE INGRESOS</v>
          </cell>
        </row>
        <row r="152">
          <cell r="B152" t="str">
            <v xml:space="preserve"> CONTRALORÍA</v>
          </cell>
          <cell r="C152" t="str">
            <v>CANAL INSTITUCIONAL</v>
          </cell>
        </row>
        <row r="153">
          <cell r="B153" t="str">
            <v xml:space="preserve">  IMPORTES EN  :  $ MILES  DE CADA  AÑO</v>
          </cell>
          <cell r="D153">
            <v>0</v>
          </cell>
          <cell r="E153">
            <v>0</v>
          </cell>
        </row>
        <row r="154">
          <cell r="D154" t="str">
            <v>COD.</v>
          </cell>
          <cell r="E154" t="str">
            <v xml:space="preserve">EFECTIVO </v>
          </cell>
          <cell r="G154" t="str">
            <v>EFECTIVO</v>
          </cell>
          <cell r="I154" t="str">
            <v>P.O.</v>
          </cell>
          <cell r="K154" t="str">
            <v>STATUS REPORT</v>
          </cell>
          <cell r="M154" t="str">
            <v>PLP</v>
          </cell>
          <cell r="O154" t="str">
            <v>PLP</v>
          </cell>
          <cell r="Q154" t="str">
            <v>PLP</v>
          </cell>
          <cell r="S154" t="str">
            <v>REV.DIC</v>
          </cell>
        </row>
        <row r="155">
          <cell r="E155">
            <v>1997</v>
          </cell>
          <cell r="F155" t="str">
            <v>%</v>
          </cell>
          <cell r="G155">
            <v>1998</v>
          </cell>
          <cell r="H155" t="str">
            <v>%</v>
          </cell>
          <cell r="I155">
            <v>1999</v>
          </cell>
          <cell r="J155" t="str">
            <v>%</v>
          </cell>
          <cell r="K155">
            <v>1999</v>
          </cell>
          <cell r="L155" t="str">
            <v>%</v>
          </cell>
          <cell r="M155">
            <v>2000</v>
          </cell>
          <cell r="N155" t="str">
            <v>%</v>
          </cell>
          <cell r="O155">
            <v>2001</v>
          </cell>
          <cell r="P155" t="str">
            <v>%</v>
          </cell>
          <cell r="Q155">
            <v>2002</v>
          </cell>
          <cell r="R155" t="str">
            <v>%</v>
          </cell>
          <cell r="S155">
            <v>1998</v>
          </cell>
          <cell r="T155" t="str">
            <v>%</v>
          </cell>
        </row>
        <row r="156">
          <cell r="B156" t="str">
            <v xml:space="preserve">   VOLUMEN DE VENTAS               (Tns.)</v>
          </cell>
          <cell r="D156" t="str">
            <v>3000</v>
          </cell>
          <cell r="E156">
            <v>6360</v>
          </cell>
          <cell r="G156">
            <v>5450</v>
          </cell>
          <cell r="I156">
            <v>3599.96</v>
          </cell>
          <cell r="K156">
            <v>3599.96</v>
          </cell>
          <cell r="M156">
            <v>2299.92</v>
          </cell>
          <cell r="O156">
            <v>2290</v>
          </cell>
          <cell r="Q156">
            <v>2274</v>
          </cell>
          <cell r="S156">
            <v>5450</v>
          </cell>
        </row>
        <row r="157">
          <cell r="B157" t="str">
            <v xml:space="preserve">   PRODUCTO BRUTO DE LAS VENTAS</v>
          </cell>
          <cell r="D157" t="str">
            <v>3001</v>
          </cell>
          <cell r="E157">
            <v>6994343</v>
          </cell>
          <cell r="F157">
            <v>100</v>
          </cell>
          <cell r="G157">
            <v>5845647</v>
          </cell>
          <cell r="H157">
            <v>100</v>
          </cell>
          <cell r="I157">
            <v>3826966</v>
          </cell>
          <cell r="J157">
            <v>100</v>
          </cell>
          <cell r="K157">
            <v>3826966</v>
          </cell>
          <cell r="L157">
            <v>100</v>
          </cell>
          <cell r="M157">
            <v>2375760</v>
          </cell>
          <cell r="N157">
            <v>100</v>
          </cell>
          <cell r="O157">
            <v>2458193</v>
          </cell>
          <cell r="P157">
            <v>100</v>
          </cell>
          <cell r="Q157">
            <v>2529363</v>
          </cell>
          <cell r="R157">
            <v>100</v>
          </cell>
          <cell r="S157">
            <v>5809703.9890000001</v>
          </cell>
          <cell r="T157">
            <v>100</v>
          </cell>
        </row>
        <row r="158">
          <cell r="B158" t="str">
            <v xml:space="preserve">   Reducciones de precio</v>
          </cell>
          <cell r="D158" t="str">
            <v>3002</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row>
        <row r="159">
          <cell r="B159" t="str">
            <v>* PRODUCTO NETO DE LAS VENTAS (PNV)</v>
          </cell>
          <cell r="D159" t="str">
            <v>3030</v>
          </cell>
          <cell r="E159">
            <v>6994343</v>
          </cell>
          <cell r="F159">
            <v>100</v>
          </cell>
          <cell r="G159">
            <v>5845647</v>
          </cell>
          <cell r="H159">
            <v>100</v>
          </cell>
          <cell r="I159">
            <v>3826966</v>
          </cell>
          <cell r="J159">
            <v>100</v>
          </cell>
          <cell r="K159">
            <v>3826966</v>
          </cell>
          <cell r="L159">
            <v>100</v>
          </cell>
          <cell r="M159">
            <v>2375760</v>
          </cell>
          <cell r="N159">
            <v>100</v>
          </cell>
          <cell r="O159">
            <v>2458193</v>
          </cell>
          <cell r="P159">
            <v>100</v>
          </cell>
          <cell r="Q159">
            <v>2529363</v>
          </cell>
          <cell r="R159">
            <v>100</v>
          </cell>
          <cell r="S159">
            <v>5809703.9890000001</v>
          </cell>
          <cell r="T159">
            <v>100</v>
          </cell>
        </row>
        <row r="160">
          <cell r="B160" t="str">
            <v xml:space="preserve">   Bonificaciones periódicas</v>
          </cell>
          <cell r="D160" t="str">
            <v>3035</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row>
        <row r="161">
          <cell r="B161" t="str">
            <v xml:space="preserve">   Promociones temporales de precio</v>
          </cell>
          <cell r="D161" t="str">
            <v>3040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row>
        <row r="162">
          <cell r="B162" t="str">
            <v xml:space="preserve">   Descuentos a clientes</v>
          </cell>
          <cell r="D162" t="str">
            <v>3045</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row>
        <row r="163">
          <cell r="B163" t="str">
            <v xml:space="preserve">   Costo prod.vendido (fab.propia)</v>
          </cell>
          <cell r="D163" t="str">
            <v>3075</v>
          </cell>
          <cell r="E163">
            <v>5532321</v>
          </cell>
          <cell r="F163">
            <v>79.097078882176646</v>
          </cell>
          <cell r="G163">
            <v>4704260</v>
          </cell>
          <cell r="H163">
            <v>80.474582197659217</v>
          </cell>
          <cell r="I163">
            <v>3152781</v>
          </cell>
          <cell r="J163">
            <v>82.383303117926843</v>
          </cell>
          <cell r="K163">
            <v>3112781</v>
          </cell>
          <cell r="L163">
            <v>81.33808871048241</v>
          </cell>
          <cell r="M163">
            <v>1962377.7600000002</v>
          </cell>
          <cell r="N163">
            <v>82.600000000000009</v>
          </cell>
          <cell r="O163">
            <v>2027945</v>
          </cell>
          <cell r="P163">
            <v>82.497387308482288</v>
          </cell>
          <cell r="Q163">
            <v>2084190</v>
          </cell>
          <cell r="R163">
            <v>82.399797893778</v>
          </cell>
          <cell r="S163">
            <v>4715856</v>
          </cell>
          <cell r="T163">
            <v>81.172052981166104</v>
          </cell>
        </row>
        <row r="164">
          <cell r="B164" t="str">
            <v xml:space="preserve">   Costo prod.vendido (comprados)</v>
          </cell>
          <cell r="D164" t="str">
            <v>3100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row>
        <row r="165">
          <cell r="B165" t="str">
            <v xml:space="preserve">   Subsidios a las exportaciones</v>
          </cell>
          <cell r="D165" t="str">
            <v>3110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row>
        <row r="166">
          <cell r="B166" t="str">
            <v xml:space="preserve">   Gastos variables de distribución</v>
          </cell>
          <cell r="D166" t="str">
            <v>3115</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row>
        <row r="167">
          <cell r="B167" t="str">
            <v xml:space="preserve">   Comisiones a agentes/vendedores</v>
          </cell>
          <cell r="D167" t="str">
            <v>3120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row>
        <row r="168">
          <cell r="B168" t="str">
            <v xml:space="preserve">   Otros gastos variables</v>
          </cell>
          <cell r="D168" t="str">
            <v>3125</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row>
        <row r="169">
          <cell r="B169" t="str">
            <v xml:space="preserve">   Regalías / Asist. Técnica (Netas)</v>
          </cell>
          <cell r="D169" t="str">
            <v>3130</v>
          </cell>
          <cell r="E169">
            <v>187991</v>
          </cell>
          <cell r="F169">
            <v>2.6877578065588148</v>
          </cell>
          <cell r="G169">
            <v>163678.80799999999</v>
          </cell>
          <cell r="H169">
            <v>2.8000118378684173</v>
          </cell>
          <cell r="I169">
            <v>107155</v>
          </cell>
          <cell r="J169">
            <v>2.7999987457427111</v>
          </cell>
          <cell r="K169">
            <v>107155</v>
          </cell>
          <cell r="L169">
            <v>2.7999987457427111</v>
          </cell>
          <cell r="M169">
            <v>66521.280000000013</v>
          </cell>
          <cell r="N169">
            <v>2.8000000000000003</v>
          </cell>
          <cell r="O169">
            <v>68830</v>
          </cell>
          <cell r="P169">
            <v>2.800024245451842</v>
          </cell>
          <cell r="Q169">
            <v>70823</v>
          </cell>
          <cell r="R169">
            <v>2.8000330517999985</v>
          </cell>
          <cell r="S169">
            <v>162671.66800000001</v>
          </cell>
          <cell r="T169">
            <v>2.7999992479479148</v>
          </cell>
        </row>
        <row r="170">
          <cell r="B170" t="str">
            <v xml:space="preserve">   Impuesto sobre regalías / Asist. Tec.</v>
          </cell>
          <cell r="D170" t="str">
            <v>3135</v>
          </cell>
          <cell r="E170">
            <v>91666</v>
          </cell>
          <cell r="F170">
            <v>1.3105734162593969</v>
          </cell>
          <cell r="G170">
            <v>70147.631999999998</v>
          </cell>
          <cell r="H170">
            <v>1.1999977419094925</v>
          </cell>
          <cell r="I170">
            <v>45924</v>
          </cell>
          <cell r="J170">
            <v>1.2000106611869561</v>
          </cell>
          <cell r="K170">
            <v>45924</v>
          </cell>
          <cell r="L170">
            <v>1.2000106611869561</v>
          </cell>
          <cell r="M170">
            <v>28509.119999999999</v>
          </cell>
          <cell r="N170">
            <v>1.2</v>
          </cell>
          <cell r="O170">
            <v>29498</v>
          </cell>
          <cell r="P170">
            <v>1.1999871450288893</v>
          </cell>
          <cell r="Q170">
            <v>30353</v>
          </cell>
          <cell r="R170">
            <v>1.20002546095598</v>
          </cell>
          <cell r="S170">
            <v>69716.572</v>
          </cell>
          <cell r="T170">
            <v>1.2000021366320941</v>
          </cell>
        </row>
        <row r="171">
          <cell r="B171" t="str">
            <v>* TOTAL GASTOS VARIABLES</v>
          </cell>
          <cell r="D171" t="str">
            <v>3150</v>
          </cell>
          <cell r="E171">
            <v>5811978</v>
          </cell>
          <cell r="F171">
            <v>83.095410104994855</v>
          </cell>
          <cell r="G171">
            <v>4938086.4400000004</v>
          </cell>
          <cell r="H171">
            <v>84.474591777437141</v>
          </cell>
          <cell r="I171">
            <v>3305860</v>
          </cell>
          <cell r="J171">
            <v>86.383312524856507</v>
          </cell>
          <cell r="K171">
            <v>3265860</v>
          </cell>
          <cell r="L171">
            <v>85.338098117412059</v>
          </cell>
          <cell r="M171">
            <v>2057408.1600000004</v>
          </cell>
          <cell r="N171">
            <v>86.600000000000023</v>
          </cell>
          <cell r="O171">
            <v>2126273</v>
          </cell>
          <cell r="P171">
            <v>86.497398698963025</v>
          </cell>
          <cell r="Q171">
            <v>2185366</v>
          </cell>
          <cell r="R171">
            <v>86.399856406533985</v>
          </cell>
          <cell r="S171">
            <v>4948244.2399999993</v>
          </cell>
          <cell r="T171">
            <v>85.172054365746092</v>
          </cell>
        </row>
        <row r="172">
          <cell r="B172" t="str">
            <v>* CONTRIBUCION MARGINAL</v>
          </cell>
          <cell r="D172" t="str">
            <v>3190</v>
          </cell>
          <cell r="E172">
            <v>1182365</v>
          </cell>
          <cell r="F172">
            <v>16.904589895005149</v>
          </cell>
          <cell r="G172">
            <v>907560.55999999959</v>
          </cell>
          <cell r="H172">
            <v>15.525408222562866</v>
          </cell>
          <cell r="I172">
            <v>521106</v>
          </cell>
          <cell r="J172">
            <v>13.616687475143493</v>
          </cell>
          <cell r="K172">
            <v>561106</v>
          </cell>
          <cell r="L172">
            <v>14.66190188258793</v>
          </cell>
          <cell r="M172">
            <v>318351.83999999962</v>
          </cell>
          <cell r="N172">
            <v>13.399999999999984</v>
          </cell>
          <cell r="O172">
            <v>331920</v>
          </cell>
          <cell r="P172">
            <v>13.502601301036982</v>
          </cell>
          <cell r="Q172">
            <v>343997</v>
          </cell>
          <cell r="R172">
            <v>13.600143593466024</v>
          </cell>
          <cell r="S172">
            <v>861459.74900000077</v>
          </cell>
          <cell r="T172">
            <v>14.827945634253911</v>
          </cell>
        </row>
        <row r="173">
          <cell r="B173" t="str">
            <v xml:space="preserve">   Publicidad Medios</v>
          </cell>
          <cell r="D173" t="str">
            <v>3205</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row>
        <row r="174">
          <cell r="B174" t="str">
            <v xml:space="preserve">   Otras promociones</v>
          </cell>
          <cell r="D174" t="str">
            <v>3210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B175" t="str">
            <v xml:space="preserve">   Estudios de Mercado</v>
          </cell>
          <cell r="D175" t="str">
            <v>3215</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row>
        <row r="176">
          <cell r="B176" t="str">
            <v xml:space="preserve">   Reserva producto</v>
          </cell>
          <cell r="D176" t="str">
            <v>3220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row>
        <row r="177">
          <cell r="B177" t="str">
            <v>* TOTAL GASTOS FIJOS MARK. PRODUCTOS</v>
          </cell>
          <cell r="D177" t="str">
            <v>3225</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row>
        <row r="178">
          <cell r="B178" t="str">
            <v xml:space="preserve">   Gastos fijos fabricación</v>
          </cell>
          <cell r="D178" t="str">
            <v>3250</v>
          </cell>
          <cell r="E178">
            <v>408619</v>
          </cell>
          <cell r="F178">
            <v>5.8421355658422813</v>
          </cell>
          <cell r="G178">
            <v>422049</v>
          </cell>
          <cell r="H178">
            <v>7.2198851555696049</v>
          </cell>
          <cell r="I178">
            <v>261093</v>
          </cell>
          <cell r="J178">
            <v>6.8224541320722478</v>
          </cell>
          <cell r="K178">
            <v>261093</v>
          </cell>
          <cell r="L178">
            <v>6.8224541320722478</v>
          </cell>
          <cell r="M178">
            <v>202165.29166398989</v>
          </cell>
          <cell r="N178">
            <v>8.5094997669794044</v>
          </cell>
          <cell r="O178">
            <v>205357.60951216676</v>
          </cell>
          <cell r="P178">
            <v>8.3540067648132901</v>
          </cell>
          <cell r="Q178">
            <v>208102.47208488476</v>
          </cell>
          <cell r="R178">
            <v>8.2274656537983972</v>
          </cell>
          <cell r="S178">
            <v>404155.64299999998</v>
          </cell>
          <cell r="T178">
            <v>6.9565617071923418</v>
          </cell>
        </row>
        <row r="179">
          <cell r="B179" t="str">
            <v xml:space="preserve">   Amortización activo fijo fábricas</v>
          </cell>
          <cell r="D179" t="str">
            <v>3255</v>
          </cell>
          <cell r="E179">
            <v>164948</v>
          </cell>
          <cell r="F179">
            <v>2.3583058480260406</v>
          </cell>
          <cell r="G179">
            <v>160698</v>
          </cell>
          <cell r="H179">
            <v>2.7490199117394534</v>
          </cell>
          <cell r="I179">
            <v>98098</v>
          </cell>
          <cell r="J179">
            <v>2.5633360735371049</v>
          </cell>
          <cell r="K179">
            <v>98098</v>
          </cell>
          <cell r="L179">
            <v>2.5633360735371049</v>
          </cell>
          <cell r="M179">
            <v>80129.221385739205</v>
          </cell>
          <cell r="N179">
            <v>3.3727826626317139</v>
          </cell>
          <cell r="O179">
            <v>81248.098882781298</v>
          </cell>
          <cell r="P179">
            <v>3.3051960884593399</v>
          </cell>
          <cell r="Q179">
            <v>80763.214557157597</v>
          </cell>
          <cell r="R179">
            <v>3.1930258550139938</v>
          </cell>
          <cell r="S179">
            <v>160068.38400000002</v>
          </cell>
          <cell r="T179">
            <v>2.7551900114544723</v>
          </cell>
        </row>
        <row r="180">
          <cell r="B180" t="str">
            <v xml:space="preserve">   Otros gastos fijos de los productos</v>
          </cell>
          <cell r="D180" t="str">
            <v>3260</v>
          </cell>
          <cell r="E180">
            <v>67368</v>
          </cell>
          <cell r="F180">
            <v>0.96317838573258419</v>
          </cell>
          <cell r="G180">
            <v>1349</v>
          </cell>
          <cell r="H180">
            <v>2.3077000715233061E-2</v>
          </cell>
          <cell r="I180">
            <v>0</v>
          </cell>
          <cell r="J180">
            <v>0</v>
          </cell>
          <cell r="K180">
            <v>0</v>
          </cell>
          <cell r="L180">
            <v>0</v>
          </cell>
          <cell r="M180">
            <v>0</v>
          </cell>
          <cell r="N180">
            <v>0</v>
          </cell>
          <cell r="O180">
            <v>0</v>
          </cell>
          <cell r="P180">
            <v>0</v>
          </cell>
          <cell r="Q180">
            <v>0</v>
          </cell>
          <cell r="R180">
            <v>0</v>
          </cell>
          <cell r="S180">
            <v>1299</v>
          </cell>
          <cell r="T180">
            <v>2.2359142607945356E-2</v>
          </cell>
        </row>
        <row r="181">
          <cell r="B181" t="str">
            <v xml:space="preserve">   Productos Defectuosos</v>
          </cell>
          <cell r="D181" t="str">
            <v>3261</v>
          </cell>
          <cell r="E181">
            <v>310</v>
          </cell>
          <cell r="F181">
            <v>4.4321532415553542E-3</v>
          </cell>
          <cell r="G181">
            <v>403</v>
          </cell>
          <cell r="H181">
            <v>6.8940187459146946E-3</v>
          </cell>
          <cell r="I181">
            <v>439</v>
          </cell>
          <cell r="J181">
            <v>1.1471228121702676E-2</v>
          </cell>
          <cell r="K181">
            <v>439</v>
          </cell>
          <cell r="L181">
            <v>1.1471228121702676E-2</v>
          </cell>
          <cell r="M181">
            <v>427.41438879816059</v>
          </cell>
          <cell r="N181">
            <v>1.7990638313556948E-2</v>
          </cell>
          <cell r="O181">
            <v>442.40066156627995</v>
          </cell>
          <cell r="P181">
            <v>1.7996986467957558E-2</v>
          </cell>
          <cell r="Q181">
            <v>454.93536387338139</v>
          </cell>
          <cell r="R181">
            <v>1.7986163467773562E-2</v>
          </cell>
          <cell r="S181">
            <v>830</v>
          </cell>
          <cell r="T181">
            <v>1.4286442159041297E-2</v>
          </cell>
        </row>
        <row r="182">
          <cell r="B182" t="str">
            <v xml:space="preserve">   Interés Operacional</v>
          </cell>
          <cell r="D182" t="str">
            <v>3265</v>
          </cell>
          <cell r="E182">
            <v>96000</v>
          </cell>
          <cell r="F182">
            <v>1.3725377780300452</v>
          </cell>
          <cell r="G182">
            <v>89103</v>
          </cell>
          <cell r="H182">
            <v>1.5242624126978588</v>
          </cell>
          <cell r="I182">
            <v>63599</v>
          </cell>
          <cell r="J182">
            <v>1.6618647774764654</v>
          </cell>
          <cell r="K182">
            <v>63599</v>
          </cell>
          <cell r="L182">
            <v>1.6618647774764654</v>
          </cell>
          <cell r="M182">
            <v>39957.985958040066</v>
          </cell>
          <cell r="N182">
            <v>1.6819033049651508</v>
          </cell>
          <cell r="O182">
            <v>36244.622727707494</v>
          </cell>
          <cell r="P182">
            <v>1.4744417028161536</v>
          </cell>
          <cell r="Q182">
            <v>36746.807056110156</v>
          </cell>
          <cell r="R182">
            <v>1.4528087528800793</v>
          </cell>
          <cell r="S182">
            <v>96702.476813000001</v>
          </cell>
          <cell r="T182">
            <v>1.6644992067770565</v>
          </cell>
        </row>
        <row r="183">
          <cell r="B183" t="str">
            <v>* TOTAL GASTOS ESPECIFICOS</v>
          </cell>
          <cell r="D183" t="str">
            <v>3270</v>
          </cell>
          <cell r="E183">
            <v>737245</v>
          </cell>
          <cell r="F183">
            <v>10.540589730872508</v>
          </cell>
          <cell r="G183">
            <v>673602</v>
          </cell>
          <cell r="H183">
            <v>11.523138499468066</v>
          </cell>
          <cell r="I183">
            <v>423229</v>
          </cell>
          <cell r="J183">
            <v>11.05912621120752</v>
          </cell>
          <cell r="K183">
            <v>423229</v>
          </cell>
          <cell r="L183">
            <v>11.05912621120752</v>
          </cell>
          <cell r="M183">
            <v>322679.91339656734</v>
          </cell>
          <cell r="N183">
            <v>13.582176372889826</v>
          </cell>
          <cell r="O183">
            <v>323292.73178422183</v>
          </cell>
          <cell r="P183">
            <v>13.151641542556741</v>
          </cell>
          <cell r="Q183">
            <v>326067.42906202591</v>
          </cell>
          <cell r="R183">
            <v>12.891286425160246</v>
          </cell>
          <cell r="S183">
            <v>663055.50381300005</v>
          </cell>
          <cell r="T183">
            <v>11.412896510190858</v>
          </cell>
        </row>
        <row r="184">
          <cell r="B184" t="str">
            <v>* CONTRIBUCION DEL PRODUCTO</v>
          </cell>
          <cell r="D184" t="str">
            <v>3290</v>
          </cell>
          <cell r="E184">
            <v>445120</v>
          </cell>
          <cell r="F184">
            <v>6.3640001641326425</v>
          </cell>
          <cell r="G184">
            <v>233958.55999999959</v>
          </cell>
          <cell r="H184">
            <v>4.0022697230948019</v>
          </cell>
          <cell r="I184">
            <v>97877</v>
          </cell>
          <cell r="J184">
            <v>2.5575612639359742</v>
          </cell>
          <cell r="K184">
            <v>137877</v>
          </cell>
          <cell r="L184">
            <v>3.6027756713804093</v>
          </cell>
          <cell r="M184">
            <v>-4328.0733965677209</v>
          </cell>
          <cell r="N184">
            <v>-0.18217637288984243</v>
          </cell>
          <cell r="O184">
            <v>8627.2682157781674</v>
          </cell>
          <cell r="P184">
            <v>0.35095975848024008</v>
          </cell>
          <cell r="Q184">
            <v>17929.570937974087</v>
          </cell>
          <cell r="R184">
            <v>0.7088571683057785</v>
          </cell>
          <cell r="S184">
            <v>198404.24518700072</v>
          </cell>
          <cell r="T184">
            <v>3.4150491240630529</v>
          </cell>
        </row>
        <row r="185">
          <cell r="B185" t="str">
            <v xml:space="preserve">   Gastos fijos de distribución</v>
          </cell>
          <cell r="D185" t="str">
            <v>3305</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row>
        <row r="186">
          <cell r="B186" t="str">
            <v xml:space="preserve">   Gastos generales marketing</v>
          </cell>
          <cell r="D186" t="str">
            <v>3310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row>
        <row r="187">
          <cell r="B187" t="str">
            <v xml:space="preserve">   Otros gastos generales</v>
          </cell>
          <cell r="D187" t="str">
            <v>3315</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row>
        <row r="188">
          <cell r="B188" t="str">
            <v xml:space="preserve">   Pérdida y provisión sobre deudores</v>
          </cell>
          <cell r="D188" t="str">
            <v>3320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6025.5783386699995</v>
          </cell>
          <cell r="T188">
            <v>0.10371575471106156</v>
          </cell>
        </row>
        <row r="189">
          <cell r="B189" t="str">
            <v xml:space="preserve">   Reserva general para riesgos</v>
          </cell>
          <cell r="D189" t="str">
            <v>3335</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row>
        <row r="190">
          <cell r="B190" t="str">
            <v>* TOTAL GTOS. FIJOS COMUNES</v>
          </cell>
          <cell r="D190" t="str">
            <v>3340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6025.5783386699995</v>
          </cell>
          <cell r="T190">
            <v>0.10371575471106156</v>
          </cell>
        </row>
        <row r="191">
          <cell r="B191" t="str">
            <v>* CONTRIBUCION DIVISIONAL</v>
          </cell>
          <cell r="D191" t="str">
            <v>-</v>
          </cell>
          <cell r="E191">
            <v>445120</v>
          </cell>
          <cell r="F191">
            <v>6.3640001641326425</v>
          </cell>
          <cell r="G191">
            <v>233958.55999999959</v>
          </cell>
          <cell r="H191">
            <v>4.0022697230948019</v>
          </cell>
          <cell r="I191">
            <v>97877</v>
          </cell>
          <cell r="J191">
            <v>2.5575612639359742</v>
          </cell>
          <cell r="K191">
            <v>137877</v>
          </cell>
          <cell r="L191">
            <v>3.6027756713804093</v>
          </cell>
          <cell r="M191">
            <v>-4328.0733965677209</v>
          </cell>
          <cell r="N191">
            <v>-0.18217637288984243</v>
          </cell>
          <cell r="O191">
            <v>8627.2682157781674</v>
          </cell>
          <cell r="P191">
            <v>0.35095975848024008</v>
          </cell>
          <cell r="Q191">
            <v>17929.570937974087</v>
          </cell>
          <cell r="R191">
            <v>0.7088571683057785</v>
          </cell>
          <cell r="S191">
            <v>192378.66684833073</v>
          </cell>
          <cell r="T191">
            <v>3.3113333693519911</v>
          </cell>
        </row>
        <row r="192">
          <cell r="B192" t="str">
            <v xml:space="preserve">   Gastos Corporativos</v>
          </cell>
          <cell r="D192" t="str">
            <v>33151</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row>
        <row r="193">
          <cell r="B193" t="str">
            <v>* RESULTADO EXPLOTACION</v>
          </cell>
          <cell r="D193" t="str">
            <v>3390</v>
          </cell>
          <cell r="E193">
            <v>445120</v>
          </cell>
          <cell r="F193">
            <v>6.3640001641326425</v>
          </cell>
          <cell r="G193">
            <v>233958.55999999959</v>
          </cell>
          <cell r="H193">
            <v>4.0022697230948019</v>
          </cell>
          <cell r="I193">
            <v>97877</v>
          </cell>
          <cell r="J193">
            <v>2.5575612639359742</v>
          </cell>
          <cell r="K193">
            <v>137877</v>
          </cell>
          <cell r="L193">
            <v>3.6027756713804093</v>
          </cell>
          <cell r="M193">
            <v>-4328.0733965677209</v>
          </cell>
          <cell r="N193">
            <v>-0.18217637288984243</v>
          </cell>
          <cell r="O193">
            <v>8627.2682157781674</v>
          </cell>
          <cell r="P193">
            <v>0.35095975848024008</v>
          </cell>
          <cell r="Q193">
            <v>17929.570937974087</v>
          </cell>
          <cell r="R193">
            <v>0.7088571683057785</v>
          </cell>
          <cell r="S193">
            <v>192378.66684833073</v>
          </cell>
          <cell r="T193">
            <v>3.3113333693519911</v>
          </cell>
        </row>
        <row r="199">
          <cell r="B199">
            <v>0</v>
          </cell>
          <cell r="D199">
            <v>0</v>
          </cell>
          <cell r="E199">
            <v>0</v>
          </cell>
        </row>
        <row r="200">
          <cell r="B200" t="str">
            <v xml:space="preserve"> DIVISIÓN LBCF</v>
          </cell>
          <cell r="C200" t="str">
            <v>ESTADOS DE INGRESOS</v>
          </cell>
        </row>
        <row r="201">
          <cell r="B201" t="str">
            <v xml:space="preserve"> CONTRALORÍA</v>
          </cell>
          <cell r="C201" t="str">
            <v xml:space="preserve"> VENTA LOCAL (SIN REFRIG. S/MANT-MARG)</v>
          </cell>
        </row>
        <row r="202">
          <cell r="B202" t="str">
            <v xml:space="preserve">  IMPORTES EN  :  $ MILES  DE CADA  AÑO</v>
          </cell>
          <cell r="D202">
            <v>0</v>
          </cell>
          <cell r="E202">
            <v>0</v>
          </cell>
        </row>
        <row r="203">
          <cell r="D203" t="str">
            <v>COD.</v>
          </cell>
          <cell r="E203" t="str">
            <v xml:space="preserve">EFECTIVO </v>
          </cell>
          <cell r="G203" t="str">
            <v>EFECTIVO</v>
          </cell>
          <cell r="I203" t="str">
            <v>P.O.</v>
          </cell>
          <cell r="K203" t="str">
            <v>STATUS REPORT</v>
          </cell>
          <cell r="M203" t="str">
            <v>PLP</v>
          </cell>
          <cell r="O203" t="str">
            <v>PLP</v>
          </cell>
          <cell r="Q203" t="str">
            <v>PLP</v>
          </cell>
          <cell r="S203" t="str">
            <v>REV.DIC</v>
          </cell>
        </row>
        <row r="204">
          <cell r="E204">
            <v>1997</v>
          </cell>
          <cell r="F204" t="str">
            <v>%</v>
          </cell>
          <cell r="G204">
            <v>1998</v>
          </cell>
          <cell r="H204" t="str">
            <v>%</v>
          </cell>
          <cell r="I204">
            <v>1999</v>
          </cell>
          <cell r="J204" t="str">
            <v>%</v>
          </cell>
          <cell r="K204">
            <v>1999</v>
          </cell>
          <cell r="L204" t="str">
            <v>%</v>
          </cell>
          <cell r="M204">
            <v>2000</v>
          </cell>
          <cell r="N204" t="str">
            <v>%</v>
          </cell>
          <cell r="O204">
            <v>2001</v>
          </cell>
          <cell r="P204" t="str">
            <v>%</v>
          </cell>
          <cell r="Q204">
            <v>2002</v>
          </cell>
          <cell r="R204" t="str">
            <v>%</v>
          </cell>
          <cell r="S204">
            <v>1998</v>
          </cell>
          <cell r="T204" t="str">
            <v>%</v>
          </cell>
        </row>
        <row r="205">
          <cell r="B205" t="str">
            <v xml:space="preserve">   VOLUMEN DE VENTAS               (Tns.)</v>
          </cell>
          <cell r="D205" t="str">
            <v>3000</v>
          </cell>
          <cell r="E205">
            <v>97084</v>
          </cell>
          <cell r="G205">
            <v>104189</v>
          </cell>
          <cell r="I205">
            <v>109950.22100000001</v>
          </cell>
          <cell r="K205">
            <v>107697.96200000001</v>
          </cell>
          <cell r="M205">
            <v>114781.92</v>
          </cell>
          <cell r="O205">
            <v>121291</v>
          </cell>
          <cell r="Q205">
            <v>128091</v>
          </cell>
          <cell r="S205">
            <v>104982.833</v>
          </cell>
        </row>
        <row r="206">
          <cell r="B206" t="str">
            <v xml:space="preserve">   PRODUCTO BRUTO DE LAS VENTAS</v>
          </cell>
          <cell r="D206" t="str">
            <v>3001</v>
          </cell>
          <cell r="E206">
            <v>147157806</v>
          </cell>
          <cell r="F206">
            <v>105.08562449498736</v>
          </cell>
          <cell r="G206">
            <v>161158474</v>
          </cell>
          <cell r="H206">
            <v>104.4449531939146</v>
          </cell>
          <cell r="I206">
            <v>170894667.396</v>
          </cell>
          <cell r="J206">
            <v>104.29234571086474</v>
          </cell>
          <cell r="K206">
            <v>169332627.14342451</v>
          </cell>
          <cell r="L206">
            <v>104.29728802156629</v>
          </cell>
          <cell r="M206">
            <v>183855154.86256942</v>
          </cell>
          <cell r="N206">
            <v>104.33336280452805</v>
          </cell>
          <cell r="O206">
            <v>200349882.81410328</v>
          </cell>
          <cell r="P206">
            <v>104.34810246484167</v>
          </cell>
          <cell r="Q206">
            <v>217893665.02880487</v>
          </cell>
          <cell r="R206">
            <v>104.37366775255781</v>
          </cell>
          <cell r="S206" t="e">
            <v>#REF!</v>
          </cell>
          <cell r="T206" t="e">
            <v>#REF!</v>
          </cell>
        </row>
        <row r="207">
          <cell r="B207" t="str">
            <v xml:space="preserve">   Reducciones de precio</v>
          </cell>
          <cell r="D207" t="str">
            <v>3002</v>
          </cell>
          <cell r="E207">
            <v>7121710</v>
          </cell>
          <cell r="F207">
            <v>5.085624494987349</v>
          </cell>
          <cell r="G207">
            <v>6858559</v>
          </cell>
          <cell r="H207">
            <v>4.444953193914591</v>
          </cell>
          <cell r="I207">
            <v>7033488.2929999996</v>
          </cell>
          <cell r="J207">
            <v>4.2923457108647343</v>
          </cell>
          <cell r="K207">
            <v>6976893.4944245238</v>
          </cell>
          <cell r="L207">
            <v>4.2972880215662759</v>
          </cell>
          <cell r="M207">
            <v>7636206.36856943</v>
          </cell>
          <cell r="N207">
            <v>4.3333628045280461</v>
          </cell>
          <cell r="O207">
            <v>8348420.3231032593</v>
          </cell>
          <cell r="P207">
            <v>4.3481024648416868</v>
          </cell>
          <cell r="Q207">
            <v>9130602.7348048594</v>
          </cell>
          <cell r="R207">
            <v>4.3736677525578145</v>
          </cell>
          <cell r="S207" t="e">
            <v>#REF!</v>
          </cell>
          <cell r="T207" t="e">
            <v>#REF!</v>
          </cell>
        </row>
        <row r="208">
          <cell r="B208" t="str">
            <v>* PRODUCTO NETO DE LAS VENTAS (PNV)</v>
          </cell>
          <cell r="D208" t="str">
            <v>3030</v>
          </cell>
          <cell r="E208">
            <v>140036096</v>
          </cell>
          <cell r="F208">
            <v>100</v>
          </cell>
          <cell r="G208">
            <v>154299915</v>
          </cell>
          <cell r="H208">
            <v>100</v>
          </cell>
          <cell r="I208">
            <v>163861179.10299999</v>
          </cell>
          <cell r="J208">
            <v>100</v>
          </cell>
          <cell r="K208">
            <v>162355733.64899999</v>
          </cell>
          <cell r="L208">
            <v>100</v>
          </cell>
          <cell r="M208">
            <v>176218948.49399999</v>
          </cell>
          <cell r="N208">
            <v>100</v>
          </cell>
          <cell r="O208">
            <v>192001462.49100003</v>
          </cell>
          <cell r="P208">
            <v>100</v>
          </cell>
          <cell r="Q208">
            <v>208763062.294</v>
          </cell>
          <cell r="R208">
            <v>100</v>
          </cell>
          <cell r="S208" t="e">
            <v>#REF!</v>
          </cell>
          <cell r="T208" t="e">
            <v>#REF!</v>
          </cell>
        </row>
        <row r="209">
          <cell r="B209" t="str">
            <v xml:space="preserve">   Bonificaciones periódicas</v>
          </cell>
          <cell r="D209" t="str">
            <v>3035</v>
          </cell>
          <cell r="E209">
            <v>107243</v>
          </cell>
          <cell r="F209">
            <v>7.6582397726940338E-2</v>
          </cell>
          <cell r="G209">
            <v>295076</v>
          </cell>
          <cell r="H209">
            <v>0.19123536134157948</v>
          </cell>
          <cell r="I209">
            <v>643399.53299999994</v>
          </cell>
          <cell r="J209">
            <v>0.39264915370563236</v>
          </cell>
          <cell r="K209">
            <v>643399.53299999994</v>
          </cell>
          <cell r="L209">
            <v>0.39628999761165068</v>
          </cell>
          <cell r="M209">
            <v>700000.12862400012</v>
          </cell>
          <cell r="N209">
            <v>0.397233177593177</v>
          </cell>
          <cell r="O209">
            <v>800001.61129999999</v>
          </cell>
          <cell r="P209">
            <v>0.41666433209460563</v>
          </cell>
          <cell r="Q209">
            <v>900000.26729800005</v>
          </cell>
          <cell r="R209">
            <v>0.43111087632472744</v>
          </cell>
          <cell r="S209">
            <v>558076</v>
          </cell>
          <cell r="T209" t="e">
            <v>#REF!</v>
          </cell>
        </row>
        <row r="210">
          <cell r="B210" t="str">
            <v xml:space="preserve">   Promociones temporales de precio</v>
          </cell>
          <cell r="D210" t="str">
            <v>3040</v>
          </cell>
          <cell r="E210">
            <v>5040998</v>
          </cell>
          <cell r="F210">
            <v>3.5997847297885253</v>
          </cell>
          <cell r="G210">
            <v>6406517</v>
          </cell>
          <cell r="H210">
            <v>4.1519899735524808</v>
          </cell>
          <cell r="I210">
            <v>7567601</v>
          </cell>
          <cell r="J210">
            <v>4.618300100991676</v>
          </cell>
          <cell r="K210">
            <v>7214201</v>
          </cell>
          <cell r="L210">
            <v>4.4434531740015544</v>
          </cell>
          <cell r="M210">
            <v>7344852.1660719998</v>
          </cell>
          <cell r="N210">
            <v>4.1680263268181301</v>
          </cell>
          <cell r="O210">
            <v>7644073.4308379991</v>
          </cell>
          <cell r="P210">
            <v>3.9812579194266875</v>
          </cell>
          <cell r="Q210">
            <v>8129073.0000000009</v>
          </cell>
          <cell r="R210">
            <v>3.893923048777598</v>
          </cell>
          <cell r="S210">
            <v>5625523.7149999999</v>
          </cell>
          <cell r="T210" t="e">
            <v>#REF!</v>
          </cell>
        </row>
        <row r="211">
          <cell r="B211" t="str">
            <v xml:space="preserve">   Descuentos a clientes</v>
          </cell>
          <cell r="D211" t="str">
            <v>3045</v>
          </cell>
          <cell r="E211">
            <v>39156</v>
          </cell>
          <cell r="F211">
            <v>2.7961362190502655E-2</v>
          </cell>
          <cell r="G211">
            <v>75801</v>
          </cell>
          <cell r="H211">
            <v>4.9125756161304428E-2</v>
          </cell>
          <cell r="I211">
            <v>96548.323999999993</v>
          </cell>
          <cell r="J211">
            <v>5.8920803895419052E-2</v>
          </cell>
          <cell r="K211">
            <v>95096.415922254164</v>
          </cell>
          <cell r="L211">
            <v>5.8572871918305611E-2</v>
          </cell>
          <cell r="M211">
            <v>128566.7536084</v>
          </cell>
          <cell r="N211">
            <v>7.295852954926553E-2</v>
          </cell>
          <cell r="O211">
            <v>138974</v>
          </cell>
          <cell r="P211">
            <v>7.2381740324771932E-2</v>
          </cell>
          <cell r="Q211">
            <v>156853</v>
          </cell>
          <cell r="R211">
            <v>7.5134460223190577E-2</v>
          </cell>
          <cell r="S211">
            <v>81249.812000000005</v>
          </cell>
          <cell r="T211" t="e">
            <v>#REF!</v>
          </cell>
        </row>
        <row r="212">
          <cell r="B212" t="str">
            <v xml:space="preserve">   Costo prod.vendido (fab.propia)</v>
          </cell>
          <cell r="D212" t="str">
            <v>3075</v>
          </cell>
          <cell r="E212">
            <v>64256756</v>
          </cell>
          <cell r="F212">
            <v>45.885852173428198</v>
          </cell>
          <cell r="G212">
            <v>69122228</v>
          </cell>
          <cell r="H212">
            <v>44.797320854000475</v>
          </cell>
          <cell r="I212">
            <v>72298388.441</v>
          </cell>
          <cell r="J212">
            <v>44.121730868026177</v>
          </cell>
          <cell r="K212">
            <v>70396070.192000002</v>
          </cell>
          <cell r="L212">
            <v>43.359152528724756</v>
          </cell>
          <cell r="M212">
            <v>76417797.15200001</v>
          </cell>
          <cell r="N212">
            <v>43.365255442210255</v>
          </cell>
          <cell r="O212">
            <v>83092576.826999992</v>
          </cell>
          <cell r="P212">
            <v>43.277054116655449</v>
          </cell>
          <cell r="Q212">
            <v>90133785.972000003</v>
          </cell>
          <cell r="R212">
            <v>43.175159906911617</v>
          </cell>
          <cell r="S212">
            <v>70443949.447999984</v>
          </cell>
          <cell r="T212" t="e">
            <v>#REF!</v>
          </cell>
        </row>
        <row r="213">
          <cell r="B213" t="str">
            <v xml:space="preserve">   Costo prod.vendido (comprados)</v>
          </cell>
          <cell r="D213" t="str">
            <v>3100</v>
          </cell>
          <cell r="E213">
            <v>395850</v>
          </cell>
          <cell r="F213">
            <v>0.28267711776255172</v>
          </cell>
          <cell r="G213">
            <v>1429896</v>
          </cell>
          <cell r="H213">
            <v>0.92669914951022492</v>
          </cell>
          <cell r="I213">
            <v>3683360.2149999999</v>
          </cell>
          <cell r="J213">
            <v>2.2478540891523249</v>
          </cell>
          <cell r="K213">
            <v>3523516.2149999999</v>
          </cell>
          <cell r="L213">
            <v>2.1702443984008339</v>
          </cell>
          <cell r="M213">
            <v>3756346.352</v>
          </cell>
          <cell r="N213">
            <v>2.1316358905228054</v>
          </cell>
          <cell r="O213">
            <v>4487381.0360000003</v>
          </cell>
          <cell r="P213">
            <v>2.3371598204416513</v>
          </cell>
          <cell r="Q213">
            <v>5320644.7439999999</v>
          </cell>
          <cell r="R213">
            <v>2.5486523743874585</v>
          </cell>
          <cell r="S213">
            <v>1623923.4240000001</v>
          </cell>
          <cell r="T213" t="e">
            <v>#REF!</v>
          </cell>
        </row>
        <row r="214">
          <cell r="B214" t="str">
            <v xml:space="preserve">   Subsidios a las exportaciones</v>
          </cell>
          <cell r="D214" t="str">
            <v>3110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t="e">
            <v>#REF!</v>
          </cell>
        </row>
        <row r="215">
          <cell r="B215" t="str">
            <v xml:space="preserve">   Gastos variables de distribución</v>
          </cell>
          <cell r="D215" t="str">
            <v>3115</v>
          </cell>
          <cell r="E215">
            <v>3152287</v>
          </cell>
          <cell r="F215">
            <v>2.2510531856015179</v>
          </cell>
          <cell r="G215">
            <v>3537308</v>
          </cell>
          <cell r="H215">
            <v>2.2924886251557557</v>
          </cell>
          <cell r="I215">
            <v>3771965.5870000003</v>
          </cell>
          <cell r="J215">
            <v>2.3019275264881474</v>
          </cell>
          <cell r="K215">
            <v>3743051.170463339</v>
          </cell>
          <cell r="L215">
            <v>2.3054628785426909</v>
          </cell>
          <cell r="M215">
            <v>3980764.2959999996</v>
          </cell>
          <cell r="N215">
            <v>2.2589876571278822</v>
          </cell>
          <cell r="O215">
            <v>4339096.3130000001</v>
          </cell>
          <cell r="P215">
            <v>2.2599287821588305</v>
          </cell>
          <cell r="Q215">
            <v>4702974.7080000006</v>
          </cell>
          <cell r="R215">
            <v>2.2527810505944887</v>
          </cell>
          <cell r="S215">
            <v>3529957.2230000002</v>
          </cell>
          <cell r="T215" t="e">
            <v>#REF!</v>
          </cell>
        </row>
        <row r="216">
          <cell r="B216" t="str">
            <v xml:space="preserve">   Comisiones a agentes/vendedores</v>
          </cell>
          <cell r="D216" t="str">
            <v>3120</v>
          </cell>
          <cell r="E216">
            <v>0</v>
          </cell>
          <cell r="F216">
            <v>0</v>
          </cell>
          <cell r="G216">
            <v>160836</v>
          </cell>
          <cell r="H216">
            <v>0.10423596150393215</v>
          </cell>
          <cell r="I216">
            <v>257582.52700000003</v>
          </cell>
          <cell r="J216">
            <v>0.1571955776286027</v>
          </cell>
          <cell r="K216">
            <v>257760.55899819799</v>
          </cell>
          <cell r="L216">
            <v>0.15876283097919752</v>
          </cell>
          <cell r="M216">
            <v>295765.44799999997</v>
          </cell>
          <cell r="N216">
            <v>0.16783975306155591</v>
          </cell>
          <cell r="O216">
            <v>339862.79099999997</v>
          </cell>
          <cell r="P216">
            <v>0.17701052199846179</v>
          </cell>
          <cell r="Q216">
            <v>409099.34800000011</v>
          </cell>
          <cell r="R216">
            <v>0.19596347337723349</v>
          </cell>
          <cell r="S216" t="e">
            <v>#REF!</v>
          </cell>
          <cell r="T216" t="e">
            <v>#REF!</v>
          </cell>
        </row>
        <row r="217">
          <cell r="B217" t="str">
            <v xml:space="preserve">   Otros gastos variables</v>
          </cell>
          <cell r="D217" t="str">
            <v>3125</v>
          </cell>
          <cell r="E217">
            <v>0</v>
          </cell>
          <cell r="F217">
            <v>0</v>
          </cell>
          <cell r="G217">
            <v>13594</v>
          </cell>
          <cell r="H217">
            <v>8.8101150282552006E-3</v>
          </cell>
          <cell r="I217">
            <v>0</v>
          </cell>
          <cell r="J217">
            <v>0</v>
          </cell>
          <cell r="K217">
            <v>0</v>
          </cell>
          <cell r="L217">
            <v>0</v>
          </cell>
          <cell r="M217">
            <v>0</v>
          </cell>
          <cell r="N217">
            <v>0</v>
          </cell>
          <cell r="O217">
            <v>0</v>
          </cell>
          <cell r="P217">
            <v>0</v>
          </cell>
          <cell r="Q217">
            <v>0</v>
          </cell>
          <cell r="R217">
            <v>0</v>
          </cell>
          <cell r="S217">
            <v>0</v>
          </cell>
          <cell r="T217" t="e">
            <v>#REF!</v>
          </cell>
        </row>
        <row r="218">
          <cell r="B218" t="str">
            <v xml:space="preserve">   Regalías / Asist. Técnica (Netas)</v>
          </cell>
          <cell r="D218" t="str">
            <v>3130</v>
          </cell>
          <cell r="E218">
            <v>3686937</v>
          </cell>
          <cell r="F218">
            <v>2.6328476052345819</v>
          </cell>
          <cell r="G218">
            <v>4167127</v>
          </cell>
          <cell r="H218">
            <v>2.7006670742495227</v>
          </cell>
          <cell r="I218">
            <v>4306543.9110000003</v>
          </cell>
          <cell r="J218">
            <v>2.6281660699469209</v>
          </cell>
          <cell r="K218">
            <v>4265768.1100594997</v>
          </cell>
          <cell r="L218">
            <v>2.6274206732247269</v>
          </cell>
          <cell r="M218">
            <v>4800150.6580000008</v>
          </cell>
          <cell r="N218">
            <v>2.7239696406220695</v>
          </cell>
          <cell r="O218">
            <v>5229209.0180000002</v>
          </cell>
          <cell r="P218">
            <v>2.7235256180640377</v>
          </cell>
          <cell r="Q218">
            <v>5683958.2079999996</v>
          </cell>
          <cell r="R218">
            <v>2.7226838625289509</v>
          </cell>
          <cell r="S218" t="e">
            <v>#REF!</v>
          </cell>
          <cell r="T218" t="e">
            <v>#REF!</v>
          </cell>
        </row>
        <row r="219">
          <cell r="B219" t="str">
            <v xml:space="preserve">   Impuesto sobre regalías / Asist. Tec.</v>
          </cell>
          <cell r="D219" t="str">
            <v>3135</v>
          </cell>
          <cell r="E219">
            <v>1797782</v>
          </cell>
          <cell r="F219">
            <v>1.2837989999378445</v>
          </cell>
          <cell r="G219">
            <v>1785916</v>
          </cell>
          <cell r="H219">
            <v>1.1574316162131393</v>
          </cell>
          <cell r="I219">
            <v>1845660.3909999998</v>
          </cell>
          <cell r="J219">
            <v>1.1263561028325404</v>
          </cell>
          <cell r="K219">
            <v>1811799.6161031998</v>
          </cell>
          <cell r="L219">
            <v>1.1159443374018219</v>
          </cell>
          <cell r="M219">
            <v>2075943.4900000007</v>
          </cell>
          <cell r="N219">
            <v>1.1780478250162092</v>
          </cell>
          <cell r="O219">
            <v>2261015.3059999999</v>
          </cell>
          <cell r="P219">
            <v>1.1776031685727308</v>
          </cell>
          <cell r="Q219">
            <v>2456962.48</v>
          </cell>
          <cell r="R219">
            <v>1.1769143702921314</v>
          </cell>
          <cell r="S219" t="e">
            <v>#REF!</v>
          </cell>
          <cell r="T219" t="e">
            <v>#REF!</v>
          </cell>
        </row>
        <row r="220">
          <cell r="B220" t="str">
            <v>* TOTAL GASTOS VARIABLES</v>
          </cell>
          <cell r="D220" t="str">
            <v>3150</v>
          </cell>
          <cell r="E220">
            <v>78477009</v>
          </cell>
          <cell r="F220">
            <v>56.040557571670668</v>
          </cell>
          <cell r="G220">
            <v>86994299</v>
          </cell>
          <cell r="H220">
            <v>56.380004486716665</v>
          </cell>
          <cell r="I220">
            <v>94471049.92899999</v>
          </cell>
          <cell r="J220">
            <v>57.653100292667439</v>
          </cell>
          <cell r="K220">
            <v>91950662.81154649</v>
          </cell>
          <cell r="L220">
            <v>56.635303690805529</v>
          </cell>
          <cell r="M220">
            <v>99500186.444304407</v>
          </cell>
          <cell r="N220">
            <v>56.463954242521339</v>
          </cell>
          <cell r="O220">
            <v>108332190.33313797</v>
          </cell>
          <cell r="P220">
            <v>56.422586019737217</v>
          </cell>
          <cell r="Q220">
            <v>117893351.72729802</v>
          </cell>
          <cell r="R220">
            <v>56.4723234234174</v>
          </cell>
          <cell r="S220" t="e">
            <v>#REF!</v>
          </cell>
          <cell r="T220" t="e">
            <v>#REF!</v>
          </cell>
        </row>
        <row r="221">
          <cell r="B221" t="str">
            <v>* CONTRIBUCION MARGINAL</v>
          </cell>
          <cell r="D221" t="str">
            <v>3190</v>
          </cell>
          <cell r="E221">
            <v>61559087</v>
          </cell>
          <cell r="F221">
            <v>43.959442428329339</v>
          </cell>
          <cell r="G221">
            <v>67305616</v>
          </cell>
          <cell r="H221">
            <v>43.619995513283335</v>
          </cell>
          <cell r="I221">
            <v>69390129.173999995</v>
          </cell>
          <cell r="J221">
            <v>42.346899707332568</v>
          </cell>
          <cell r="K221">
            <v>70405070.837453499</v>
          </cell>
          <cell r="L221">
            <v>43.364696309194464</v>
          </cell>
          <cell r="M221">
            <v>76718762.049695581</v>
          </cell>
          <cell r="N221">
            <v>43.536045757478661</v>
          </cell>
          <cell r="O221">
            <v>83669272.157862052</v>
          </cell>
          <cell r="P221">
            <v>43.577413980262783</v>
          </cell>
          <cell r="Q221">
            <v>90869710.566701978</v>
          </cell>
          <cell r="R221">
            <v>43.5276765765826</v>
          </cell>
          <cell r="S221" t="e">
            <v>#REF!</v>
          </cell>
          <cell r="T221" t="e">
            <v>#REF!</v>
          </cell>
        </row>
        <row r="222">
          <cell r="B222" t="str">
            <v xml:space="preserve">   Publicidad Medios</v>
          </cell>
          <cell r="D222" t="str">
            <v>3205</v>
          </cell>
          <cell r="E222">
            <v>4077726</v>
          </cell>
          <cell r="F222">
            <v>2.9119106548071718</v>
          </cell>
          <cell r="G222">
            <v>3884261</v>
          </cell>
          <cell r="H222">
            <v>2.5173448734563464</v>
          </cell>
          <cell r="I222">
            <v>4904318</v>
          </cell>
          <cell r="J222">
            <v>2.9929712619224107</v>
          </cell>
          <cell r="K222">
            <v>4904318</v>
          </cell>
          <cell r="L222">
            <v>3.0207236232277079</v>
          </cell>
          <cell r="M222">
            <v>5531732.8627567776</v>
          </cell>
          <cell r="N222">
            <v>3.1391248841466814</v>
          </cell>
          <cell r="O222">
            <v>6494026.6539424211</v>
          </cell>
          <cell r="P222">
            <v>3.3822797856275835</v>
          </cell>
          <cell r="Q222">
            <v>6953907.3858574415</v>
          </cell>
          <cell r="R222">
            <v>3.3310046851412283</v>
          </cell>
          <cell r="S222">
            <v>4439100</v>
          </cell>
          <cell r="T222" t="e">
            <v>#REF!</v>
          </cell>
        </row>
        <row r="223">
          <cell r="B223" t="str">
            <v xml:space="preserve">   Otras promociones</v>
          </cell>
          <cell r="D223" t="str">
            <v>3210</v>
          </cell>
          <cell r="E223">
            <v>4186042</v>
          </cell>
          <cell r="F223">
            <v>2.9892592835492926</v>
          </cell>
          <cell r="G223">
            <v>5020917</v>
          </cell>
          <cell r="H223">
            <v>3.2539985521054886</v>
          </cell>
          <cell r="I223">
            <v>4212278.9809999997</v>
          </cell>
          <cell r="J223">
            <v>2.5706387590145692</v>
          </cell>
          <cell r="K223">
            <v>4212278.9809999997</v>
          </cell>
          <cell r="L223">
            <v>2.5944750372084839</v>
          </cell>
          <cell r="M223">
            <v>4535833.8889513174</v>
          </cell>
          <cell r="N223">
            <v>2.5739762538111823</v>
          </cell>
          <cell r="O223">
            <v>5345693.4588405201</v>
          </cell>
          <cell r="P223">
            <v>2.7841941355478461</v>
          </cell>
          <cell r="Q223">
            <v>5787513.0322117461</v>
          </cell>
          <cell r="R223">
            <v>2.7722878600339844</v>
          </cell>
          <cell r="S223">
            <v>4832260</v>
          </cell>
          <cell r="T223" t="e">
            <v>#REF!</v>
          </cell>
        </row>
        <row r="224">
          <cell r="B224" t="str">
            <v xml:space="preserve">   Estudios de Mercado</v>
          </cell>
          <cell r="D224" t="str">
            <v>3215</v>
          </cell>
          <cell r="E224">
            <v>389474</v>
          </cell>
          <cell r="F224">
            <v>0.27812400597057491</v>
          </cell>
          <cell r="G224">
            <v>418317</v>
          </cell>
          <cell r="H224">
            <v>0.27110643580069377</v>
          </cell>
          <cell r="I224">
            <v>436351</v>
          </cell>
          <cell r="J224">
            <v>0.26629309174305293</v>
          </cell>
          <cell r="K224">
            <v>436351</v>
          </cell>
          <cell r="L224">
            <v>0.26876229757512332</v>
          </cell>
          <cell r="M224">
            <v>490612.43936051597</v>
          </cell>
          <cell r="N224">
            <v>0.27841071777659637</v>
          </cell>
          <cell r="O224">
            <v>580122.66837307485</v>
          </cell>
          <cell r="P224">
            <v>0.30214492163061923</v>
          </cell>
          <cell r="Q224">
            <v>626317.08370169718</v>
          </cell>
          <cell r="R224">
            <v>0.3000133629097938</v>
          </cell>
          <cell r="S224">
            <v>454600</v>
          </cell>
          <cell r="T224" t="e">
            <v>#REF!</v>
          </cell>
        </row>
        <row r="225">
          <cell r="B225" t="str">
            <v xml:space="preserve">   Reserva producto</v>
          </cell>
          <cell r="D225" t="str">
            <v>3220</v>
          </cell>
          <cell r="E225">
            <v>0</v>
          </cell>
          <cell r="F225">
            <v>0</v>
          </cell>
          <cell r="G225">
            <v>0</v>
          </cell>
          <cell r="H225">
            <v>0</v>
          </cell>
          <cell r="I225">
            <v>596000</v>
          </cell>
          <cell r="J225">
            <v>0.36372251393685257</v>
          </cell>
          <cell r="K225">
            <v>298000</v>
          </cell>
          <cell r="L225">
            <v>0.18354756761732358</v>
          </cell>
          <cell r="M225">
            <v>944565.80893139064</v>
          </cell>
          <cell r="N225">
            <v>0.53601829826124048</v>
          </cell>
          <cell r="O225">
            <v>1195505.2188439877</v>
          </cell>
          <cell r="P225">
            <v>0.62265422530311532</v>
          </cell>
          <cell r="Q225">
            <v>1476687.4982291176</v>
          </cell>
          <cell r="R225">
            <v>0.70735094705092305</v>
          </cell>
          <cell r="S225">
            <v>0</v>
          </cell>
          <cell r="T225" t="e">
            <v>#REF!</v>
          </cell>
        </row>
        <row r="226">
          <cell r="B226" t="str">
            <v>* TOTAL GASTOS FIJOS MARK. PRODUCTOS</v>
          </cell>
          <cell r="D226" t="str">
            <v>3225</v>
          </cell>
          <cell r="E226">
            <v>8653242</v>
          </cell>
          <cell r="F226">
            <v>6.17929394432704</v>
          </cell>
          <cell r="G226">
            <v>9323495</v>
          </cell>
          <cell r="H226">
            <v>6.0424498613625293</v>
          </cell>
          <cell r="I226">
            <v>10148947.980999999</v>
          </cell>
          <cell r="J226">
            <v>6.1936256266168845</v>
          </cell>
          <cell r="K226">
            <v>9850947.9809999987</v>
          </cell>
          <cell r="L226">
            <v>6.0675085256286385</v>
          </cell>
          <cell r="M226">
            <v>11502745</v>
          </cell>
          <cell r="N226">
            <v>6.5275301539956994</v>
          </cell>
          <cell r="O226">
            <v>13615348.000000002</v>
          </cell>
          <cell r="P226">
            <v>7.0912730681091638</v>
          </cell>
          <cell r="Q226">
            <v>14844425.000000002</v>
          </cell>
          <cell r="R226">
            <v>7.1106568551359297</v>
          </cell>
          <cell r="S226">
            <v>9725960</v>
          </cell>
          <cell r="T226" t="e">
            <v>#REF!</v>
          </cell>
        </row>
        <row r="227">
          <cell r="B227" t="str">
            <v xml:space="preserve">   Gastos fijos fabricación</v>
          </cell>
          <cell r="D227" t="str">
            <v>3250</v>
          </cell>
          <cell r="E227">
            <v>6938130</v>
          </cell>
          <cell r="F227">
            <v>4.9545297235364227</v>
          </cell>
          <cell r="G227">
            <v>7935975</v>
          </cell>
          <cell r="H227">
            <v>5.143214110001292</v>
          </cell>
          <cell r="I227">
            <v>9091282.4820000008</v>
          </cell>
          <cell r="J227">
            <v>5.5481612739313899</v>
          </cell>
          <cell r="K227">
            <v>8915282.4820000008</v>
          </cell>
          <cell r="L227">
            <v>5.4912027321893806</v>
          </cell>
          <cell r="M227">
            <v>8719097.1776639894</v>
          </cell>
          <cell r="N227">
            <v>4.9478772017305861</v>
          </cell>
          <cell r="O227">
            <v>9124159.1745121665</v>
          </cell>
          <cell r="P227">
            <v>4.75213003908231</v>
          </cell>
          <cell r="Q227">
            <v>9850724.1416735053</v>
          </cell>
          <cell r="R227">
            <v>4.7186145065264364</v>
          </cell>
          <cell r="S227">
            <v>8209457.1270000013</v>
          </cell>
          <cell r="T227" t="e">
            <v>#REF!</v>
          </cell>
        </row>
        <row r="228">
          <cell r="B228" t="str">
            <v xml:space="preserve">   Amortización activo fijo fábricas</v>
          </cell>
          <cell r="D228" t="str">
            <v>3255</v>
          </cell>
          <cell r="E228">
            <v>2800036</v>
          </cell>
          <cell r="F228">
            <v>1.9995101834315632</v>
          </cell>
          <cell r="G228">
            <v>2970291</v>
          </cell>
          <cell r="H228">
            <v>1.9250114298507555</v>
          </cell>
          <cell r="I228">
            <v>3319732</v>
          </cell>
          <cell r="J228">
            <v>2.0259417259003611</v>
          </cell>
          <cell r="K228">
            <v>3200489.6541861678</v>
          </cell>
          <cell r="L228">
            <v>1.9712821852693967</v>
          </cell>
          <cell r="M228">
            <v>3856913.7033857391</v>
          </cell>
          <cell r="N228">
            <v>2.1887054351121962</v>
          </cell>
          <cell r="O228">
            <v>4166747.7268827814</v>
          </cell>
          <cell r="P228">
            <v>2.1701645773026836</v>
          </cell>
          <cell r="Q228">
            <v>4273513.2805571575</v>
          </cell>
          <cell r="R228">
            <v>2.0470638979891898</v>
          </cell>
          <cell r="S228">
            <v>3122573.2430000002</v>
          </cell>
          <cell r="T228" t="e">
            <v>#REF!</v>
          </cell>
        </row>
        <row r="229">
          <cell r="B229" t="str">
            <v xml:space="preserve">   Otros gastos fijos de los productos</v>
          </cell>
          <cell r="D229" t="str">
            <v>3260</v>
          </cell>
          <cell r="E229">
            <v>1306930</v>
          </cell>
          <cell r="F229">
            <v>0.93328080211547737</v>
          </cell>
          <cell r="G229">
            <v>739950</v>
          </cell>
          <cell r="H229">
            <v>0.47955308335717489</v>
          </cell>
          <cell r="I229">
            <v>458533.103</v>
          </cell>
          <cell r="J229">
            <v>0.27983022306447269</v>
          </cell>
          <cell r="K229">
            <v>458533.103</v>
          </cell>
          <cell r="L229">
            <v>0.28242495210628754</v>
          </cell>
          <cell r="M229">
            <v>514483.59756304335</v>
          </cell>
          <cell r="N229">
            <v>0.29195702389550965</v>
          </cell>
          <cell r="O229">
            <v>572637.33935674862</v>
          </cell>
          <cell r="P229">
            <v>0.29824634246397508</v>
          </cell>
          <cell r="Q229">
            <v>632619.70415773545</v>
          </cell>
          <cell r="R229">
            <v>0.30303239337753163</v>
          </cell>
          <cell r="S229">
            <v>742066.50210399996</v>
          </cell>
          <cell r="T229" t="e">
            <v>#REF!</v>
          </cell>
        </row>
        <row r="230">
          <cell r="B230" t="str">
            <v xml:space="preserve">   Productos Defectuosos</v>
          </cell>
          <cell r="D230" t="str">
            <v>3261</v>
          </cell>
          <cell r="E230">
            <v>962465</v>
          </cell>
          <cell r="F230">
            <v>0.68729779499137134</v>
          </cell>
          <cell r="G230">
            <v>1187754</v>
          </cell>
          <cell r="H230">
            <v>0.76976970466898831</v>
          </cell>
          <cell r="I230">
            <v>1036281</v>
          </cell>
          <cell r="J230">
            <v>0.63241397729026083</v>
          </cell>
          <cell r="K230">
            <v>931981</v>
          </cell>
          <cell r="L230">
            <v>0.57403639468308998</v>
          </cell>
          <cell r="M230">
            <v>968035.4112447456</v>
          </cell>
          <cell r="N230">
            <v>0.54933673110511494</v>
          </cell>
          <cell r="O230">
            <v>1037328.956201761</v>
          </cell>
          <cell r="P230">
            <v>0.54027138269865282</v>
          </cell>
          <cell r="Q230">
            <v>1037044.7443422402</v>
          </cell>
          <cell r="R230">
            <v>0.49675681748803591</v>
          </cell>
          <cell r="S230">
            <v>1150522</v>
          </cell>
          <cell r="T230" t="e">
            <v>#REF!</v>
          </cell>
        </row>
        <row r="231">
          <cell r="B231" t="str">
            <v xml:space="preserve">   Interés Operacional</v>
          </cell>
          <cell r="D231" t="str">
            <v>3265</v>
          </cell>
          <cell r="E231">
            <v>3185803</v>
          </cell>
          <cell r="F231">
            <v>2.2749870147765328</v>
          </cell>
          <cell r="G231">
            <v>3282567</v>
          </cell>
          <cell r="H231">
            <v>2.1273939133407818</v>
          </cell>
          <cell r="I231">
            <v>3193100.199</v>
          </cell>
          <cell r="J231">
            <v>1.9486617980411811</v>
          </cell>
          <cell r="K231">
            <v>2991651.173</v>
          </cell>
          <cell r="L231">
            <v>1.8426519998780633</v>
          </cell>
          <cell r="M231">
            <v>3265629.0943491231</v>
          </cell>
          <cell r="N231">
            <v>1.853165690896353</v>
          </cell>
          <cell r="O231">
            <v>3176075.6312368028</v>
          </cell>
          <cell r="P231">
            <v>1.6541934577116464</v>
          </cell>
          <cell r="Q231">
            <v>3415438.0402868795</v>
          </cell>
          <cell r="R231">
            <v>1.6360356103020441</v>
          </cell>
          <cell r="S231">
            <v>3339985.541679</v>
          </cell>
          <cell r="T231" t="e">
            <v>#REF!</v>
          </cell>
        </row>
        <row r="232">
          <cell r="B232" t="str">
            <v>* TOTAL GASTOS ESPECIFICOS</v>
          </cell>
          <cell r="D232" t="str">
            <v>3270</v>
          </cell>
          <cell r="E232">
            <v>23846606</v>
          </cell>
          <cell r="F232">
            <v>17.028899463178409</v>
          </cell>
          <cell r="G232">
            <v>25440032</v>
          </cell>
          <cell r="H232">
            <v>16.487392102581524</v>
          </cell>
          <cell r="I232">
            <v>27247876.765000001</v>
          </cell>
          <cell r="J232">
            <v>16.628634624844551</v>
          </cell>
          <cell r="K232">
            <v>26348885.393186167</v>
          </cell>
          <cell r="L232">
            <v>16.229106789754859</v>
          </cell>
          <cell r="M232">
            <v>28826903.984206643</v>
          </cell>
          <cell r="N232">
            <v>16.358572236735462</v>
          </cell>
          <cell r="O232">
            <v>31692296.828190267</v>
          </cell>
          <cell r="P232">
            <v>16.506278867368433</v>
          </cell>
          <cell r="Q232">
            <v>34053764.911017515</v>
          </cell>
          <cell r="R232">
            <v>16.312160080819165</v>
          </cell>
          <cell r="S232">
            <v>26290564.413782999</v>
          </cell>
          <cell r="T232" t="e">
            <v>#REF!</v>
          </cell>
        </row>
        <row r="233">
          <cell r="B233" t="str">
            <v>* CONTRIBUCION DEL PRODUCTO</v>
          </cell>
          <cell r="D233" t="str">
            <v>3290</v>
          </cell>
          <cell r="E233">
            <v>37712481</v>
          </cell>
          <cell r="F233">
            <v>26.930542965150927</v>
          </cell>
          <cell r="G233">
            <v>41865584</v>
          </cell>
          <cell r="H233">
            <v>27.132603410701815</v>
          </cell>
          <cell r="I233">
            <v>42142252.408999994</v>
          </cell>
          <cell r="J233">
            <v>25.718265082488017</v>
          </cell>
          <cell r="K233">
            <v>44056185.444267333</v>
          </cell>
          <cell r="L233">
            <v>27.135589519439613</v>
          </cell>
          <cell r="M233">
            <v>47891858.065488935</v>
          </cell>
          <cell r="N233">
            <v>27.177473520743195</v>
          </cell>
          <cell r="O233">
            <v>51976975.329671785</v>
          </cell>
          <cell r="P233">
            <v>27.07113511289435</v>
          </cell>
          <cell r="Q233">
            <v>56815945.655684464</v>
          </cell>
          <cell r="R233">
            <v>27.215516495763438</v>
          </cell>
          <cell r="S233" t="e">
            <v>#REF!</v>
          </cell>
          <cell r="T233" t="e">
            <v>#REF!</v>
          </cell>
        </row>
        <row r="234">
          <cell r="B234" t="str">
            <v xml:space="preserve">   Gastos fijos de distribución</v>
          </cell>
          <cell r="D234" t="str">
            <v>3305</v>
          </cell>
          <cell r="E234">
            <v>2365082</v>
          </cell>
          <cell r="F234">
            <v>1.6889088367616303</v>
          </cell>
          <cell r="G234">
            <v>2719576</v>
          </cell>
          <cell r="H234">
            <v>1.7625259223247141</v>
          </cell>
          <cell r="I234">
            <v>2967482.753</v>
          </cell>
          <cell r="J234">
            <v>1.8109736358815638</v>
          </cell>
          <cell r="K234">
            <v>2967482.753</v>
          </cell>
          <cell r="L234">
            <v>1.8277659102668087</v>
          </cell>
          <cell r="M234">
            <v>3220023.2905036053</v>
          </cell>
          <cell r="N234">
            <v>1.8272854979685924</v>
          </cell>
          <cell r="O234">
            <v>3350832.0969579993</v>
          </cell>
          <cell r="P234">
            <v>1.7452117569755843</v>
          </cell>
          <cell r="Q234">
            <v>3693451.0140848747</v>
          </cell>
          <cell r="R234">
            <v>1.7692071449322802</v>
          </cell>
          <cell r="S234">
            <v>2702235.6719279997</v>
          </cell>
          <cell r="T234" t="e">
            <v>#REF!</v>
          </cell>
        </row>
        <row r="235">
          <cell r="B235" t="str">
            <v xml:space="preserve">   Gastos generales marketing</v>
          </cell>
          <cell r="D235" t="str">
            <v>3310</v>
          </cell>
          <cell r="E235">
            <v>4597570</v>
          </cell>
          <cell r="F235">
            <v>3.2831320861729822</v>
          </cell>
          <cell r="G235">
            <v>5444167</v>
          </cell>
          <cell r="H235">
            <v>3.528302008461897</v>
          </cell>
          <cell r="I235">
            <v>5478335.0630000001</v>
          </cell>
          <cell r="J235">
            <v>3.3432781901053108</v>
          </cell>
          <cell r="K235">
            <v>5287636.3357949993</v>
          </cell>
          <cell r="L235">
            <v>3.2568214358394285</v>
          </cell>
          <cell r="M235">
            <v>5846435.8518075068</v>
          </cell>
          <cell r="N235">
            <v>3.3177112346726831</v>
          </cell>
          <cell r="O235">
            <v>6183188.7397474544</v>
          </cell>
          <cell r="P235">
            <v>3.2203862718166998</v>
          </cell>
          <cell r="Q235">
            <v>6526859.9747614227</v>
          </cell>
          <cell r="R235">
            <v>3.1264438751955446</v>
          </cell>
          <cell r="S235">
            <v>5506134.0385919996</v>
          </cell>
          <cell r="T235" t="e">
            <v>#REF!</v>
          </cell>
        </row>
        <row r="236">
          <cell r="B236" t="str">
            <v xml:space="preserve">   Otros gastos generales</v>
          </cell>
          <cell r="D236" t="str">
            <v>3315</v>
          </cell>
          <cell r="E236">
            <v>697614</v>
          </cell>
          <cell r="F236">
            <v>0.49816727252950554</v>
          </cell>
          <cell r="G236">
            <v>719493</v>
          </cell>
          <cell r="H236">
            <v>0.46629513697398989</v>
          </cell>
          <cell r="I236">
            <v>753914</v>
          </cell>
          <cell r="J236">
            <v>0.46009311304058431</v>
          </cell>
          <cell r="K236">
            <v>726144.18200000003</v>
          </cell>
          <cell r="L236">
            <v>0.44725502800527217</v>
          </cell>
          <cell r="M236">
            <v>785865.56697470031</v>
          </cell>
          <cell r="N236">
            <v>0.44595974138471145</v>
          </cell>
          <cell r="O236">
            <v>820930.68047303322</v>
          </cell>
          <cell r="P236">
            <v>0.42756480592511836</v>
          </cell>
          <cell r="Q236">
            <v>854854.43522273214</v>
          </cell>
          <cell r="R236">
            <v>0.4094854836047791</v>
          </cell>
          <cell r="S236">
            <v>764779.10138499993</v>
          </cell>
          <cell r="T236" t="e">
            <v>#REF!</v>
          </cell>
        </row>
        <row r="237">
          <cell r="B237" t="str">
            <v xml:space="preserve">   Pérdida y provisión sobre deudores</v>
          </cell>
          <cell r="D237" t="str">
            <v>3320</v>
          </cell>
          <cell r="E237">
            <v>264600</v>
          </cell>
          <cell r="F237">
            <v>0.18895128296064465</v>
          </cell>
          <cell r="G237">
            <v>151757</v>
          </cell>
          <cell r="H237">
            <v>9.8351966039644273E-2</v>
          </cell>
          <cell r="I237">
            <v>125000.76200000002</v>
          </cell>
          <cell r="J237">
            <v>7.6284549326614409E-2</v>
          </cell>
          <cell r="K237">
            <v>125000.76200000002</v>
          </cell>
          <cell r="L237">
            <v>7.6991898709436152E-2</v>
          </cell>
          <cell r="M237">
            <v>129644.08310874295</v>
          </cell>
          <cell r="N237">
            <v>7.3569888037980868E-2</v>
          </cell>
          <cell r="O237">
            <v>132408.66239762347</v>
          </cell>
          <cell r="P237">
            <v>6.8962319703075203E-2</v>
          </cell>
          <cell r="Q237">
            <v>134479.75388481884</v>
          </cell>
          <cell r="R237">
            <v>6.4417408140637275E-2</v>
          </cell>
          <cell r="S237">
            <v>161000.46907529401</v>
          </cell>
          <cell r="T237" t="e">
            <v>#REF!</v>
          </cell>
        </row>
        <row r="238">
          <cell r="B238" t="str">
            <v xml:space="preserve">   Reserva general para riesgos</v>
          </cell>
          <cell r="D238" t="str">
            <v>3335</v>
          </cell>
          <cell r="E238">
            <v>0</v>
          </cell>
          <cell r="F238">
            <v>0</v>
          </cell>
          <cell r="H238">
            <v>0</v>
          </cell>
          <cell r="I238">
            <v>1500000</v>
          </cell>
          <cell r="J238">
            <v>0.91540901158603827</v>
          </cell>
          <cell r="K238">
            <v>1500000</v>
          </cell>
          <cell r="L238">
            <v>0.92389715243619241</v>
          </cell>
          <cell r="M238">
            <v>1500000</v>
          </cell>
          <cell r="N238">
            <v>0.85121379557606025</v>
          </cell>
          <cell r="O238">
            <v>1500000</v>
          </cell>
          <cell r="P238">
            <v>0.78124404915421497</v>
          </cell>
          <cell r="Q238">
            <v>1500000</v>
          </cell>
          <cell r="R238">
            <v>0.71851791380965535</v>
          </cell>
          <cell r="T238" t="e">
            <v>#REF!</v>
          </cell>
        </row>
        <row r="239">
          <cell r="B239" t="str">
            <v>* TOTAL GTOS. FIJOS COMUNES</v>
          </cell>
          <cell r="D239" t="str">
            <v>3340</v>
          </cell>
          <cell r="E239">
            <v>7924866</v>
          </cell>
          <cell r="F239">
            <v>5.6591594784247627</v>
          </cell>
          <cell r="G239">
            <v>9034993</v>
          </cell>
          <cell r="H239">
            <v>5.8554750338002455</v>
          </cell>
          <cell r="I239">
            <v>10824732.578</v>
          </cell>
          <cell r="J239">
            <v>6.6060384999401114</v>
          </cell>
          <cell r="K239">
            <v>10606264.032794999</v>
          </cell>
          <cell r="L239">
            <v>6.532731425257138</v>
          </cell>
          <cell r="M239">
            <v>11481968.792394554</v>
          </cell>
          <cell r="N239">
            <v>6.5157401576400282</v>
          </cell>
          <cell r="O239">
            <v>11987360.17957611</v>
          </cell>
          <cell r="P239">
            <v>6.2433692035746926</v>
          </cell>
          <cell r="Q239">
            <v>12709645.177953849</v>
          </cell>
          <cell r="R239">
            <v>6.0880718256828965</v>
          </cell>
          <cell r="S239">
            <v>9134149.2809802927</v>
          </cell>
          <cell r="T239" t="e">
            <v>#REF!</v>
          </cell>
        </row>
        <row r="240">
          <cell r="B240" t="str">
            <v>* CONTRIBUCION DIVISIONAL</v>
          </cell>
          <cell r="D240" t="str">
            <v>-</v>
          </cell>
          <cell r="E240">
            <v>29787615</v>
          </cell>
          <cell r="F240">
            <v>21.271383486726165</v>
          </cell>
          <cell r="G240">
            <v>32830591</v>
          </cell>
          <cell r="H240">
            <v>21.277128376901569</v>
          </cell>
          <cell r="I240">
            <v>31317519.830999993</v>
          </cell>
          <cell r="J240">
            <v>19.112226582547905</v>
          </cell>
          <cell r="K240">
            <v>33449921.411472335</v>
          </cell>
          <cell r="L240">
            <v>20.602858094182473</v>
          </cell>
          <cell r="M240">
            <v>36409889.273094378</v>
          </cell>
          <cell r="N240">
            <v>20.661733363103167</v>
          </cell>
          <cell r="O240">
            <v>39989615.150095671</v>
          </cell>
          <cell r="P240">
            <v>20.827765909319655</v>
          </cell>
          <cell r="Q240">
            <v>44106300.477730617</v>
          </cell>
          <cell r="R240">
            <v>21.127444670080539</v>
          </cell>
          <cell r="S240" t="e">
            <v>#REF!</v>
          </cell>
          <cell r="T240" t="e">
            <v>#REF!</v>
          </cell>
        </row>
        <row r="241">
          <cell r="B241" t="str">
            <v xml:space="preserve">   Gastos Corporativos</v>
          </cell>
          <cell r="D241" t="str">
            <v>33151</v>
          </cell>
          <cell r="E241">
            <v>5701000</v>
          </cell>
          <cell r="F241">
            <v>4.0710932129955983</v>
          </cell>
          <cell r="G241">
            <v>5921313</v>
          </cell>
          <cell r="H241">
            <v>3.8375348424527647</v>
          </cell>
          <cell r="I241">
            <v>6119901.4509999994</v>
          </cell>
          <cell r="J241">
            <v>3.7348086255092472</v>
          </cell>
          <cell r="K241">
            <v>5893465.0973129999</v>
          </cell>
          <cell r="L241">
            <v>3.6299704142597125</v>
          </cell>
          <cell r="M241">
            <v>6155626.9765511733</v>
          </cell>
          <cell r="N241">
            <v>3.4931697352403415</v>
          </cell>
          <cell r="O241">
            <v>6414017.7277445113</v>
          </cell>
          <cell r="P241">
            <v>3.3406087873133603</v>
          </cell>
          <cell r="Q241">
            <v>6660764.564496858</v>
          </cell>
          <cell r="R241">
            <v>3.1905857728397069</v>
          </cell>
          <cell r="S241">
            <v>5866000</v>
          </cell>
          <cell r="T241" t="e">
            <v>#REF!</v>
          </cell>
        </row>
        <row r="242">
          <cell r="B242" t="str">
            <v>* RESULTADO EXPLOTACION</v>
          </cell>
          <cell r="D242" t="str">
            <v>3390</v>
          </cell>
          <cell r="E242">
            <v>24086615</v>
          </cell>
          <cell r="F242">
            <v>17.200290273730566</v>
          </cell>
          <cell r="G242">
            <v>26909278</v>
          </cell>
          <cell r="H242">
            <v>17.439593534448804</v>
          </cell>
          <cell r="I242">
            <v>25197618.379999995</v>
          </cell>
          <cell r="J242">
            <v>15.377417957038658</v>
          </cell>
          <cell r="K242">
            <v>27556456.314159334</v>
          </cell>
          <cell r="L242">
            <v>16.972887679922763</v>
          </cell>
          <cell r="M242">
            <v>30254262.296543203</v>
          </cell>
          <cell r="N242">
            <v>17.168563627862824</v>
          </cell>
          <cell r="O242">
            <v>33575597.422351159</v>
          </cell>
          <cell r="P242">
            <v>17.487157122006298</v>
          </cell>
          <cell r="Q242">
            <v>37445535.913233757</v>
          </cell>
          <cell r="R242">
            <v>17.936858897240832</v>
          </cell>
          <cell r="S242" t="e">
            <v>#REF!</v>
          </cell>
          <cell r="T242" t="e">
            <v>#REF!</v>
          </cell>
        </row>
        <row r="248">
          <cell r="B248">
            <v>0</v>
          </cell>
          <cell r="D248">
            <v>0</v>
          </cell>
          <cell r="E248">
            <v>0</v>
          </cell>
        </row>
        <row r="249">
          <cell r="B249" t="str">
            <v xml:space="preserve"> DIVISIÓN LBCF</v>
          </cell>
          <cell r="C249" t="str">
            <v>ESTADOS DE INGRESOS</v>
          </cell>
        </row>
        <row r="250">
          <cell r="B250" t="str">
            <v xml:space="preserve"> CONTRALORÍA</v>
          </cell>
          <cell r="C250" t="str">
            <v>TOTAL EXPORTACIONES</v>
          </cell>
        </row>
        <row r="251">
          <cell r="B251" t="str">
            <v xml:space="preserve">  IMPORTES EN  :  $ MILES  DE CADA  AÑO</v>
          </cell>
          <cell r="D251">
            <v>0</v>
          </cell>
          <cell r="E251">
            <v>0</v>
          </cell>
        </row>
        <row r="252">
          <cell r="D252" t="str">
            <v>COD.</v>
          </cell>
          <cell r="E252" t="str">
            <v xml:space="preserve">EFECTIVO </v>
          </cell>
          <cell r="G252" t="str">
            <v>EFECTIVO</v>
          </cell>
          <cell r="I252" t="str">
            <v>P.O.</v>
          </cell>
          <cell r="K252" t="str">
            <v>STATUS REPORT</v>
          </cell>
          <cell r="M252" t="str">
            <v>PLP</v>
          </cell>
          <cell r="O252" t="str">
            <v>PLP</v>
          </cell>
          <cell r="Q252" t="str">
            <v>PLP</v>
          </cell>
          <cell r="S252" t="str">
            <v>REV.DIC</v>
          </cell>
        </row>
        <row r="253">
          <cell r="E253">
            <v>1997</v>
          </cell>
          <cell r="F253" t="str">
            <v>%</v>
          </cell>
          <cell r="G253">
            <v>1998</v>
          </cell>
          <cell r="H253" t="str">
            <v>%</v>
          </cell>
          <cell r="I253">
            <v>1999</v>
          </cell>
          <cell r="J253" t="str">
            <v>%</v>
          </cell>
          <cell r="K253">
            <v>1999</v>
          </cell>
          <cell r="L253" t="str">
            <v>%</v>
          </cell>
          <cell r="M253">
            <v>2000</v>
          </cell>
          <cell r="N253" t="str">
            <v>%</v>
          </cell>
          <cell r="O253">
            <v>2001</v>
          </cell>
          <cell r="P253" t="str">
            <v>%</v>
          </cell>
          <cell r="Q253">
            <v>2002</v>
          </cell>
          <cell r="R253" t="str">
            <v>%</v>
          </cell>
          <cell r="S253">
            <v>1998</v>
          </cell>
          <cell r="T253" t="str">
            <v>%</v>
          </cell>
        </row>
        <row r="254">
          <cell r="B254" t="str">
            <v xml:space="preserve">   VOLUMEN DE VENTAS               (Tns.)</v>
          </cell>
          <cell r="D254" t="str">
            <v>3000</v>
          </cell>
          <cell r="E254">
            <v>14156</v>
          </cell>
          <cell r="G254">
            <v>12552</v>
          </cell>
          <cell r="I254">
            <v>13130</v>
          </cell>
          <cell r="K254">
            <v>13130</v>
          </cell>
          <cell r="M254">
            <v>14974</v>
          </cell>
          <cell r="O254">
            <v>16184</v>
          </cell>
          <cell r="Q254">
            <v>17129</v>
          </cell>
          <cell r="S254">
            <v>12306.588000000002</v>
          </cell>
        </row>
        <row r="255">
          <cell r="B255" t="str">
            <v xml:space="preserve">   PRODUCTO BRUTO DE LAS VENTAS</v>
          </cell>
          <cell r="D255" t="str">
            <v>3001</v>
          </cell>
          <cell r="E255">
            <v>11557208</v>
          </cell>
          <cell r="F255">
            <v>100</v>
          </cell>
          <cell r="G255">
            <v>10444904</v>
          </cell>
          <cell r="H255">
            <v>100</v>
          </cell>
          <cell r="I255">
            <v>11652421</v>
          </cell>
          <cell r="J255">
            <v>100</v>
          </cell>
          <cell r="K255">
            <v>11652421</v>
          </cell>
          <cell r="L255">
            <v>100</v>
          </cell>
          <cell r="M255">
            <v>13556845.136</v>
          </cell>
          <cell r="N255">
            <v>100</v>
          </cell>
          <cell r="O255">
            <v>15416448.684</v>
          </cell>
          <cell r="P255">
            <v>100</v>
          </cell>
          <cell r="Q255">
            <v>17025714.947999999</v>
          </cell>
          <cell r="R255">
            <v>100</v>
          </cell>
          <cell r="S255">
            <v>10178972.217</v>
          </cell>
          <cell r="T255">
            <v>100</v>
          </cell>
        </row>
        <row r="256">
          <cell r="B256" t="str">
            <v xml:space="preserve">   Reducciones de precio</v>
          </cell>
          <cell r="D256" t="str">
            <v>3002</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row>
        <row r="257">
          <cell r="B257" t="str">
            <v>* PRODUCTO NETO DE LAS VENTAS (PNV)</v>
          </cell>
          <cell r="D257" t="str">
            <v>3030</v>
          </cell>
          <cell r="E257">
            <v>11557208</v>
          </cell>
          <cell r="F257">
            <v>100</v>
          </cell>
          <cell r="G257">
            <v>10444904</v>
          </cell>
          <cell r="H257">
            <v>100</v>
          </cell>
          <cell r="I257">
            <v>11652421</v>
          </cell>
          <cell r="J257">
            <v>100</v>
          </cell>
          <cell r="K257">
            <v>11652421</v>
          </cell>
          <cell r="L257">
            <v>100</v>
          </cell>
          <cell r="M257">
            <v>13556845.136</v>
          </cell>
          <cell r="N257">
            <v>100</v>
          </cell>
          <cell r="O257">
            <v>15416448.684</v>
          </cell>
          <cell r="P257">
            <v>100</v>
          </cell>
          <cell r="Q257">
            <v>17025714.947999999</v>
          </cell>
          <cell r="R257">
            <v>100</v>
          </cell>
          <cell r="S257">
            <v>10178972.217</v>
          </cell>
          <cell r="T257">
            <v>100</v>
          </cell>
        </row>
        <row r="258">
          <cell r="B258" t="str">
            <v xml:space="preserve">   Bonificaciones periódicas</v>
          </cell>
          <cell r="D258" t="str">
            <v>3035</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row>
        <row r="259">
          <cell r="B259" t="str">
            <v xml:space="preserve">   Promociones temporales de precio</v>
          </cell>
          <cell r="D259" t="str">
            <v>3040</v>
          </cell>
          <cell r="E259">
            <v>0</v>
          </cell>
          <cell r="F259">
            <v>0</v>
          </cell>
          <cell r="G259">
            <v>7</v>
          </cell>
          <cell r="H259">
            <v>6.7018327789321945E-5</v>
          </cell>
          <cell r="I259">
            <v>0</v>
          </cell>
          <cell r="J259">
            <v>0</v>
          </cell>
          <cell r="K259">
            <v>0</v>
          </cell>
          <cell r="L259">
            <v>0</v>
          </cell>
          <cell r="M259">
            <v>0</v>
          </cell>
          <cell r="N259">
            <v>0</v>
          </cell>
          <cell r="O259">
            <v>0</v>
          </cell>
          <cell r="P259">
            <v>0</v>
          </cell>
          <cell r="Q259">
            <v>0</v>
          </cell>
          <cell r="R259">
            <v>0</v>
          </cell>
          <cell r="S259">
            <v>7.3860000000000001</v>
          </cell>
          <cell r="T259">
            <v>7.256135337185192E-5</v>
          </cell>
        </row>
        <row r="260">
          <cell r="B260" t="str">
            <v xml:space="preserve">   Descuentos a clientes</v>
          </cell>
          <cell r="D260" t="str">
            <v>3045</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row>
        <row r="261">
          <cell r="B261" t="str">
            <v xml:space="preserve">   Costo prod.vendido (fab.propia)</v>
          </cell>
          <cell r="D261" t="str">
            <v>3075</v>
          </cell>
          <cell r="E261">
            <v>10740303</v>
          </cell>
          <cell r="F261">
            <v>92.931640583088921</v>
          </cell>
          <cell r="G261">
            <v>8376686</v>
          </cell>
          <cell r="H261">
            <v>80.198784019460589</v>
          </cell>
          <cell r="I261">
            <v>9034877</v>
          </cell>
          <cell r="J261">
            <v>77.536479329059603</v>
          </cell>
          <cell r="K261">
            <v>9034877</v>
          </cell>
          <cell r="L261">
            <v>77.536479329059603</v>
          </cell>
          <cell r="M261">
            <v>11087626.072000001</v>
          </cell>
          <cell r="N261">
            <v>81.786182262693075</v>
          </cell>
          <cell r="O261">
            <v>12602922.983999999</v>
          </cell>
          <cell r="P261">
            <v>81.749845521037372</v>
          </cell>
          <cell r="Q261">
            <v>13914068.982000001</v>
          </cell>
          <cell r="R261">
            <v>81.723845515424173</v>
          </cell>
          <cell r="S261">
            <v>8172082.7560000001</v>
          </cell>
          <cell r="T261">
            <v>80.283967593031889</v>
          </cell>
        </row>
        <row r="262">
          <cell r="B262" t="str">
            <v xml:space="preserve">   Costo prod.vendido (comprados)</v>
          </cell>
          <cell r="D262" t="str">
            <v>3100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row>
        <row r="263">
          <cell r="B263" t="str">
            <v xml:space="preserve">   Subsidios a las exportaciones</v>
          </cell>
          <cell r="D263" t="str">
            <v>3110</v>
          </cell>
          <cell r="E263">
            <v>-680453</v>
          </cell>
          <cell r="F263">
            <v>-5.8876936367330241</v>
          </cell>
          <cell r="G263">
            <v>-835610</v>
          </cell>
          <cell r="H263">
            <v>-8.0001692691479018</v>
          </cell>
          <cell r="I263">
            <v>-879937</v>
          </cell>
          <cell r="J263">
            <v>-7.551538002274377</v>
          </cell>
          <cell r="K263">
            <v>-879937</v>
          </cell>
          <cell r="L263">
            <v>-7.551538002274377</v>
          </cell>
          <cell r="M263">
            <v>-1082508.5819328001</v>
          </cell>
          <cell r="N263">
            <v>-7.9849594140322129</v>
          </cell>
          <cell r="O263">
            <v>-1220642.8773767999</v>
          </cell>
          <cell r="P263">
            <v>-7.9177954819364276</v>
          </cell>
          <cell r="Q263">
            <v>-1338376.7265528</v>
          </cell>
          <cell r="R263">
            <v>-7.860913510184302</v>
          </cell>
          <cell r="S263">
            <v>-742151.65599999996</v>
          </cell>
          <cell r="T263">
            <v>-7.2910274257407366</v>
          </cell>
        </row>
        <row r="264">
          <cell r="B264" t="str">
            <v xml:space="preserve">   Gastos variables de distribución</v>
          </cell>
          <cell r="D264" t="str">
            <v>3115</v>
          </cell>
          <cell r="E264">
            <v>511917</v>
          </cell>
          <cell r="F264">
            <v>4.4294175548281212</v>
          </cell>
          <cell r="G264">
            <v>714696</v>
          </cell>
          <cell r="H264">
            <v>6.8425329711024636</v>
          </cell>
          <cell r="I264">
            <v>987265</v>
          </cell>
          <cell r="J264">
            <v>8.4726169780511693</v>
          </cell>
          <cell r="K264">
            <v>987265</v>
          </cell>
          <cell r="L264">
            <v>8.4726169780511693</v>
          </cell>
          <cell r="M264">
            <v>1129737.442</v>
          </cell>
          <cell r="N264">
            <v>8.3333358953846801</v>
          </cell>
          <cell r="O264">
            <v>1284704.4180000001</v>
          </cell>
          <cell r="P264">
            <v>8.3333356749880654</v>
          </cell>
          <cell r="Q264">
            <v>1418809.3920000002</v>
          </cell>
          <cell r="R264">
            <v>8.3333322349947316</v>
          </cell>
          <cell r="S264">
            <v>819229.02600000007</v>
          </cell>
          <cell r="T264">
            <v>8.0482489639945936</v>
          </cell>
        </row>
        <row r="265">
          <cell r="B265" t="str">
            <v xml:space="preserve">   Comisiones a agentes/vendedores</v>
          </cell>
          <cell r="D265" t="str">
            <v>3120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row>
        <row r="266">
          <cell r="B266" t="str">
            <v xml:space="preserve">   Otros gastos variables</v>
          </cell>
          <cell r="D266" t="str">
            <v>3125</v>
          </cell>
          <cell r="E266">
            <v>-2014</v>
          </cell>
          <cell r="F266">
            <v>-1.7426354185197668E-2</v>
          </cell>
          <cell r="G266">
            <v>118703</v>
          </cell>
          <cell r="H266">
            <v>1.1364680805108405</v>
          </cell>
          <cell r="I266">
            <v>163134</v>
          </cell>
          <cell r="J266">
            <v>1.4000009096822026</v>
          </cell>
          <cell r="K266">
            <v>163134</v>
          </cell>
          <cell r="L266">
            <v>1.4000009096822026</v>
          </cell>
          <cell r="M266">
            <v>197703.87000000002</v>
          </cell>
          <cell r="N266">
            <v>1.4583324366153623</v>
          </cell>
          <cell r="O266">
            <v>224823.21899999998</v>
          </cell>
          <cell r="P266">
            <v>1.4583333918747015</v>
          </cell>
          <cell r="Q266">
            <v>248291.86800000002</v>
          </cell>
          <cell r="R266">
            <v>1.4583344591304033</v>
          </cell>
          <cell r="S266">
            <v>142494.16800000001</v>
          </cell>
          <cell r="T266">
            <v>1.3998875815970802</v>
          </cell>
        </row>
        <row r="267">
          <cell r="B267" t="str">
            <v xml:space="preserve">   Regalías / Asist. Técnica (Netas)</v>
          </cell>
          <cell r="D267" t="str">
            <v>3130</v>
          </cell>
          <cell r="E267">
            <v>310760</v>
          </cell>
          <cell r="F267">
            <v>2.6888847202542343</v>
          </cell>
          <cell r="G267">
            <v>292427</v>
          </cell>
          <cell r="H267">
            <v>2.7997097914925786</v>
          </cell>
          <cell r="I267">
            <v>324528</v>
          </cell>
          <cell r="J267">
            <v>2.7850693001909219</v>
          </cell>
          <cell r="K267">
            <v>324528</v>
          </cell>
          <cell r="L267">
            <v>2.7850693001909219</v>
          </cell>
          <cell r="M267">
            <v>0</v>
          </cell>
          <cell r="N267">
            <v>0</v>
          </cell>
          <cell r="O267">
            <v>0</v>
          </cell>
          <cell r="P267">
            <v>0</v>
          </cell>
          <cell r="Q267">
            <v>0</v>
          </cell>
          <cell r="R267">
            <v>0</v>
          </cell>
          <cell r="S267">
            <v>284988.33600000001</v>
          </cell>
          <cell r="T267">
            <v>2.7997751631941603</v>
          </cell>
        </row>
        <row r="268">
          <cell r="B268" t="str">
            <v xml:space="preserve">   Impuesto sobre regalías / Asist. Tec.</v>
          </cell>
          <cell r="D268" t="str">
            <v>3135</v>
          </cell>
          <cell r="E268">
            <v>151529</v>
          </cell>
          <cell r="F268">
            <v>1.3111211635197704</v>
          </cell>
          <cell r="G268">
            <v>125323</v>
          </cell>
          <cell r="H268">
            <v>1.1998482705058851</v>
          </cell>
          <cell r="I268">
            <v>139083</v>
          </cell>
          <cell r="J268">
            <v>1.1935974506928646</v>
          </cell>
          <cell r="K268">
            <v>139083</v>
          </cell>
          <cell r="L268">
            <v>1.1935974506928646</v>
          </cell>
          <cell r="M268">
            <v>0</v>
          </cell>
          <cell r="N268">
            <v>0</v>
          </cell>
          <cell r="O268">
            <v>0</v>
          </cell>
          <cell r="P268">
            <v>0</v>
          </cell>
          <cell r="Q268">
            <v>0</v>
          </cell>
          <cell r="R268">
            <v>0</v>
          </cell>
          <cell r="S268">
            <v>122137.859</v>
          </cell>
          <cell r="T268">
            <v>1.1999036483861933</v>
          </cell>
        </row>
        <row r="269">
          <cell r="B269" t="str">
            <v>* TOTAL GASTOS VARIABLES</v>
          </cell>
          <cell r="D269" t="str">
            <v>3150</v>
          </cell>
          <cell r="E269">
            <v>11032042</v>
          </cell>
          <cell r="F269">
            <v>95.455944030772827</v>
          </cell>
          <cell r="G269">
            <v>8792232</v>
          </cell>
          <cell r="H269">
            <v>84.177240882252249</v>
          </cell>
          <cell r="I269">
            <v>9768950</v>
          </cell>
          <cell r="J269">
            <v>83.836225965402377</v>
          </cell>
          <cell r="K269">
            <v>9768950</v>
          </cell>
          <cell r="L269">
            <v>83.836225965402377</v>
          </cell>
          <cell r="M269">
            <v>11332558.8020672</v>
          </cell>
          <cell r="N269">
            <v>83.592891180660899</v>
          </cell>
          <cell r="O269">
            <v>12891807.743623199</v>
          </cell>
          <cell r="P269">
            <v>83.623719105963715</v>
          </cell>
          <cell r="Q269">
            <v>14242793.515447203</v>
          </cell>
          <cell r="R269">
            <v>83.654598699365025</v>
          </cell>
          <cell r="S269">
            <v>8798787.8749999981</v>
          </cell>
          <cell r="T269">
            <v>86.440828085816534</v>
          </cell>
        </row>
        <row r="270">
          <cell r="B270" t="str">
            <v>* CONTRIBUCION MARGINAL</v>
          </cell>
          <cell r="D270" t="str">
            <v>3190</v>
          </cell>
          <cell r="E270">
            <v>525166</v>
          </cell>
          <cell r="F270">
            <v>4.5440559692271698</v>
          </cell>
          <cell r="G270">
            <v>1652672</v>
          </cell>
          <cell r="H270">
            <v>15.822759117747756</v>
          </cell>
          <cell r="I270">
            <v>1883471</v>
          </cell>
          <cell r="J270">
            <v>16.163774034597616</v>
          </cell>
          <cell r="K270">
            <v>1883471</v>
          </cell>
          <cell r="L270">
            <v>16.163774034597616</v>
          </cell>
          <cell r="M270">
            <v>2224286.3339328002</v>
          </cell>
          <cell r="N270">
            <v>16.407108819339104</v>
          </cell>
          <cell r="O270">
            <v>2524640.9403768014</v>
          </cell>
          <cell r="P270">
            <v>16.376280894036292</v>
          </cell>
          <cell r="Q270">
            <v>2782921.4325527959</v>
          </cell>
          <cell r="R270">
            <v>16.345401300634979</v>
          </cell>
          <cell r="S270">
            <v>1380184.342000002</v>
          </cell>
          <cell r="T270">
            <v>13.559171914183466</v>
          </cell>
        </row>
        <row r="271">
          <cell r="B271" t="str">
            <v xml:space="preserve">   Publicidad Medios</v>
          </cell>
          <cell r="D271" t="str">
            <v>3205</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row>
        <row r="272">
          <cell r="B272" t="str">
            <v xml:space="preserve">   Otras promociones</v>
          </cell>
          <cell r="D272" t="str">
            <v>3210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row>
        <row r="273">
          <cell r="B273" t="str">
            <v xml:space="preserve">   Estudios de Mercado</v>
          </cell>
          <cell r="D273" t="str">
            <v>3215</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row>
        <row r="274">
          <cell r="B274" t="str">
            <v xml:space="preserve">   Reserva producto</v>
          </cell>
          <cell r="D274" t="str">
            <v>3220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row>
        <row r="275">
          <cell r="B275" t="str">
            <v>* TOTAL GASTOS FIJOS MARK. PRODUCTOS</v>
          </cell>
          <cell r="D275" t="str">
            <v>3225</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row>
        <row r="276">
          <cell r="B276" t="str">
            <v xml:space="preserve">   Gastos fijos fabricación</v>
          </cell>
          <cell r="D276" t="str">
            <v>3250</v>
          </cell>
          <cell r="E276">
            <v>862174</v>
          </cell>
          <cell r="F276">
            <v>7.4600543660718053</v>
          </cell>
          <cell r="G276">
            <v>885837</v>
          </cell>
          <cell r="H276">
            <v>8.4810449191299409</v>
          </cell>
          <cell r="I276">
            <v>1031566</v>
          </cell>
          <cell r="J276">
            <v>8.8528040653526006</v>
          </cell>
          <cell r="K276">
            <v>1031566</v>
          </cell>
          <cell r="L276">
            <v>8.8528040653526006</v>
          </cell>
          <cell r="M276">
            <v>1248264.942</v>
          </cell>
          <cell r="N276">
            <v>9.2076359173363365</v>
          </cell>
          <cell r="O276">
            <v>1409703.1950000001</v>
          </cell>
          <cell r="P276">
            <v>9.1441500172673624</v>
          </cell>
          <cell r="Q276">
            <v>1551171.7320000001</v>
          </cell>
          <cell r="R276">
            <v>9.1107582661732227</v>
          </cell>
          <cell r="S276">
            <v>973811.95699999994</v>
          </cell>
          <cell r="T276">
            <v>9.5668986636354809</v>
          </cell>
        </row>
        <row r="277">
          <cell r="B277" t="str">
            <v xml:space="preserve">   Amortización activo fijo fábricas</v>
          </cell>
          <cell r="D277" t="str">
            <v>3255</v>
          </cell>
          <cell r="E277">
            <v>346517</v>
          </cell>
          <cell r="F277">
            <v>2.9982760542165545</v>
          </cell>
          <cell r="G277">
            <v>374160</v>
          </cell>
          <cell r="H277">
            <v>3.582225360807529</v>
          </cell>
          <cell r="I277">
            <v>475681</v>
          </cell>
          <cell r="J277">
            <v>4.0822503752653629</v>
          </cell>
          <cell r="K277">
            <v>475681</v>
          </cell>
          <cell r="L277">
            <v>4.0822503752653629</v>
          </cell>
          <cell r="M277">
            <v>569042</v>
          </cell>
          <cell r="N277">
            <v>4.1974515035870512</v>
          </cell>
          <cell r="O277">
            <v>619996</v>
          </cell>
          <cell r="P277">
            <v>4.0216525394948084</v>
          </cell>
          <cell r="Q277">
            <v>660189</v>
          </cell>
          <cell r="R277">
            <v>3.8775992785991762</v>
          </cell>
          <cell r="S277">
            <v>377030.83100000001</v>
          </cell>
          <cell r="T277">
            <v>3.7040167019054944</v>
          </cell>
        </row>
        <row r="278">
          <cell r="B278" t="str">
            <v xml:space="preserve">   Otros gastos fijos de los productos</v>
          </cell>
          <cell r="D278" t="str">
            <v>3260</v>
          </cell>
          <cell r="E278">
            <v>94043</v>
          </cell>
          <cell r="F278">
            <v>0.81371729227335876</v>
          </cell>
          <cell r="G278">
            <v>83280</v>
          </cell>
          <cell r="H278">
            <v>0.79732661975639019</v>
          </cell>
          <cell r="I278">
            <v>0</v>
          </cell>
          <cell r="J278">
            <v>0</v>
          </cell>
          <cell r="K278">
            <v>0</v>
          </cell>
          <cell r="L278">
            <v>0</v>
          </cell>
          <cell r="M278">
            <v>0</v>
          </cell>
          <cell r="N278">
            <v>0</v>
          </cell>
          <cell r="O278">
            <v>0</v>
          </cell>
          <cell r="P278">
            <v>0</v>
          </cell>
          <cell r="Q278">
            <v>0</v>
          </cell>
          <cell r="R278">
            <v>0</v>
          </cell>
          <cell r="S278">
            <v>41933</v>
          </cell>
          <cell r="T278">
            <v>0.41195711223150105</v>
          </cell>
        </row>
        <row r="279">
          <cell r="B279" t="str">
            <v xml:space="preserve">   Productos Defectuosos</v>
          </cell>
          <cell r="D279" t="str">
            <v>3261</v>
          </cell>
          <cell r="E279">
            <v>8866</v>
          </cell>
          <cell r="F279">
            <v>7.6714029893725194E-2</v>
          </cell>
          <cell r="G279">
            <v>268778</v>
          </cell>
          <cell r="H279">
            <v>2.573293158079768</v>
          </cell>
          <cell r="I279">
            <v>10600</v>
          </cell>
          <cell r="J279">
            <v>9.0968220252254872E-2</v>
          </cell>
          <cell r="K279">
            <v>10600</v>
          </cell>
          <cell r="L279">
            <v>9.0968220252254872E-2</v>
          </cell>
          <cell r="M279">
            <v>12806.769994475524</v>
          </cell>
          <cell r="N279">
            <v>9.446718514521743E-2</v>
          </cell>
          <cell r="O279">
            <v>14642.248751403291</v>
          </cell>
          <cell r="P279">
            <v>9.497809159251952E-2</v>
          </cell>
          <cell r="Q279">
            <v>16065.70978049236</v>
          </cell>
          <cell r="R279">
            <v>9.436143991345039E-2</v>
          </cell>
          <cell r="S279">
            <v>111073</v>
          </cell>
          <cell r="T279">
            <v>1.0912005419810058</v>
          </cell>
        </row>
        <row r="280">
          <cell r="B280" t="str">
            <v xml:space="preserve">   Interés Operacional</v>
          </cell>
          <cell r="D280" t="str">
            <v>3265</v>
          </cell>
          <cell r="E280">
            <v>270000</v>
          </cell>
          <cell r="F280">
            <v>2.3362043843115048</v>
          </cell>
          <cell r="G280">
            <v>246040</v>
          </cell>
          <cell r="H280">
            <v>2.3555984813263962</v>
          </cell>
          <cell r="I280">
            <v>280600</v>
          </cell>
          <cell r="J280">
            <v>2.408083264413464</v>
          </cell>
          <cell r="K280">
            <v>258600</v>
          </cell>
          <cell r="L280">
            <v>2.2192812978521803</v>
          </cell>
          <cell r="M280">
            <v>314389.16327677935</v>
          </cell>
          <cell r="N280">
            <v>2.319043701708472</v>
          </cell>
          <cell r="O280">
            <v>342344.71805818868</v>
          </cell>
          <cell r="P280">
            <v>2.2206457860395048</v>
          </cell>
          <cell r="Q280">
            <v>377751.94485993695</v>
          </cell>
          <cell r="R280">
            <v>2.2187141392515279</v>
          </cell>
          <cell r="S280">
            <v>250339</v>
          </cell>
          <cell r="T280">
            <v>2.459374037605746</v>
          </cell>
        </row>
        <row r="281">
          <cell r="B281" t="str">
            <v>* TOTAL GASTOS ESPECIFICOS</v>
          </cell>
          <cell r="D281" t="str">
            <v>3270</v>
          </cell>
          <cell r="E281">
            <v>1581600</v>
          </cell>
          <cell r="F281">
            <v>13.684966126766948</v>
          </cell>
          <cell r="G281">
            <v>1858095</v>
          </cell>
          <cell r="H281">
            <v>17.789488539100024</v>
          </cell>
          <cell r="I281">
            <v>1798447</v>
          </cell>
          <cell r="J281">
            <v>15.434105925283681</v>
          </cell>
          <cell r="K281">
            <v>1776447</v>
          </cell>
          <cell r="L281">
            <v>15.245303958722397</v>
          </cell>
          <cell r="M281">
            <v>2144502.8752712547</v>
          </cell>
          <cell r="N281">
            <v>15.818598307777073</v>
          </cell>
          <cell r="O281">
            <v>2386686.161809592</v>
          </cell>
          <cell r="P281">
            <v>15.481426434394194</v>
          </cell>
          <cell r="Q281">
            <v>2605178.386640429</v>
          </cell>
          <cell r="R281">
            <v>15.301433123937375</v>
          </cell>
          <cell r="S281">
            <v>1754187.7879999999</v>
          </cell>
          <cell r="T281">
            <v>17.233447057359228</v>
          </cell>
        </row>
        <row r="282">
          <cell r="B282" t="str">
            <v>* CONTRIBUCION DEL PRODUCTO</v>
          </cell>
          <cell r="D282" t="str">
            <v>3290</v>
          </cell>
          <cell r="E282">
            <v>-1056434</v>
          </cell>
          <cell r="F282">
            <v>-9.1409101575397784</v>
          </cell>
          <cell r="G282">
            <v>-205423</v>
          </cell>
          <cell r="H282">
            <v>-1.966729421352269</v>
          </cell>
          <cell r="I282">
            <v>85024</v>
          </cell>
          <cell r="J282">
            <v>0.72966810931393566</v>
          </cell>
          <cell r="K282">
            <v>107024</v>
          </cell>
          <cell r="L282">
            <v>0.91847007587521934</v>
          </cell>
          <cell r="M282">
            <v>79783.458661545534</v>
          </cell>
          <cell r="N282">
            <v>0.58851051156202816</v>
          </cell>
          <cell r="O282">
            <v>137954.77856720937</v>
          </cell>
          <cell r="P282">
            <v>0.89485445964209687</v>
          </cell>
          <cell r="Q282">
            <v>177743.04591236683</v>
          </cell>
          <cell r="R282">
            <v>1.0439681766976028</v>
          </cell>
          <cell r="S282">
            <v>-374003.4459999979</v>
          </cell>
          <cell r="T282">
            <v>-3.6742751431757634</v>
          </cell>
        </row>
        <row r="283">
          <cell r="B283" t="str">
            <v xml:space="preserve">   Gastos fijos de distribución</v>
          </cell>
          <cell r="D283" t="str">
            <v>3305</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row>
        <row r="284">
          <cell r="B284" t="str">
            <v xml:space="preserve">   Gastos generales marketing</v>
          </cell>
          <cell r="D284" t="str">
            <v>3310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row>
        <row r="285">
          <cell r="B285" t="str">
            <v xml:space="preserve">   Otros gastos generales</v>
          </cell>
          <cell r="D285" t="str">
            <v>3315</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row>
        <row r="286">
          <cell r="B286" t="str">
            <v xml:space="preserve">   Pérdida y provisión sobre deudores</v>
          </cell>
          <cell r="D286" t="str">
            <v>3320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row>
        <row r="287">
          <cell r="B287" t="str">
            <v xml:space="preserve">   Reserva general para riesgos</v>
          </cell>
          <cell r="D287" t="str">
            <v>3335</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row>
        <row r="288">
          <cell r="B288" t="str">
            <v>* TOTAL GTOS. FIJOS COMUNES</v>
          </cell>
          <cell r="D288" t="str">
            <v>3340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row>
        <row r="289">
          <cell r="B289" t="str">
            <v>* CONTRIBUCION DIVISIONAL</v>
          </cell>
          <cell r="D289" t="str">
            <v>-</v>
          </cell>
          <cell r="E289">
            <v>-1056434</v>
          </cell>
          <cell r="F289">
            <v>-9.1409101575397784</v>
          </cell>
          <cell r="G289">
            <v>-205423</v>
          </cell>
          <cell r="H289">
            <v>-1.966729421352269</v>
          </cell>
          <cell r="I289">
            <v>85024</v>
          </cell>
          <cell r="J289">
            <v>0.72966810931393566</v>
          </cell>
          <cell r="K289">
            <v>107024</v>
          </cell>
          <cell r="L289">
            <v>0.91847007587521934</v>
          </cell>
          <cell r="M289">
            <v>79783.458661545534</v>
          </cell>
          <cell r="N289">
            <v>0.58851051156202816</v>
          </cell>
          <cell r="O289">
            <v>137954.77856720937</v>
          </cell>
          <cell r="P289">
            <v>0.89485445964209687</v>
          </cell>
          <cell r="Q289">
            <v>177743.04591236683</v>
          </cell>
          <cell r="R289">
            <v>1.0439681766976028</v>
          </cell>
          <cell r="S289">
            <v>-374003.4459999979</v>
          </cell>
          <cell r="T289">
            <v>-3.6742751431757634</v>
          </cell>
        </row>
        <row r="290">
          <cell r="B290" t="str">
            <v xml:space="preserve">   Gastos Corporativos</v>
          </cell>
          <cell r="D290" t="str">
            <v>33151</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row>
        <row r="291">
          <cell r="B291" t="str">
            <v>* RESULTADO EXPLOTACION</v>
          </cell>
          <cell r="D291" t="str">
            <v>3390</v>
          </cell>
          <cell r="E291">
            <v>-1056434</v>
          </cell>
          <cell r="F291">
            <v>-9.1409101575397784</v>
          </cell>
          <cell r="G291">
            <v>-205423</v>
          </cell>
          <cell r="H291">
            <v>-1.966729421352269</v>
          </cell>
          <cell r="I291">
            <v>85024</v>
          </cell>
          <cell r="J291">
            <v>0.72966810931393566</v>
          </cell>
          <cell r="K291">
            <v>107024</v>
          </cell>
          <cell r="L291">
            <v>0.91847007587521934</v>
          </cell>
          <cell r="M291">
            <v>79783.458661545534</v>
          </cell>
          <cell r="N291">
            <v>0.58851051156202816</v>
          </cell>
          <cell r="O291">
            <v>137954.77856720937</v>
          </cell>
          <cell r="P291">
            <v>0.89485445964209687</v>
          </cell>
          <cell r="Q291">
            <v>177743.04591236683</v>
          </cell>
          <cell r="R291">
            <v>1.0439681766976028</v>
          </cell>
          <cell r="S291">
            <v>-374003.4459999979</v>
          </cell>
          <cell r="T291">
            <v>-3.6742751431757634</v>
          </cell>
        </row>
        <row r="296">
          <cell r="B296">
            <v>0</v>
          </cell>
          <cell r="D296">
            <v>0</v>
          </cell>
          <cell r="E296">
            <v>0</v>
          </cell>
        </row>
        <row r="297">
          <cell r="B297" t="str">
            <v xml:space="preserve"> DIVISIÓN LBCF</v>
          </cell>
          <cell r="C297" t="str">
            <v>ESTADOS DE INGRESOS</v>
          </cell>
        </row>
        <row r="298">
          <cell r="B298" t="str">
            <v xml:space="preserve"> CONTRALORÍA</v>
          </cell>
          <cell r="C298" t="str">
            <v>TOTAL DIVISION (SIN REFRIGERADOS)</v>
          </cell>
        </row>
        <row r="299">
          <cell r="B299" t="str">
            <v xml:space="preserve">  IMPORTES EN  :  $ MILES  DE CADA  AÑO</v>
          </cell>
          <cell r="D299">
            <v>0</v>
          </cell>
          <cell r="E299">
            <v>0</v>
          </cell>
        </row>
        <row r="300">
          <cell r="D300" t="str">
            <v>COD.</v>
          </cell>
          <cell r="E300" t="str">
            <v xml:space="preserve">EFECTIVO </v>
          </cell>
          <cell r="G300" t="str">
            <v>EFECTIVO</v>
          </cell>
          <cell r="I300" t="str">
            <v>P.O.</v>
          </cell>
          <cell r="K300" t="str">
            <v>STATUS REPORT</v>
          </cell>
          <cell r="M300" t="str">
            <v>PLP</v>
          </cell>
          <cell r="O300" t="str">
            <v>PLP</v>
          </cell>
          <cell r="Q300" t="str">
            <v>PLP</v>
          </cell>
          <cell r="S300" t="str">
            <v>REV.DIC</v>
          </cell>
        </row>
        <row r="301">
          <cell r="E301">
            <v>1997</v>
          </cell>
          <cell r="F301" t="str">
            <v>%</v>
          </cell>
          <cell r="G301">
            <v>1998</v>
          </cell>
          <cell r="H301" t="str">
            <v>%</v>
          </cell>
          <cell r="I301">
            <v>1999</v>
          </cell>
          <cell r="J301" t="str">
            <v>%</v>
          </cell>
          <cell r="K301">
            <v>1999</v>
          </cell>
          <cell r="L301" t="str">
            <v>%</v>
          </cell>
          <cell r="M301">
            <v>2000</v>
          </cell>
          <cell r="N301" t="str">
            <v>%</v>
          </cell>
          <cell r="O301">
            <v>2001</v>
          </cell>
          <cell r="P301" t="str">
            <v>%</v>
          </cell>
          <cell r="Q301">
            <v>2002</v>
          </cell>
          <cell r="R301" t="str">
            <v>%</v>
          </cell>
          <cell r="S301">
            <v>1998</v>
          </cell>
          <cell r="T301" t="str">
            <v>%</v>
          </cell>
        </row>
        <row r="302">
          <cell r="B302" t="str">
            <v xml:space="preserve">   VOLUMEN DE VENTAS               (Tns.)</v>
          </cell>
          <cell r="D302" t="str">
            <v>3000</v>
          </cell>
          <cell r="E302">
            <v>111240</v>
          </cell>
          <cell r="G302">
            <v>116741</v>
          </cell>
          <cell r="I302">
            <v>123080.22100000001</v>
          </cell>
          <cell r="K302">
            <v>120827.96200000001</v>
          </cell>
          <cell r="M302">
            <v>129755.92</v>
          </cell>
          <cell r="O302">
            <v>137475</v>
          </cell>
          <cell r="Q302">
            <v>145220</v>
          </cell>
          <cell r="S302">
            <v>117289.421</v>
          </cell>
        </row>
        <row r="303">
          <cell r="B303" t="str">
            <v xml:space="preserve">   PRODUCTO BRUTO DE LAS VENTAS</v>
          </cell>
          <cell r="D303" t="str">
            <v>3001</v>
          </cell>
          <cell r="E303">
            <v>158715014</v>
          </cell>
          <cell r="F303">
            <v>104.69790539033308</v>
          </cell>
          <cell r="G303">
            <v>171603378</v>
          </cell>
          <cell r="H303">
            <v>104.16314093616504</v>
          </cell>
          <cell r="I303">
            <v>182547088.396</v>
          </cell>
          <cell r="J303">
            <v>104.00737509165809</v>
          </cell>
          <cell r="K303">
            <v>180985048.14342451</v>
          </cell>
          <cell r="L303">
            <v>104.00952099543721</v>
          </cell>
          <cell r="M303">
            <v>197411999.99856943</v>
          </cell>
          <cell r="N303">
            <v>104.02380420732558</v>
          </cell>
          <cell r="O303">
            <v>215766331.49810326</v>
          </cell>
          <cell r="P303">
            <v>104.02492739214775</v>
          </cell>
          <cell r="Q303">
            <v>234919379.97680485</v>
          </cell>
          <cell r="R303">
            <v>104.04386916229176</v>
          </cell>
          <cell r="S303" t="e">
            <v>#REF!</v>
          </cell>
          <cell r="T303" t="e">
            <v>#REF!</v>
          </cell>
        </row>
        <row r="304">
          <cell r="B304" t="str">
            <v xml:space="preserve">   Reducciones de precio</v>
          </cell>
          <cell r="D304" t="str">
            <v>3002</v>
          </cell>
          <cell r="E304">
            <v>7121710</v>
          </cell>
          <cell r="F304">
            <v>4.6979053903330712</v>
          </cell>
          <cell r="G304">
            <v>6858559</v>
          </cell>
          <cell r="H304">
            <v>4.16314093616504</v>
          </cell>
          <cell r="I304">
            <v>7033488.2929999996</v>
          </cell>
          <cell r="J304">
            <v>4.0073750916580844</v>
          </cell>
          <cell r="K304">
            <v>6976893.4944245238</v>
          </cell>
          <cell r="L304">
            <v>4.0095209954372208</v>
          </cell>
          <cell r="M304">
            <v>7636206.36856943</v>
          </cell>
          <cell r="N304">
            <v>4.0238042073255693</v>
          </cell>
          <cell r="O304">
            <v>8348420.3231032593</v>
          </cell>
          <cell r="P304">
            <v>4.0249273921477471</v>
          </cell>
          <cell r="Q304">
            <v>9130602.7348048594</v>
          </cell>
          <cell r="R304">
            <v>4.0438691622917542</v>
          </cell>
          <cell r="S304" t="e">
            <v>#REF!</v>
          </cell>
          <cell r="T304" t="e">
            <v>#REF!</v>
          </cell>
        </row>
        <row r="305">
          <cell r="B305" t="str">
            <v>* PRODUCTO NETO DE LAS VENTAS (PNV)</v>
          </cell>
          <cell r="D305" t="str">
            <v>3030</v>
          </cell>
          <cell r="E305">
            <v>151593304</v>
          </cell>
          <cell r="F305">
            <v>100</v>
          </cell>
          <cell r="G305">
            <v>164744819</v>
          </cell>
          <cell r="H305">
            <v>100</v>
          </cell>
          <cell r="I305">
            <v>175513600.10299999</v>
          </cell>
          <cell r="J305">
            <v>100</v>
          </cell>
          <cell r="K305">
            <v>174008154.64899999</v>
          </cell>
          <cell r="L305">
            <v>100</v>
          </cell>
          <cell r="M305">
            <v>189775793.63</v>
          </cell>
          <cell r="N305">
            <v>100</v>
          </cell>
          <cell r="O305">
            <v>207417911.17500001</v>
          </cell>
          <cell r="P305">
            <v>100</v>
          </cell>
          <cell r="Q305">
            <v>225788777.24199998</v>
          </cell>
          <cell r="R305">
            <v>100</v>
          </cell>
          <cell r="S305" t="e">
            <v>#REF!</v>
          </cell>
          <cell r="T305" t="e">
            <v>#REF!</v>
          </cell>
        </row>
        <row r="306">
          <cell r="B306" t="str">
            <v xml:space="preserve">   Bonificaciones periódicas</v>
          </cell>
          <cell r="D306" t="str">
            <v>3035</v>
          </cell>
          <cell r="E306">
            <v>107243</v>
          </cell>
          <cell r="F306">
            <v>7.074388984885506E-2</v>
          </cell>
          <cell r="G306">
            <v>295076</v>
          </cell>
          <cell r="H306">
            <v>0.17911094369529157</v>
          </cell>
          <cell r="I306">
            <v>643399.53299999994</v>
          </cell>
          <cell r="J306">
            <v>0.36658101288015377</v>
          </cell>
          <cell r="K306">
            <v>643399.53299999994</v>
          </cell>
          <cell r="L306">
            <v>0.36975251780460022</v>
          </cell>
          <cell r="M306">
            <v>700000.12862400012</v>
          </cell>
          <cell r="N306">
            <v>0.36885638322702458</v>
          </cell>
          <cell r="O306">
            <v>800001.61129999999</v>
          </cell>
          <cell r="P306">
            <v>0.38569552974864968</v>
          </cell>
          <cell r="Q306">
            <v>900000.26729800005</v>
          </cell>
          <cell r="R306">
            <v>0.39860274646572957</v>
          </cell>
          <cell r="S306">
            <v>558076</v>
          </cell>
          <cell r="T306" t="e">
            <v>#REF!</v>
          </cell>
        </row>
        <row r="307">
          <cell r="B307" t="str">
            <v xml:space="preserve">   Promociones temporales de precio</v>
          </cell>
          <cell r="D307" t="str">
            <v>3040</v>
          </cell>
          <cell r="E307">
            <v>5040998</v>
          </cell>
          <cell r="F307">
            <v>3.3253434465680622</v>
          </cell>
          <cell r="G307">
            <v>6406524</v>
          </cell>
          <cell r="H307">
            <v>3.8887559796341757</v>
          </cell>
          <cell r="I307">
            <v>7567601</v>
          </cell>
          <cell r="J307">
            <v>4.3116892340872504</v>
          </cell>
          <cell r="K307">
            <v>7214201</v>
          </cell>
          <cell r="L307">
            <v>4.1458982279032286</v>
          </cell>
          <cell r="M307">
            <v>7344852.1660719998</v>
          </cell>
          <cell r="N307">
            <v>3.8702787250053774</v>
          </cell>
          <cell r="O307">
            <v>7644073.4308379991</v>
          </cell>
          <cell r="P307">
            <v>3.6853487664277167</v>
          </cell>
          <cell r="Q307">
            <v>8129073.0000000009</v>
          </cell>
          <cell r="R307">
            <v>3.6002998462971774</v>
          </cell>
          <cell r="S307">
            <v>5625531.1009999998</v>
          </cell>
          <cell r="T307" t="e">
            <v>#REF!</v>
          </cell>
        </row>
        <row r="308">
          <cell r="B308" t="str">
            <v xml:space="preserve">   Descuentos a clientes</v>
          </cell>
          <cell r="D308" t="str">
            <v>3045</v>
          </cell>
          <cell r="E308">
            <v>39156</v>
          </cell>
          <cell r="F308">
            <v>2.5829636907973193E-2</v>
          </cell>
          <cell r="G308">
            <v>75801</v>
          </cell>
          <cell r="H308">
            <v>4.60111586270886E-2</v>
          </cell>
          <cell r="I308">
            <v>96548.323999999993</v>
          </cell>
          <cell r="J308">
            <v>5.500902718840061E-2</v>
          </cell>
          <cell r="K308">
            <v>95096.415922254164</v>
          </cell>
          <cell r="L308">
            <v>5.4650551357249666E-2</v>
          </cell>
          <cell r="M308">
            <v>128566.7536084</v>
          </cell>
          <cell r="N308">
            <v>6.7746655750555121E-2</v>
          </cell>
          <cell r="O308">
            <v>138974</v>
          </cell>
          <cell r="P308">
            <v>6.7001928238852343E-2</v>
          </cell>
          <cell r="Q308">
            <v>156853</v>
          </cell>
          <cell r="R308">
            <v>6.946890891387629E-2</v>
          </cell>
          <cell r="S308">
            <v>81249.812000000005</v>
          </cell>
          <cell r="T308" t="e">
            <v>#REF!</v>
          </cell>
        </row>
        <row r="309">
          <cell r="B309" t="str">
            <v xml:space="preserve">   Costo prod.vendido (fab.propia)</v>
          </cell>
          <cell r="D309" t="str">
            <v>3075</v>
          </cell>
          <cell r="E309">
            <v>74997059</v>
          </cell>
          <cell r="F309">
            <v>49.472540686889445</v>
          </cell>
          <cell r="G309">
            <v>77498914</v>
          </cell>
          <cell r="H309">
            <v>47.041791341553505</v>
          </cell>
          <cell r="I309">
            <v>81333265.441</v>
          </cell>
          <cell r="J309">
            <v>46.340149933264236</v>
          </cell>
          <cell r="K309">
            <v>79430947.192000002</v>
          </cell>
          <cell r="L309">
            <v>45.647830328540572</v>
          </cell>
          <cell r="M309">
            <v>87505423.224000007</v>
          </cell>
          <cell r="N309">
            <v>46.109897131879016</v>
          </cell>
          <cell r="O309">
            <v>95695499.81099999</v>
          </cell>
          <cell r="P309">
            <v>46.136565192897443</v>
          </cell>
          <cell r="Q309">
            <v>104047854.954</v>
          </cell>
          <cell r="R309">
            <v>46.081942701023486</v>
          </cell>
          <cell r="S309">
            <v>78616032.203999981</v>
          </cell>
          <cell r="T309" t="e">
            <v>#REF!</v>
          </cell>
        </row>
        <row r="310">
          <cell r="B310" t="str">
            <v xml:space="preserve">   Costo prod.vendido (comprados)</v>
          </cell>
          <cell r="D310" t="str">
            <v>3100</v>
          </cell>
          <cell r="E310">
            <v>395850</v>
          </cell>
          <cell r="F310">
            <v>0.26112630937841425</v>
          </cell>
          <cell r="G310">
            <v>1429896</v>
          </cell>
          <cell r="H310">
            <v>0.86794595950237441</v>
          </cell>
          <cell r="I310">
            <v>3683360.2149999999</v>
          </cell>
          <cell r="J310">
            <v>2.0986181200991965</v>
          </cell>
          <cell r="K310">
            <v>3523516.2149999999</v>
          </cell>
          <cell r="L310">
            <v>2.0249144197336326</v>
          </cell>
          <cell r="M310">
            <v>3756346.352</v>
          </cell>
          <cell r="N310">
            <v>1.9793601070764759</v>
          </cell>
          <cell r="O310">
            <v>4487381.0360000003</v>
          </cell>
          <cell r="P310">
            <v>2.1634491498730619</v>
          </cell>
          <cell r="Q310">
            <v>5320644.7439999999</v>
          </cell>
          <cell r="R310">
            <v>2.3564699756079297</v>
          </cell>
          <cell r="S310">
            <v>1623923.4240000001</v>
          </cell>
          <cell r="T310" t="e">
            <v>#REF!</v>
          </cell>
        </row>
        <row r="311">
          <cell r="B311" t="str">
            <v xml:space="preserve">   Subsidios a las exportaciones</v>
          </cell>
          <cell r="D311" t="str">
            <v>3110</v>
          </cell>
          <cell r="E311">
            <v>-680453</v>
          </cell>
          <cell r="F311">
            <v>-0.44886745129586986</v>
          </cell>
          <cell r="G311">
            <v>-835610</v>
          </cell>
          <cell r="H311">
            <v>-0.50721473674993078</v>
          </cell>
          <cell r="I311">
            <v>-879937</v>
          </cell>
          <cell r="J311">
            <v>-0.50134975265940063</v>
          </cell>
          <cell r="K311">
            <v>-879937</v>
          </cell>
          <cell r="L311">
            <v>-0.50568722010469125</v>
          </cell>
          <cell r="M311">
            <v>-1082508.5819328001</v>
          </cell>
          <cell r="N311">
            <v>-0.57041446710708199</v>
          </cell>
          <cell r="O311">
            <v>-1220642.8773767999</v>
          </cell>
          <cell r="P311">
            <v>-0.58849444122833472</v>
          </cell>
          <cell r="Q311">
            <v>-1338376.7265528</v>
          </cell>
          <cell r="R311">
            <v>-0.59275608951915726</v>
          </cell>
          <cell r="S311">
            <v>-742151.65599999996</v>
          </cell>
          <cell r="T311" t="e">
            <v>#REF!</v>
          </cell>
        </row>
        <row r="312">
          <cell r="B312" t="str">
            <v xml:space="preserve">   Gastos variables de distribución</v>
          </cell>
          <cell r="D312" t="str">
            <v>3115</v>
          </cell>
          <cell r="E312">
            <v>3664204</v>
          </cell>
          <cell r="F312">
            <v>2.4171278699750482</v>
          </cell>
          <cell r="G312">
            <v>4252004</v>
          </cell>
          <cell r="H312">
            <v>2.5809637145554181</v>
          </cell>
          <cell r="I312">
            <v>4759230.5870000003</v>
          </cell>
          <cell r="J312">
            <v>2.7116021688387968</v>
          </cell>
          <cell r="K312">
            <v>4730316.1704633385</v>
          </cell>
          <cell r="L312">
            <v>2.7184451096588442</v>
          </cell>
          <cell r="M312">
            <v>5110501.7379999999</v>
          </cell>
          <cell r="N312">
            <v>2.6929154874007732</v>
          </cell>
          <cell r="O312">
            <v>5623800.7310000006</v>
          </cell>
          <cell r="P312">
            <v>2.7113380417061279</v>
          </cell>
          <cell r="Q312">
            <v>6121784.1000000006</v>
          </cell>
          <cell r="R312">
            <v>2.7112880342315173</v>
          </cell>
          <cell r="S312">
            <v>4349186.2489999998</v>
          </cell>
          <cell r="T312" t="e">
            <v>#REF!</v>
          </cell>
        </row>
        <row r="313">
          <cell r="B313" t="str">
            <v xml:space="preserve">   Comisiones a agentes/vendedores</v>
          </cell>
          <cell r="D313" t="str">
            <v>3120</v>
          </cell>
          <cell r="E313">
            <v>0</v>
          </cell>
          <cell r="F313">
            <v>0</v>
          </cell>
          <cell r="G313">
            <v>160836</v>
          </cell>
          <cell r="H313">
            <v>9.7627349361438798E-2</v>
          </cell>
          <cell r="I313">
            <v>257582.52700000003</v>
          </cell>
          <cell r="J313">
            <v>0.14675929776885552</v>
          </cell>
          <cell r="K313">
            <v>257760.55899819799</v>
          </cell>
          <cell r="L313">
            <v>0.14813131000563673</v>
          </cell>
          <cell r="M313">
            <v>295765.44799999997</v>
          </cell>
          <cell r="N313">
            <v>0.15584993340965536</v>
          </cell>
          <cell r="O313">
            <v>339862.79099999997</v>
          </cell>
          <cell r="P313">
            <v>0.16385411899807209</v>
          </cell>
          <cell r="Q313">
            <v>409099.34800000011</v>
          </cell>
          <cell r="R313">
            <v>0.18118675028809256</v>
          </cell>
          <cell r="S313" t="e">
            <v>#REF!</v>
          </cell>
          <cell r="T313" t="e">
            <v>#REF!</v>
          </cell>
        </row>
        <row r="314">
          <cell r="B314" t="str">
            <v xml:space="preserve">   Otros gastos variables</v>
          </cell>
          <cell r="D314" t="str">
            <v>3125</v>
          </cell>
          <cell r="E314">
            <v>-2014</v>
          </cell>
          <cell r="F314">
            <v>-1.3285547229711413E-3</v>
          </cell>
          <cell r="G314">
            <v>132297</v>
          </cell>
          <cell r="H314">
            <v>8.0304194573791121E-2</v>
          </cell>
          <cell r="I314">
            <v>163134</v>
          </cell>
          <cell r="J314">
            <v>9.2946643396446177E-2</v>
          </cell>
          <cell r="K314">
            <v>163134</v>
          </cell>
          <cell r="L314">
            <v>9.3750778708656057E-2</v>
          </cell>
          <cell r="M314">
            <v>197703.87000000002</v>
          </cell>
          <cell r="N314">
            <v>0.10417760148349432</v>
          </cell>
          <cell r="O314">
            <v>224823.21899999998</v>
          </cell>
          <cell r="P314">
            <v>0.10839141987613353</v>
          </cell>
          <cell r="Q314">
            <v>248291.86800000002</v>
          </cell>
          <cell r="R314">
            <v>0.10996643457344263</v>
          </cell>
          <cell r="S314">
            <v>142494.16800000001</v>
          </cell>
          <cell r="T314" t="e">
            <v>#REF!</v>
          </cell>
        </row>
        <row r="315">
          <cell r="B315" t="str">
            <v xml:space="preserve">   Regalías / Asist. Técnica (Netas)</v>
          </cell>
          <cell r="D315" t="str">
            <v>3130</v>
          </cell>
          <cell r="E315">
            <v>3997697</v>
          </cell>
          <cell r="F315">
            <v>2.6371197767415899</v>
          </cell>
          <cell r="G315">
            <v>4459554</v>
          </cell>
          <cell r="H315">
            <v>2.7069464321060077</v>
          </cell>
          <cell r="I315">
            <v>4631071.9110000003</v>
          </cell>
          <cell r="J315">
            <v>2.6385829407420625</v>
          </cell>
          <cell r="K315">
            <v>4590296.1100594997</v>
          </cell>
          <cell r="L315">
            <v>2.637977581751155</v>
          </cell>
          <cell r="M315">
            <v>4800150.6580000008</v>
          </cell>
          <cell r="N315">
            <v>2.5293798361653574</v>
          </cell>
          <cell r="O315">
            <v>5229209.0180000002</v>
          </cell>
          <cell r="P315">
            <v>2.5210981001481971</v>
          </cell>
          <cell r="Q315">
            <v>5683958.2079999996</v>
          </cell>
          <cell r="R315">
            <v>2.517378532905532</v>
          </cell>
          <cell r="S315" t="e">
            <v>#REF!</v>
          </cell>
          <cell r="T315" t="e">
            <v>#REF!</v>
          </cell>
        </row>
        <row r="316">
          <cell r="B316" t="str">
            <v xml:space="preserve">   Impuesto sobre regalías / Asist. Tec.</v>
          </cell>
          <cell r="D316" t="str">
            <v>3135</v>
          </cell>
          <cell r="E316">
            <v>1949311</v>
          </cell>
          <cell r="F316">
            <v>1.2858819938379336</v>
          </cell>
          <cell r="G316">
            <v>1911239</v>
          </cell>
          <cell r="H316">
            <v>1.1601208533301433</v>
          </cell>
          <cell r="I316">
            <v>1984743.3909999998</v>
          </cell>
          <cell r="J316">
            <v>1.1308202839183146</v>
          </cell>
          <cell r="K316">
            <v>1950882.6161031998</v>
          </cell>
          <cell r="L316">
            <v>1.1211443624802622</v>
          </cell>
          <cell r="M316">
            <v>2075943.4900000007</v>
          </cell>
          <cell r="N316">
            <v>1.0938926668631952</v>
          </cell>
          <cell r="O316">
            <v>2261015.3059999999</v>
          </cell>
          <cell r="P316">
            <v>1.0900771747201545</v>
          </cell>
          <cell r="Q316">
            <v>2456962.48</v>
          </cell>
          <cell r="R316">
            <v>1.08816855736219</v>
          </cell>
          <cell r="S316" t="e">
            <v>#REF!</v>
          </cell>
          <cell r="T316" t="e">
            <v>#REF!</v>
          </cell>
        </row>
        <row r="317">
          <cell r="B317" t="str">
            <v>* TOTAL GASTOS VARIABLES</v>
          </cell>
          <cell r="D317" t="str">
            <v>3150</v>
          </cell>
          <cell r="E317">
            <v>89509051</v>
          </cell>
          <cell r="F317">
            <v>59.04551760412847</v>
          </cell>
          <cell r="G317">
            <v>95786531</v>
          </cell>
          <cell r="H317">
            <v>58.142363190189307</v>
          </cell>
          <cell r="I317">
            <v>104239999.92899999</v>
          </cell>
          <cell r="J317">
            <v>59.391408909524301</v>
          </cell>
          <cell r="K317">
            <v>101719612.81154649</v>
          </cell>
          <cell r="L317">
            <v>58.45680796783914</v>
          </cell>
          <cell r="M317">
            <v>110832745.24637161</v>
          </cell>
          <cell r="N317">
            <v>58.401940061153844</v>
          </cell>
          <cell r="O317">
            <v>121223998.07676119</v>
          </cell>
          <cell r="P317">
            <v>58.444324981406069</v>
          </cell>
          <cell r="Q317">
            <v>132136145.24274521</v>
          </cell>
          <cell r="R317">
            <v>58.522016398149823</v>
          </cell>
          <cell r="S317" t="e">
            <v>#REF!</v>
          </cell>
          <cell r="T317" t="e">
            <v>#REF!</v>
          </cell>
        </row>
        <row r="318">
          <cell r="B318" t="str">
            <v>* CONTRIBUCION MARGINAL</v>
          </cell>
          <cell r="D318" t="str">
            <v>3190</v>
          </cell>
          <cell r="E318">
            <v>62084253</v>
          </cell>
          <cell r="F318">
            <v>40.954482395871523</v>
          </cell>
          <cell r="G318">
            <v>68958288</v>
          </cell>
          <cell r="H318">
            <v>41.857636809810693</v>
          </cell>
          <cell r="I318">
            <v>71273600.173999995</v>
          </cell>
          <cell r="J318">
            <v>40.608591090475699</v>
          </cell>
          <cell r="K318">
            <v>72288541.837453499</v>
          </cell>
          <cell r="L318">
            <v>41.543192032160853</v>
          </cell>
          <cell r="M318">
            <v>78943048.383628383</v>
          </cell>
          <cell r="N318">
            <v>41.598059938846156</v>
          </cell>
          <cell r="O318">
            <v>86193913.098238826</v>
          </cell>
          <cell r="P318">
            <v>41.555675018593931</v>
          </cell>
          <cell r="Q318">
            <v>93652631.999254778</v>
          </cell>
          <cell r="R318">
            <v>41.477983601850177</v>
          </cell>
          <cell r="S318" t="e">
            <v>#REF!</v>
          </cell>
          <cell r="T318" t="e">
            <v>#REF!</v>
          </cell>
        </row>
        <row r="319">
          <cell r="B319" t="str">
            <v xml:space="preserve">   Publicidad Medios</v>
          </cell>
          <cell r="D319" t="str">
            <v>3205</v>
          </cell>
          <cell r="E319">
            <v>4077726</v>
          </cell>
          <cell r="F319">
            <v>2.6899116863367527</v>
          </cell>
          <cell r="G319">
            <v>3884261</v>
          </cell>
          <cell r="H319">
            <v>2.3577439482330549</v>
          </cell>
          <cell r="I319">
            <v>4904318</v>
          </cell>
          <cell r="J319">
            <v>2.7942666534797906</v>
          </cell>
          <cell r="K319">
            <v>4904318</v>
          </cell>
          <cell r="L319">
            <v>2.8184414747071651</v>
          </cell>
          <cell r="M319">
            <v>5531732.8627567776</v>
          </cell>
          <cell r="N319">
            <v>2.9148780025875305</v>
          </cell>
          <cell r="O319">
            <v>6494026.6539424211</v>
          </cell>
          <cell r="P319">
            <v>3.130890007113881</v>
          </cell>
          <cell r="Q319">
            <v>6953907.3858574415</v>
          </cell>
          <cell r="R319">
            <v>3.079828621598963</v>
          </cell>
          <cell r="S319">
            <v>4439100</v>
          </cell>
          <cell r="T319" t="e">
            <v>#REF!</v>
          </cell>
        </row>
        <row r="320">
          <cell r="B320" t="str">
            <v xml:space="preserve">   Otras promociones</v>
          </cell>
          <cell r="D320" t="str">
            <v>3210</v>
          </cell>
          <cell r="E320">
            <v>4186042</v>
          </cell>
          <cell r="F320">
            <v>2.7613633910901498</v>
          </cell>
          <cell r="G320">
            <v>5020917</v>
          </cell>
          <cell r="H320">
            <v>3.047693414868482</v>
          </cell>
          <cell r="I320">
            <v>4212278.9809999997</v>
          </cell>
          <cell r="J320">
            <v>2.3999729813120054</v>
          </cell>
          <cell r="K320">
            <v>4212278.9809999997</v>
          </cell>
          <cell r="L320">
            <v>2.4207365393287374</v>
          </cell>
          <cell r="M320">
            <v>4535833.8889513174</v>
          </cell>
          <cell r="N320">
            <v>2.3901013939610722</v>
          </cell>
          <cell r="O320">
            <v>5345693.4588405201</v>
          </cell>
          <cell r="P320">
            <v>2.5772573971831774</v>
          </cell>
          <cell r="Q320">
            <v>5787513.0322117461</v>
          </cell>
          <cell r="R320">
            <v>2.5632421163292363</v>
          </cell>
          <cell r="S320">
            <v>4832260</v>
          </cell>
          <cell r="T320" t="e">
            <v>#REF!</v>
          </cell>
        </row>
        <row r="321">
          <cell r="B321" t="str">
            <v xml:space="preserve">   Estudios de Mercado</v>
          </cell>
          <cell r="D321" t="str">
            <v>3215</v>
          </cell>
          <cell r="E321">
            <v>389474</v>
          </cell>
          <cell r="F321">
            <v>0.25692031885524447</v>
          </cell>
          <cell r="G321">
            <v>418317</v>
          </cell>
          <cell r="H321">
            <v>0.25391815204822921</v>
          </cell>
          <cell r="I321">
            <v>436351</v>
          </cell>
          <cell r="J321">
            <v>0.24861378248974886</v>
          </cell>
          <cell r="K321">
            <v>436351</v>
          </cell>
          <cell r="L321">
            <v>0.25076468449434686</v>
          </cell>
          <cell r="M321">
            <v>490612.43936051597</v>
          </cell>
          <cell r="N321">
            <v>0.25852213813793762</v>
          </cell>
          <cell r="O321">
            <v>580122.66837307485</v>
          </cell>
          <cell r="P321">
            <v>0.27968783654542789</v>
          </cell>
          <cell r="Q321">
            <v>626317.08370169718</v>
          </cell>
          <cell r="R321">
            <v>0.27739070619546857</v>
          </cell>
          <cell r="S321">
            <v>454600</v>
          </cell>
          <cell r="T321" t="e">
            <v>#REF!</v>
          </cell>
        </row>
        <row r="322">
          <cell r="B322" t="str">
            <v xml:space="preserve">   Reserva producto</v>
          </cell>
          <cell r="D322" t="str">
            <v>3220</v>
          </cell>
          <cell r="E322">
            <v>0</v>
          </cell>
          <cell r="F322">
            <v>0</v>
          </cell>
          <cell r="G322">
            <v>0</v>
          </cell>
          <cell r="H322">
            <v>0</v>
          </cell>
          <cell r="I322">
            <v>596000</v>
          </cell>
          <cell r="J322">
            <v>0.33957482477154932</v>
          </cell>
          <cell r="K322">
            <v>298000</v>
          </cell>
          <cell r="L322">
            <v>0.17125634175082757</v>
          </cell>
          <cell r="M322">
            <v>944565.80893139064</v>
          </cell>
          <cell r="N322">
            <v>0.49772723426096244</v>
          </cell>
          <cell r="O322">
            <v>1195505.2188439877</v>
          </cell>
          <cell r="P322">
            <v>0.57637511248261064</v>
          </cell>
          <cell r="Q322">
            <v>1476687.4982291176</v>
          </cell>
          <cell r="R322">
            <v>0.65401279738824514</v>
          </cell>
          <cell r="S322">
            <v>0</v>
          </cell>
          <cell r="T322" t="e">
            <v>#REF!</v>
          </cell>
        </row>
        <row r="323">
          <cell r="B323" t="str">
            <v>* TOTAL GASTOS FIJOS MARK. PRODUCTOS</v>
          </cell>
          <cell r="D323" t="str">
            <v>3225</v>
          </cell>
          <cell r="E323">
            <v>8653242</v>
          </cell>
          <cell r="F323">
            <v>5.7081953962821474</v>
          </cell>
          <cell r="G323">
            <v>9323495</v>
          </cell>
          <cell r="H323">
            <v>5.6593555151497661</v>
          </cell>
          <cell r="I323">
            <v>10148947.980999999</v>
          </cell>
          <cell r="J323">
            <v>5.7824282420530935</v>
          </cell>
          <cell r="K323">
            <v>9850947.9809999987</v>
          </cell>
          <cell r="L323">
            <v>5.6611990402810761</v>
          </cell>
          <cell r="M323">
            <v>11502745</v>
          </cell>
          <cell r="N323">
            <v>6.061228768947502</v>
          </cell>
          <cell r="O323">
            <v>13615348.000000002</v>
          </cell>
          <cell r="P323">
            <v>6.5642103533250964</v>
          </cell>
          <cell r="Q323">
            <v>14844425.000000002</v>
          </cell>
          <cell r="R323">
            <v>6.5744742415119131</v>
          </cell>
          <cell r="S323">
            <v>9725960</v>
          </cell>
          <cell r="T323" t="e">
            <v>#REF!</v>
          </cell>
        </row>
        <row r="324">
          <cell r="B324" t="str">
            <v xml:space="preserve">   Gastos fijos fabricación</v>
          </cell>
          <cell r="D324" t="str">
            <v>3250</v>
          </cell>
          <cell r="E324">
            <v>7800304</v>
          </cell>
          <cell r="F324">
            <v>5.1455465341661792</v>
          </cell>
          <cell r="G324">
            <v>8821812</v>
          </cell>
          <cell r="H324">
            <v>5.3548342543021032</v>
          </cell>
          <cell r="I324">
            <v>10122848.482000001</v>
          </cell>
          <cell r="J324">
            <v>5.7675578850068696</v>
          </cell>
          <cell r="K324">
            <v>9946848.4820000008</v>
          </cell>
          <cell r="L324">
            <v>5.7163116878425928</v>
          </cell>
          <cell r="M324">
            <v>9967362.1196639892</v>
          </cell>
          <cell r="N324">
            <v>5.2521778088816991</v>
          </cell>
          <cell r="O324">
            <v>10533862.369512167</v>
          </cell>
          <cell r="P324">
            <v>5.078569304762051</v>
          </cell>
          <cell r="Q324">
            <v>11401895.873673506</v>
          </cell>
          <cell r="R324">
            <v>5.0498062892882301</v>
          </cell>
          <cell r="S324">
            <v>9183269.0840000007</v>
          </cell>
          <cell r="T324" t="e">
            <v>#REF!</v>
          </cell>
        </row>
        <row r="325">
          <cell r="B325" t="str">
            <v xml:space="preserve">   Amortización activo fijo fábricas</v>
          </cell>
          <cell r="D325" t="str">
            <v>3255</v>
          </cell>
          <cell r="E325">
            <v>3146553</v>
          </cell>
          <cell r="F325">
            <v>2.0756543442050712</v>
          </cell>
          <cell r="G325">
            <v>3344451</v>
          </cell>
          <cell r="H325">
            <v>2.0300796227163902</v>
          </cell>
          <cell r="I325">
            <v>3795413</v>
          </cell>
          <cell r="J325">
            <v>2.1624609134407051</v>
          </cell>
          <cell r="K325">
            <v>3676170.6541861678</v>
          </cell>
          <cell r="L325">
            <v>2.112642744589496</v>
          </cell>
          <cell r="M325">
            <v>4425955.7033857387</v>
          </cell>
          <cell r="N325">
            <v>2.3322024472809675</v>
          </cell>
          <cell r="O325">
            <v>4786743.7268827818</v>
          </cell>
          <cell r="P325">
            <v>2.3077774237366468</v>
          </cell>
          <cell r="Q325">
            <v>4933702.2805571575</v>
          </cell>
          <cell r="R325">
            <v>2.1850963280027091</v>
          </cell>
          <cell r="S325">
            <v>3499604.074</v>
          </cell>
          <cell r="T325" t="e">
            <v>#REF!</v>
          </cell>
        </row>
        <row r="326">
          <cell r="B326" t="str">
            <v xml:space="preserve">   Otros gastos fijos de los productos</v>
          </cell>
          <cell r="D326" t="str">
            <v>3260</v>
          </cell>
          <cell r="E326">
            <v>1400973</v>
          </cell>
          <cell r="F326">
            <v>0.92416548952584332</v>
          </cell>
          <cell r="G326">
            <v>823230</v>
          </cell>
          <cell r="H326">
            <v>0.49970008465031002</v>
          </cell>
          <cell r="I326">
            <v>458533.103</v>
          </cell>
          <cell r="J326">
            <v>0.26125217802546941</v>
          </cell>
          <cell r="K326">
            <v>458533.103</v>
          </cell>
          <cell r="L326">
            <v>0.26351242211891085</v>
          </cell>
          <cell r="M326">
            <v>514483.59756304335</v>
          </cell>
          <cell r="N326">
            <v>0.2711007487952421</v>
          </cell>
          <cell r="O326">
            <v>572637.33935674862</v>
          </cell>
          <cell r="P326">
            <v>0.27607902138866408</v>
          </cell>
          <cell r="Q326">
            <v>632619.70415773545</v>
          </cell>
          <cell r="R326">
            <v>0.28018208517055515</v>
          </cell>
          <cell r="S326">
            <v>783999.50210399996</v>
          </cell>
          <cell r="T326" t="e">
            <v>#REF!</v>
          </cell>
        </row>
        <row r="327">
          <cell r="B327" t="str">
            <v xml:space="preserve">   Productos Defectuosos</v>
          </cell>
          <cell r="D327" t="str">
            <v>3261</v>
          </cell>
          <cell r="E327">
            <v>971331</v>
          </cell>
          <cell r="F327">
            <v>0.6407479581024238</v>
          </cell>
          <cell r="G327">
            <v>1456532</v>
          </cell>
          <cell r="H327">
            <v>0.88411399450443406</v>
          </cell>
          <cell r="I327">
            <v>1046881</v>
          </cell>
          <cell r="J327">
            <v>0.59646716800614819</v>
          </cell>
          <cell r="K327">
            <v>942581</v>
          </cell>
          <cell r="L327">
            <v>0.54168783175784163</v>
          </cell>
          <cell r="M327">
            <v>980842.18123922113</v>
          </cell>
          <cell r="N327">
            <v>0.51684261858577119</v>
          </cell>
          <cell r="O327">
            <v>1051971.2049531643</v>
          </cell>
          <cell r="P327">
            <v>0.50717471745514231</v>
          </cell>
          <cell r="Q327">
            <v>1053110.4541227326</v>
          </cell>
          <cell r="R327">
            <v>0.46641399408173895</v>
          </cell>
          <cell r="S327">
            <v>1261595</v>
          </cell>
          <cell r="T327" t="e">
            <v>#REF!</v>
          </cell>
        </row>
        <row r="328">
          <cell r="B328" t="str">
            <v xml:space="preserve">   Interés Operacional</v>
          </cell>
          <cell r="D328" t="str">
            <v>3265</v>
          </cell>
          <cell r="E328">
            <v>3455803</v>
          </cell>
          <cell r="F328">
            <v>2.2796541198152132</v>
          </cell>
          <cell r="G328">
            <v>3528607</v>
          </cell>
          <cell r="H328">
            <v>2.1418621971960166</v>
          </cell>
          <cell r="I328">
            <v>3473700.199</v>
          </cell>
          <cell r="J328">
            <v>1.9791629805106057</v>
          </cell>
          <cell r="K328">
            <v>3250251.173</v>
          </cell>
          <cell r="L328">
            <v>1.8678729048970344</v>
          </cell>
          <cell r="M328">
            <v>3580018.2576259025</v>
          </cell>
          <cell r="N328">
            <v>1.8864462053604969</v>
          </cell>
          <cell r="O328">
            <v>3518420.3492949912</v>
          </cell>
          <cell r="P328">
            <v>1.6962953340738613</v>
          </cell>
          <cell r="Q328">
            <v>3793189.9851468164</v>
          </cell>
          <cell r="R328">
            <v>1.6799727743249535</v>
          </cell>
          <cell r="S328">
            <v>3590324.541679</v>
          </cell>
          <cell r="T328" t="e">
            <v>#REF!</v>
          </cell>
        </row>
        <row r="329">
          <cell r="B329" t="str">
            <v>* TOTAL GASTOS ESPECIFICOS</v>
          </cell>
          <cell r="D329" t="str">
            <v>3270</v>
          </cell>
          <cell r="E329">
            <v>25428206</v>
          </cell>
          <cell r="F329">
            <v>16.77396384209688</v>
          </cell>
          <cell r="G329">
            <v>27298127</v>
          </cell>
          <cell r="H329">
            <v>16.569945668519022</v>
          </cell>
          <cell r="I329">
            <v>29046323.765000001</v>
          </cell>
          <cell r="J329">
            <v>16.54932936704289</v>
          </cell>
          <cell r="K329">
            <v>28125332.393186167</v>
          </cell>
          <cell r="L329">
            <v>16.163226631486953</v>
          </cell>
          <cell r="M329">
            <v>30971406.8594779</v>
          </cell>
          <cell r="N329">
            <v>16.319998597851683</v>
          </cell>
          <cell r="O329">
            <v>34078982.989999861</v>
          </cell>
          <cell r="P329">
            <v>16.430106154741463</v>
          </cell>
          <cell r="Q329">
            <v>36658943.297657944</v>
          </cell>
          <cell r="R329">
            <v>16.235945712380097</v>
          </cell>
          <cell r="S329">
            <v>28044752.201782998</v>
          </cell>
          <cell r="T329" t="e">
            <v>#REF!</v>
          </cell>
        </row>
        <row r="330">
          <cell r="B330" t="str">
            <v>* CONTRIBUCION DEL PRODUCTO</v>
          </cell>
          <cell r="D330" t="str">
            <v>3290</v>
          </cell>
          <cell r="E330">
            <v>36656047</v>
          </cell>
          <cell r="F330">
            <v>24.180518553774643</v>
          </cell>
          <cell r="G330">
            <v>41660161</v>
          </cell>
          <cell r="H330">
            <v>25.287691141291674</v>
          </cell>
          <cell r="I330">
            <v>42227276.408999994</v>
          </cell>
          <cell r="J330">
            <v>24.059261723432805</v>
          </cell>
          <cell r="K330">
            <v>44163209.444267333</v>
          </cell>
          <cell r="L330">
            <v>25.379965400673903</v>
          </cell>
          <cell r="M330">
            <v>47971641.524150483</v>
          </cell>
          <cell r="N330">
            <v>25.278061340994473</v>
          </cell>
          <cell r="O330">
            <v>52114930.108238965</v>
          </cell>
          <cell r="P330">
            <v>25.125568863852465</v>
          </cell>
          <cell r="Q330">
            <v>56993688.701596834</v>
          </cell>
          <cell r="R330">
            <v>25.242037889470083</v>
          </cell>
          <cell r="S330" t="e">
            <v>#REF!</v>
          </cell>
          <cell r="T330" t="e">
            <v>#REF!</v>
          </cell>
        </row>
        <row r="331">
          <cell r="B331" t="str">
            <v xml:space="preserve">   Gastos fijos de distribución</v>
          </cell>
          <cell r="D331" t="str">
            <v>3305</v>
          </cell>
          <cell r="E331">
            <v>2365082</v>
          </cell>
          <cell r="F331">
            <v>1.5601493849622803</v>
          </cell>
          <cell r="G331">
            <v>2719576</v>
          </cell>
          <cell r="H331">
            <v>1.6507808964845203</v>
          </cell>
          <cell r="I331">
            <v>2967482.753</v>
          </cell>
          <cell r="J331">
            <v>1.6907423420512915</v>
          </cell>
          <cell r="K331">
            <v>2967482.753</v>
          </cell>
          <cell r="L331">
            <v>1.70536993452166</v>
          </cell>
          <cell r="M331">
            <v>3220023.2905036053</v>
          </cell>
          <cell r="N331">
            <v>1.6967513237128573</v>
          </cell>
          <cell r="O331">
            <v>3350832.0969579993</v>
          </cell>
          <cell r="P331">
            <v>1.6154979471039401</v>
          </cell>
          <cell r="Q331">
            <v>3693451.0140848747</v>
          </cell>
          <cell r="R331">
            <v>1.6357992010055666</v>
          </cell>
          <cell r="S331">
            <v>2702235.6719279997</v>
          </cell>
          <cell r="T331" t="e">
            <v>#REF!</v>
          </cell>
        </row>
        <row r="332">
          <cell r="B332" t="str">
            <v xml:space="preserve">   Gastos generales marketing</v>
          </cell>
          <cell r="D332" t="str">
            <v>3310</v>
          </cell>
          <cell r="E332">
            <v>4597570</v>
          </cell>
          <cell r="F332">
            <v>3.0328318459237487</v>
          </cell>
          <cell r="G332">
            <v>5444167</v>
          </cell>
          <cell r="H332">
            <v>3.3046058947686849</v>
          </cell>
          <cell r="I332">
            <v>5478335.0630000001</v>
          </cell>
          <cell r="J332">
            <v>3.1213165588222473</v>
          </cell>
          <cell r="K332">
            <v>5287636.3357949993</v>
          </cell>
          <cell r="L332">
            <v>3.0387290448892688</v>
          </cell>
          <cell r="M332">
            <v>5846435.8518075068</v>
          </cell>
          <cell r="N332">
            <v>3.0807068383052703</v>
          </cell>
          <cell r="O332">
            <v>6183188.7397474544</v>
          </cell>
          <cell r="P332">
            <v>2.9810293164753032</v>
          </cell>
          <cell r="Q332">
            <v>6526859.9747614227</v>
          </cell>
          <cell r="R332">
            <v>2.8906928211785949</v>
          </cell>
          <cell r="S332">
            <v>5506134.0385919996</v>
          </cell>
          <cell r="T332" t="e">
            <v>#REF!</v>
          </cell>
        </row>
        <row r="333">
          <cell r="B333" t="str">
            <v xml:space="preserve">   Otros gastos generales</v>
          </cell>
          <cell r="D333" t="str">
            <v>3315</v>
          </cell>
          <cell r="E333">
            <v>697614</v>
          </cell>
          <cell r="F333">
            <v>0.46018787215034251</v>
          </cell>
          <cell r="G333">
            <v>719493</v>
          </cell>
          <cell r="H333">
            <v>0.43673179185076527</v>
          </cell>
          <cell r="I333">
            <v>753914</v>
          </cell>
          <cell r="J333">
            <v>0.42954733966915748</v>
          </cell>
          <cell r="K333">
            <v>726144.18200000003</v>
          </cell>
          <cell r="L333">
            <v>0.41730468521129921</v>
          </cell>
          <cell r="M333">
            <v>785865.56697470031</v>
          </cell>
          <cell r="N333">
            <v>0.41410211067639013</v>
          </cell>
          <cell r="O333">
            <v>820930.68047303322</v>
          </cell>
          <cell r="P333">
            <v>0.3957858199528429</v>
          </cell>
          <cell r="Q333">
            <v>854854.43522273214</v>
          </cell>
          <cell r="R333">
            <v>0.37860802723002518</v>
          </cell>
          <cell r="S333">
            <v>764779.10138499993</v>
          </cell>
          <cell r="T333" t="e">
            <v>#REF!</v>
          </cell>
        </row>
        <row r="334">
          <cell r="B334" t="str">
            <v xml:space="preserve">   Pérdida y provisión sobre deudores</v>
          </cell>
          <cell r="D334" t="str">
            <v>3320</v>
          </cell>
          <cell r="E334">
            <v>264600</v>
          </cell>
          <cell r="F334">
            <v>0.17454596807257397</v>
          </cell>
          <cell r="G334">
            <v>151757</v>
          </cell>
          <cell r="H334">
            <v>9.2116402155262914E-2</v>
          </cell>
          <cell r="I334">
            <v>125000.76200000002</v>
          </cell>
          <cell r="J334">
            <v>7.1219986329631127E-2</v>
          </cell>
          <cell r="K334">
            <v>125000.76200000002</v>
          </cell>
          <cell r="L334">
            <v>7.1836151732167328E-2</v>
          </cell>
          <cell r="M334">
            <v>129644.08310874295</v>
          </cell>
          <cell r="N334">
            <v>6.8314341164872699E-2</v>
          </cell>
          <cell r="O334">
            <v>132408.66239762347</v>
          </cell>
          <cell r="P334">
            <v>6.383665790844327E-2</v>
          </cell>
          <cell r="Q334">
            <v>134479.75388481884</v>
          </cell>
          <cell r="R334">
            <v>5.9559981469178021E-2</v>
          </cell>
          <cell r="S334">
            <v>161000.46907529401</v>
          </cell>
          <cell r="T334" t="e">
            <v>#REF!</v>
          </cell>
        </row>
        <row r="335">
          <cell r="B335" t="str">
            <v xml:space="preserve">   Reserva general para riesgos</v>
          </cell>
          <cell r="D335" t="str">
            <v>3335</v>
          </cell>
          <cell r="E335">
            <v>0</v>
          </cell>
          <cell r="F335">
            <v>0</v>
          </cell>
          <cell r="G335">
            <v>0</v>
          </cell>
          <cell r="H335">
            <v>0</v>
          </cell>
          <cell r="I335">
            <v>1500000</v>
          </cell>
          <cell r="J335">
            <v>0.85463462610289254</v>
          </cell>
          <cell r="K335">
            <v>1500000</v>
          </cell>
          <cell r="L335">
            <v>0.86202856585987031</v>
          </cell>
          <cell r="M335">
            <v>1500000</v>
          </cell>
          <cell r="N335">
            <v>0.79040639025043602</v>
          </cell>
          <cell r="O335">
            <v>1500000</v>
          </cell>
          <cell r="P335">
            <v>0.72317766170851028</v>
          </cell>
          <cell r="Q335">
            <v>1500000</v>
          </cell>
          <cell r="R335">
            <v>0.6643377134693913</v>
          </cell>
          <cell r="S335">
            <v>0</v>
          </cell>
          <cell r="T335" t="e">
            <v>#REF!</v>
          </cell>
        </row>
        <row r="336">
          <cell r="B336" t="str">
            <v>* TOTAL GTOS. FIJOS COMUNES</v>
          </cell>
          <cell r="D336" t="str">
            <v>3340</v>
          </cell>
          <cell r="E336">
            <v>7924866</v>
          </cell>
          <cell r="F336">
            <v>5.2277150711089453</v>
          </cell>
          <cell r="G336">
            <v>9034993</v>
          </cell>
          <cell r="H336">
            <v>5.4842349852592331</v>
          </cell>
          <cell r="I336">
            <v>10824732.578</v>
          </cell>
          <cell r="J336">
            <v>6.1674608529752195</v>
          </cell>
          <cell r="K336">
            <v>10606264.032794999</v>
          </cell>
          <cell r="L336">
            <v>6.0952683822142655</v>
          </cell>
          <cell r="M336">
            <v>11481968.792394554</v>
          </cell>
          <cell r="N336">
            <v>6.0502810041098254</v>
          </cell>
          <cell r="O336">
            <v>11987360.17957611</v>
          </cell>
          <cell r="P336">
            <v>5.7793274031490398</v>
          </cell>
          <cell r="Q336">
            <v>12709645.177953849</v>
          </cell>
          <cell r="R336">
            <v>5.6289977443527563</v>
          </cell>
          <cell r="S336">
            <v>9134149.2809802927</v>
          </cell>
          <cell r="T336" t="e">
            <v>#REF!</v>
          </cell>
        </row>
        <row r="337">
          <cell r="B337" t="str">
            <v>* CONTRIBUCION DIVISIONAL</v>
          </cell>
          <cell r="D337" t="str">
            <v>-</v>
          </cell>
          <cell r="E337">
            <v>28731181</v>
          </cell>
          <cell r="F337">
            <v>18.952803482665697</v>
          </cell>
          <cell r="G337">
            <v>32625168</v>
          </cell>
          <cell r="H337">
            <v>19.803456156032439</v>
          </cell>
          <cell r="I337">
            <v>31402543.830999993</v>
          </cell>
          <cell r="J337">
            <v>17.891800870457583</v>
          </cell>
          <cell r="K337">
            <v>33556945.411472335</v>
          </cell>
          <cell r="L337">
            <v>19.284697018459639</v>
          </cell>
          <cell r="M337">
            <v>36489672.731755927</v>
          </cell>
          <cell r="N337">
            <v>19.227780336884649</v>
          </cell>
          <cell r="O337">
            <v>40127569.928662851</v>
          </cell>
          <cell r="P337">
            <v>19.346241460703421</v>
          </cell>
          <cell r="Q337">
            <v>44284043.523642987</v>
          </cell>
          <cell r="R337">
            <v>19.613040145117324</v>
          </cell>
          <cell r="S337" t="e">
            <v>#REF!</v>
          </cell>
          <cell r="T337" t="e">
            <v>#REF!</v>
          </cell>
        </row>
        <row r="338">
          <cell r="B338" t="str">
            <v xml:space="preserve">   Gastos Corporativos</v>
          </cell>
          <cell r="D338" t="str">
            <v>33151</v>
          </cell>
          <cell r="E338">
            <v>5701000</v>
          </cell>
          <cell r="F338">
            <v>3.7607201964540602</v>
          </cell>
          <cell r="G338">
            <v>5921313</v>
          </cell>
          <cell r="H338">
            <v>3.5942332122747973</v>
          </cell>
          <cell r="I338">
            <v>6119901.4509999994</v>
          </cell>
          <cell r="J338">
            <v>3.4868531255746231</v>
          </cell>
          <cell r="K338">
            <v>5893465.0973129999</v>
          </cell>
          <cell r="L338">
            <v>3.3868901771879512</v>
          </cell>
          <cell r="M338">
            <v>6155626.9765511733</v>
          </cell>
          <cell r="N338">
            <v>3.2436312655093462</v>
          </cell>
          <cell r="O338">
            <v>6414017.7277445113</v>
          </cell>
          <cell r="P338">
            <v>3.0923162283381389</v>
          </cell>
          <cell r="Q338">
            <v>6660764.564496858</v>
          </cell>
          <cell r="R338">
            <v>2.9499980671571921</v>
          </cell>
          <cell r="S338">
            <v>5866000</v>
          </cell>
          <cell r="T338" t="e">
            <v>#REF!</v>
          </cell>
        </row>
        <row r="339">
          <cell r="B339" t="str">
            <v>* RESULTADO EXPLOTACION</v>
          </cell>
          <cell r="D339" t="str">
            <v>3390</v>
          </cell>
          <cell r="E339">
            <v>23030181</v>
          </cell>
          <cell r="F339">
            <v>15.192083286211638</v>
          </cell>
          <cell r="G339">
            <v>26703855</v>
          </cell>
          <cell r="H339">
            <v>16.209222943757641</v>
          </cell>
          <cell r="I339">
            <v>25282642.379999995</v>
          </cell>
          <cell r="J339">
            <v>14.404947744882962</v>
          </cell>
          <cell r="K339">
            <v>27663480.314159334</v>
          </cell>
          <cell r="L339">
            <v>15.897806841271686</v>
          </cell>
          <cell r="M339">
            <v>30334045.755204752</v>
          </cell>
          <cell r="N339">
            <v>15.984149071375301</v>
          </cell>
          <cell r="O339">
            <v>33713552.200918339</v>
          </cell>
          <cell r="P339">
            <v>16.253925232365283</v>
          </cell>
          <cell r="Q339">
            <v>37623278.959146127</v>
          </cell>
          <cell r="R339">
            <v>16.663042077960132</v>
          </cell>
          <cell r="S339" t="e">
            <v>#REF!</v>
          </cell>
          <cell r="T339" t="e">
            <v>#REF!</v>
          </cell>
        </row>
        <row r="344">
          <cell r="B344">
            <v>0</v>
          </cell>
          <cell r="D344">
            <v>0</v>
          </cell>
          <cell r="E344">
            <v>0</v>
          </cell>
        </row>
        <row r="345">
          <cell r="B345" t="str">
            <v xml:space="preserve"> DIVISIÓN LBCF</v>
          </cell>
          <cell r="C345" t="str">
            <v>ESTADOS DE INGRESOS</v>
          </cell>
        </row>
        <row r="346">
          <cell r="B346" t="str">
            <v xml:space="preserve"> CONTRALORÍA</v>
          </cell>
          <cell r="C346" t="str">
            <v>REFRIGERADOS (CON MANT/MARG)</v>
          </cell>
        </row>
        <row r="347">
          <cell r="B347" t="str">
            <v xml:space="preserve">  IMPORTES EN  :  $ MILES  DE CADA  AÑO</v>
          </cell>
          <cell r="D347">
            <v>0</v>
          </cell>
          <cell r="E347">
            <v>0</v>
          </cell>
        </row>
        <row r="348">
          <cell r="D348" t="str">
            <v>COD.</v>
          </cell>
          <cell r="E348" t="str">
            <v xml:space="preserve">EFECTIVO </v>
          </cell>
          <cell r="G348" t="str">
            <v>EFECTIVO</v>
          </cell>
          <cell r="I348" t="str">
            <v>P.O.</v>
          </cell>
          <cell r="K348" t="str">
            <v>STATUS REPORT</v>
          </cell>
          <cell r="M348" t="str">
            <v>PLP</v>
          </cell>
          <cell r="O348" t="str">
            <v>PLP</v>
          </cell>
          <cell r="Q348" t="str">
            <v>PLP</v>
          </cell>
          <cell r="S348" t="str">
            <v>REV.DIC</v>
          </cell>
        </row>
        <row r="349">
          <cell r="E349">
            <v>1997</v>
          </cell>
          <cell r="F349" t="str">
            <v>%</v>
          </cell>
          <cell r="G349">
            <v>1998</v>
          </cell>
          <cell r="H349" t="str">
            <v>%</v>
          </cell>
          <cell r="I349">
            <v>1999</v>
          </cell>
          <cell r="J349" t="str">
            <v>%</v>
          </cell>
          <cell r="K349">
            <v>1999</v>
          </cell>
          <cell r="L349" t="str">
            <v>%</v>
          </cell>
          <cell r="M349">
            <v>2000</v>
          </cell>
          <cell r="N349" t="str">
            <v>%</v>
          </cell>
          <cell r="O349">
            <v>2001</v>
          </cell>
          <cell r="P349" t="str">
            <v>%</v>
          </cell>
          <cell r="Q349">
            <v>2002</v>
          </cell>
          <cell r="R349" t="str">
            <v>%</v>
          </cell>
          <cell r="S349">
            <v>1998</v>
          </cell>
          <cell r="T349" t="str">
            <v>%</v>
          </cell>
        </row>
        <row r="350">
          <cell r="B350" t="str">
            <v xml:space="preserve">   VOLUMEN DE VENTAS               (Tns.)</v>
          </cell>
          <cell r="D350" t="str">
            <v>3000</v>
          </cell>
          <cell r="E350">
            <v>35552</v>
          </cell>
          <cell r="G350">
            <v>34281</v>
          </cell>
          <cell r="I350">
            <v>36973.998</v>
          </cell>
          <cell r="K350">
            <v>35600</v>
          </cell>
          <cell r="M350">
            <v>36884.400000000001</v>
          </cell>
          <cell r="O350">
            <v>38048</v>
          </cell>
          <cell r="Q350">
            <v>39205</v>
          </cell>
          <cell r="S350">
            <v>35384.629000000001</v>
          </cell>
        </row>
        <row r="351">
          <cell r="B351" t="str">
            <v xml:space="preserve">   PRODUCTO BRUTO DE LAS VENTAS</v>
          </cell>
          <cell r="D351" t="str">
            <v>3001</v>
          </cell>
          <cell r="E351">
            <v>32239802</v>
          </cell>
          <cell r="F351">
            <v>105.44396055704451</v>
          </cell>
          <cell r="G351">
            <v>31568586</v>
          </cell>
          <cell r="H351">
            <v>105.68228940923296</v>
          </cell>
          <cell r="I351">
            <v>35260330.403999999</v>
          </cell>
          <cell r="J351">
            <v>105.12404459863237</v>
          </cell>
          <cell r="K351">
            <v>33720367.095543481</v>
          </cell>
          <cell r="L351">
            <v>105.12392213170745</v>
          </cell>
          <cell r="M351">
            <v>35923922.310175143</v>
          </cell>
          <cell r="N351">
            <v>105.12553255555861</v>
          </cell>
          <cell r="O351">
            <v>38514366.263420001</v>
          </cell>
          <cell r="P351">
            <v>105.1258885512953</v>
          </cell>
          <cell r="Q351">
            <v>41122182.339120001</v>
          </cell>
          <cell r="R351">
            <v>105.12594283435996</v>
          </cell>
          <cell r="S351" t="e">
            <v>#REF!</v>
          </cell>
          <cell r="T351" t="e">
            <v>#REF!</v>
          </cell>
        </row>
        <row r="352">
          <cell r="B352" t="str">
            <v xml:space="preserve">   Reducciones de precio</v>
          </cell>
          <cell r="D352" t="str">
            <v>3002</v>
          </cell>
          <cell r="E352">
            <v>1664507</v>
          </cell>
          <cell r="F352">
            <v>5.4439605570445027</v>
          </cell>
          <cell r="G352">
            <v>1697369</v>
          </cell>
          <cell r="H352">
            <v>5.6822894092329745</v>
          </cell>
          <cell r="I352">
            <v>1718688.6810000001</v>
          </cell>
          <cell r="J352">
            <v>5.1240445986323619</v>
          </cell>
          <cell r="K352">
            <v>1643589.1255434873</v>
          </cell>
          <cell r="L352">
            <v>5.1239221317074435</v>
          </cell>
          <cell r="M352">
            <v>1751517.7221751402</v>
          </cell>
          <cell r="N352">
            <v>5.125532555558598</v>
          </cell>
          <cell r="O352">
            <v>1877942.26342</v>
          </cell>
          <cell r="P352">
            <v>5.1258885512952901</v>
          </cell>
          <cell r="Q352">
            <v>2005118.3391199999</v>
          </cell>
          <cell r="R352">
            <v>5.1259428343599609</v>
          </cell>
          <cell r="S352" t="e">
            <v>#REF!</v>
          </cell>
          <cell r="T352" t="e">
            <v>#REF!</v>
          </cell>
        </row>
        <row r="353">
          <cell r="B353" t="str">
            <v>* PRODUCTO NETO DE LAS VENTAS (PNV)</v>
          </cell>
          <cell r="D353" t="str">
            <v>3030</v>
          </cell>
          <cell r="E353">
            <v>30575295</v>
          </cell>
          <cell r="F353">
            <v>100</v>
          </cell>
          <cell r="G353">
            <v>29871217</v>
          </cell>
          <cell r="H353">
            <v>100</v>
          </cell>
          <cell r="I353">
            <v>33541641.722999997</v>
          </cell>
          <cell r="J353">
            <v>100</v>
          </cell>
          <cell r="K353">
            <v>32076777.969999995</v>
          </cell>
          <cell r="L353">
            <v>100</v>
          </cell>
          <cell r="M353">
            <v>34172404.588</v>
          </cell>
          <cell r="N353">
            <v>100</v>
          </cell>
          <cell r="O353">
            <v>36636424</v>
          </cell>
          <cell r="P353">
            <v>100</v>
          </cell>
          <cell r="Q353">
            <v>39117064</v>
          </cell>
          <cell r="R353">
            <v>100</v>
          </cell>
          <cell r="S353" t="e">
            <v>#REF!</v>
          </cell>
          <cell r="T353" t="e">
            <v>#REF!</v>
          </cell>
        </row>
        <row r="354">
          <cell r="B354" t="str">
            <v xml:space="preserve">   Bonificaciones periódicas</v>
          </cell>
          <cell r="D354" t="str">
            <v>3035</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t="e">
            <v>#REF!</v>
          </cell>
        </row>
        <row r="355">
          <cell r="B355" t="str">
            <v xml:space="preserve">   Promociones temporales de precio</v>
          </cell>
          <cell r="D355" t="str">
            <v>3040</v>
          </cell>
          <cell r="E355">
            <v>2854211</v>
          </cell>
          <cell r="F355">
            <v>9.3350235868533726</v>
          </cell>
          <cell r="G355">
            <v>2881500</v>
          </cell>
          <cell r="H355">
            <v>9.6464097863839964</v>
          </cell>
          <cell r="I355">
            <v>2925000</v>
          </cell>
          <cell r="J355">
            <v>8.7205033795178988</v>
          </cell>
          <cell r="K355">
            <v>2788800</v>
          </cell>
          <cell r="L355">
            <v>8.6941400492538321</v>
          </cell>
          <cell r="M355">
            <v>3053110.8287599999</v>
          </cell>
          <cell r="N355">
            <v>8.9344336916581284</v>
          </cell>
          <cell r="O355">
            <v>3125213</v>
          </cell>
          <cell r="P355">
            <v>8.5303440095572647</v>
          </cell>
          <cell r="Q355">
            <v>3391000</v>
          </cell>
          <cell r="R355">
            <v>8.6688510160169479</v>
          </cell>
          <cell r="S355">
            <v>3382985.9029999999</v>
          </cell>
          <cell r="T355" t="e">
            <v>#REF!</v>
          </cell>
        </row>
        <row r="356">
          <cell r="B356" t="str">
            <v xml:space="preserve">   Descuentos a clientes</v>
          </cell>
          <cell r="D356" t="str">
            <v>3045</v>
          </cell>
          <cell r="F356">
            <v>0</v>
          </cell>
          <cell r="G356">
            <v>3</v>
          </cell>
          <cell r="H356">
            <v>1.0043112739598122E-5</v>
          </cell>
          <cell r="I356">
            <v>0</v>
          </cell>
          <cell r="J356">
            <v>0</v>
          </cell>
          <cell r="K356">
            <v>0</v>
          </cell>
          <cell r="L356">
            <v>0</v>
          </cell>
          <cell r="M356">
            <v>0</v>
          </cell>
          <cell r="N356">
            <v>0</v>
          </cell>
          <cell r="O356">
            <v>0</v>
          </cell>
          <cell r="P356">
            <v>0</v>
          </cell>
          <cell r="Q356">
            <v>0</v>
          </cell>
          <cell r="R356">
            <v>0</v>
          </cell>
          <cell r="S356">
            <v>195</v>
          </cell>
          <cell r="T356" t="e">
            <v>#REF!</v>
          </cell>
        </row>
        <row r="357">
          <cell r="B357" t="str">
            <v xml:space="preserve">   Costo prod.vendido (fab.propia)</v>
          </cell>
          <cell r="D357" t="str">
            <v>3075</v>
          </cell>
          <cell r="E357">
            <v>12595540</v>
          </cell>
          <cell r="F357">
            <v>41.195154453947211</v>
          </cell>
          <cell r="G357">
            <v>11584576</v>
          </cell>
          <cell r="H357">
            <v>38.781734269480886</v>
          </cell>
          <cell r="I357">
            <v>13170625.681</v>
          </cell>
          <cell r="J357">
            <v>39.266490858641269</v>
          </cell>
          <cell r="K357">
            <v>12392617</v>
          </cell>
          <cell r="L357">
            <v>38.634232564100643</v>
          </cell>
          <cell r="M357">
            <v>12903294.4</v>
          </cell>
          <cell r="N357">
            <v>37.759398425626536</v>
          </cell>
          <cell r="O357">
            <v>13902353</v>
          </cell>
          <cell r="P357">
            <v>37.94680670799093</v>
          </cell>
          <cell r="Q357">
            <v>14812043</v>
          </cell>
          <cell r="R357">
            <v>37.86593748446969</v>
          </cell>
          <cell r="S357">
            <v>12272471.991999999</v>
          </cell>
          <cell r="T357" t="e">
            <v>#REF!</v>
          </cell>
        </row>
        <row r="358">
          <cell r="B358" t="str">
            <v xml:space="preserve">   Costo prod.vendido (comprados)</v>
          </cell>
          <cell r="D358" t="str">
            <v>3100</v>
          </cell>
          <cell r="F358">
            <v>0</v>
          </cell>
          <cell r="G358">
            <v>0</v>
          </cell>
          <cell r="H358">
            <v>0</v>
          </cell>
          <cell r="I358">
            <v>0</v>
          </cell>
          <cell r="J358">
            <v>0</v>
          </cell>
          <cell r="K358">
            <v>0</v>
          </cell>
          <cell r="L358">
            <v>0</v>
          </cell>
          <cell r="M358">
            <v>145880</v>
          </cell>
          <cell r="N358">
            <v>0.42689416141124381</v>
          </cell>
          <cell r="O358">
            <v>166782</v>
          </cell>
          <cell r="P358">
            <v>0.45523547822243787</v>
          </cell>
          <cell r="Q358">
            <v>188496</v>
          </cell>
          <cell r="R358">
            <v>0.48187665618258058</v>
          </cell>
          <cell r="S358">
            <v>0</v>
          </cell>
          <cell r="T358" t="e">
            <v>#REF!</v>
          </cell>
        </row>
        <row r="359">
          <cell r="B359" t="str">
            <v xml:space="preserve">   Subsidios a las exportaciones</v>
          </cell>
          <cell r="D359" t="str">
            <v>3110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t="e">
            <v>#REF!</v>
          </cell>
        </row>
        <row r="360">
          <cell r="B360" t="str">
            <v xml:space="preserve">   Gastos variables de distribución</v>
          </cell>
          <cell r="D360" t="str">
            <v>3115</v>
          </cell>
          <cell r="E360">
            <v>1359985</v>
          </cell>
          <cell r="F360">
            <v>4.4479865198357036</v>
          </cell>
          <cell r="G360">
            <v>1348593</v>
          </cell>
          <cell r="H360">
            <v>4.5146905129442834</v>
          </cell>
          <cell r="I360">
            <v>1408708.713</v>
          </cell>
          <cell r="J360">
            <v>4.1998800316146356</v>
          </cell>
          <cell r="K360">
            <v>1359670.1295366613</v>
          </cell>
          <cell r="L360">
            <v>4.2387989554571259</v>
          </cell>
          <cell r="M360">
            <v>1532848.6880000001</v>
          </cell>
          <cell r="N360">
            <v>4.4856330904447859</v>
          </cell>
          <cell r="O360">
            <v>1643304</v>
          </cell>
          <cell r="P360">
            <v>4.4854377708916138</v>
          </cell>
          <cell r="Q360">
            <v>1754270</v>
          </cell>
          <cell r="R360">
            <v>4.4846668451395022</v>
          </cell>
          <cell r="S360">
            <v>1412813.476</v>
          </cell>
          <cell r="T360" t="e">
            <v>#REF!</v>
          </cell>
        </row>
        <row r="361">
          <cell r="B361" t="str">
            <v xml:space="preserve">   Comisiones a agentes/vendedores</v>
          </cell>
          <cell r="D361" t="str">
            <v>3120</v>
          </cell>
          <cell r="E361">
            <v>1304517</v>
          </cell>
          <cell r="F361">
            <v>4.2665720804983236</v>
          </cell>
          <cell r="G361">
            <v>1280060</v>
          </cell>
          <cell r="H361">
            <v>4.2852622978166579</v>
          </cell>
          <cell r="I361">
            <v>1445920.0330000001</v>
          </cell>
          <cell r="J361">
            <v>4.3108206954834642</v>
          </cell>
          <cell r="K361">
            <v>1420109.5286601</v>
          </cell>
          <cell r="L361">
            <v>4.4272199969344364</v>
          </cell>
          <cell r="M361">
            <v>1477994.682</v>
          </cell>
          <cell r="N361">
            <v>4.3251117380221276</v>
          </cell>
          <cell r="O361">
            <v>1585450</v>
          </cell>
          <cell r="P361">
            <v>4.3275238871566719</v>
          </cell>
          <cell r="Q361">
            <v>1692779</v>
          </cell>
          <cell r="R361">
            <v>4.3274694644771907</v>
          </cell>
          <cell r="S361">
            <v>1396203</v>
          </cell>
          <cell r="T361" t="e">
            <v>#REF!</v>
          </cell>
        </row>
        <row r="362">
          <cell r="B362" t="str">
            <v xml:space="preserve">   Otros gastos variables</v>
          </cell>
          <cell r="D362" t="str">
            <v>3125</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t="e">
            <v>#REF!</v>
          </cell>
        </row>
        <row r="363">
          <cell r="B363" t="str">
            <v xml:space="preserve">   Regalías / Asist. Técnica (Netas)</v>
          </cell>
          <cell r="D363" t="str">
            <v>3130</v>
          </cell>
          <cell r="E363">
            <v>738400</v>
          </cell>
          <cell r="F363">
            <v>2.4150216702733367</v>
          </cell>
          <cell r="G363">
            <v>756286</v>
          </cell>
          <cell r="H363">
            <v>2.5318218537932351</v>
          </cell>
          <cell r="I363">
            <v>854579.60699999996</v>
          </cell>
          <cell r="J363">
            <v>2.5478168721061798</v>
          </cell>
          <cell r="K363">
            <v>808919.44925000006</v>
          </cell>
          <cell r="L363">
            <v>2.5218226406858788</v>
          </cell>
          <cell r="M363">
            <v>864486.96400000004</v>
          </cell>
          <cell r="N363">
            <v>2.5297808990110511</v>
          </cell>
          <cell r="O363">
            <v>926533</v>
          </cell>
          <cell r="P363">
            <v>2.5289940961486854</v>
          </cell>
          <cell r="Q363">
            <v>989044</v>
          </cell>
          <cell r="R363">
            <v>2.5284208446728003</v>
          </cell>
          <cell r="S363" t="e">
            <v>#REF!</v>
          </cell>
          <cell r="T363" t="e">
            <v>#REF!</v>
          </cell>
        </row>
        <row r="364">
          <cell r="B364" t="str">
            <v xml:space="preserve">   Impuesto sobre regalías / Asist. Tec.</v>
          </cell>
          <cell r="D364" t="str">
            <v>3135</v>
          </cell>
          <cell r="E364">
            <v>358777</v>
          </cell>
          <cell r="F364">
            <v>1.1734212212833923</v>
          </cell>
          <cell r="G364">
            <v>324122</v>
          </cell>
          <cell r="H364">
            <v>1.0850645957946741</v>
          </cell>
          <cell r="I364">
            <v>366249.26</v>
          </cell>
          <cell r="J364">
            <v>1.0919240716498904</v>
          </cell>
          <cell r="K364">
            <v>365844.55766999995</v>
          </cell>
          <cell r="L364">
            <v>1.1405277612737736</v>
          </cell>
          <cell r="M364">
            <v>370494.56199999998</v>
          </cell>
          <cell r="N364">
            <v>1.0841922494681659</v>
          </cell>
          <cell r="O364">
            <v>397086.00000000006</v>
          </cell>
          <cell r="P364">
            <v>1.0838557824311674</v>
          </cell>
          <cell r="Q364">
            <v>423876</v>
          </cell>
          <cell r="R364">
            <v>1.0836089334312002</v>
          </cell>
          <cell r="S364" t="e">
            <v>#REF!</v>
          </cell>
          <cell r="T364" t="e">
            <v>#REF!</v>
          </cell>
        </row>
        <row r="365">
          <cell r="B365" t="str">
            <v>* TOTAL GASTOS VARIABLES</v>
          </cell>
          <cell r="D365" t="str">
            <v>3150</v>
          </cell>
          <cell r="E365">
            <v>19211430</v>
          </cell>
          <cell r="F365">
            <v>62.833179532691339</v>
          </cell>
          <cell r="G365">
            <v>18175140</v>
          </cell>
          <cell r="H365">
            <v>60.844993359326473</v>
          </cell>
          <cell r="I365">
            <v>20171083.294000003</v>
          </cell>
          <cell r="J365">
            <v>60.137435909013348</v>
          </cell>
          <cell r="K365">
            <v>19135960.665116765</v>
          </cell>
          <cell r="L365">
            <v>59.656741967705706</v>
          </cell>
          <cell r="M365">
            <v>20348110.124760002</v>
          </cell>
          <cell r="N365">
            <v>59.545444255642032</v>
          </cell>
          <cell r="O365">
            <v>21746721</v>
          </cell>
          <cell r="P365">
            <v>59.358197732398779</v>
          </cell>
          <cell r="Q365">
            <v>23251508</v>
          </cell>
          <cell r="R365">
            <v>59.440831244389912</v>
          </cell>
          <cell r="S365" t="e">
            <v>#REF!</v>
          </cell>
          <cell r="T365" t="e">
            <v>#REF!</v>
          </cell>
        </row>
        <row r="366">
          <cell r="B366" t="str">
            <v>* CONTRIBUCION MARGINAL</v>
          </cell>
          <cell r="D366" t="str">
            <v>3190</v>
          </cell>
          <cell r="E366">
            <v>11363865</v>
          </cell>
          <cell r="F366">
            <v>37.166820467308654</v>
          </cell>
          <cell r="G366">
            <v>11696077</v>
          </cell>
          <cell r="H366">
            <v>39.155006640673527</v>
          </cell>
          <cell r="I366">
            <v>13370558.428999994</v>
          </cell>
          <cell r="J366">
            <v>39.862564090986652</v>
          </cell>
          <cell r="K366">
            <v>12940817.30488323</v>
          </cell>
          <cell r="L366">
            <v>40.343258032294301</v>
          </cell>
          <cell r="M366">
            <v>13824294.463239998</v>
          </cell>
          <cell r="N366">
            <v>40.454555744357961</v>
          </cell>
          <cell r="O366">
            <v>14889703</v>
          </cell>
          <cell r="P366">
            <v>40.641802267601228</v>
          </cell>
          <cell r="Q366">
            <v>15865556</v>
          </cell>
          <cell r="R366">
            <v>40.559168755610081</v>
          </cell>
          <cell r="S366" t="e">
            <v>#REF!</v>
          </cell>
          <cell r="T366" t="e">
            <v>#REF!</v>
          </cell>
        </row>
        <row r="367">
          <cell r="B367" t="str">
            <v xml:space="preserve">   Publicidad Medios</v>
          </cell>
          <cell r="D367" t="str">
            <v>3205</v>
          </cell>
          <cell r="E367">
            <v>1047077</v>
          </cell>
          <cell r="F367">
            <v>3.4245851102990175</v>
          </cell>
          <cell r="G367">
            <v>1161081</v>
          </cell>
          <cell r="H367">
            <v>3.8869557942684421</v>
          </cell>
          <cell r="I367">
            <v>1795000</v>
          </cell>
          <cell r="J367">
            <v>5.3515567747810691</v>
          </cell>
          <cell r="K367">
            <v>1795000</v>
          </cell>
          <cell r="L367">
            <v>5.5959485758787402</v>
          </cell>
          <cell r="M367">
            <v>1636431.764483006</v>
          </cell>
          <cell r="N367">
            <v>4.7887521648320188</v>
          </cell>
          <cell r="O367">
            <v>1795840.5708777448</v>
          </cell>
          <cell r="P367">
            <v>4.9017900078832612</v>
          </cell>
          <cell r="Q367">
            <v>1879057.553440189</v>
          </cell>
          <cell r="R367">
            <v>4.8036773757871725</v>
          </cell>
          <cell r="S367">
            <v>1386000</v>
          </cell>
          <cell r="T367" t="e">
            <v>#REF!</v>
          </cell>
        </row>
        <row r="368">
          <cell r="B368" t="str">
            <v xml:space="preserve">   Otras promociones</v>
          </cell>
          <cell r="D368" t="str">
            <v>3210</v>
          </cell>
          <cell r="E368">
            <v>1068219</v>
          </cell>
          <cell r="F368">
            <v>3.4937324398668923</v>
          </cell>
          <cell r="G368">
            <v>1149571</v>
          </cell>
          <cell r="H368">
            <v>3.8484237183908512</v>
          </cell>
          <cell r="I368">
            <v>953000</v>
          </cell>
          <cell r="J368">
            <v>2.8412443489506178</v>
          </cell>
          <cell r="K368">
            <v>953000</v>
          </cell>
          <cell r="L368">
            <v>2.9709966533774033</v>
          </cell>
          <cell r="M368">
            <v>868813.0760737072</v>
          </cell>
          <cell r="N368">
            <v>2.542440564392709</v>
          </cell>
          <cell r="O368">
            <v>953446.2752348138</v>
          </cell>
          <cell r="P368">
            <v>2.6024545278622546</v>
          </cell>
          <cell r="Q368">
            <v>997627.7707122562</v>
          </cell>
          <cell r="R368">
            <v>2.5503646457521869</v>
          </cell>
          <cell r="S368">
            <v>1085000</v>
          </cell>
          <cell r="T368" t="e">
            <v>#REF!</v>
          </cell>
        </row>
        <row r="369">
          <cell r="B369" t="str">
            <v xml:space="preserve">   Estudios de Mercado</v>
          </cell>
          <cell r="D369" t="str">
            <v>3215</v>
          </cell>
          <cell r="E369">
            <v>131992</v>
          </cell>
          <cell r="F369">
            <v>0.43169493540454801</v>
          </cell>
          <cell r="G369">
            <v>117339</v>
          </cell>
          <cell r="H369">
            <v>0.3928162685839014</v>
          </cell>
          <cell r="I369">
            <v>73000</v>
          </cell>
          <cell r="J369">
            <v>0.21763991340335267</v>
          </cell>
          <cell r="K369">
            <v>73000</v>
          </cell>
          <cell r="L369">
            <v>0.22757896715272868</v>
          </cell>
          <cell r="M369">
            <v>66551.263959476011</v>
          </cell>
          <cell r="N369">
            <v>0.19475148079818239</v>
          </cell>
          <cell r="O369">
            <v>73034.184776643669</v>
          </cell>
          <cell r="P369">
            <v>0.19934856299469533</v>
          </cell>
          <cell r="Q369">
            <v>76418.496602302941</v>
          </cell>
          <cell r="R369">
            <v>0.19535846709329446</v>
          </cell>
          <cell r="S369">
            <v>134000</v>
          </cell>
          <cell r="T369" t="e">
            <v>#REF!</v>
          </cell>
        </row>
        <row r="370">
          <cell r="B370" t="str">
            <v xml:space="preserve">   Reserva producto</v>
          </cell>
          <cell r="D370" t="str">
            <v>3220</v>
          </cell>
          <cell r="F370">
            <v>0</v>
          </cell>
          <cell r="G370">
            <v>0</v>
          </cell>
          <cell r="H370">
            <v>0</v>
          </cell>
          <cell r="I370">
            <v>84000</v>
          </cell>
          <cell r="J370">
            <v>0.25043496884769345</v>
          </cell>
          <cell r="K370">
            <v>42000</v>
          </cell>
          <cell r="L370">
            <v>0.13093584411526857</v>
          </cell>
          <cell r="M370">
            <v>145203.89548381075</v>
          </cell>
          <cell r="N370">
            <v>0.42491565119418212</v>
          </cell>
          <cell r="O370">
            <v>187678.9691107978</v>
          </cell>
          <cell r="P370">
            <v>0.51227425774632862</v>
          </cell>
          <cell r="Q370">
            <v>234896.1792452519</v>
          </cell>
          <cell r="R370">
            <v>0.60049542380085552</v>
          </cell>
          <cell r="S370">
            <v>0</v>
          </cell>
          <cell r="T370" t="e">
            <v>#REF!</v>
          </cell>
        </row>
        <row r="371">
          <cell r="B371" t="str">
            <v>* TOTAL GASTOS FIJOS MARK. PRODUCTOS</v>
          </cell>
          <cell r="D371" t="str">
            <v>3225</v>
          </cell>
          <cell r="E371">
            <v>2247288</v>
          </cell>
          <cell r="F371">
            <v>7.3500124855704581</v>
          </cell>
          <cell r="G371">
            <v>2427991</v>
          </cell>
          <cell r="H371">
            <v>8.1281957812431944</v>
          </cell>
          <cell r="I371">
            <v>2905000</v>
          </cell>
          <cell r="J371">
            <v>8.6608760059827326</v>
          </cell>
          <cell r="K371">
            <v>2863000</v>
          </cell>
          <cell r="L371">
            <v>8.9254600405241398</v>
          </cell>
          <cell r="M371">
            <v>2717000</v>
          </cell>
          <cell r="N371">
            <v>7.9508598612170927</v>
          </cell>
          <cell r="O371">
            <v>3010000</v>
          </cell>
          <cell r="P371">
            <v>8.2158673564865392</v>
          </cell>
          <cell r="Q371">
            <v>3188000</v>
          </cell>
          <cell r="R371">
            <v>8.1498959124335091</v>
          </cell>
          <cell r="S371">
            <v>2605000</v>
          </cell>
          <cell r="T371" t="e">
            <v>#REF!</v>
          </cell>
        </row>
        <row r="372">
          <cell r="B372" t="str">
            <v xml:space="preserve">   Gastos fijos fabricación</v>
          </cell>
          <cell r="D372" t="str">
            <v>3250</v>
          </cell>
          <cell r="E372">
            <v>2039040</v>
          </cell>
          <cell r="F372">
            <v>6.6689135787569676</v>
          </cell>
          <cell r="G372">
            <v>1924381</v>
          </cell>
          <cell r="H372">
            <v>6.4422584456468579</v>
          </cell>
          <cell r="I372">
            <v>2142267.5789999999</v>
          </cell>
          <cell r="J372">
            <v>6.3868894572653421</v>
          </cell>
          <cell r="K372">
            <v>2068267.5789999999</v>
          </cell>
          <cell r="L372">
            <v>6.447865745538282</v>
          </cell>
          <cell r="M372">
            <v>2074475.1140000001</v>
          </cell>
          <cell r="N372">
            <v>6.0706149860126439</v>
          </cell>
          <cell r="O372">
            <v>2216430.6169999996</v>
          </cell>
          <cell r="P372">
            <v>6.0498006492118321</v>
          </cell>
          <cell r="Q372">
            <v>2385823.3384113815</v>
          </cell>
          <cell r="R372">
            <v>6.0991881660939109</v>
          </cell>
          <cell r="S372">
            <v>2169538.0440000002</v>
          </cell>
          <cell r="T372" t="e">
            <v>#REF!</v>
          </cell>
        </row>
        <row r="373">
          <cell r="B373" t="str">
            <v xml:space="preserve">   Amortización activo fijo fábricas</v>
          </cell>
          <cell r="D373" t="str">
            <v>3255</v>
          </cell>
          <cell r="E373">
            <v>1274057</v>
          </cell>
          <cell r="F373">
            <v>4.1669491659851525</v>
          </cell>
          <cell r="G373">
            <v>1370142</v>
          </cell>
          <cell r="H373">
            <v>4.5868301917528163</v>
          </cell>
          <cell r="I373">
            <v>1526968</v>
          </cell>
          <cell r="J373">
            <v>4.5524545656122006</v>
          </cell>
          <cell r="K373">
            <v>1496210.3458138325</v>
          </cell>
          <cell r="L373">
            <v>4.6644658238840959</v>
          </cell>
          <cell r="M373">
            <v>1327731</v>
          </cell>
          <cell r="N373">
            <v>3.8853894421765296</v>
          </cell>
          <cell r="O373">
            <v>1369185</v>
          </cell>
          <cell r="P373">
            <v>3.73722337092725</v>
          </cell>
          <cell r="Q373">
            <v>1401820.0000000002</v>
          </cell>
          <cell r="R373">
            <v>3.5836534152972224</v>
          </cell>
          <cell r="S373">
            <v>1591727.72</v>
          </cell>
          <cell r="T373" t="e">
            <v>#REF!</v>
          </cell>
        </row>
        <row r="374">
          <cell r="B374" t="str">
            <v xml:space="preserve">   Otros gastos fijos de los productos</v>
          </cell>
          <cell r="D374" t="str">
            <v>3260</v>
          </cell>
          <cell r="E374">
            <v>303682</v>
          </cell>
          <cell r="F374">
            <v>0.99322672111585508</v>
          </cell>
          <cell r="G374">
            <v>399556</v>
          </cell>
          <cell r="H374">
            <v>1.3375953179276223</v>
          </cell>
          <cell r="I374">
            <v>339000</v>
          </cell>
          <cell r="J374">
            <v>1.0106839814210486</v>
          </cell>
          <cell r="K374">
            <v>339000</v>
          </cell>
          <cell r="L374">
            <v>1.0568393132160963</v>
          </cell>
          <cell r="M374">
            <v>358538.15997976298</v>
          </cell>
          <cell r="N374">
            <v>1.0492037780264003</v>
          </cell>
          <cell r="O374">
            <v>383679.48212361702</v>
          </cell>
          <cell r="P374">
            <v>1.0472623696123209</v>
          </cell>
          <cell r="Q374">
            <v>409542.49292620673</v>
          </cell>
          <cell r="R374">
            <v>1.0469663391051198</v>
          </cell>
          <cell r="S374">
            <v>420000</v>
          </cell>
          <cell r="T374" t="e">
            <v>#REF!</v>
          </cell>
        </row>
        <row r="375">
          <cell r="B375" t="str">
            <v xml:space="preserve">   Productos Defectuosos</v>
          </cell>
          <cell r="D375" t="str">
            <v>3261</v>
          </cell>
          <cell r="E375">
            <v>1238048</v>
          </cell>
          <cell r="F375">
            <v>4.049177612186571</v>
          </cell>
          <cell r="G375">
            <v>888388</v>
          </cell>
          <cell r="H375">
            <v>2.9740602801686991</v>
          </cell>
          <cell r="I375">
            <v>1004209</v>
          </cell>
          <cell r="J375">
            <v>2.9939172575187309</v>
          </cell>
          <cell r="K375">
            <v>908509</v>
          </cell>
          <cell r="L375">
            <v>2.8322950666980602</v>
          </cell>
          <cell r="M375">
            <v>926270.81919959991</v>
          </cell>
          <cell r="N375">
            <v>2.7105813312443034</v>
          </cell>
          <cell r="O375">
            <v>998085.76503922162</v>
          </cell>
          <cell r="P375">
            <v>2.7242990883586828</v>
          </cell>
          <cell r="Q375">
            <v>966483.8935986493</v>
          </cell>
          <cell r="R375">
            <v>2.470747532582326</v>
          </cell>
          <cell r="S375">
            <v>899478</v>
          </cell>
          <cell r="T375" t="e">
            <v>#REF!</v>
          </cell>
        </row>
        <row r="376">
          <cell r="B376" t="str">
            <v xml:space="preserve">   Interés Operacional</v>
          </cell>
          <cell r="D376" t="str">
            <v>3265</v>
          </cell>
          <cell r="E376">
            <v>540000</v>
          </cell>
          <cell r="F376">
            <v>1.7661317740352136</v>
          </cell>
          <cell r="G376">
            <v>588392</v>
          </cell>
          <cell r="H376">
            <v>1.9697623970258729</v>
          </cell>
          <cell r="I376">
            <v>686300</v>
          </cell>
          <cell r="J376">
            <v>2.046113322859191</v>
          </cell>
          <cell r="K376">
            <v>639749.02599999995</v>
          </cell>
          <cell r="L376">
            <v>1.9944304462197833</v>
          </cell>
          <cell r="M376">
            <v>680874.94691192755</v>
          </cell>
          <cell r="N376">
            <v>1.9924701089106969</v>
          </cell>
          <cell r="O376">
            <v>658362.6385402981</v>
          </cell>
          <cell r="P376">
            <v>1.797016648077602</v>
          </cell>
          <cell r="Q376">
            <v>695408.53873990406</v>
          </cell>
          <cell r="R376">
            <v>1.7777626120915009</v>
          </cell>
          <cell r="S376">
            <v>598675.82498499996</v>
          </cell>
          <cell r="T376" t="e">
            <v>#REF!</v>
          </cell>
        </row>
        <row r="377">
          <cell r="B377" t="str">
            <v>* TOTAL GASTOS ESPECIFICOS</v>
          </cell>
          <cell r="D377" t="str">
            <v>3270</v>
          </cell>
          <cell r="E377">
            <v>7642115</v>
          </cell>
          <cell r="F377">
            <v>24.99441133765022</v>
          </cell>
          <cell r="G377">
            <v>7598850</v>
          </cell>
          <cell r="H377">
            <v>25.438702413765064</v>
          </cell>
          <cell r="I377">
            <v>8603744.5789999999</v>
          </cell>
          <cell r="J377">
            <v>25.650934590659247</v>
          </cell>
          <cell r="K377">
            <v>8314735.9508138318</v>
          </cell>
          <cell r="L377">
            <v>25.921356436080455</v>
          </cell>
          <cell r="M377">
            <v>8084890.0400912901</v>
          </cell>
          <cell r="N377">
            <v>23.659119507587665</v>
          </cell>
          <cell r="O377">
            <v>8635743.5027031358</v>
          </cell>
          <cell r="P377">
            <v>23.571469482674225</v>
          </cell>
          <cell r="Q377">
            <v>9047078.2636761423</v>
          </cell>
          <cell r="R377">
            <v>23.12821397760359</v>
          </cell>
          <cell r="S377">
            <v>8284419.5889849998</v>
          </cell>
          <cell r="T377" t="e">
            <v>#REF!</v>
          </cell>
        </row>
        <row r="378">
          <cell r="B378" t="str">
            <v>* CONTRIBUCION DEL PRODUCTO</v>
          </cell>
          <cell r="D378" t="str">
            <v>3290</v>
          </cell>
          <cell r="E378">
            <v>3721750</v>
          </cell>
          <cell r="F378">
            <v>12.172409129658439</v>
          </cell>
          <cell r="G378">
            <v>4097227</v>
          </cell>
          <cell r="H378">
            <v>13.716304226908466</v>
          </cell>
          <cell r="I378">
            <v>4766813.849999994</v>
          </cell>
          <cell r="J378">
            <v>14.211629500327408</v>
          </cell>
          <cell r="K378">
            <v>4626081.3540693987</v>
          </cell>
          <cell r="L378">
            <v>14.421901596213841</v>
          </cell>
          <cell r="M378">
            <v>5739404.4231487075</v>
          </cell>
          <cell r="N378">
            <v>16.795436236770296</v>
          </cell>
          <cell r="O378">
            <v>6253959.4972968642</v>
          </cell>
          <cell r="P378">
            <v>17.070332784927</v>
          </cell>
          <cell r="Q378">
            <v>6818477.7363238577</v>
          </cell>
          <cell r="R378">
            <v>17.430954778006495</v>
          </cell>
          <cell r="S378" t="e">
            <v>#REF!</v>
          </cell>
          <cell r="T378" t="e">
            <v>#REF!</v>
          </cell>
        </row>
        <row r="379">
          <cell r="B379" t="str">
            <v xml:space="preserve">   Gastos fijos de distribución</v>
          </cell>
          <cell r="D379" t="str">
            <v>3305</v>
          </cell>
          <cell r="E379">
            <v>1283320</v>
          </cell>
          <cell r="F379">
            <v>4.1972448671386493</v>
          </cell>
          <cell r="G379">
            <v>1469432</v>
          </cell>
          <cell r="H379">
            <v>4.9192237463910491</v>
          </cell>
          <cell r="I379">
            <v>1417333.247</v>
          </cell>
          <cell r="J379">
            <v>4.2255929471338716</v>
          </cell>
          <cell r="K379">
            <v>1417333.247</v>
          </cell>
          <cell r="L379">
            <v>4.418564883061415</v>
          </cell>
          <cell r="M379">
            <v>1496583.1984371776</v>
          </cell>
          <cell r="N379">
            <v>4.3795080167191944</v>
          </cell>
          <cell r="O379">
            <v>1565378.3027532194</v>
          </cell>
          <cell r="P379">
            <v>4.2727377070240786</v>
          </cell>
          <cell r="Q379">
            <v>1670094.3264312302</v>
          </cell>
          <cell r="R379">
            <v>4.2694777052573016</v>
          </cell>
          <cell r="S379">
            <v>1430038</v>
          </cell>
          <cell r="T379" t="e">
            <v>#REF!</v>
          </cell>
        </row>
        <row r="380">
          <cell r="B380" t="str">
            <v xml:space="preserve">   Gastos generales marketing</v>
          </cell>
          <cell r="D380" t="str">
            <v>3310</v>
          </cell>
          <cell r="E380">
            <v>2432152</v>
          </cell>
          <cell r="F380">
            <v>7.9546313453394317</v>
          </cell>
          <cell r="G380">
            <v>2467426</v>
          </cell>
          <cell r="H380">
            <v>8.2602124982052114</v>
          </cell>
          <cell r="I380">
            <v>2780025.9369999999</v>
          </cell>
          <cell r="J380">
            <v>8.2882822491473185</v>
          </cell>
          <cell r="K380">
            <v>2682725.029205</v>
          </cell>
          <cell r="L380">
            <v>8.3634491959075046</v>
          </cell>
          <cell r="M380">
            <v>2850429.9757410097</v>
          </cell>
          <cell r="N380">
            <v>8.3413210457597362</v>
          </cell>
          <cell r="O380">
            <v>3000358.315973775</v>
          </cell>
          <cell r="P380">
            <v>8.189550148163411</v>
          </cell>
          <cell r="Q380">
            <v>3153162.9355982095</v>
          </cell>
          <cell r="R380">
            <v>8.0608374278760024</v>
          </cell>
          <cell r="S380">
            <v>2561458</v>
          </cell>
          <cell r="T380" t="e">
            <v>#REF!</v>
          </cell>
        </row>
        <row r="381">
          <cell r="B381" t="str">
            <v xml:space="preserve">   Otros gastos generales</v>
          </cell>
          <cell r="D381" t="str">
            <v>3315</v>
          </cell>
          <cell r="E381">
            <v>109432</v>
          </cell>
          <cell r="F381">
            <v>0.35790987462263246</v>
          </cell>
          <cell r="G381">
            <v>91745</v>
          </cell>
          <cell r="H381">
            <v>0.30713512609814325</v>
          </cell>
          <cell r="I381">
            <v>60263</v>
          </cell>
          <cell r="J381">
            <v>0.17966622056748274</v>
          </cell>
          <cell r="K381">
            <v>58033.268999999993</v>
          </cell>
          <cell r="L381">
            <v>0.18091988245912966</v>
          </cell>
          <cell r="M381">
            <v>62495.922557074598</v>
          </cell>
          <cell r="N381">
            <v>0.18288418187293939</v>
          </cell>
          <cell r="O381">
            <v>60810.915749976528</v>
          </cell>
          <cell r="P381">
            <v>0.16598485635491206</v>
          </cell>
          <cell r="Q381">
            <v>58640.954130058148</v>
          </cell>
          <cell r="R381">
            <v>0.14991144051623645</v>
          </cell>
          <cell r="S381">
            <v>87745</v>
          </cell>
          <cell r="T381" t="e">
            <v>#REF!</v>
          </cell>
        </row>
        <row r="382">
          <cell r="B382" t="str">
            <v xml:space="preserve">   Pérdida y provisión sobre deudores</v>
          </cell>
          <cell r="D382" t="str">
            <v>3320</v>
          </cell>
          <cell r="E382">
            <v>134910</v>
          </cell>
          <cell r="F382">
            <v>0.44123858821313083</v>
          </cell>
          <cell r="G382">
            <v>11927</v>
          </cell>
          <cell r="H382">
            <v>3.9928068548395604E-2</v>
          </cell>
          <cell r="I382">
            <v>153999.80499999999</v>
          </cell>
          <cell r="J382">
            <v>0.45913019485387935</v>
          </cell>
          <cell r="K382">
            <v>153999.80499999999</v>
          </cell>
          <cell r="L382">
            <v>0.48009748717289891</v>
          </cell>
          <cell r="M382">
            <v>161075.28604995331</v>
          </cell>
          <cell r="N382">
            <v>0.47136070168886091</v>
          </cell>
          <cell r="O382">
            <v>169749.81500603969</v>
          </cell>
          <cell r="P382">
            <v>0.46333620062383729</v>
          </cell>
          <cell r="Q382">
            <v>178559.27809067752</v>
          </cell>
          <cell r="R382">
            <v>0.45647413131690434</v>
          </cell>
          <cell r="S382">
            <v>1000</v>
          </cell>
          <cell r="T382" t="e">
            <v>#REF!</v>
          </cell>
        </row>
        <row r="383">
          <cell r="B383" t="str">
            <v xml:space="preserve">   Reserva general para riesgos</v>
          </cell>
          <cell r="D383" t="str">
            <v>3335</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t="e">
            <v>#REF!</v>
          </cell>
        </row>
        <row r="384">
          <cell r="B384" t="str">
            <v>* TOTAL GTOS. FIJOS COMUNES</v>
          </cell>
          <cell r="D384" t="str">
            <v>3340</v>
          </cell>
          <cell r="E384">
            <v>3959814</v>
          </cell>
          <cell r="F384">
            <v>12.951024675313844</v>
          </cell>
          <cell r="G384">
            <v>4040530</v>
          </cell>
          <cell r="H384">
            <v>13.526499439242802</v>
          </cell>
          <cell r="I384">
            <v>4411621.9890000001</v>
          </cell>
          <cell r="J384">
            <v>13.152671611702555</v>
          </cell>
          <cell r="K384">
            <v>4312091.3502049996</v>
          </cell>
          <cell r="L384">
            <v>13.443031448600944</v>
          </cell>
          <cell r="M384">
            <v>4570584.382785215</v>
          </cell>
          <cell r="N384">
            <v>13.375073946040731</v>
          </cell>
          <cell r="O384">
            <v>4796297.3494830113</v>
          </cell>
          <cell r="P384">
            <v>13.091608912166238</v>
          </cell>
          <cell r="Q384">
            <v>5060457.4942501746</v>
          </cell>
          <cell r="R384">
            <v>12.936700704966441</v>
          </cell>
          <cell r="S384">
            <v>4080241</v>
          </cell>
          <cell r="T384" t="e">
            <v>#REF!</v>
          </cell>
        </row>
        <row r="385">
          <cell r="B385" t="str">
            <v>* CONTRIBUCION DIVISIONAL</v>
          </cell>
          <cell r="D385" t="str">
            <v>-</v>
          </cell>
          <cell r="E385">
            <v>-238064</v>
          </cell>
          <cell r="F385">
            <v>-0.77861554565540581</v>
          </cell>
          <cell r="G385">
            <v>56697</v>
          </cell>
          <cell r="H385">
            <v>0.18980478766566491</v>
          </cell>
          <cell r="I385">
            <v>355191.86099999398</v>
          </cell>
          <cell r="J385">
            <v>1.0589578886248543</v>
          </cell>
          <cell r="K385">
            <v>313990.00386439916</v>
          </cell>
          <cell r="L385">
            <v>0.97887014761289382</v>
          </cell>
          <cell r="M385">
            <v>1168820.0403634924</v>
          </cell>
          <cell r="N385">
            <v>3.4203622907295674</v>
          </cell>
          <cell r="O385">
            <v>1457662.1478138529</v>
          </cell>
          <cell r="P385">
            <v>3.978723872760761</v>
          </cell>
          <cell r="Q385">
            <v>1758020.2420736831</v>
          </cell>
          <cell r="R385">
            <v>4.4942540730400502</v>
          </cell>
          <cell r="S385" t="e">
            <v>#REF!</v>
          </cell>
          <cell r="T385" t="e">
            <v>#REF!</v>
          </cell>
        </row>
        <row r="386">
          <cell r="B386" t="str">
            <v xml:space="preserve">   Gastos Corporativos</v>
          </cell>
          <cell r="D386" t="str">
            <v>33151</v>
          </cell>
          <cell r="E386">
            <v>1265904</v>
          </cell>
          <cell r="F386">
            <v>4.1402838468116165</v>
          </cell>
          <cell r="G386">
            <v>1022476</v>
          </cell>
          <cell r="H386">
            <v>3.4229472471777767</v>
          </cell>
          <cell r="I386">
            <v>1222098.5490000001</v>
          </cell>
          <cell r="J386">
            <v>3.6435263339003146</v>
          </cell>
          <cell r="K386">
            <v>1176880.9026870001</v>
          </cell>
          <cell r="L386">
            <v>3.6689498670586094</v>
          </cell>
          <cell r="M386">
            <v>1211673.9181320677</v>
          </cell>
          <cell r="N386">
            <v>3.5457672140448664</v>
          </cell>
          <cell r="O386">
            <v>1243164.6356168091</v>
          </cell>
          <cell r="P386">
            <v>3.3932477569776167</v>
          </cell>
          <cell r="Q386">
            <v>1272160.4612990273</v>
          </cell>
          <cell r="R386">
            <v>3.2521879998433096</v>
          </cell>
          <cell r="S386">
            <v>1134000</v>
          </cell>
          <cell r="T386" t="e">
            <v>#REF!</v>
          </cell>
        </row>
        <row r="387">
          <cell r="B387" t="str">
            <v>* RESULTADO EXPLOTACION</v>
          </cell>
          <cell r="D387" t="str">
            <v>3390</v>
          </cell>
          <cell r="E387">
            <v>-1503968</v>
          </cell>
          <cell r="F387">
            <v>-4.918899392467023</v>
          </cell>
          <cell r="G387">
            <v>-965779</v>
          </cell>
          <cell r="H387">
            <v>-3.2331424595121119</v>
          </cell>
          <cell r="I387">
            <v>-866906.68800000614</v>
          </cell>
          <cell r="J387">
            <v>-2.58456844527546</v>
          </cell>
          <cell r="K387">
            <v>-862890.89882260095</v>
          </cell>
          <cell r="L387">
            <v>-2.6900797194457158</v>
          </cell>
          <cell r="M387">
            <v>-42853.877768575214</v>
          </cell>
          <cell r="N387">
            <v>-0.12540492331529929</v>
          </cell>
          <cell r="O387">
            <v>214497.51219704375</v>
          </cell>
          <cell r="P387">
            <v>0.58547611578314451</v>
          </cell>
          <cell r="Q387">
            <v>485859.78077465575</v>
          </cell>
          <cell r="R387">
            <v>1.2420660731967403</v>
          </cell>
          <cell r="S387" t="e">
            <v>#REF!</v>
          </cell>
          <cell r="T387" t="e">
            <v>#REF!</v>
          </cell>
        </row>
        <row r="392">
          <cell r="B392">
            <v>0</v>
          </cell>
          <cell r="D392">
            <v>0</v>
          </cell>
          <cell r="E392">
            <v>0</v>
          </cell>
        </row>
        <row r="393">
          <cell r="B393" t="str">
            <v xml:space="preserve"> DIVISIÓN LBCF</v>
          </cell>
          <cell r="C393" t="str">
            <v>ESTADOS DE INGRESOS</v>
          </cell>
        </row>
        <row r="394">
          <cell r="B394" t="str">
            <v xml:space="preserve"> CONTRALORÍA</v>
          </cell>
          <cell r="C394" t="str">
            <v>TOTAL VENTAS LOCALES C/REFRIGERADOS</v>
          </cell>
        </row>
        <row r="395">
          <cell r="B395" t="str">
            <v xml:space="preserve">  IMPORTES EN  :  $ MILES  DE CADA  AÑO</v>
          </cell>
          <cell r="D395">
            <v>0</v>
          </cell>
          <cell r="E395">
            <v>0</v>
          </cell>
        </row>
        <row r="396">
          <cell r="D396" t="str">
            <v>COD.</v>
          </cell>
          <cell r="E396" t="str">
            <v xml:space="preserve">EFECTIVO </v>
          </cell>
          <cell r="G396" t="str">
            <v>EFECTIVO</v>
          </cell>
          <cell r="I396" t="str">
            <v>P.O.</v>
          </cell>
          <cell r="K396" t="str">
            <v>STATUS REPORT</v>
          </cell>
          <cell r="M396" t="str">
            <v>PLP</v>
          </cell>
          <cell r="O396" t="str">
            <v>PLP</v>
          </cell>
          <cell r="Q396" t="str">
            <v>PLP</v>
          </cell>
          <cell r="S396" t="str">
            <v>REV.DIC</v>
          </cell>
        </row>
        <row r="397">
          <cell r="E397">
            <v>1997</v>
          </cell>
          <cell r="F397" t="str">
            <v>%</v>
          </cell>
          <cell r="G397">
            <v>1998</v>
          </cell>
          <cell r="H397" t="str">
            <v>%</v>
          </cell>
          <cell r="I397">
            <v>1999</v>
          </cell>
          <cell r="J397" t="str">
            <v>%</v>
          </cell>
          <cell r="K397">
            <v>1999</v>
          </cell>
          <cell r="L397" t="str">
            <v>%</v>
          </cell>
          <cell r="M397">
            <v>2000</v>
          </cell>
          <cell r="N397" t="str">
            <v>%</v>
          </cell>
          <cell r="O397">
            <v>2001</v>
          </cell>
          <cell r="P397" t="str">
            <v>%</v>
          </cell>
          <cell r="Q397">
            <v>2002</v>
          </cell>
          <cell r="R397" t="str">
            <v>%</v>
          </cell>
          <cell r="S397">
            <v>1998</v>
          </cell>
          <cell r="T397" t="str">
            <v>%</v>
          </cell>
        </row>
        <row r="398">
          <cell r="B398" t="str">
            <v xml:space="preserve">   VOLUMEN DE VENTAS               (Tns.)</v>
          </cell>
          <cell r="D398" t="str">
            <v>3000</v>
          </cell>
          <cell r="E398">
            <v>132636</v>
          </cell>
          <cell r="G398">
            <v>138470</v>
          </cell>
          <cell r="I398">
            <v>146924.21900000001</v>
          </cell>
          <cell r="K398">
            <v>143297.962</v>
          </cell>
          <cell r="M398">
            <v>151666.32</v>
          </cell>
          <cell r="O398">
            <v>159339</v>
          </cell>
          <cell r="Q398">
            <v>167296</v>
          </cell>
          <cell r="S398">
            <v>140367.462</v>
          </cell>
        </row>
        <row r="399">
          <cell r="B399" t="str">
            <v xml:space="preserve">   PRODUCTO BRUTO DE LAS VENTAS</v>
          </cell>
          <cell r="D399" t="str">
            <v>3001</v>
          </cell>
          <cell r="E399">
            <v>179397608</v>
          </cell>
          <cell r="F399">
            <v>105.14984195867672</v>
          </cell>
          <cell r="G399">
            <v>192727060</v>
          </cell>
          <cell r="H399">
            <v>104.6456401212759</v>
          </cell>
          <cell r="I399">
            <v>206154997.80000001</v>
          </cell>
          <cell r="J399">
            <v>104.43366358058002</v>
          </cell>
          <cell r="K399">
            <v>203052994.23896798</v>
          </cell>
          <cell r="L399">
            <v>104.43366315035844</v>
          </cell>
          <cell r="M399">
            <v>219779077.17274457</v>
          </cell>
          <cell r="N399">
            <v>104.46202942907338</v>
          </cell>
          <cell r="O399">
            <v>238864249.07752329</v>
          </cell>
          <cell r="P399">
            <v>104.47273316923607</v>
          </cell>
          <cell r="Q399">
            <v>259015847.36792487</v>
          </cell>
          <cell r="R399">
            <v>104.49238155571909</v>
          </cell>
          <cell r="S399" t="e">
            <v>#REF!</v>
          </cell>
          <cell r="T399" t="e">
            <v>#REF!</v>
          </cell>
        </row>
        <row r="400">
          <cell r="B400" t="str">
            <v xml:space="preserve">   Reducciones de precio</v>
          </cell>
          <cell r="D400" t="str">
            <v>3002</v>
          </cell>
          <cell r="E400">
            <v>8786217</v>
          </cell>
          <cell r="F400">
            <v>5.1498419586767215</v>
          </cell>
          <cell r="G400">
            <v>8555928</v>
          </cell>
          <cell r="H400">
            <v>4.6456401212759015</v>
          </cell>
          <cell r="I400">
            <v>8752176.9739999995</v>
          </cell>
          <cell r="J400">
            <v>4.4336635805800233</v>
          </cell>
          <cell r="K400">
            <v>8620482.619968012</v>
          </cell>
          <cell r="L400">
            <v>4.4336631503584494</v>
          </cell>
          <cell r="M400">
            <v>9387724.0907445699</v>
          </cell>
          <cell r="N400">
            <v>4.4620294290734019</v>
          </cell>
          <cell r="O400">
            <v>10226362.586523259</v>
          </cell>
          <cell r="P400">
            <v>4.4727331692360632</v>
          </cell>
          <cell r="Q400">
            <v>11135721.07392486</v>
          </cell>
          <cell r="R400">
            <v>4.4923815557190974</v>
          </cell>
          <cell r="S400" t="e">
            <v>#REF!</v>
          </cell>
          <cell r="T400" t="e">
            <v>#REF!</v>
          </cell>
        </row>
        <row r="401">
          <cell r="B401" t="str">
            <v>* PRODUCTO NETO DE LAS VENTAS (PNV)</v>
          </cell>
          <cell r="D401" t="str">
            <v>3030</v>
          </cell>
          <cell r="E401">
            <v>170611391</v>
          </cell>
          <cell r="F401">
            <v>100</v>
          </cell>
          <cell r="G401">
            <v>184171132</v>
          </cell>
          <cell r="H401">
            <v>100</v>
          </cell>
          <cell r="I401">
            <v>197402820.82600001</v>
          </cell>
          <cell r="J401">
            <v>100</v>
          </cell>
          <cell r="K401">
            <v>194432511.61899996</v>
          </cell>
          <cell r="L401">
            <v>100</v>
          </cell>
          <cell r="M401">
            <v>210391353.08200002</v>
          </cell>
          <cell r="N401">
            <v>100</v>
          </cell>
          <cell r="O401">
            <v>228637886.49100003</v>
          </cell>
          <cell r="P401">
            <v>100</v>
          </cell>
          <cell r="Q401">
            <v>247880126.294</v>
          </cell>
          <cell r="R401">
            <v>100</v>
          </cell>
          <cell r="S401" t="e">
            <v>#REF!</v>
          </cell>
          <cell r="T401" t="e">
            <v>#REF!</v>
          </cell>
        </row>
        <row r="402">
          <cell r="B402" t="str">
            <v xml:space="preserve">   Bonificaciones periódicas</v>
          </cell>
          <cell r="D402" t="str">
            <v>3035</v>
          </cell>
          <cell r="E402">
            <v>107243</v>
          </cell>
          <cell r="F402">
            <v>6.2858053832994074E-2</v>
          </cell>
          <cell r="G402">
            <v>295076</v>
          </cell>
          <cell r="H402">
            <v>0.16021837776400266</v>
          </cell>
          <cell r="I402">
            <v>643399.53299999994</v>
          </cell>
          <cell r="J402">
            <v>0.32593228926911949</v>
          </cell>
          <cell r="K402">
            <v>643399.53299999994</v>
          </cell>
          <cell r="L402">
            <v>0.33091149604690229</v>
          </cell>
          <cell r="M402">
            <v>700000.12862400012</v>
          </cell>
          <cell r="N402">
            <v>0.33271335459835893</v>
          </cell>
          <cell r="O402">
            <v>800001.61129999999</v>
          </cell>
          <cell r="P402">
            <v>0.34989897062903913</v>
          </cell>
          <cell r="Q402">
            <v>900000.26729800005</v>
          </cell>
          <cell r="R402">
            <v>0.36307883199581248</v>
          </cell>
          <cell r="S402">
            <v>558076</v>
          </cell>
          <cell r="T402" t="e">
            <v>#REF!</v>
          </cell>
        </row>
        <row r="403">
          <cell r="B403" t="str">
            <v xml:space="preserve">   Promociones temporales de precio</v>
          </cell>
          <cell r="D403" t="str">
            <v>3040</v>
          </cell>
          <cell r="E403">
            <v>7895209</v>
          </cell>
          <cell r="F403">
            <v>4.6275978137942735</v>
          </cell>
          <cell r="G403">
            <v>9288017</v>
          </cell>
          <cell r="H403">
            <v>5.0431448724548211</v>
          </cell>
          <cell r="I403">
            <v>10492601</v>
          </cell>
          <cell r="J403">
            <v>5.3153247537676602</v>
          </cell>
          <cell r="K403">
            <v>10003001</v>
          </cell>
          <cell r="L403">
            <v>5.1447162394329258</v>
          </cell>
          <cell r="M403">
            <v>10397962.994832</v>
          </cell>
          <cell r="N403">
            <v>4.9422007333064659</v>
          </cell>
          <cell r="O403">
            <v>10769286.430838</v>
          </cell>
          <cell r="P403">
            <v>4.7101933087812711</v>
          </cell>
          <cell r="Q403">
            <v>11520073</v>
          </cell>
          <cell r="R403">
            <v>4.6474371189953869</v>
          </cell>
          <cell r="S403">
            <v>9008509.6180000007</v>
          </cell>
          <cell r="T403" t="e">
            <v>#REF!</v>
          </cell>
        </row>
        <row r="404">
          <cell r="B404" t="str">
            <v xml:space="preserve">   Descuentos a clientes</v>
          </cell>
          <cell r="D404" t="str">
            <v>3045</v>
          </cell>
          <cell r="E404">
            <v>39156</v>
          </cell>
          <cell r="F404">
            <v>2.2950401945905242E-2</v>
          </cell>
          <cell r="G404">
            <v>75804</v>
          </cell>
          <cell r="H404">
            <v>4.1159545025764403E-2</v>
          </cell>
          <cell r="I404">
            <v>96548.323999999993</v>
          </cell>
          <cell r="J404">
            <v>4.8909292985788777E-2</v>
          </cell>
          <cell r="K404">
            <v>95096.415922254164</v>
          </cell>
          <cell r="L404">
            <v>4.890972972081966E-2</v>
          </cell>
          <cell r="M404">
            <v>128566.7536084</v>
          </cell>
          <cell r="N404">
            <v>6.1108382889809701E-2</v>
          </cell>
          <cell r="O404">
            <v>138974</v>
          </cell>
          <cell r="P404">
            <v>6.0783452004779838E-2</v>
          </cell>
          <cell r="Q404">
            <v>156853</v>
          </cell>
          <cell r="R404">
            <v>6.3277763467799494E-2</v>
          </cell>
          <cell r="S404">
            <v>81444.812000000005</v>
          </cell>
          <cell r="T404" t="e">
            <v>#REF!</v>
          </cell>
        </row>
        <row r="405">
          <cell r="B405" t="str">
            <v xml:space="preserve">   Costo prod.vendido (fab.propia)</v>
          </cell>
          <cell r="D405" t="str">
            <v>3075</v>
          </cell>
          <cell r="E405">
            <v>76852296</v>
          </cell>
          <cell r="F405">
            <v>45.045231475781122</v>
          </cell>
          <cell r="G405">
            <v>80706804</v>
          </cell>
          <cell r="H405">
            <v>43.821636498384557</v>
          </cell>
          <cell r="I405">
            <v>85469014.121999994</v>
          </cell>
          <cell r="J405">
            <v>43.296754202583735</v>
          </cell>
          <cell r="K405">
            <v>82788687.192000002</v>
          </cell>
          <cell r="L405">
            <v>42.579652190179232</v>
          </cell>
          <cell r="M405">
            <v>89321091.552000016</v>
          </cell>
          <cell r="N405">
            <v>42.454735065650311</v>
          </cell>
          <cell r="O405">
            <v>96994929.826999992</v>
          </cell>
          <cell r="P405">
            <v>42.422947183260476</v>
          </cell>
          <cell r="Q405">
            <v>104945828.972</v>
          </cell>
          <cell r="R405">
            <v>42.337330765891352</v>
          </cell>
          <cell r="S405">
            <v>82716421.439999983</v>
          </cell>
          <cell r="T405" t="e">
            <v>#REF!</v>
          </cell>
        </row>
        <row r="406">
          <cell r="B406" t="str">
            <v xml:space="preserve">   Costo prod.vendido (comprados)</v>
          </cell>
          <cell r="D406" t="str">
            <v>3100</v>
          </cell>
          <cell r="E406">
            <v>395850</v>
          </cell>
          <cell r="F406">
            <v>0.2320185057280261</v>
          </cell>
          <cell r="G406">
            <v>1429896</v>
          </cell>
          <cell r="H406">
            <v>0.77639529304733812</v>
          </cell>
          <cell r="I406">
            <v>3683360.2149999999</v>
          </cell>
          <cell r="J406">
            <v>1.8659106286260643</v>
          </cell>
          <cell r="K406">
            <v>3523516.2149999999</v>
          </cell>
          <cell r="L406">
            <v>1.8122052663211503</v>
          </cell>
          <cell r="M406">
            <v>3902226.352</v>
          </cell>
          <cell r="N406">
            <v>1.854746544873024</v>
          </cell>
          <cell r="O406">
            <v>4654163.0360000003</v>
          </cell>
          <cell r="P406">
            <v>2.0356044693333026</v>
          </cell>
          <cell r="Q406">
            <v>5509140.7439999999</v>
          </cell>
          <cell r="R406">
            <v>2.2225019917352489</v>
          </cell>
          <cell r="S406">
            <v>1623923.4240000001</v>
          </cell>
          <cell r="T406" t="e">
            <v>#REF!</v>
          </cell>
        </row>
        <row r="407">
          <cell r="B407" t="str">
            <v xml:space="preserve">   Subsidios a las exportaciones</v>
          </cell>
          <cell r="D407" t="str">
            <v>3110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t="e">
            <v>#REF!</v>
          </cell>
        </row>
        <row r="408">
          <cell r="B408" t="str">
            <v xml:space="preserve">   Gastos variables de distribución</v>
          </cell>
          <cell r="D408" t="str">
            <v>3115</v>
          </cell>
          <cell r="E408">
            <v>4512272</v>
          </cell>
          <cell r="F408">
            <v>2.6447659640732901</v>
          </cell>
          <cell r="G408">
            <v>4885901</v>
          </cell>
          <cell r="H408">
            <v>2.6529135956008565</v>
          </cell>
          <cell r="I408">
            <v>5180674.3000000007</v>
          </cell>
          <cell r="J408">
            <v>2.6244175631950504</v>
          </cell>
          <cell r="K408">
            <v>5102721.3000000007</v>
          </cell>
          <cell r="L408">
            <v>2.6244177259814623</v>
          </cell>
          <cell r="M408">
            <v>5513612.9839999992</v>
          </cell>
          <cell r="N408">
            <v>2.6206461925510167</v>
          </cell>
          <cell r="O408">
            <v>5982400.3130000001</v>
          </cell>
          <cell r="P408">
            <v>2.6165393692245695</v>
          </cell>
          <cell r="Q408">
            <v>6457244.7080000006</v>
          </cell>
          <cell r="R408">
            <v>2.6049868557600053</v>
          </cell>
          <cell r="S408">
            <v>4942770.699</v>
          </cell>
          <cell r="T408" t="e">
            <v>#REF!</v>
          </cell>
        </row>
        <row r="409">
          <cell r="B409" t="str">
            <v xml:space="preserve">   Comisiones a agentes/vendedores</v>
          </cell>
          <cell r="D409" t="str">
            <v>3120</v>
          </cell>
          <cell r="E409">
            <v>1304517</v>
          </cell>
          <cell r="F409">
            <v>0.76461307322674599</v>
          </cell>
          <cell r="G409">
            <v>1440896</v>
          </cell>
          <cell r="H409">
            <v>0.78236799891092601</v>
          </cell>
          <cell r="I409">
            <v>1703502.56</v>
          </cell>
          <cell r="J409">
            <v>0.86295755697510834</v>
          </cell>
          <cell r="K409">
            <v>1677870.087658298</v>
          </cell>
          <cell r="L409">
            <v>0.86295757519512306</v>
          </cell>
          <cell r="M409">
            <v>1773760.13</v>
          </cell>
          <cell r="N409">
            <v>0.84307653523606407</v>
          </cell>
          <cell r="O409">
            <v>1925312.791</v>
          </cell>
          <cell r="P409">
            <v>0.8420795085838878</v>
          </cell>
          <cell r="Q409">
            <v>2101878.3480000002</v>
          </cell>
          <cell r="R409">
            <v>0.8479414543734145</v>
          </cell>
          <cell r="S409" t="e">
            <v>#REF!</v>
          </cell>
          <cell r="T409" t="e">
            <v>#REF!</v>
          </cell>
        </row>
        <row r="410">
          <cell r="B410" t="str">
            <v xml:space="preserve">   Otros gastos variables</v>
          </cell>
          <cell r="D410" t="str">
            <v>3125</v>
          </cell>
          <cell r="E410">
            <v>0</v>
          </cell>
          <cell r="F410">
            <v>0</v>
          </cell>
          <cell r="G410">
            <v>13594</v>
          </cell>
          <cell r="H410">
            <v>7.3811785008738506E-3</v>
          </cell>
          <cell r="I410">
            <v>0</v>
          </cell>
          <cell r="J410">
            <v>0</v>
          </cell>
          <cell r="K410">
            <v>0</v>
          </cell>
          <cell r="L410">
            <v>0</v>
          </cell>
          <cell r="M410">
            <v>0</v>
          </cell>
          <cell r="N410">
            <v>0</v>
          </cell>
          <cell r="O410">
            <v>0</v>
          </cell>
          <cell r="P410">
            <v>0</v>
          </cell>
          <cell r="Q410">
            <v>0</v>
          </cell>
          <cell r="R410">
            <v>0</v>
          </cell>
          <cell r="S410">
            <v>0</v>
          </cell>
          <cell r="T410" t="e">
            <v>#REF!</v>
          </cell>
        </row>
        <row r="411">
          <cell r="B411" t="str">
            <v xml:space="preserve">   Regalías / Asist. Técnica (Netas)</v>
          </cell>
          <cell r="D411" t="str">
            <v>3130</v>
          </cell>
          <cell r="E411">
            <v>4425337</v>
          </cell>
          <cell r="F411">
            <v>2.5938109841681087</v>
          </cell>
          <cell r="G411">
            <v>4923413</v>
          </cell>
          <cell r="H411">
            <v>2.6732816085422115</v>
          </cell>
          <cell r="I411">
            <v>5161123.5180000002</v>
          </cell>
          <cell r="J411">
            <v>2.6145135598387692</v>
          </cell>
          <cell r="K411">
            <v>5074687.5593094993</v>
          </cell>
          <cell r="L411">
            <v>2.6099994887961939</v>
          </cell>
          <cell r="M411">
            <v>5664637.6220000004</v>
          </cell>
          <cell r="N411">
            <v>2.6924289135553057</v>
          </cell>
          <cell r="O411">
            <v>6155742.0180000002</v>
          </cell>
          <cell r="P411">
            <v>2.6923543217070067</v>
          </cell>
          <cell r="Q411">
            <v>6673002.2079999996</v>
          </cell>
          <cell r="R411">
            <v>2.6920279200138206</v>
          </cell>
          <cell r="S411" t="e">
            <v>#REF!</v>
          </cell>
          <cell r="T411" t="e">
            <v>#REF!</v>
          </cell>
        </row>
        <row r="412">
          <cell r="B412" t="str">
            <v xml:space="preserve">   Impuesto sobre regalías / Asist. Tec.</v>
          </cell>
          <cell r="D412" t="str">
            <v>3135</v>
          </cell>
          <cell r="E412">
            <v>2156559</v>
          </cell>
          <cell r="F412">
            <v>1.2640181803570196</v>
          </cell>
          <cell r="G412">
            <v>2110038</v>
          </cell>
          <cell r="H412">
            <v>1.145694212272095</v>
          </cell>
          <cell r="I412">
            <v>2211909.6509999996</v>
          </cell>
          <cell r="J412">
            <v>1.1205055944715598</v>
          </cell>
          <cell r="K412">
            <v>2177644.1737731998</v>
          </cell>
          <cell r="L412">
            <v>1.1200000224450117</v>
          </cell>
          <cell r="M412">
            <v>2446438.0520000006</v>
          </cell>
          <cell r="N412">
            <v>1.1628035164765074</v>
          </cell>
          <cell r="O412">
            <v>2658101.3059999999</v>
          </cell>
          <cell r="P412">
            <v>1.1625812969123259</v>
          </cell>
          <cell r="Q412">
            <v>2880838.48</v>
          </cell>
          <cell r="R412">
            <v>1.162190177595424</v>
          </cell>
          <cell r="S412" t="e">
            <v>#REF!</v>
          </cell>
          <cell r="T412" t="e">
            <v>#REF!</v>
          </cell>
        </row>
        <row r="413">
          <cell r="B413" t="str">
            <v>* TOTAL GASTOS VARIABLES</v>
          </cell>
          <cell r="D413" t="str">
            <v>3150</v>
          </cell>
          <cell r="E413">
            <v>97688439</v>
          </cell>
          <cell r="F413">
            <v>57.257864452907484</v>
          </cell>
          <cell r="G413">
            <v>105169439</v>
          </cell>
          <cell r="H413">
            <v>57.104193180503451</v>
          </cell>
          <cell r="I413">
            <v>114642133.22299999</v>
          </cell>
          <cell r="J413">
            <v>58.075225441712853</v>
          </cell>
          <cell r="K413">
            <v>111086623.47666325</v>
          </cell>
          <cell r="L413">
            <v>57.133769734118815</v>
          </cell>
          <cell r="M413">
            <v>119848296.56906441</v>
          </cell>
          <cell r="N413">
            <v>56.964459239136858</v>
          </cell>
          <cell r="O413">
            <v>130078911.33313797</v>
          </cell>
          <cell r="P413">
            <v>56.892981880436658</v>
          </cell>
          <cell r="Q413">
            <v>141144859.72729799</v>
          </cell>
          <cell r="R413">
            <v>56.940772879828259</v>
          </cell>
          <cell r="S413" t="e">
            <v>#REF!</v>
          </cell>
          <cell r="T413" t="e">
            <v>#REF!</v>
          </cell>
        </row>
        <row r="414">
          <cell r="B414" t="str">
            <v>* CONTRIBUCION MARGINAL</v>
          </cell>
          <cell r="D414" t="str">
            <v>3190</v>
          </cell>
          <cell r="E414">
            <v>72922952</v>
          </cell>
          <cell r="F414">
            <v>42.742135547092516</v>
          </cell>
          <cell r="G414">
            <v>79001693</v>
          </cell>
          <cell r="H414">
            <v>42.895806819496549</v>
          </cell>
          <cell r="I414">
            <v>82760687.603000015</v>
          </cell>
          <cell r="J414">
            <v>41.924774558287147</v>
          </cell>
          <cell r="K414">
            <v>83345888.142336711</v>
          </cell>
          <cell r="L414">
            <v>42.866230265881185</v>
          </cell>
          <cell r="M414">
            <v>90543056.512935609</v>
          </cell>
          <cell r="N414">
            <v>43.035540760863142</v>
          </cell>
          <cell r="O414">
            <v>98558975.157862052</v>
          </cell>
          <cell r="P414">
            <v>43.107018119563342</v>
          </cell>
          <cell r="Q414">
            <v>106735266.56670201</v>
          </cell>
          <cell r="R414">
            <v>43.059227120171741</v>
          </cell>
          <cell r="S414" t="e">
            <v>#REF!</v>
          </cell>
          <cell r="T414" t="e">
            <v>#REF!</v>
          </cell>
        </row>
        <row r="415">
          <cell r="B415" t="str">
            <v xml:space="preserve">   Publicidad Medios</v>
          </cell>
          <cell r="D415" t="str">
            <v>3205</v>
          </cell>
          <cell r="E415">
            <v>5124803</v>
          </cell>
          <cell r="F415">
            <v>3.0037871269685623</v>
          </cell>
          <cell r="G415">
            <v>5045342</v>
          </cell>
          <cell r="H415">
            <v>2.7394857952005203</v>
          </cell>
          <cell r="I415">
            <v>6699318</v>
          </cell>
          <cell r="J415">
            <v>3.3937296194491005</v>
          </cell>
          <cell r="K415">
            <v>6699318</v>
          </cell>
          <cell r="L415">
            <v>3.4455749937169164</v>
          </cell>
          <cell r="M415">
            <v>7168164.6272397833</v>
          </cell>
          <cell r="N415">
            <v>3.4070623731603606</v>
          </cell>
          <cell r="O415">
            <v>8289867.2248201659</v>
          </cell>
          <cell r="P415">
            <v>3.6257627080306674</v>
          </cell>
          <cell r="Q415">
            <v>8832964.9392976314</v>
          </cell>
          <cell r="R415">
            <v>3.5634018230332956</v>
          </cell>
          <cell r="S415">
            <v>5825100</v>
          </cell>
          <cell r="T415" t="e">
            <v>#REF!</v>
          </cell>
        </row>
        <row r="416">
          <cell r="B416" t="str">
            <v xml:space="preserve">   Otras promociones</v>
          </cell>
          <cell r="D416" t="str">
            <v>3210</v>
          </cell>
          <cell r="E416">
            <v>5254261</v>
          </cell>
          <cell r="F416">
            <v>3.0796659995580247</v>
          </cell>
          <cell r="G416">
            <v>6170488</v>
          </cell>
          <cell r="H416">
            <v>3.3504099871634607</v>
          </cell>
          <cell r="I416">
            <v>5165278.9809999997</v>
          </cell>
          <cell r="J416">
            <v>2.6166186275285881</v>
          </cell>
          <cell r="K416">
            <v>5165278.9809999997</v>
          </cell>
          <cell r="L416">
            <v>2.6565922221493579</v>
          </cell>
          <cell r="M416">
            <v>5404646.9650250245</v>
          </cell>
          <cell r="N416">
            <v>2.5688541310528876</v>
          </cell>
          <cell r="O416">
            <v>6299139.7340753339</v>
          </cell>
          <cell r="P416">
            <v>2.7550725869412243</v>
          </cell>
          <cell r="Q416">
            <v>6785140.8029240025</v>
          </cell>
          <cell r="R416">
            <v>2.7372669622075461</v>
          </cell>
          <cell r="S416">
            <v>5917260</v>
          </cell>
          <cell r="T416" t="e">
            <v>#REF!</v>
          </cell>
        </row>
        <row r="417">
          <cell r="B417" t="str">
            <v xml:space="preserve">   Estudios de Mercado</v>
          </cell>
          <cell r="D417" t="str">
            <v>3215</v>
          </cell>
          <cell r="E417">
            <v>521466</v>
          </cell>
          <cell r="F417">
            <v>0.30564547709478557</v>
          </cell>
          <cell r="G417">
            <v>535656</v>
          </cell>
          <cell r="H417">
            <v>0.29084688473327081</v>
          </cell>
          <cell r="I417">
            <v>509351</v>
          </cell>
          <cell r="J417">
            <v>0.25802620138288984</v>
          </cell>
          <cell r="K417">
            <v>509351</v>
          </cell>
          <cell r="L417">
            <v>0.26196801952448068</v>
          </cell>
          <cell r="M417">
            <v>557163.70331999194</v>
          </cell>
          <cell r="N417">
            <v>0.26482252961358033</v>
          </cell>
          <cell r="O417">
            <v>653156.85314971849</v>
          </cell>
          <cell r="P417">
            <v>0.28567306283922855</v>
          </cell>
          <cell r="Q417">
            <v>702735.58030400006</v>
          </cell>
          <cell r="R417">
            <v>0.28349815324465161</v>
          </cell>
          <cell r="S417">
            <v>588600</v>
          </cell>
          <cell r="T417" t="e">
            <v>#REF!</v>
          </cell>
        </row>
        <row r="418">
          <cell r="B418" t="str">
            <v xml:space="preserve">   Reserva producto</v>
          </cell>
          <cell r="D418" t="str">
            <v>3220</v>
          </cell>
          <cell r="E418">
            <v>0</v>
          </cell>
          <cell r="F418">
            <v>0</v>
          </cell>
          <cell r="G418">
            <v>0</v>
          </cell>
          <cell r="H418">
            <v>0</v>
          </cell>
          <cell r="I418">
            <v>680000</v>
          </cell>
          <cell r="J418">
            <v>0.34447329433016738</v>
          </cell>
          <cell r="K418">
            <v>340000</v>
          </cell>
          <cell r="L418">
            <v>0.17486787429164455</v>
          </cell>
          <cell r="M418">
            <v>1089769.7044152014</v>
          </cell>
          <cell r="N418">
            <v>0.51797266781703899</v>
          </cell>
          <cell r="O418">
            <v>1383184.1879547855</v>
          </cell>
          <cell r="P418">
            <v>0.60496718596514509</v>
          </cell>
          <cell r="Q418">
            <v>1711583.6774743695</v>
          </cell>
          <cell r="R418">
            <v>0.69048846434922884</v>
          </cell>
          <cell r="S418">
            <v>0</v>
          </cell>
          <cell r="T418" t="e">
            <v>#REF!</v>
          </cell>
        </row>
        <row r="419">
          <cell r="B419" t="str">
            <v>* TOTAL GASTOS FIJOS MARK. PRODUCTOS</v>
          </cell>
          <cell r="D419" t="str">
            <v>3225</v>
          </cell>
          <cell r="E419">
            <v>10900530</v>
          </cell>
          <cell r="F419">
            <v>6.3890986036213722</v>
          </cell>
          <cell r="G419">
            <v>11751486</v>
          </cell>
          <cell r="H419">
            <v>6.3807426670972518</v>
          </cell>
          <cell r="I419">
            <v>13053947.980999999</v>
          </cell>
          <cell r="J419">
            <v>6.6128477426907457</v>
          </cell>
          <cell r="K419">
            <v>12713947.980999999</v>
          </cell>
          <cell r="L419">
            <v>6.5390031096823993</v>
          </cell>
          <cell r="M419">
            <v>14219745.000000004</v>
          </cell>
          <cell r="N419">
            <v>6.7587117016438683</v>
          </cell>
          <cell r="O419">
            <v>16625348.000000004</v>
          </cell>
          <cell r="P419">
            <v>7.2714755437762655</v>
          </cell>
          <cell r="Q419">
            <v>18032425.000000004</v>
          </cell>
          <cell r="R419">
            <v>7.2746554028347221</v>
          </cell>
          <cell r="S419">
            <v>12330960</v>
          </cell>
          <cell r="T419" t="e">
            <v>#REF!</v>
          </cell>
        </row>
        <row r="420">
          <cell r="B420" t="str">
            <v xml:space="preserve">   Gastos fijos fabricación</v>
          </cell>
          <cell r="D420" t="str">
            <v>3250</v>
          </cell>
          <cell r="E420">
            <v>8977170</v>
          </cell>
          <cell r="F420">
            <v>5.2617647317581504</v>
          </cell>
          <cell r="G420">
            <v>9860356</v>
          </cell>
          <cell r="H420">
            <v>5.3539096452966364</v>
          </cell>
          <cell r="I420">
            <v>11233550.061000001</v>
          </cell>
          <cell r="J420">
            <v>5.6906735243169457</v>
          </cell>
          <cell r="K420">
            <v>10983550.061000001</v>
          </cell>
          <cell r="L420">
            <v>5.6490295627733316</v>
          </cell>
          <cell r="M420">
            <v>10793572.291663989</v>
          </cell>
          <cell r="N420">
            <v>5.1302356934114091</v>
          </cell>
          <cell r="O420">
            <v>11340589.791512165</v>
          </cell>
          <cell r="P420">
            <v>4.9600658777776845</v>
          </cell>
          <cell r="Q420">
            <v>12236547.480084887</v>
          </cell>
          <cell r="R420">
            <v>4.9364778302443018</v>
          </cell>
          <cell r="S420">
            <v>10378995.171000002</v>
          </cell>
          <cell r="T420" t="e">
            <v>#REF!</v>
          </cell>
        </row>
        <row r="421">
          <cell r="B421" t="str">
            <v xml:space="preserve">   Amortización activo fijo fábricas</v>
          </cell>
          <cell r="D421" t="str">
            <v>3255</v>
          </cell>
          <cell r="E421">
            <v>4074093</v>
          </cell>
          <cell r="F421">
            <v>2.387937274364055</v>
          </cell>
          <cell r="G421">
            <v>4340433</v>
          </cell>
          <cell r="H421">
            <v>2.3567390572372657</v>
          </cell>
          <cell r="I421">
            <v>4846700</v>
          </cell>
          <cell r="J421">
            <v>2.4552334053382681</v>
          </cell>
          <cell r="K421">
            <v>4696700</v>
          </cell>
          <cell r="L421">
            <v>2.4155939564281379</v>
          </cell>
          <cell r="M421">
            <v>5184644.7033857387</v>
          </cell>
          <cell r="N421">
            <v>2.4642860209967963</v>
          </cell>
          <cell r="O421">
            <v>5535932.7268827818</v>
          </cell>
          <cell r="P421">
            <v>2.4212665765263255</v>
          </cell>
          <cell r="Q421">
            <v>5675333.2805571575</v>
          </cell>
          <cell r="R421">
            <v>2.2895475185557586</v>
          </cell>
          <cell r="S421">
            <v>4714300.9630000005</v>
          </cell>
          <cell r="T421" t="e">
            <v>#REF!</v>
          </cell>
        </row>
        <row r="422">
          <cell r="B422" t="str">
            <v xml:space="preserve">   Otros gastos fijos de los productos</v>
          </cell>
          <cell r="D422" t="str">
            <v>3260</v>
          </cell>
          <cell r="E422">
            <v>1610612</v>
          </cell>
          <cell r="F422">
            <v>0.94402371996369228</v>
          </cell>
          <cell r="G422">
            <v>1139506</v>
          </cell>
          <cell r="H422">
            <v>0.61872128798122383</v>
          </cell>
          <cell r="I422">
            <v>797533.103</v>
          </cell>
          <cell r="J422">
            <v>0.40401302254083926</v>
          </cell>
          <cell r="K422">
            <v>797533.103</v>
          </cell>
          <cell r="L422">
            <v>0.41018505411420353</v>
          </cell>
          <cell r="M422">
            <v>873021.75754280633</v>
          </cell>
          <cell r="N422">
            <v>0.41495134888102847</v>
          </cell>
          <cell r="O422">
            <v>956316.8214803657</v>
          </cell>
          <cell r="P422">
            <v>0.41826699684700314</v>
          </cell>
          <cell r="Q422">
            <v>1042162.1970839421</v>
          </cell>
          <cell r="R422">
            <v>0.42042991209705866</v>
          </cell>
          <cell r="S422">
            <v>1162066.502104</v>
          </cell>
          <cell r="T422" t="e">
            <v>#REF!</v>
          </cell>
        </row>
        <row r="423">
          <cell r="B423" t="str">
            <v xml:space="preserve">   Productos Defectuosos</v>
          </cell>
          <cell r="D423" t="str">
            <v>3261</v>
          </cell>
          <cell r="E423">
            <v>2200513</v>
          </cell>
          <cell r="F423">
            <v>1.2897808212582944</v>
          </cell>
          <cell r="G423">
            <v>2076142</v>
          </cell>
          <cell r="H423">
            <v>1.1272895906400793</v>
          </cell>
          <cell r="I423">
            <v>2040490</v>
          </cell>
          <cell r="J423">
            <v>1.0336681063937696</v>
          </cell>
          <cell r="K423">
            <v>1840490</v>
          </cell>
          <cell r="L423">
            <v>0.94659580575008473</v>
          </cell>
          <cell r="M423">
            <v>1894306.2304443456</v>
          </cell>
          <cell r="N423">
            <v>0.90037266394025228</v>
          </cell>
          <cell r="O423">
            <v>2035414.7212409826</v>
          </cell>
          <cell r="P423">
            <v>0.89023510166199149</v>
          </cell>
          <cell r="Q423">
            <v>2003528.6379408895</v>
          </cell>
          <cell r="R423">
            <v>0.80826513520676113</v>
          </cell>
          <cell r="S423">
            <v>2050000</v>
          </cell>
          <cell r="T423" t="e">
            <v>#REF!</v>
          </cell>
        </row>
        <row r="424">
          <cell r="B424" t="str">
            <v xml:space="preserve">   Interés Operacional</v>
          </cell>
          <cell r="D424" t="str">
            <v>3265</v>
          </cell>
          <cell r="E424">
            <v>3725803</v>
          </cell>
          <cell r="F424">
            <v>2.1837949847088463</v>
          </cell>
          <cell r="G424">
            <v>3870959</v>
          </cell>
          <cell r="H424">
            <v>2.1018272288189008</v>
          </cell>
          <cell r="I424">
            <v>3879400.199</v>
          </cell>
          <cell r="J424">
            <v>1.9652202449627014</v>
          </cell>
          <cell r="K424">
            <v>3631400.199</v>
          </cell>
          <cell r="L424">
            <v>1.8676918632393675</v>
          </cell>
          <cell r="M424">
            <v>3946504.0412610509</v>
          </cell>
          <cell r="N424">
            <v>1.8757919389029745</v>
          </cell>
          <cell r="O424">
            <v>3834438.269777101</v>
          </cell>
          <cell r="P424">
            <v>1.677079126572506</v>
          </cell>
          <cell r="Q424">
            <v>4110846.5790267838</v>
          </cell>
          <cell r="R424">
            <v>1.6584010345997182</v>
          </cell>
          <cell r="S424">
            <v>3938661.3666639999</v>
          </cell>
          <cell r="T424" t="e">
            <v>#REF!</v>
          </cell>
        </row>
        <row r="425">
          <cell r="B425" t="str">
            <v>* TOTAL GASTOS ESPECIFICOS</v>
          </cell>
          <cell r="D425" t="str">
            <v>3270</v>
          </cell>
          <cell r="E425">
            <v>31488721</v>
          </cell>
          <cell r="F425">
            <v>18.456400135674411</v>
          </cell>
          <cell r="G425">
            <v>33038882</v>
          </cell>
          <cell r="H425">
            <v>17.939229477071358</v>
          </cell>
          <cell r="I425">
            <v>35851621.343999997</v>
          </cell>
          <cell r="J425">
            <v>18.161656046243269</v>
          </cell>
          <cell r="K425">
            <v>34663621.343999997</v>
          </cell>
          <cell r="L425">
            <v>17.828099351987522</v>
          </cell>
          <cell r="M425">
            <v>36911794.024297938</v>
          </cell>
          <cell r="N425">
            <v>17.544349367776331</v>
          </cell>
          <cell r="O425">
            <v>40328040.330893405</v>
          </cell>
          <cell r="P425">
            <v>17.638389223161777</v>
          </cell>
          <cell r="Q425">
            <v>43100843.174693659</v>
          </cell>
          <cell r="R425">
            <v>17.387776833538318</v>
          </cell>
          <cell r="S425">
            <v>34574984.002768002</v>
          </cell>
          <cell r="T425" t="e">
            <v>#REF!</v>
          </cell>
        </row>
        <row r="426">
          <cell r="B426" t="str">
            <v>* CONTRIBUCION DEL PRODUCTO</v>
          </cell>
          <cell r="D426" t="str">
            <v>3290</v>
          </cell>
          <cell r="E426">
            <v>41434231</v>
          </cell>
          <cell r="F426">
            <v>24.285735411418106</v>
          </cell>
          <cell r="G426">
            <v>45962811</v>
          </cell>
          <cell r="H426">
            <v>24.956577342425195</v>
          </cell>
          <cell r="I426">
            <v>46909066.259000018</v>
          </cell>
          <cell r="J426">
            <v>23.763118512043878</v>
          </cell>
          <cell r="K426">
            <v>48682266.798336715</v>
          </cell>
          <cell r="L426">
            <v>25.038130913893664</v>
          </cell>
          <cell r="M426">
            <v>53631262.488637671</v>
          </cell>
          <cell r="N426">
            <v>25.491191393086808</v>
          </cell>
          <cell r="O426">
            <v>58230934.826968648</v>
          </cell>
          <cell r="P426">
            <v>25.468628896401569</v>
          </cell>
          <cell r="Q426">
            <v>63634423.392008349</v>
          </cell>
          <cell r="R426">
            <v>25.671450286633423</v>
          </cell>
          <cell r="S426" t="e">
            <v>#REF!</v>
          </cell>
          <cell r="T426" t="e">
            <v>#REF!</v>
          </cell>
        </row>
        <row r="427">
          <cell r="B427" t="str">
            <v xml:space="preserve">   Gastos fijos de distribución</v>
          </cell>
          <cell r="D427" t="str">
            <v>3305</v>
          </cell>
          <cell r="E427">
            <v>3648402</v>
          </cell>
          <cell r="F427">
            <v>2.1384281428196079</v>
          </cell>
          <cell r="G427">
            <v>4189008</v>
          </cell>
          <cell r="H427">
            <v>2.2745193312923764</v>
          </cell>
          <cell r="I427">
            <v>4384816</v>
          </cell>
          <cell r="J427">
            <v>2.2212529596347461</v>
          </cell>
          <cell r="K427">
            <v>4384816</v>
          </cell>
          <cell r="L427">
            <v>2.2551866267058576</v>
          </cell>
          <cell r="M427">
            <v>4716606.4889407828</v>
          </cell>
          <cell r="N427">
            <v>2.241825255576205</v>
          </cell>
          <cell r="O427">
            <v>4916210.3997112187</v>
          </cell>
          <cell r="P427">
            <v>2.1502168670128685</v>
          </cell>
          <cell r="Q427">
            <v>5363545.3405161053</v>
          </cell>
          <cell r="R427">
            <v>2.1637657769121166</v>
          </cell>
          <cell r="S427">
            <v>4132273.6719279997</v>
          </cell>
          <cell r="T427" t="e">
            <v>#REF!</v>
          </cell>
        </row>
        <row r="428">
          <cell r="B428" t="str">
            <v xml:space="preserve">   Gastos generales marketing</v>
          </cell>
          <cell r="D428" t="str">
            <v>3310</v>
          </cell>
          <cell r="E428">
            <v>7029722</v>
          </cell>
          <cell r="F428">
            <v>4.1203122246392097</v>
          </cell>
          <cell r="G428">
            <v>7911593</v>
          </cell>
          <cell r="H428">
            <v>4.295783445583643</v>
          </cell>
          <cell r="I428">
            <v>8258361</v>
          </cell>
          <cell r="J428">
            <v>4.1835070874084934</v>
          </cell>
          <cell r="K428">
            <v>7970361.3649999993</v>
          </cell>
          <cell r="L428">
            <v>4.0992945565700003</v>
          </cell>
          <cell r="M428">
            <v>8696865.8275485169</v>
          </cell>
          <cell r="N428">
            <v>4.1336612461249365</v>
          </cell>
          <cell r="O428">
            <v>9183547.0557212289</v>
          </cell>
          <cell r="P428">
            <v>4.0166339868973218</v>
          </cell>
          <cell r="Q428">
            <v>9680022.9103596322</v>
          </cell>
          <cell r="R428">
            <v>3.9051226312829015</v>
          </cell>
          <cell r="S428">
            <v>8217592.0385919996</v>
          </cell>
          <cell r="T428" t="e">
            <v>#REF!</v>
          </cell>
        </row>
        <row r="429">
          <cell r="B429" t="str">
            <v xml:space="preserve">   Otros gastos generales</v>
          </cell>
          <cell r="D429" t="str">
            <v>3315</v>
          </cell>
          <cell r="E429">
            <v>807046</v>
          </cell>
          <cell r="F429">
            <v>0.47303172154548573</v>
          </cell>
          <cell r="G429">
            <v>811238</v>
          </cell>
          <cell r="H429">
            <v>0.44048054176047524</v>
          </cell>
          <cell r="I429">
            <v>814177</v>
          </cell>
          <cell r="J429">
            <v>0.41244446082037162</v>
          </cell>
          <cell r="K429">
            <v>784177.451</v>
          </cell>
          <cell r="L429">
            <v>0.40331601154061836</v>
          </cell>
          <cell r="M429">
            <v>848361.48953177489</v>
          </cell>
          <cell r="N429">
            <v>0.40323020747013594</v>
          </cell>
          <cell r="O429">
            <v>881741.59622300975</v>
          </cell>
          <cell r="P429">
            <v>0.3856498193521038</v>
          </cell>
          <cell r="Q429">
            <v>913495.38935279031</v>
          </cell>
          <cell r="R429">
            <v>0.36852304499366462</v>
          </cell>
          <cell r="S429">
            <v>852524.10138499993</v>
          </cell>
          <cell r="T429" t="e">
            <v>#REF!</v>
          </cell>
        </row>
        <row r="430">
          <cell r="B430" t="str">
            <v xml:space="preserve">   Pérdida y provisión sobre deudores</v>
          </cell>
          <cell r="D430" t="str">
            <v>3320</v>
          </cell>
          <cell r="E430">
            <v>399510</v>
          </cell>
          <cell r="F430">
            <v>0.23416373177568198</v>
          </cell>
          <cell r="G430">
            <v>163684</v>
          </cell>
          <cell r="H430">
            <v>8.8876035143227547E-2</v>
          </cell>
          <cell r="I430">
            <v>279000.56700000004</v>
          </cell>
          <cell r="J430">
            <v>0.14133565358010972</v>
          </cell>
          <cell r="K430">
            <v>279000.56700000004</v>
          </cell>
          <cell r="L430">
            <v>0.14349481199251043</v>
          </cell>
          <cell r="M430">
            <v>290719.36915869627</v>
          </cell>
          <cell r="N430">
            <v>0.13818028398029666</v>
          </cell>
          <cell r="O430">
            <v>302158.47740366316</v>
          </cell>
          <cell r="P430">
            <v>0.13215590908445402</v>
          </cell>
          <cell r="Q430">
            <v>313039.03197549633</v>
          </cell>
          <cell r="R430">
            <v>0.12628645815849479</v>
          </cell>
          <cell r="S430">
            <v>162000.46907529401</v>
          </cell>
          <cell r="T430" t="e">
            <v>#REF!</v>
          </cell>
        </row>
        <row r="431">
          <cell r="B431" t="str">
            <v xml:space="preserve">   Reserva general para riesgos</v>
          </cell>
          <cell r="D431" t="str">
            <v>3335</v>
          </cell>
          <cell r="E431">
            <v>0</v>
          </cell>
          <cell r="F431">
            <v>0</v>
          </cell>
          <cell r="H431">
            <v>0</v>
          </cell>
          <cell r="I431">
            <v>1800000</v>
          </cell>
          <cell r="J431">
            <v>0.91184107322691377</v>
          </cell>
          <cell r="K431">
            <v>1800000</v>
          </cell>
          <cell r="L431">
            <v>0.92577109919105927</v>
          </cell>
          <cell r="M431">
            <v>2230000</v>
          </cell>
          <cell r="N431">
            <v>1.0599294920313849</v>
          </cell>
          <cell r="O431">
            <v>3071000</v>
          </cell>
          <cell r="P431">
            <v>1.3431719681859835</v>
          </cell>
          <cell r="Q431">
            <v>3820000</v>
          </cell>
          <cell r="R431">
            <v>1.541067473666389</v>
          </cell>
          <cell r="S431">
            <v>0</v>
          </cell>
          <cell r="T431" t="e">
            <v>#REF!</v>
          </cell>
        </row>
        <row r="432">
          <cell r="B432" t="str">
            <v>* TOTAL GTOS. FIJOS COMUNES</v>
          </cell>
          <cell r="D432" t="str">
            <v>3340</v>
          </cell>
          <cell r="E432">
            <v>11884680</v>
          </cell>
          <cell r="F432">
            <v>6.9659358207799853</v>
          </cell>
          <cell r="G432">
            <v>13075523</v>
          </cell>
          <cell r="H432">
            <v>7.0996593537797219</v>
          </cell>
          <cell r="I432">
            <v>15536354.567</v>
          </cell>
          <cell r="J432">
            <v>7.8703812346706341</v>
          </cell>
          <cell r="K432">
            <v>15218355.382999998</v>
          </cell>
          <cell r="L432">
            <v>7.827063106000046</v>
          </cell>
          <cell r="M432">
            <v>16782553.175179772</v>
          </cell>
          <cell r="N432">
            <v>7.9768264851829596</v>
          </cell>
          <cell r="O432">
            <v>18354657.52905912</v>
          </cell>
          <cell r="P432">
            <v>8.0278285505327318</v>
          </cell>
          <cell r="Q432">
            <v>20090102.672204025</v>
          </cell>
          <cell r="R432">
            <v>8.1047653850135664</v>
          </cell>
          <cell r="S432">
            <v>13364390.280980293</v>
          </cell>
          <cell r="T432" t="e">
            <v>#REF!</v>
          </cell>
        </row>
        <row r="433">
          <cell r="B433" t="str">
            <v>* CONTRIBUCION DIVISIONAL</v>
          </cell>
          <cell r="D433" t="str">
            <v>-</v>
          </cell>
          <cell r="E433">
            <v>29549551</v>
          </cell>
          <cell r="F433">
            <v>17.319799590638119</v>
          </cell>
          <cell r="G433">
            <v>32887288</v>
          </cell>
          <cell r="H433">
            <v>17.856917988645474</v>
          </cell>
          <cell r="I433">
            <v>31372711.692000017</v>
          </cell>
          <cell r="J433">
            <v>15.892737277373245</v>
          </cell>
          <cell r="K433">
            <v>33463911.415336717</v>
          </cell>
          <cell r="L433">
            <v>17.211067807893617</v>
          </cell>
          <cell r="M433">
            <v>36848709.313457899</v>
          </cell>
          <cell r="N433">
            <v>17.51436490790385</v>
          </cell>
          <cell r="O433">
            <v>39876277.297909528</v>
          </cell>
          <cell r="P433">
            <v>17.440800345868833</v>
          </cell>
          <cell r="Q433">
            <v>43544320.719804324</v>
          </cell>
          <cell r="R433">
            <v>17.566684901619851</v>
          </cell>
          <cell r="S433" t="e">
            <v>#REF!</v>
          </cell>
          <cell r="T433" t="e">
            <v>#REF!</v>
          </cell>
        </row>
        <row r="434">
          <cell r="B434" t="str">
            <v xml:space="preserve">   Gastos Corporativos</v>
          </cell>
          <cell r="D434" t="str">
            <v>33151</v>
          </cell>
          <cell r="E434">
            <v>6966904</v>
          </cell>
          <cell r="F434">
            <v>4.0834928776824757</v>
          </cell>
          <cell r="G434">
            <v>6943789</v>
          </cell>
          <cell r="H434">
            <v>3.7702917523469424</v>
          </cell>
          <cell r="I434">
            <v>7342000</v>
          </cell>
          <cell r="J434">
            <v>3.7192984220177783</v>
          </cell>
          <cell r="K434">
            <v>7070346</v>
          </cell>
          <cell r="L434">
            <v>3.6364011044895053</v>
          </cell>
          <cell r="M434">
            <v>7367300.8946832409</v>
          </cell>
          <cell r="N434">
            <v>3.5017127780017825</v>
          </cell>
          <cell r="O434">
            <v>7657182.3633613205</v>
          </cell>
          <cell r="P434">
            <v>3.3490435381813821</v>
          </cell>
          <cell r="Q434">
            <v>7932925.0257958854</v>
          </cell>
          <cell r="R434">
            <v>3.2003069969340672</v>
          </cell>
          <cell r="S434">
            <v>7000000</v>
          </cell>
          <cell r="T434" t="e">
            <v>#REF!</v>
          </cell>
        </row>
        <row r="435">
          <cell r="B435" t="str">
            <v>* RESULTADO EXPLOTACION</v>
          </cell>
          <cell r="D435" t="str">
            <v>3390</v>
          </cell>
          <cell r="E435">
            <v>22582647</v>
          </cell>
          <cell r="F435">
            <v>13.236306712955642</v>
          </cell>
          <cell r="G435">
            <v>25943499</v>
          </cell>
          <cell r="H435">
            <v>14.08662623629853</v>
          </cell>
          <cell r="I435">
            <v>24030711.692000017</v>
          </cell>
          <cell r="J435">
            <v>12.173438855355466</v>
          </cell>
          <cell r="K435">
            <v>26393565.415336717</v>
          </cell>
          <cell r="L435">
            <v>13.574666703404112</v>
          </cell>
          <cell r="M435">
            <v>29481408.418774657</v>
          </cell>
          <cell r="N435">
            <v>14.012652129902067</v>
          </cell>
          <cell r="O435">
            <v>32219094.934548207</v>
          </cell>
          <cell r="P435">
            <v>14.091756807687453</v>
          </cell>
          <cell r="Q435">
            <v>35611395.69400844</v>
          </cell>
          <cell r="R435">
            <v>14.366377904685788</v>
          </cell>
          <cell r="S435" t="e">
            <v>#REF!</v>
          </cell>
          <cell r="T435" t="e">
            <v>#REF!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sistencias año 2000"/>
      <sheetName val="Balance"/>
      <sheetName val="Estado de Resultados"/>
      <sheetName val="#REF"/>
      <sheetName val="Sueldos y Jornales"/>
      <sheetName val="Estado_de_Resultad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ux vs liq."/>
      <sheetName val="Hoja1"/>
      <sheetName val="ESP"/>
      <sheetName val="ER"/>
      <sheetName val="EOAF (1)"/>
      <sheetName val="EEP"/>
      <sheetName val="BU"/>
      <sheetName val="PPC BCE"/>
      <sheetName val="bal1"/>
      <sheetName val="3"/>
      <sheetName val="4"/>
      <sheetName val="5"/>
      <sheetName val="6"/>
      <sheetName val="7"/>
      <sheetName val="8"/>
      <sheetName val="9"/>
      <sheetName val="10.3"/>
      <sheetName val="11"/>
      <sheetName val="MAYOR CIAS VINCULDAS  GS  US$ ("/>
      <sheetName val="Mayor cia vinculadas 2007"/>
      <sheetName val="211102 (11)"/>
      <sheetName val="211102"/>
      <sheetName val="211102 (8)"/>
      <sheetName val="EOAF 20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Control"/>
      <sheetName val="RegistroDatos"/>
      <sheetName val="Resumen"/>
      <sheetName val="TablaCoeficientes"/>
      <sheetName val="TipoBienes"/>
    </sheetNames>
    <sheetDataSet>
      <sheetData sheetId="0"/>
      <sheetData sheetId="1"/>
      <sheetData sheetId="2"/>
      <sheetData sheetId="3">
        <row r="1">
          <cell r="A1" t="str">
            <v>Fecha</v>
          </cell>
        </row>
        <row r="2">
          <cell r="A2">
            <v>33604</v>
          </cell>
        </row>
        <row r="3">
          <cell r="A3">
            <v>33635</v>
          </cell>
        </row>
        <row r="4">
          <cell r="A4">
            <v>33664</v>
          </cell>
        </row>
        <row r="5">
          <cell r="A5">
            <v>33695</v>
          </cell>
        </row>
        <row r="6">
          <cell r="A6">
            <v>33725</v>
          </cell>
        </row>
        <row r="7">
          <cell r="A7">
            <v>33756</v>
          </cell>
        </row>
        <row r="8">
          <cell r="A8">
            <v>33786</v>
          </cell>
        </row>
        <row r="9">
          <cell r="A9">
            <v>33817</v>
          </cell>
        </row>
        <row r="10">
          <cell r="A10">
            <v>33848</v>
          </cell>
        </row>
        <row r="11">
          <cell r="A11">
            <v>33878</v>
          </cell>
        </row>
        <row r="12">
          <cell r="A12">
            <v>33909</v>
          </cell>
        </row>
        <row r="13">
          <cell r="A13">
            <v>33939</v>
          </cell>
        </row>
        <row r="14">
          <cell r="A14">
            <v>33970</v>
          </cell>
        </row>
        <row r="15">
          <cell r="A15">
            <v>34001</v>
          </cell>
        </row>
        <row r="16">
          <cell r="A16">
            <v>34029</v>
          </cell>
        </row>
        <row r="17">
          <cell r="A17">
            <v>34060</v>
          </cell>
        </row>
        <row r="18">
          <cell r="A18">
            <v>34090</v>
          </cell>
        </row>
        <row r="19">
          <cell r="A19">
            <v>34121</v>
          </cell>
        </row>
        <row r="20">
          <cell r="A20">
            <v>34151</v>
          </cell>
        </row>
        <row r="21">
          <cell r="A21">
            <v>34182</v>
          </cell>
        </row>
        <row r="22">
          <cell r="A22">
            <v>34213</v>
          </cell>
        </row>
        <row r="23">
          <cell r="A23">
            <v>34243</v>
          </cell>
        </row>
        <row r="24">
          <cell r="A24">
            <v>34274</v>
          </cell>
        </row>
        <row r="25">
          <cell r="A25">
            <v>34304</v>
          </cell>
        </row>
        <row r="26">
          <cell r="A26">
            <v>34335</v>
          </cell>
        </row>
        <row r="27">
          <cell r="A27">
            <v>34366</v>
          </cell>
        </row>
        <row r="28">
          <cell r="A28">
            <v>34394</v>
          </cell>
        </row>
        <row r="29">
          <cell r="A29">
            <v>34425</v>
          </cell>
        </row>
        <row r="30">
          <cell r="A30">
            <v>34455</v>
          </cell>
        </row>
        <row r="31">
          <cell r="A31">
            <v>34486</v>
          </cell>
        </row>
        <row r="32">
          <cell r="A32">
            <v>34516</v>
          </cell>
        </row>
        <row r="33">
          <cell r="A33">
            <v>34547</v>
          </cell>
        </row>
        <row r="34">
          <cell r="A34">
            <v>34578</v>
          </cell>
        </row>
        <row r="35">
          <cell r="A35">
            <v>34608</v>
          </cell>
        </row>
        <row r="36">
          <cell r="A36">
            <v>34639</v>
          </cell>
        </row>
        <row r="37">
          <cell r="A37">
            <v>34669</v>
          </cell>
        </row>
        <row r="38">
          <cell r="A38">
            <v>34700</v>
          </cell>
        </row>
        <row r="39">
          <cell r="A39">
            <v>34731</v>
          </cell>
        </row>
        <row r="40">
          <cell r="A40">
            <v>34759</v>
          </cell>
        </row>
        <row r="41">
          <cell r="A41">
            <v>34790</v>
          </cell>
        </row>
        <row r="42">
          <cell r="A42">
            <v>34820</v>
          </cell>
        </row>
        <row r="43">
          <cell r="A43">
            <v>34851</v>
          </cell>
        </row>
        <row r="44">
          <cell r="A44">
            <v>34881</v>
          </cell>
        </row>
        <row r="45">
          <cell r="A45">
            <v>34912</v>
          </cell>
        </row>
        <row r="46">
          <cell r="A46">
            <v>34943</v>
          </cell>
        </row>
        <row r="47">
          <cell r="A47">
            <v>34973</v>
          </cell>
        </row>
        <row r="48">
          <cell r="A48">
            <v>35004</v>
          </cell>
        </row>
        <row r="49">
          <cell r="A49">
            <v>35034</v>
          </cell>
        </row>
        <row r="50">
          <cell r="A50">
            <v>35065</v>
          </cell>
        </row>
        <row r="51">
          <cell r="A51">
            <v>35096</v>
          </cell>
        </row>
        <row r="52">
          <cell r="A52">
            <v>35125</v>
          </cell>
        </row>
        <row r="53">
          <cell r="A53">
            <v>35156</v>
          </cell>
        </row>
        <row r="54">
          <cell r="A54">
            <v>35186</v>
          </cell>
        </row>
        <row r="55">
          <cell r="A55">
            <v>35217</v>
          </cell>
        </row>
        <row r="56">
          <cell r="A56">
            <v>35247</v>
          </cell>
        </row>
        <row r="57">
          <cell r="A57">
            <v>35278</v>
          </cell>
        </row>
        <row r="58">
          <cell r="A58">
            <v>35309</v>
          </cell>
        </row>
        <row r="59">
          <cell r="A59">
            <v>35339</v>
          </cell>
        </row>
        <row r="60">
          <cell r="A60">
            <v>35370</v>
          </cell>
        </row>
        <row r="61">
          <cell r="A61">
            <v>35400</v>
          </cell>
        </row>
        <row r="62">
          <cell r="A62">
            <v>35431</v>
          </cell>
        </row>
        <row r="63">
          <cell r="A63">
            <v>35462</v>
          </cell>
        </row>
        <row r="64">
          <cell r="A64">
            <v>35490</v>
          </cell>
        </row>
        <row r="65">
          <cell r="A65">
            <v>35521</v>
          </cell>
        </row>
        <row r="66">
          <cell r="A66">
            <v>35551</v>
          </cell>
        </row>
        <row r="67">
          <cell r="A67">
            <v>35582</v>
          </cell>
        </row>
        <row r="68">
          <cell r="A68">
            <v>35612</v>
          </cell>
        </row>
        <row r="69">
          <cell r="A69">
            <v>35643</v>
          </cell>
        </row>
        <row r="70">
          <cell r="A70">
            <v>35674</v>
          </cell>
        </row>
        <row r="71">
          <cell r="A71">
            <v>35704</v>
          </cell>
        </row>
        <row r="72">
          <cell r="A72">
            <v>35735</v>
          </cell>
        </row>
        <row r="73">
          <cell r="A73">
            <v>35765</v>
          </cell>
        </row>
        <row r="74">
          <cell r="A74">
            <v>35796</v>
          </cell>
        </row>
        <row r="75">
          <cell r="A75">
            <v>35827</v>
          </cell>
        </row>
        <row r="76">
          <cell r="A76">
            <v>35855</v>
          </cell>
        </row>
        <row r="77">
          <cell r="A77">
            <v>35886</v>
          </cell>
        </row>
        <row r="78">
          <cell r="A78">
            <v>35916</v>
          </cell>
        </row>
        <row r="79">
          <cell r="A79">
            <v>35947</v>
          </cell>
        </row>
        <row r="80">
          <cell r="A80">
            <v>35977</v>
          </cell>
        </row>
        <row r="81">
          <cell r="A81">
            <v>36008</v>
          </cell>
        </row>
        <row r="82">
          <cell r="A82">
            <v>36039</v>
          </cell>
        </row>
        <row r="83">
          <cell r="A83">
            <v>36069</v>
          </cell>
        </row>
        <row r="84">
          <cell r="A84">
            <v>36100</v>
          </cell>
        </row>
        <row r="85">
          <cell r="A85">
            <v>36130</v>
          </cell>
        </row>
        <row r="86">
          <cell r="A86">
            <v>36161</v>
          </cell>
        </row>
        <row r="87">
          <cell r="A87">
            <v>36192</v>
          </cell>
        </row>
        <row r="88">
          <cell r="A88">
            <v>36220</v>
          </cell>
        </row>
        <row r="89">
          <cell r="A89">
            <v>36251</v>
          </cell>
        </row>
        <row r="90">
          <cell r="A90">
            <v>36281</v>
          </cell>
        </row>
        <row r="91">
          <cell r="A91">
            <v>36312</v>
          </cell>
        </row>
        <row r="92">
          <cell r="A92">
            <v>36342</v>
          </cell>
        </row>
        <row r="93">
          <cell r="A93">
            <v>36373</v>
          </cell>
        </row>
        <row r="94">
          <cell r="A94">
            <v>36404</v>
          </cell>
        </row>
        <row r="95">
          <cell r="A95">
            <v>36434</v>
          </cell>
        </row>
        <row r="96">
          <cell r="A96">
            <v>36465</v>
          </cell>
        </row>
        <row r="97">
          <cell r="A97">
            <v>36495</v>
          </cell>
        </row>
        <row r="98">
          <cell r="A98">
            <v>36526</v>
          </cell>
        </row>
        <row r="99">
          <cell r="A99">
            <v>36557</v>
          </cell>
        </row>
        <row r="100">
          <cell r="A100">
            <v>36586</v>
          </cell>
        </row>
        <row r="101">
          <cell r="A101">
            <v>36617</v>
          </cell>
        </row>
        <row r="102">
          <cell r="A102">
            <v>36647</v>
          </cell>
        </row>
        <row r="103">
          <cell r="A103">
            <v>36678</v>
          </cell>
        </row>
        <row r="104">
          <cell r="A104">
            <v>36708</v>
          </cell>
        </row>
        <row r="105">
          <cell r="A105">
            <v>36739</v>
          </cell>
        </row>
        <row r="106">
          <cell r="A106">
            <v>36770</v>
          </cell>
        </row>
        <row r="107">
          <cell r="A107">
            <v>36800</v>
          </cell>
        </row>
        <row r="108">
          <cell r="A108">
            <v>36831</v>
          </cell>
        </row>
        <row r="109">
          <cell r="A109">
            <v>36861</v>
          </cell>
        </row>
        <row r="110">
          <cell r="A110">
            <v>36892</v>
          </cell>
        </row>
        <row r="111">
          <cell r="A111">
            <v>36923</v>
          </cell>
        </row>
        <row r="112">
          <cell r="A112">
            <v>36951</v>
          </cell>
        </row>
        <row r="113">
          <cell r="A113">
            <v>36982</v>
          </cell>
        </row>
        <row r="114">
          <cell r="A114">
            <v>37012</v>
          </cell>
        </row>
        <row r="115">
          <cell r="A115">
            <v>37043</v>
          </cell>
        </row>
        <row r="116">
          <cell r="A116">
            <v>37073</v>
          </cell>
        </row>
        <row r="117">
          <cell r="A117">
            <v>37104</v>
          </cell>
        </row>
        <row r="118">
          <cell r="A118">
            <v>37135</v>
          </cell>
        </row>
        <row r="119">
          <cell r="A119">
            <v>37165</v>
          </cell>
        </row>
        <row r="120">
          <cell r="A120">
            <v>37196</v>
          </cell>
        </row>
        <row r="121">
          <cell r="A121">
            <v>37226</v>
          </cell>
        </row>
        <row r="122">
          <cell r="A122">
            <v>37257</v>
          </cell>
        </row>
        <row r="123">
          <cell r="A123">
            <v>37288</v>
          </cell>
        </row>
        <row r="124">
          <cell r="A124">
            <v>37316</v>
          </cell>
        </row>
        <row r="125">
          <cell r="A125">
            <v>37347</v>
          </cell>
        </row>
        <row r="126">
          <cell r="A126">
            <v>37377</v>
          </cell>
        </row>
        <row r="127">
          <cell r="A127">
            <v>37408</v>
          </cell>
        </row>
        <row r="128">
          <cell r="A128">
            <v>37438</v>
          </cell>
        </row>
        <row r="129">
          <cell r="A129">
            <v>37469</v>
          </cell>
        </row>
        <row r="130">
          <cell r="A130">
            <v>37500</v>
          </cell>
        </row>
        <row r="131">
          <cell r="A131">
            <v>37530</v>
          </cell>
        </row>
        <row r="132">
          <cell r="A132">
            <v>37561</v>
          </cell>
        </row>
        <row r="133">
          <cell r="A133">
            <v>37591</v>
          </cell>
        </row>
        <row r="134">
          <cell r="A134">
            <v>37622</v>
          </cell>
        </row>
        <row r="135">
          <cell r="A135">
            <v>37653</v>
          </cell>
        </row>
        <row r="136">
          <cell r="A136">
            <v>37681</v>
          </cell>
        </row>
        <row r="137">
          <cell r="A137">
            <v>37712</v>
          </cell>
        </row>
        <row r="138">
          <cell r="A138">
            <v>37742</v>
          </cell>
        </row>
        <row r="139">
          <cell r="A139">
            <v>37773</v>
          </cell>
        </row>
        <row r="140">
          <cell r="A140">
            <v>37803</v>
          </cell>
        </row>
        <row r="141">
          <cell r="A141">
            <v>37834</v>
          </cell>
        </row>
        <row r="142">
          <cell r="A142">
            <v>37865</v>
          </cell>
        </row>
        <row r="143">
          <cell r="A143">
            <v>37895</v>
          </cell>
        </row>
        <row r="144">
          <cell r="A144">
            <v>37926</v>
          </cell>
        </row>
        <row r="145">
          <cell r="A145">
            <v>37956</v>
          </cell>
        </row>
        <row r="146">
          <cell r="A146">
            <v>37987</v>
          </cell>
        </row>
        <row r="147">
          <cell r="A147">
            <v>38018</v>
          </cell>
        </row>
        <row r="148">
          <cell r="A148">
            <v>38047</v>
          </cell>
        </row>
        <row r="149">
          <cell r="A149">
            <v>38078</v>
          </cell>
        </row>
        <row r="150">
          <cell r="A150">
            <v>38108</v>
          </cell>
        </row>
        <row r="151">
          <cell r="A151">
            <v>38139</v>
          </cell>
        </row>
        <row r="152">
          <cell r="A152">
            <v>38169</v>
          </cell>
        </row>
        <row r="153">
          <cell r="A153">
            <v>38200</v>
          </cell>
        </row>
        <row r="154">
          <cell r="A154">
            <v>38231</v>
          </cell>
        </row>
        <row r="155">
          <cell r="A155">
            <v>38261</v>
          </cell>
        </row>
        <row r="156">
          <cell r="A156">
            <v>38292</v>
          </cell>
        </row>
        <row r="157">
          <cell r="A157">
            <v>38322</v>
          </cell>
        </row>
        <row r="158">
          <cell r="A158">
            <v>38353</v>
          </cell>
        </row>
        <row r="159">
          <cell r="A159">
            <v>38384</v>
          </cell>
        </row>
        <row r="160">
          <cell r="A160">
            <v>38412</v>
          </cell>
        </row>
        <row r="161">
          <cell r="A161">
            <v>38443</v>
          </cell>
        </row>
        <row r="162">
          <cell r="A162">
            <v>38473</v>
          </cell>
        </row>
        <row r="163">
          <cell r="A163">
            <v>38504</v>
          </cell>
        </row>
        <row r="164">
          <cell r="A164">
            <v>38534</v>
          </cell>
        </row>
        <row r="165">
          <cell r="A165">
            <v>38565</v>
          </cell>
        </row>
        <row r="166">
          <cell r="A166">
            <v>38596</v>
          </cell>
        </row>
        <row r="167">
          <cell r="A167">
            <v>38626</v>
          </cell>
        </row>
        <row r="168">
          <cell r="A168">
            <v>38657</v>
          </cell>
        </row>
        <row r="169">
          <cell r="A169">
            <v>38687</v>
          </cell>
        </row>
        <row r="170">
          <cell r="A170">
            <v>38718</v>
          </cell>
        </row>
        <row r="171">
          <cell r="A171">
            <v>38749</v>
          </cell>
        </row>
        <row r="172">
          <cell r="A172">
            <v>38777</v>
          </cell>
        </row>
        <row r="173">
          <cell r="A173">
            <v>38808</v>
          </cell>
        </row>
        <row r="174">
          <cell r="A174">
            <v>38838</v>
          </cell>
        </row>
        <row r="175">
          <cell r="A175">
            <v>38869</v>
          </cell>
        </row>
        <row r="176">
          <cell r="A176">
            <v>38899</v>
          </cell>
        </row>
        <row r="177">
          <cell r="A177">
            <v>38930</v>
          </cell>
        </row>
        <row r="178">
          <cell r="A178">
            <v>38961</v>
          </cell>
        </row>
        <row r="179">
          <cell r="A179">
            <v>38991</v>
          </cell>
        </row>
        <row r="180">
          <cell r="A180">
            <v>39022</v>
          </cell>
        </row>
        <row r="181">
          <cell r="A181">
            <v>39052</v>
          </cell>
        </row>
        <row r="182">
          <cell r="A182">
            <v>39083</v>
          </cell>
        </row>
        <row r="183">
          <cell r="A183">
            <v>39114</v>
          </cell>
        </row>
        <row r="184">
          <cell r="A184">
            <v>39142</v>
          </cell>
        </row>
        <row r="185">
          <cell r="A185">
            <v>39173</v>
          </cell>
        </row>
        <row r="186">
          <cell r="A186">
            <v>39203</v>
          </cell>
        </row>
        <row r="187">
          <cell r="A187">
            <v>39234</v>
          </cell>
        </row>
        <row r="188">
          <cell r="A188">
            <v>39264</v>
          </cell>
        </row>
        <row r="189">
          <cell r="A189">
            <v>39295</v>
          </cell>
        </row>
        <row r="190">
          <cell r="A190">
            <v>39326</v>
          </cell>
        </row>
        <row r="191">
          <cell r="A191">
            <v>39356</v>
          </cell>
        </row>
        <row r="192">
          <cell r="A192">
            <v>39387</v>
          </cell>
        </row>
        <row r="193">
          <cell r="A193">
            <v>39417</v>
          </cell>
        </row>
        <row r="194">
          <cell r="A194">
            <v>39448</v>
          </cell>
        </row>
        <row r="195">
          <cell r="A195">
            <v>39479</v>
          </cell>
        </row>
        <row r="196">
          <cell r="A196">
            <v>39508</v>
          </cell>
        </row>
        <row r="197">
          <cell r="A197">
            <v>39539</v>
          </cell>
        </row>
        <row r="198">
          <cell r="A198">
            <v>39569</v>
          </cell>
        </row>
        <row r="199">
          <cell r="A199">
            <v>39600</v>
          </cell>
        </row>
        <row r="200">
          <cell r="A200">
            <v>39630</v>
          </cell>
        </row>
        <row r="201">
          <cell r="A201">
            <v>39661</v>
          </cell>
        </row>
        <row r="202">
          <cell r="A202">
            <v>39692</v>
          </cell>
        </row>
        <row r="203">
          <cell r="A203">
            <v>39722</v>
          </cell>
        </row>
        <row r="204">
          <cell r="A204">
            <v>39753</v>
          </cell>
        </row>
        <row r="205">
          <cell r="A205">
            <v>39783</v>
          </cell>
        </row>
        <row r="206">
          <cell r="A206">
            <v>39814</v>
          </cell>
        </row>
        <row r="207">
          <cell r="A207">
            <v>39845</v>
          </cell>
        </row>
        <row r="208">
          <cell r="A208">
            <v>39873</v>
          </cell>
        </row>
        <row r="209">
          <cell r="A209">
            <v>39904</v>
          </cell>
        </row>
        <row r="210">
          <cell r="A210">
            <v>39934</v>
          </cell>
        </row>
        <row r="211">
          <cell r="A211">
            <v>39965</v>
          </cell>
        </row>
        <row r="212">
          <cell r="A212">
            <v>39995</v>
          </cell>
        </row>
        <row r="213">
          <cell r="A213">
            <v>40026</v>
          </cell>
        </row>
        <row r="214">
          <cell r="A214">
            <v>40057</v>
          </cell>
        </row>
        <row r="215">
          <cell r="A215">
            <v>40087</v>
          </cell>
        </row>
        <row r="216">
          <cell r="A216">
            <v>40118</v>
          </cell>
        </row>
        <row r="217">
          <cell r="A217">
            <v>40148</v>
          </cell>
        </row>
        <row r="218">
          <cell r="A218">
            <v>40179</v>
          </cell>
        </row>
        <row r="219">
          <cell r="A219">
            <v>40210</v>
          </cell>
        </row>
        <row r="220">
          <cell r="A220">
            <v>40238</v>
          </cell>
        </row>
        <row r="221">
          <cell r="A221">
            <v>40269</v>
          </cell>
        </row>
        <row r="222">
          <cell r="A222">
            <v>40299</v>
          </cell>
        </row>
        <row r="223">
          <cell r="A223">
            <v>40330</v>
          </cell>
        </row>
        <row r="224">
          <cell r="A224">
            <v>40360</v>
          </cell>
        </row>
        <row r="225">
          <cell r="A225">
            <v>40391</v>
          </cell>
        </row>
        <row r="226">
          <cell r="A226">
            <v>40422</v>
          </cell>
        </row>
        <row r="227">
          <cell r="A227">
            <v>40452</v>
          </cell>
        </row>
        <row r="228">
          <cell r="A228">
            <v>40483</v>
          </cell>
        </row>
        <row r="229">
          <cell r="A229">
            <v>40513</v>
          </cell>
        </row>
      </sheetData>
      <sheetData sheetId="4">
        <row r="1">
          <cell r="A1" t="str">
            <v>TipoDelBien</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Carátula"/>
      <sheetName val="2012-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G"/>
      <sheetName val="H"/>
      <sheetName val="I"/>
      <sheetName val="J"/>
      <sheetName val="K"/>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e"/>
      <sheetName val="ER"/>
      <sheetName val="EVP173"/>
      <sheetName val="ACT173"/>
      <sheetName val="PPN173"/>
      <sheetName val="RES173"/>
      <sheetName val="CAUXCF173"/>
      <sheetName val="CFLOW173"/>
      <sheetName val="Cuadros p.Notas"/>
      <sheetName val="IR"/>
      <sheetName val="Pas notas"/>
      <sheetName val="Act notas"/>
      <sheetName val="ER notas "/>
      <sheetName val="Cuad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3">
          <cell r="A33" t="str">
            <v>Pagos a Proveedores</v>
          </cell>
        </row>
        <row r="38">
          <cell r="A38" t="str">
            <v>Impuesto a la Renta</v>
          </cell>
        </row>
        <row r="47">
          <cell r="A47" t="str">
            <v>Compra de propiedad, planta y equipo</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bezamiento"/>
      <sheetName val="BCE "/>
      <sheetName val="E R "/>
      <sheetName val="ER analítico"/>
      <sheetName val="Flujo de Efectivo Res 5 92"/>
      <sheetName val="flujo al 31.03.11"/>
      <sheetName val="flujo res 173-04"/>
      <sheetName val="Ev Patrimonio"/>
      <sheetName val="Bienes de Uso"/>
      <sheetName val="Activos Intangibles"/>
      <sheetName val="Inv. Acc. Deb. y Otros Titulos"/>
      <sheetName val="Otras Inversiones"/>
      <sheetName val="Prev Anexo E"/>
      <sheetName val="Activos Pasivos M E"/>
      <sheetName val="Costo de MercaderíasAnexo F"/>
      <sheetName val="Inf Req s Costos y Gtos Anexo H"/>
      <sheetName val="Anexo I"/>
      <sheetName val="Anexo J"/>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49">
          <cell r="D49">
            <v>0</v>
          </cell>
        </row>
        <row r="59">
          <cell r="D59">
            <v>0</v>
          </cell>
          <cell r="F59">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2007 G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2007 G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0">
        <row r="13">
          <cell r="D13" t="str">
            <v>31 de diciembre de 2007</v>
          </cell>
        </row>
      </sheetData>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P Global"/>
      <sheetName val="Cifras Clave"/>
      <sheetName val="DATOS"/>
      <sheetName val="Operativa"/>
      <sheetName val="Basic Chart"/>
      <sheetName val="Cap.Trab."/>
      <sheetName val="Activo Fijo"/>
      <sheetName val="Fondos"/>
      <sheetName val="Balance"/>
      <sheetName val="G&amp;P PLP 1"/>
      <sheetName val="G&amp;P PLP 2"/>
      <sheetName val="G&amp;P PLP 3"/>
    </sheetNames>
    <sheetDataSet>
      <sheetData sheetId="0" refreshError="1">
        <row r="59">
          <cell r="A59">
            <v>0.3</v>
          </cell>
        </row>
      </sheetData>
      <sheetData sheetId="1" refreshError="1">
        <row r="1">
          <cell r="A1">
            <v>1</v>
          </cell>
          <cell r="D1">
            <v>3</v>
          </cell>
          <cell r="E1">
            <v>4</v>
          </cell>
          <cell r="F1">
            <v>5</v>
          </cell>
          <cell r="G1">
            <v>6</v>
          </cell>
          <cell r="H1">
            <v>7</v>
          </cell>
          <cell r="I1">
            <v>9</v>
          </cell>
          <cell r="J1">
            <v>10</v>
          </cell>
          <cell r="K1">
            <v>11</v>
          </cell>
        </row>
        <row r="2">
          <cell r="A2">
            <v>2</v>
          </cell>
          <cell r="C2" t="str">
            <v>C I F R A S    C L A V E</v>
          </cell>
        </row>
        <row r="3">
          <cell r="A3">
            <v>3</v>
          </cell>
        </row>
        <row r="4">
          <cell r="A4">
            <v>4</v>
          </cell>
          <cell r="B4">
            <v>1</v>
          </cell>
          <cell r="D4" t="str">
            <v>Unid.</v>
          </cell>
          <cell r="E4">
            <v>1996</v>
          </cell>
          <cell r="F4">
            <v>1997</v>
          </cell>
          <cell r="G4">
            <v>1998</v>
          </cell>
          <cell r="H4" t="str">
            <v>PO 1999</v>
          </cell>
          <cell r="I4" t="str">
            <v>PLP 2000</v>
          </cell>
          <cell r="J4" t="str">
            <v>PLP 2001</v>
          </cell>
          <cell r="K4" t="str">
            <v>PLP 2002</v>
          </cell>
        </row>
        <row r="5">
          <cell r="A5">
            <v>5</v>
          </cell>
        </row>
        <row r="6">
          <cell r="A6">
            <v>6</v>
          </cell>
          <cell r="B6">
            <v>117</v>
          </cell>
          <cell r="C6" t="str">
            <v>Venta Neta</v>
          </cell>
          <cell r="E6">
            <v>144236</v>
          </cell>
          <cell r="F6">
            <v>184950</v>
          </cell>
          <cell r="G6">
            <v>224530.59100000001</v>
          </cell>
          <cell r="H6">
            <v>244459</v>
          </cell>
          <cell r="I6">
            <v>257911.05000000002</v>
          </cell>
          <cell r="J6">
            <v>284650</v>
          </cell>
          <cell r="K6">
            <v>318920.96000000002</v>
          </cell>
        </row>
        <row r="7">
          <cell r="A7">
            <v>7</v>
          </cell>
        </row>
        <row r="8">
          <cell r="A8">
            <v>8</v>
          </cell>
          <cell r="C8" t="str">
            <v>FLUJO DE FONDOS</v>
          </cell>
        </row>
        <row r="9">
          <cell r="A9">
            <v>9</v>
          </cell>
        </row>
        <row r="10">
          <cell r="A10">
            <v>10</v>
          </cell>
          <cell r="C10" t="str">
            <v>Resultado de Explotacion</v>
          </cell>
          <cell r="D10" t="str">
            <v>$</v>
          </cell>
          <cell r="E10">
            <v>20851.003899999996</v>
          </cell>
          <cell r="F10">
            <v>31600.269999999997</v>
          </cell>
          <cell r="G10">
            <v>36551.923800000011</v>
          </cell>
          <cell r="H10">
            <v>32975.854999999996</v>
          </cell>
          <cell r="I10">
            <v>33395.503096835178</v>
          </cell>
          <cell r="J10">
            <v>37412.953709101021</v>
          </cell>
          <cell r="K10">
            <v>41923.38630610265</v>
          </cell>
        </row>
        <row r="11">
          <cell r="A11">
            <v>11</v>
          </cell>
          <cell r="C11" t="str">
            <v>Interes Operacional</v>
          </cell>
          <cell r="D11" t="str">
            <v>$</v>
          </cell>
          <cell r="E11">
            <v>4295</v>
          </cell>
          <cell r="F11">
            <v>4403</v>
          </cell>
          <cell r="G11">
            <v>4972</v>
          </cell>
          <cell r="H11">
            <v>6354</v>
          </cell>
          <cell r="I11">
            <v>5881.1803289648424</v>
          </cell>
          <cell r="J11">
            <v>6754.8852408989933</v>
          </cell>
          <cell r="K11">
            <v>8061.8276407773355</v>
          </cell>
        </row>
        <row r="12">
          <cell r="A12">
            <v>12</v>
          </cell>
        </row>
        <row r="13">
          <cell r="A13">
            <v>13</v>
          </cell>
          <cell r="C13" t="str">
            <v>Res.Explot. + Int.Operacional</v>
          </cell>
          <cell r="D13" t="str">
            <v>$</v>
          </cell>
          <cell r="E13">
            <v>25146.003899999996</v>
          </cell>
          <cell r="F13">
            <v>36003.269999999997</v>
          </cell>
          <cell r="G13">
            <v>41523.923800000011</v>
          </cell>
          <cell r="H13">
            <v>39329.854999999996</v>
          </cell>
          <cell r="I13">
            <v>39276.683425800024</v>
          </cell>
          <cell r="J13">
            <v>44167.838950000012</v>
          </cell>
          <cell r="K13">
            <v>49985.213946879987</v>
          </cell>
        </row>
        <row r="14">
          <cell r="A14">
            <v>14</v>
          </cell>
          <cell r="C14" t="str">
            <v>I.R.I.C.</v>
          </cell>
          <cell r="D14" t="str">
            <v>$</v>
          </cell>
          <cell r="E14">
            <v>7543.8011699999988</v>
          </cell>
          <cell r="F14">
            <v>10800.980999999998</v>
          </cell>
          <cell r="G14">
            <v>12457.177140000003</v>
          </cell>
          <cell r="H14">
            <v>11798.956499999998</v>
          </cell>
          <cell r="I14">
            <v>11783.005027740006</v>
          </cell>
          <cell r="J14">
            <v>13250.351685000003</v>
          </cell>
          <cell r="K14">
            <v>14995.564184063995</v>
          </cell>
        </row>
        <row r="15">
          <cell r="A15">
            <v>15</v>
          </cell>
        </row>
        <row r="16">
          <cell r="A16">
            <v>16</v>
          </cell>
          <cell r="C16" t="str">
            <v>R.N.E.antes de Int.Oper. (desp.imp.)</v>
          </cell>
          <cell r="D16" t="str">
            <v>$</v>
          </cell>
          <cell r="E16">
            <v>17602.202729999997</v>
          </cell>
          <cell r="F16">
            <v>25202.288999999997</v>
          </cell>
          <cell r="G16">
            <v>29066.746660000008</v>
          </cell>
          <cell r="H16">
            <v>27530.898499999996</v>
          </cell>
          <cell r="I16">
            <v>27493.678398060016</v>
          </cell>
          <cell r="J16">
            <v>30917.487265000011</v>
          </cell>
          <cell r="K16">
            <v>34989.649762815992</v>
          </cell>
        </row>
        <row r="17">
          <cell r="A17">
            <v>17</v>
          </cell>
        </row>
        <row r="18">
          <cell r="A18">
            <v>18</v>
          </cell>
          <cell r="C18" t="str">
            <v>V.R.N.Neto Activo Fijo 31/12</v>
          </cell>
          <cell r="D18" t="str">
            <v>$</v>
          </cell>
          <cell r="E18">
            <v>17860.560000000001</v>
          </cell>
          <cell r="F18">
            <v>23637.786000000004</v>
          </cell>
          <cell r="G18">
            <v>26989.703999999998</v>
          </cell>
          <cell r="H18">
            <v>39582.298999999999</v>
          </cell>
          <cell r="I18">
            <v>39143.368351799996</v>
          </cell>
          <cell r="J18">
            <v>39480.311676196463</v>
          </cell>
          <cell r="K18">
            <v>39525.452435769061</v>
          </cell>
        </row>
        <row r="19">
          <cell r="A19">
            <v>19</v>
          </cell>
        </row>
        <row r="20">
          <cell r="A20">
            <v>20</v>
          </cell>
          <cell r="C20" t="str">
            <v>Cap.Trab.Neto Promedio</v>
          </cell>
          <cell r="D20" t="str">
            <v>$</v>
          </cell>
          <cell r="E20">
            <v>13527</v>
          </cell>
          <cell r="F20">
            <v>13902</v>
          </cell>
          <cell r="G20">
            <v>18352</v>
          </cell>
          <cell r="H20">
            <v>20314</v>
          </cell>
          <cell r="I20">
            <v>20912.289199939944</v>
          </cell>
          <cell r="J20">
            <v>22466.731089492208</v>
          </cell>
          <cell r="K20">
            <v>25246.918516666443</v>
          </cell>
        </row>
        <row r="21">
          <cell r="A21">
            <v>21</v>
          </cell>
          <cell r="B21">
            <v>579</v>
          </cell>
          <cell r="C21" t="str">
            <v>V.R.N.Neto Activo Fijo Promedio</v>
          </cell>
          <cell r="D21" t="str">
            <v>$</v>
          </cell>
          <cell r="E21">
            <v>14675</v>
          </cell>
          <cell r="F21">
            <v>20749.172999999999</v>
          </cell>
          <cell r="G21">
            <v>25313.745000000003</v>
          </cell>
          <cell r="H21">
            <v>33286.001500000006</v>
          </cell>
          <cell r="I21">
            <v>39362.833675900001</v>
          </cell>
          <cell r="J21">
            <v>39311.840013998226</v>
          </cell>
          <cell r="K21">
            <v>39502.882055982765</v>
          </cell>
        </row>
        <row r="22">
          <cell r="A22">
            <v>22</v>
          </cell>
        </row>
        <row r="23">
          <cell r="A23">
            <v>23</v>
          </cell>
          <cell r="C23" t="str">
            <v>Total Capital Invertido</v>
          </cell>
          <cell r="D23" t="str">
            <v>$</v>
          </cell>
          <cell r="E23">
            <v>28202</v>
          </cell>
          <cell r="F23">
            <v>34651.172999999995</v>
          </cell>
          <cell r="G23">
            <v>43665.745000000003</v>
          </cell>
          <cell r="H23">
            <v>53600.001500000006</v>
          </cell>
          <cell r="I23">
            <v>60275.122875839945</v>
          </cell>
          <cell r="J23">
            <v>61778.571103490438</v>
          </cell>
          <cell r="K23">
            <v>64749.800572649212</v>
          </cell>
        </row>
        <row r="24">
          <cell r="A24">
            <v>24</v>
          </cell>
          <cell r="C24" t="str">
            <v>% Retorno s/Capital Invertido</v>
          </cell>
          <cell r="D24" t="str">
            <v>%</v>
          </cell>
          <cell r="E24">
            <v>0.62414732040280818</v>
          </cell>
          <cell r="F24">
            <v>0.7273141662477054</v>
          </cell>
          <cell r="G24">
            <v>0.66566473696944839</v>
          </cell>
          <cell r="H24">
            <v>0.51363615167062993</v>
          </cell>
          <cell r="I24">
            <v>0.45613641393471627</v>
          </cell>
          <cell r="J24">
            <v>0.50045649669053605</v>
          </cell>
          <cell r="K24">
            <v>0.5403823556731675</v>
          </cell>
        </row>
        <row r="25">
          <cell r="A25">
            <v>25</v>
          </cell>
        </row>
        <row r="26">
          <cell r="A26">
            <v>26</v>
          </cell>
          <cell r="C26" t="str">
            <v>Dividendos Girados</v>
          </cell>
          <cell r="D26" t="str">
            <v>$</v>
          </cell>
          <cell r="E26">
            <v>12022</v>
          </cell>
          <cell r="F26">
            <v>16478.702729999997</v>
          </cell>
          <cell r="G26">
            <v>23564.589</v>
          </cell>
          <cell r="H26">
            <v>22581</v>
          </cell>
          <cell r="I26">
            <v>23895.729320000002</v>
          </cell>
          <cell r="J26">
            <v>27659.568291634627</v>
          </cell>
          <cell r="K26">
            <v>28912.665466370716</v>
          </cell>
        </row>
        <row r="27">
          <cell r="A27">
            <v>27</v>
          </cell>
        </row>
        <row r="28">
          <cell r="A28">
            <v>28</v>
          </cell>
          <cell r="B28">
            <v>214</v>
          </cell>
          <cell r="C28" t="str">
            <v>Regalias</v>
          </cell>
          <cell r="D28" t="str">
            <v>$</v>
          </cell>
          <cell r="E28">
            <v>4463.1961000000001</v>
          </cell>
          <cell r="F28">
            <v>5169.33</v>
          </cell>
          <cell r="G28">
            <v>6072.2672000000002</v>
          </cell>
          <cell r="H28">
            <v>6305.1450000000004</v>
          </cell>
          <cell r="I28">
            <v>10467.67518</v>
          </cell>
          <cell r="J28">
            <v>11498.61875</v>
          </cell>
          <cell r="K28">
            <v>12353.988799999999</v>
          </cell>
        </row>
        <row r="29">
          <cell r="A29">
            <v>29</v>
          </cell>
          <cell r="C29" t="str">
            <v>Regalias s/V.Neta</v>
          </cell>
          <cell r="D29" t="str">
            <v>%</v>
          </cell>
          <cell r="E29">
            <v>3.0943704068332457E-2</v>
          </cell>
          <cell r="F29">
            <v>2.7949878345498783E-2</v>
          </cell>
          <cell r="G29">
            <v>2.7044275672885927E-2</v>
          </cell>
          <cell r="H29">
            <v>2.5792239189393724E-2</v>
          </cell>
          <cell r="I29">
            <v>4.0586377280073881E-2</v>
          </cell>
          <cell r="J29">
            <v>4.0395639381696817E-2</v>
          </cell>
          <cell r="K29">
            <v>3.8736835609675821E-2</v>
          </cell>
        </row>
        <row r="30">
          <cell r="A30">
            <v>30</v>
          </cell>
        </row>
        <row r="31">
          <cell r="A31">
            <v>31</v>
          </cell>
          <cell r="B31">
            <v>214</v>
          </cell>
          <cell r="C31" t="str">
            <v>Regalias Netas</v>
          </cell>
          <cell r="D31" t="str">
            <v>$</v>
          </cell>
          <cell r="E31">
            <v>3124.2372700000001</v>
          </cell>
          <cell r="F31">
            <v>3618.5309999999995</v>
          </cell>
          <cell r="G31">
            <v>4250.5870400000003</v>
          </cell>
          <cell r="H31">
            <v>4413.6014999999998</v>
          </cell>
          <cell r="I31">
            <v>7327.3726259999994</v>
          </cell>
          <cell r="J31">
            <v>8049.033124999999</v>
          </cell>
          <cell r="K31">
            <v>8647.7921599999991</v>
          </cell>
        </row>
        <row r="32">
          <cell r="A32">
            <v>32</v>
          </cell>
        </row>
        <row r="33">
          <cell r="A33">
            <v>33</v>
          </cell>
          <cell r="C33" t="str">
            <v>FLUJO DE FONDOS</v>
          </cell>
        </row>
        <row r="34">
          <cell r="A34">
            <v>34</v>
          </cell>
        </row>
        <row r="35">
          <cell r="A35">
            <v>35</v>
          </cell>
          <cell r="C35" t="str">
            <v>Cash Flow Bruto</v>
          </cell>
          <cell r="D35" t="str">
            <v>$</v>
          </cell>
          <cell r="E35">
            <v>17349.702729999997</v>
          </cell>
          <cell r="F35">
            <v>23814.589</v>
          </cell>
          <cell r="G35">
            <v>29771.34666000001</v>
          </cell>
          <cell r="H35">
            <v>28566.729320000002</v>
          </cell>
          <cell r="I35">
            <v>32275.717739834625</v>
          </cell>
          <cell r="J35">
            <v>36764.814276950063</v>
          </cell>
          <cell r="K35">
            <v>42538.266153358607</v>
          </cell>
        </row>
        <row r="36">
          <cell r="A36">
            <v>36</v>
          </cell>
          <cell r="C36" t="str">
            <v>Inversiones</v>
          </cell>
          <cell r="D36" t="str">
            <v>$</v>
          </cell>
          <cell r="E36">
            <v>-6552</v>
          </cell>
          <cell r="F36">
            <v>-7170</v>
          </cell>
          <cell r="G36">
            <v>-6369</v>
          </cell>
          <cell r="H36">
            <v>-8289.15</v>
          </cell>
          <cell r="I36">
            <v>-7979.7</v>
          </cell>
          <cell r="J36">
            <v>-8250</v>
          </cell>
          <cell r="K36">
            <v>-9512</v>
          </cell>
        </row>
        <row r="37">
          <cell r="A37">
            <v>37</v>
          </cell>
          <cell r="C37" t="str">
            <v>Variacion del Cap.de Trabajo</v>
          </cell>
          <cell r="D37" t="str">
            <v>$</v>
          </cell>
          <cell r="E37">
            <v>-7694</v>
          </cell>
          <cell r="F37">
            <v>-77</v>
          </cell>
          <cell r="G37">
            <v>294</v>
          </cell>
          <cell r="H37">
            <v>-1495</v>
          </cell>
          <cell r="I37">
            <v>-506.21689995495944</v>
          </cell>
          <cell r="J37">
            <v>-1390.4987280591195</v>
          </cell>
          <cell r="K37">
            <v>-2365.4116298190838</v>
          </cell>
        </row>
        <row r="38">
          <cell r="A38">
            <v>38</v>
          </cell>
          <cell r="C38" t="str">
            <v>Otros</v>
          </cell>
          <cell r="D38" t="str">
            <v>$</v>
          </cell>
          <cell r="E38">
            <v>248</v>
          </cell>
          <cell r="F38">
            <v>404</v>
          </cell>
          <cell r="G38">
            <v>493</v>
          </cell>
          <cell r="H38">
            <v>0</v>
          </cell>
          <cell r="I38">
            <v>0</v>
          </cell>
          <cell r="J38">
            <v>0</v>
          </cell>
          <cell r="K38">
            <v>0</v>
          </cell>
        </row>
        <row r="39">
          <cell r="A39">
            <v>39</v>
          </cell>
        </row>
        <row r="40">
          <cell r="A40">
            <v>40</v>
          </cell>
          <cell r="C40" t="str">
            <v>CASH FLOW NETO</v>
          </cell>
          <cell r="D40" t="str">
            <v>$</v>
          </cell>
          <cell r="E40">
            <v>3351.7027299999972</v>
          </cell>
          <cell r="F40">
            <v>16971.589</v>
          </cell>
          <cell r="G40">
            <v>24189.34666000001</v>
          </cell>
          <cell r="H40">
            <v>18782.579320000004</v>
          </cell>
          <cell r="I40">
            <v>23789.800839879666</v>
          </cell>
          <cell r="J40">
            <v>27124.315548890943</v>
          </cell>
          <cell r="K40">
            <v>30660.854523539521</v>
          </cell>
        </row>
        <row r="41">
          <cell r="A41">
            <v>41</v>
          </cell>
          <cell r="C41" t="str">
            <v>en % de la Vta Neta</v>
          </cell>
          <cell r="D41" t="str">
            <v>%</v>
          </cell>
          <cell r="E41">
            <v>2.3237629509969753E-2</v>
          </cell>
          <cell r="F41">
            <v>9.1763119762097861E-2</v>
          </cell>
          <cell r="G41">
            <v>0.10773296659607513</v>
          </cell>
          <cell r="H41">
            <v>7.6833249420148186E-2</v>
          </cell>
          <cell r="I41">
            <v>9.2240331850378901E-2</v>
          </cell>
          <cell r="J41">
            <v>9.5290059894224288E-2</v>
          </cell>
          <cell r="K41">
            <v>9.6139352281955748E-2</v>
          </cell>
        </row>
        <row r="42">
          <cell r="A42">
            <v>42</v>
          </cell>
        </row>
        <row r="43">
          <cell r="A43">
            <v>43</v>
          </cell>
          <cell r="C43" t="str">
            <v>Dividendos</v>
          </cell>
          <cell r="D43" t="str">
            <v>$</v>
          </cell>
          <cell r="E43">
            <v>-12022</v>
          </cell>
          <cell r="F43">
            <v>-16478.702729999997</v>
          </cell>
          <cell r="G43">
            <v>-23564.589</v>
          </cell>
          <cell r="H43">
            <v>-22581</v>
          </cell>
          <cell r="I43">
            <v>-23895.729320000002</v>
          </cell>
          <cell r="J43">
            <v>-27659.568291634627</v>
          </cell>
          <cell r="K43">
            <v>-28912.665466370716</v>
          </cell>
        </row>
        <row r="44">
          <cell r="A44">
            <v>44</v>
          </cell>
          <cell r="C44" t="str">
            <v>Superavit / (Deficit)</v>
          </cell>
          <cell r="D44" t="str">
            <v>$</v>
          </cell>
          <cell r="E44">
            <v>-8670.2972700000028</v>
          </cell>
          <cell r="F44">
            <v>492.8862700000027</v>
          </cell>
          <cell r="G44">
            <v>-1308.2423399999898</v>
          </cell>
          <cell r="H44">
            <v>-3798.4206799999956</v>
          </cell>
          <cell r="I44">
            <v>-105.92848012033937</v>
          </cell>
          <cell r="J44">
            <v>-535.25274274368712</v>
          </cell>
          <cell r="K44">
            <v>1748.1890571688127</v>
          </cell>
        </row>
        <row r="45">
          <cell r="A45">
            <v>45</v>
          </cell>
        </row>
        <row r="46">
          <cell r="A46">
            <v>46</v>
          </cell>
          <cell r="C46" t="str">
            <v>Posicion Neta Tesoreria al 31/12</v>
          </cell>
          <cell r="D46" t="str">
            <v>$</v>
          </cell>
          <cell r="E46">
            <v>-12736.297270000003</v>
          </cell>
          <cell r="F46">
            <v>-12243.411</v>
          </cell>
          <cell r="G46">
            <v>-13551.65333999999</v>
          </cell>
          <cell r="H46">
            <v>-18798.420679999996</v>
          </cell>
          <cell r="I46">
            <v>-18904.349160120335</v>
          </cell>
          <cell r="J46">
            <v>-19439.601902864022</v>
          </cell>
          <cell r="K46">
            <v>-17691.412845695209</v>
          </cell>
        </row>
        <row r="47">
          <cell r="A47">
            <v>47</v>
          </cell>
        </row>
        <row r="48">
          <cell r="A48">
            <v>48</v>
          </cell>
          <cell r="C48" t="str">
            <v>RATIOS</v>
          </cell>
        </row>
        <row r="49">
          <cell r="A49">
            <v>49</v>
          </cell>
        </row>
        <row r="50">
          <cell r="A50">
            <v>50</v>
          </cell>
          <cell r="C50" t="str">
            <v>Amort.Contable / Gtos de Inversion</v>
          </cell>
          <cell r="D50" t="str">
            <v>%</v>
          </cell>
          <cell r="E50">
            <v>37.606837606837608</v>
          </cell>
          <cell r="F50">
            <v>41.813110181311018</v>
          </cell>
          <cell r="G50">
            <v>65.91301617208353</v>
          </cell>
          <cell r="H50">
            <v>87.089749853724456</v>
          </cell>
          <cell r="I50">
            <v>107.97585683922952</v>
          </cell>
          <cell r="J50">
            <v>119.41998558277993</v>
          </cell>
          <cell r="K50">
            <v>120.11230760688338</v>
          </cell>
        </row>
        <row r="51">
          <cell r="A51">
            <v>51</v>
          </cell>
          <cell r="C51" t="str">
            <v>Ventas / Cap.Trab.Operativo</v>
          </cell>
          <cell r="D51" t="str">
            <v>Coef</v>
          </cell>
          <cell r="E51">
            <v>9.9162498351190607</v>
          </cell>
          <cell r="F51">
            <v>9.8441909939853698</v>
          </cell>
          <cell r="G51">
            <v>8.9433769138991064</v>
          </cell>
          <cell r="H51">
            <v>8.6571800909031964</v>
          </cell>
          <cell r="I51">
            <v>8.7564227784553523</v>
          </cell>
          <cell r="J51">
            <v>8.8688914825349237</v>
          </cell>
          <cell r="K51">
            <v>8.7161315253080538</v>
          </cell>
        </row>
        <row r="52">
          <cell r="A52">
            <v>52</v>
          </cell>
          <cell r="C52" t="str">
            <v>Fondos Propios / Inver.Permanentes</v>
          </cell>
          <cell r="D52" t="str">
            <v>Coef</v>
          </cell>
          <cell r="E52">
            <v>1.0276294762346199</v>
          </cell>
          <cell r="F52">
            <v>1.0396207609995798</v>
          </cell>
          <cell r="G52">
            <v>0.98941016153130579</v>
          </cell>
          <cell r="H52">
            <v>0.91197647759611877</v>
          </cell>
          <cell r="I52">
            <v>0.91773492175674531</v>
          </cell>
          <cell r="J52">
            <v>0.94009960472840515</v>
          </cell>
          <cell r="K52">
            <v>1.0442427424450027</v>
          </cell>
        </row>
        <row r="53">
          <cell r="A53">
            <v>53</v>
          </cell>
        </row>
        <row r="54">
          <cell r="A54">
            <v>54</v>
          </cell>
          <cell r="C54" t="str">
            <v>DEPRECIACION</v>
          </cell>
        </row>
        <row r="55">
          <cell r="A55">
            <v>55</v>
          </cell>
        </row>
        <row r="56">
          <cell r="A56">
            <v>56</v>
          </cell>
          <cell r="C56" t="str">
            <v>Amortizacion Tecnica</v>
          </cell>
          <cell r="D56" t="str">
            <v>$</v>
          </cell>
          <cell r="E56">
            <v>2851</v>
          </cell>
          <cell r="F56">
            <v>3988.4</v>
          </cell>
          <cell r="G56">
            <v>4893</v>
          </cell>
          <cell r="H56">
            <v>7219</v>
          </cell>
          <cell r="I56">
            <v>8616.149448199998</v>
          </cell>
          <cell r="J56">
            <v>9852.1488105793451</v>
          </cell>
          <cell r="K56">
            <v>11425.082699566748</v>
          </cell>
        </row>
        <row r="57">
          <cell r="A57">
            <v>57</v>
          </cell>
          <cell r="C57" t="str">
            <v>Dif.Amortiz. Tecnica/Contable</v>
          </cell>
          <cell r="D57" t="str">
            <v>$</v>
          </cell>
          <cell r="E57">
            <v>-387</v>
          </cell>
          <cell r="F57">
            <v>-990.4</v>
          </cell>
          <cell r="G57">
            <v>-695</v>
          </cell>
          <cell r="H57">
            <v>0</v>
          </cell>
          <cell r="I57">
            <v>0</v>
          </cell>
          <cell r="J57">
            <v>0</v>
          </cell>
          <cell r="K57">
            <v>0</v>
          </cell>
        </row>
        <row r="58">
          <cell r="A58">
            <v>58</v>
          </cell>
          <cell r="C58" t="str">
            <v>Amortizacion Contable</v>
          </cell>
          <cell r="D58" t="str">
            <v>$</v>
          </cell>
          <cell r="E58">
            <v>2464</v>
          </cell>
          <cell r="F58">
            <v>2998</v>
          </cell>
          <cell r="G58">
            <v>4198</v>
          </cell>
          <cell r="H58">
            <v>7219</v>
          </cell>
          <cell r="I58">
            <v>8616.149448199998</v>
          </cell>
          <cell r="J58">
            <v>9852.1488105793451</v>
          </cell>
          <cell r="K58">
            <v>11425.082699566748</v>
          </cell>
        </row>
        <row r="59">
          <cell r="A59">
            <v>59</v>
          </cell>
        </row>
        <row r="60">
          <cell r="A60">
            <v>60</v>
          </cell>
          <cell r="C60" t="str">
            <v>BALANCE</v>
          </cell>
        </row>
        <row r="61">
          <cell r="A61">
            <v>61</v>
          </cell>
        </row>
        <row r="62">
          <cell r="A62">
            <v>62</v>
          </cell>
          <cell r="C62" t="str">
            <v>Inversiones Permanentes</v>
          </cell>
          <cell r="D62" t="str">
            <v>$</v>
          </cell>
          <cell r="E62">
            <v>23732</v>
          </cell>
          <cell r="F62">
            <v>30933</v>
          </cell>
          <cell r="G62">
            <v>35473</v>
          </cell>
          <cell r="H62">
            <v>41130.149999999994</v>
          </cell>
          <cell r="I62">
            <v>39143.368351799989</v>
          </cell>
          <cell r="J62">
            <v>39480.311676196463</v>
          </cell>
          <cell r="K62">
            <v>39525.452435769068</v>
          </cell>
        </row>
        <row r="63">
          <cell r="A63">
            <v>63</v>
          </cell>
          <cell r="C63" t="str">
            <v>Cap.Trab. Explotacion Neto</v>
          </cell>
          <cell r="D63" t="str">
            <v>$</v>
          </cell>
          <cell r="E63">
            <v>14437</v>
          </cell>
          <cell r="F63">
            <v>18092</v>
          </cell>
          <cell r="G63">
            <v>18023</v>
          </cell>
          <cell r="H63">
            <v>21059</v>
          </cell>
          <cell r="I63">
            <v>22090.446337964731</v>
          </cell>
          <cell r="J63">
            <v>24392.450897162969</v>
          </cell>
          <cell r="K63">
            <v>28174.097475120525</v>
          </cell>
        </row>
        <row r="64">
          <cell r="A64">
            <v>64</v>
          </cell>
          <cell r="C64" t="str">
            <v>Otros Elem.del Cap.Trab. Neto</v>
          </cell>
          <cell r="D64" t="str">
            <v>$</v>
          </cell>
          <cell r="E64">
            <v>-1045</v>
          </cell>
          <cell r="F64">
            <v>-4623</v>
          </cell>
          <cell r="G64">
            <v>-4848</v>
          </cell>
          <cell r="H64">
            <v>-5881</v>
          </cell>
          <cell r="I64">
            <v>-6406.2294380097719</v>
          </cell>
          <cell r="J64">
            <v>-7317.7352691488904</v>
          </cell>
          <cell r="K64">
            <v>-8733.9702172873622</v>
          </cell>
        </row>
        <row r="65">
          <cell r="A65">
            <v>65</v>
          </cell>
        </row>
        <row r="66">
          <cell r="A66">
            <v>66</v>
          </cell>
          <cell r="C66" t="str">
            <v>Fondos Propios</v>
          </cell>
          <cell r="D66" t="str">
            <v>$</v>
          </cell>
          <cell r="E66">
            <v>24387.702729999997</v>
          </cell>
          <cell r="F66">
            <v>32158.589</v>
          </cell>
          <cell r="G66">
            <v>35097.34666000001</v>
          </cell>
          <cell r="H66">
            <v>37509.729319999999</v>
          </cell>
          <cell r="I66">
            <v>35923.236091634622</v>
          </cell>
          <cell r="J66">
            <v>37115.425401346532</v>
          </cell>
          <cell r="K66">
            <v>41274.166847907007</v>
          </cell>
        </row>
        <row r="67">
          <cell r="A67">
            <v>67</v>
          </cell>
          <cell r="C67" t="str">
            <v>Situacion Neta de Tesoreria</v>
          </cell>
          <cell r="D67" t="str">
            <v>$</v>
          </cell>
          <cell r="E67">
            <v>12736.297270000003</v>
          </cell>
          <cell r="F67">
            <v>12243.411</v>
          </cell>
          <cell r="G67">
            <v>13551.65333999999</v>
          </cell>
          <cell r="H67">
            <v>18798.420679999996</v>
          </cell>
          <cell r="I67">
            <v>18904.349160120335</v>
          </cell>
          <cell r="J67">
            <v>19439.601902864022</v>
          </cell>
          <cell r="K67">
            <v>17691.412845695209</v>
          </cell>
        </row>
        <row r="68">
          <cell r="A68">
            <v>68</v>
          </cell>
          <cell r="C68" t="str">
            <v>Total Pasivo y Patrimonio</v>
          </cell>
          <cell r="D68" t="str">
            <v>$</v>
          </cell>
          <cell r="E68">
            <v>37124</v>
          </cell>
          <cell r="F68">
            <v>44402</v>
          </cell>
          <cell r="G68">
            <v>48649</v>
          </cell>
          <cell r="H68">
            <v>56308.149999999994</v>
          </cell>
          <cell r="I68">
            <v>54827.585251754957</v>
          </cell>
          <cell r="J68">
            <v>56555.027304210555</v>
          </cell>
          <cell r="K68">
            <v>58965.579693602216</v>
          </cell>
        </row>
        <row r="69">
          <cell r="A69">
            <v>69</v>
          </cell>
        </row>
        <row r="70">
          <cell r="A70">
            <v>70</v>
          </cell>
          <cell r="C70" t="str">
            <v>CASH FLOW NETO AJUSTADO</v>
          </cell>
        </row>
        <row r="71">
          <cell r="A71">
            <v>71</v>
          </cell>
        </row>
        <row r="72">
          <cell r="A72">
            <v>72</v>
          </cell>
          <cell r="C72" t="str">
            <v>Cash Flow Neto</v>
          </cell>
          <cell r="D72" t="str">
            <v>$</v>
          </cell>
          <cell r="E72">
            <v>3351.7027299999972</v>
          </cell>
          <cell r="F72">
            <v>16971.589</v>
          </cell>
          <cell r="G72">
            <v>22256.34666000001</v>
          </cell>
          <cell r="H72">
            <v>18782.579320000004</v>
          </cell>
          <cell r="I72">
            <v>23789.800839879663</v>
          </cell>
          <cell r="J72">
            <v>27124.31554889094</v>
          </cell>
          <cell r="K72">
            <v>30660.854523539529</v>
          </cell>
        </row>
        <row r="73">
          <cell r="A73">
            <v>73</v>
          </cell>
          <cell r="C73" t="str">
            <v>Interes Estructural</v>
          </cell>
          <cell r="D73" t="str">
            <v>$</v>
          </cell>
          <cell r="E73">
            <v>-311</v>
          </cell>
          <cell r="F73">
            <v>383</v>
          </cell>
          <cell r="G73">
            <v>-733</v>
          </cell>
          <cell r="H73">
            <v>-1564.4</v>
          </cell>
          <cell r="I73">
            <v>-2117</v>
          </cell>
          <cell r="J73">
            <v>-2720</v>
          </cell>
          <cell r="K73">
            <v>-3971</v>
          </cell>
        </row>
        <row r="74">
          <cell r="A74">
            <v>74</v>
          </cell>
          <cell r="C74" t="str">
            <v>I.R.I.C. / Interes Estructural</v>
          </cell>
          <cell r="D74" t="str">
            <v>$</v>
          </cell>
          <cell r="E74">
            <v>93.3</v>
          </cell>
          <cell r="F74">
            <v>-114.89999999999999</v>
          </cell>
          <cell r="G74">
            <v>219.9</v>
          </cell>
          <cell r="H74">
            <v>469.32</v>
          </cell>
          <cell r="I74">
            <v>635.1</v>
          </cell>
          <cell r="J74">
            <v>816</v>
          </cell>
          <cell r="K74">
            <v>1191.3</v>
          </cell>
        </row>
        <row r="75">
          <cell r="A75">
            <v>75</v>
          </cell>
          <cell r="C75" t="str">
            <v>Servicios A &amp; B</v>
          </cell>
          <cell r="D75" t="str">
            <v>$</v>
          </cell>
          <cell r="E75">
            <v>4463.1961000000001</v>
          </cell>
          <cell r="F75">
            <v>5169.33</v>
          </cell>
          <cell r="G75">
            <v>6072.2672000000002</v>
          </cell>
          <cell r="H75">
            <v>6305.1450000000004</v>
          </cell>
          <cell r="I75">
            <v>10467.67518</v>
          </cell>
          <cell r="J75">
            <v>11498.61875</v>
          </cell>
          <cell r="K75">
            <v>12353.988799999999</v>
          </cell>
        </row>
        <row r="76">
          <cell r="A76">
            <v>76</v>
          </cell>
        </row>
        <row r="77">
          <cell r="A77">
            <v>77</v>
          </cell>
          <cell r="C77" t="str">
            <v>Cash Flow Neto Ajustado</v>
          </cell>
          <cell r="D77" t="str">
            <v>$</v>
          </cell>
          <cell r="E77">
            <v>7597.1988299999975</v>
          </cell>
          <cell r="F77">
            <v>22409.019</v>
          </cell>
          <cell r="G77">
            <v>27815.513860000014</v>
          </cell>
          <cell r="H77">
            <v>23992.644320000003</v>
          </cell>
          <cell r="I77">
            <v>32775.576019879663</v>
          </cell>
          <cell r="J77">
            <v>36718.934298890941</v>
          </cell>
          <cell r="K77">
            <v>40235.143323539523</v>
          </cell>
        </row>
        <row r="78">
          <cell r="A78">
            <v>78</v>
          </cell>
        </row>
        <row r="79">
          <cell r="A79">
            <v>79</v>
          </cell>
          <cell r="C79" t="str">
            <v>C.F.N.Aj. en % s/V.N.</v>
          </cell>
          <cell r="D79" t="str">
            <v>%</v>
          </cell>
          <cell r="E79">
            <v>5.267200165007347E-2</v>
          </cell>
          <cell r="F79">
            <v>0.1211625790754258</v>
          </cell>
          <cell r="G79">
            <v>0.12388295838049085</v>
          </cell>
          <cell r="H79">
            <v>9.8145882622443864E-2</v>
          </cell>
          <cell r="I79">
            <v>0.12708092972317261</v>
          </cell>
          <cell r="J79">
            <v>0.12899678306302809</v>
          </cell>
          <cell r="K79">
            <v>0.12616023519915254</v>
          </cell>
        </row>
        <row r="80">
          <cell r="A80">
            <v>80</v>
          </cell>
        </row>
        <row r="81">
          <cell r="A81">
            <v>81</v>
          </cell>
          <cell r="C81" t="str">
            <v>CASH FLOW AL CENTRO</v>
          </cell>
          <cell r="D81" t="str">
            <v>$</v>
          </cell>
          <cell r="E81">
            <v>15146.23727</v>
          </cell>
          <cell r="F81">
            <v>20097.233729999996</v>
          </cell>
          <cell r="G81">
            <v>27815.176039999998</v>
          </cell>
          <cell r="H81">
            <v>26994.601500000001</v>
          </cell>
          <cell r="I81">
            <v>31223.101946000002</v>
          </cell>
          <cell r="J81">
            <v>35708.601416634629</v>
          </cell>
          <cell r="K81">
            <v>37560.457626370713</v>
          </cell>
        </row>
        <row r="82">
          <cell r="A82">
            <v>82</v>
          </cell>
          <cell r="C82" t="str">
            <v>CASH FLOW OPERACIONAL</v>
          </cell>
          <cell r="D82" t="str">
            <v>$</v>
          </cell>
          <cell r="E82">
            <v>9903.7027299999972</v>
          </cell>
          <cell r="F82">
            <v>24141.589</v>
          </cell>
          <cell r="G82">
            <v>28625.34666000001</v>
          </cell>
          <cell r="H82">
            <v>27071.729320000006</v>
          </cell>
          <cell r="I82">
            <v>31769.500839879664</v>
          </cell>
          <cell r="J82">
            <v>35374.31554889094</v>
          </cell>
          <cell r="K82">
            <v>40172.854523539529</v>
          </cell>
        </row>
        <row r="83">
          <cell r="A83">
            <v>83</v>
          </cell>
        </row>
        <row r="84">
          <cell r="A84">
            <v>84</v>
          </cell>
          <cell r="C84" t="str">
            <v>PERSONAL al 31/12</v>
          </cell>
        </row>
        <row r="85">
          <cell r="A85">
            <v>85</v>
          </cell>
        </row>
        <row r="86">
          <cell r="A86">
            <v>86</v>
          </cell>
          <cell r="B86">
            <v>19</v>
          </cell>
          <cell r="C86" t="str">
            <v>Oficina Central / Org.de Ventas</v>
          </cell>
          <cell r="D86" t="str">
            <v>Per</v>
          </cell>
          <cell r="E86">
            <v>52</v>
          </cell>
          <cell r="F86">
            <v>55</v>
          </cell>
          <cell r="G86">
            <v>59</v>
          </cell>
          <cell r="H86">
            <v>62</v>
          </cell>
          <cell r="I86">
            <v>0</v>
          </cell>
          <cell r="J86">
            <v>0</v>
          </cell>
          <cell r="K86">
            <v>0</v>
          </cell>
        </row>
        <row r="87">
          <cell r="A87">
            <v>87</v>
          </cell>
          <cell r="B87">
            <v>20</v>
          </cell>
          <cell r="C87" t="str">
            <v>Fabrica</v>
          </cell>
          <cell r="D87" t="str">
            <v>Per</v>
          </cell>
          <cell r="E87">
            <v>56</v>
          </cell>
          <cell r="F87">
            <v>58</v>
          </cell>
          <cell r="G87">
            <v>62</v>
          </cell>
          <cell r="H87">
            <v>63</v>
          </cell>
          <cell r="I87">
            <v>0</v>
          </cell>
          <cell r="J87">
            <v>0</v>
          </cell>
          <cell r="K87">
            <v>0</v>
          </cell>
        </row>
        <row r="88">
          <cell r="A88">
            <v>88</v>
          </cell>
          <cell r="C88" t="str">
            <v>T O T A L</v>
          </cell>
          <cell r="D88" t="str">
            <v>Per</v>
          </cell>
          <cell r="E88">
            <v>108</v>
          </cell>
          <cell r="F88">
            <v>113</v>
          </cell>
          <cell r="G88">
            <v>121</v>
          </cell>
          <cell r="H88">
            <v>125</v>
          </cell>
          <cell r="I88">
            <v>0</v>
          </cell>
          <cell r="J88">
            <v>0</v>
          </cell>
          <cell r="K88">
            <v>0</v>
          </cell>
        </row>
        <row r="89">
          <cell r="A89">
            <v>89</v>
          </cell>
        </row>
        <row r="90">
          <cell r="A90">
            <v>90</v>
          </cell>
          <cell r="B90">
            <v>3</v>
          </cell>
          <cell r="C90" t="str">
            <v>INFLACION ANUAL</v>
          </cell>
          <cell r="D90" t="str">
            <v>%</v>
          </cell>
          <cell r="E90">
            <v>24.3</v>
          </cell>
          <cell r="F90">
            <v>15.2</v>
          </cell>
          <cell r="G90">
            <v>8.6</v>
          </cell>
          <cell r="H90">
            <v>8.6999999999999993</v>
          </cell>
          <cell r="I90">
            <v>6</v>
          </cell>
          <cell r="J90">
            <v>4.9538203190596164</v>
          </cell>
          <cell r="K90">
            <v>4.9599999999999795</v>
          </cell>
        </row>
        <row r="91">
          <cell r="A91">
            <v>91</v>
          </cell>
        </row>
        <row r="92">
          <cell r="A92">
            <v>92</v>
          </cell>
          <cell r="B92">
            <v>5</v>
          </cell>
          <cell r="C92" t="str">
            <v>Prestamos Locales a Corto Plazo</v>
          </cell>
          <cell r="D92" t="str">
            <v>%</v>
          </cell>
          <cell r="E92">
            <v>33.9</v>
          </cell>
          <cell r="F92">
            <v>26.1</v>
          </cell>
          <cell r="G92">
            <v>21.7</v>
          </cell>
          <cell r="H92">
            <v>25</v>
          </cell>
          <cell r="I92">
            <v>21.9</v>
          </cell>
          <cell r="J92">
            <v>23.2</v>
          </cell>
          <cell r="K92">
            <v>24.4</v>
          </cell>
        </row>
        <row r="93">
          <cell r="A93">
            <v>93</v>
          </cell>
        </row>
        <row r="94">
          <cell r="A94">
            <v>94</v>
          </cell>
          <cell r="B94">
            <v>11</v>
          </cell>
          <cell r="C94" t="str">
            <v>TIPO DE CAMBIO (SFR=31/12)</v>
          </cell>
          <cell r="D94">
            <v>100</v>
          </cell>
          <cell r="E94">
            <v>15.459657982325261</v>
          </cell>
          <cell r="F94">
            <v>14.482071713147413</v>
          </cell>
          <cell r="G94">
            <v>0</v>
          </cell>
          <cell r="H94">
            <v>0</v>
          </cell>
          <cell r="I94">
            <v>0</v>
          </cell>
          <cell r="J94">
            <v>0</v>
          </cell>
          <cell r="K94">
            <v>0</v>
          </cell>
        </row>
        <row r="95">
          <cell r="A95">
            <v>95</v>
          </cell>
        </row>
        <row r="96">
          <cell r="A96">
            <v>96</v>
          </cell>
          <cell r="C96" t="str">
            <v>INVERSIONES s/Cifra de Venta</v>
          </cell>
          <cell r="D96" t="str">
            <v>%</v>
          </cell>
          <cell r="E96">
            <v>4.5425552566626921</v>
          </cell>
          <cell r="F96">
            <v>3.8767234387672342</v>
          </cell>
          <cell r="G96">
            <v>2.8365845258029894</v>
          </cell>
          <cell r="H96">
            <v>3.3908140015299084</v>
          </cell>
          <cell r="I96">
            <v>3.0939736781343798</v>
          </cell>
          <cell r="J96">
            <v>2.8982961531705604</v>
          </cell>
          <cell r="K96">
            <v>2.9825571828204707</v>
          </cell>
        </row>
        <row r="97">
          <cell r="A97">
            <v>97</v>
          </cell>
        </row>
        <row r="98">
          <cell r="A98">
            <v>98</v>
          </cell>
          <cell r="C98" t="str">
            <v>VENTAS s/CAP.INVERTIDO</v>
          </cell>
          <cell r="D98" t="str">
            <v>Factor</v>
          </cell>
          <cell r="E98">
            <v>5.1143890504219556</v>
          </cell>
          <cell r="F98">
            <v>5.3374816488896357</v>
          </cell>
          <cell r="G98">
            <v>5.1420304634674157</v>
          </cell>
          <cell r="H98">
            <v>4.560802111171582</v>
          </cell>
          <cell r="I98">
            <v>4.2788971252911105</v>
          </cell>
          <cell r="J98">
            <v>4.6075847161171639</v>
          </cell>
          <cell r="K98">
            <v>4.9254354017997484</v>
          </cell>
        </row>
        <row r="99">
          <cell r="A99">
            <v>99</v>
          </cell>
        </row>
        <row r="100">
          <cell r="A100">
            <v>100</v>
          </cell>
          <cell r="C100" t="str">
            <v>Resultado Neto de Explotacion</v>
          </cell>
          <cell r="D100" t="str">
            <v>$</v>
          </cell>
          <cell r="E100">
            <v>14595.702729999997</v>
          </cell>
          <cell r="F100">
            <v>22120.188999999998</v>
          </cell>
          <cell r="G100">
            <v>25586.34666000001</v>
          </cell>
          <cell r="H100">
            <v>23083.0985</v>
          </cell>
          <cell r="I100">
            <v>23376.852167784626</v>
          </cell>
          <cell r="J100">
            <v>26189.067596370714</v>
          </cell>
          <cell r="K100">
            <v>29346.370414271856</v>
          </cell>
        </row>
        <row r="101">
          <cell r="A101">
            <v>101</v>
          </cell>
        </row>
        <row r="102">
          <cell r="A102">
            <v>102</v>
          </cell>
          <cell r="C102" t="str">
            <v>BENEFICIO NETO</v>
          </cell>
          <cell r="D102" t="str">
            <v>$</v>
          </cell>
          <cell r="E102">
            <v>14978.702729999997</v>
          </cell>
          <cell r="F102">
            <v>21064.589</v>
          </cell>
          <cell r="G102">
            <v>25479.34666000001</v>
          </cell>
          <cell r="H102">
            <v>22895.729320000002</v>
          </cell>
          <cell r="I102">
            <v>23659.568291634627</v>
          </cell>
          <cell r="J102">
            <v>26912.665466370716</v>
          </cell>
          <cell r="K102">
            <v>31113.183453791858</v>
          </cell>
        </row>
        <row r="103">
          <cell r="A103">
            <v>103</v>
          </cell>
        </row>
        <row r="104">
          <cell r="A104">
            <v>104</v>
          </cell>
          <cell r="C104" t="str">
            <v>Fondos Prop.+Terc. s/Inv.Perman.</v>
          </cell>
          <cell r="D104" t="str">
            <v>Ratio</v>
          </cell>
          <cell r="E104">
            <v>1.0276294762346199</v>
          </cell>
          <cell r="F104">
            <v>1.0396207609995798</v>
          </cell>
          <cell r="G104">
            <v>0.98941016153130579</v>
          </cell>
          <cell r="H104">
            <v>0.91197647759611877</v>
          </cell>
          <cell r="I104">
            <v>0.91773492175674531</v>
          </cell>
          <cell r="J104">
            <v>0.94009960472840515</v>
          </cell>
          <cell r="K104">
            <v>1.0442427424450027</v>
          </cell>
        </row>
        <row r="105">
          <cell r="A105">
            <v>105</v>
          </cell>
        </row>
        <row r="106">
          <cell r="A106">
            <v>106</v>
          </cell>
          <cell r="C106" t="str">
            <v>ECONOMIC PROFIT</v>
          </cell>
        </row>
        <row r="107">
          <cell r="A107">
            <v>107</v>
          </cell>
          <cell r="C107" t="str">
            <v>R.N.E.antes de Int.Oper. (desp.imp.)</v>
          </cell>
          <cell r="D107" t="str">
            <v>$</v>
          </cell>
          <cell r="E107">
            <v>17602.202729999997</v>
          </cell>
          <cell r="F107">
            <v>25202.288999999997</v>
          </cell>
          <cell r="G107">
            <v>29066.746660000008</v>
          </cell>
          <cell r="H107">
            <v>27530.898499999996</v>
          </cell>
          <cell r="I107">
            <v>27493.678398060016</v>
          </cell>
          <cell r="J107">
            <v>30917.487265000011</v>
          </cell>
          <cell r="K107">
            <v>34989.649762815992</v>
          </cell>
        </row>
        <row r="108">
          <cell r="A108">
            <v>108</v>
          </cell>
          <cell r="B108">
            <v>581</v>
          </cell>
          <cell r="C108" t="str">
            <v>Costo del Capital</v>
          </cell>
          <cell r="D108" t="str">
            <v>%</v>
          </cell>
          <cell r="E108">
            <v>33</v>
          </cell>
          <cell r="F108">
            <v>25</v>
          </cell>
          <cell r="G108">
            <v>19</v>
          </cell>
          <cell r="H108">
            <v>20</v>
          </cell>
          <cell r="I108">
            <v>0</v>
          </cell>
          <cell r="J108">
            <v>0</v>
          </cell>
          <cell r="K108">
            <v>0</v>
          </cell>
        </row>
        <row r="109">
          <cell r="A109">
            <v>109</v>
          </cell>
          <cell r="C109" t="str">
            <v>Total Capital Invertido</v>
          </cell>
          <cell r="D109" t="str">
            <v>$</v>
          </cell>
          <cell r="E109">
            <v>28202</v>
          </cell>
          <cell r="F109">
            <v>34651.172999999995</v>
          </cell>
          <cell r="G109">
            <v>43665.745000000003</v>
          </cell>
          <cell r="H109">
            <v>53600.001500000006</v>
          </cell>
          <cell r="I109">
            <v>60275.122875839945</v>
          </cell>
          <cell r="J109">
            <v>61778.571103490438</v>
          </cell>
          <cell r="K109">
            <v>64749.800572649212</v>
          </cell>
        </row>
        <row r="110">
          <cell r="A110">
            <v>110</v>
          </cell>
          <cell r="C110" t="str">
            <v>Capital Invertido Ajustado</v>
          </cell>
          <cell r="D110" t="str">
            <v>$</v>
          </cell>
          <cell r="E110">
            <v>9306.66</v>
          </cell>
          <cell r="F110">
            <v>8662.7932499999988</v>
          </cell>
          <cell r="G110">
            <v>8296.4915500000006</v>
          </cell>
          <cell r="H110">
            <v>10720.0003</v>
          </cell>
          <cell r="I110">
            <v>0</v>
          </cell>
          <cell r="J110">
            <v>0</v>
          </cell>
          <cell r="K110">
            <v>0</v>
          </cell>
        </row>
        <row r="111">
          <cell r="A111">
            <v>111</v>
          </cell>
        </row>
        <row r="112">
          <cell r="A112">
            <v>112</v>
          </cell>
          <cell r="C112" t="str">
            <v>T O T A L</v>
          </cell>
          <cell r="D112" t="str">
            <v>$</v>
          </cell>
          <cell r="E112">
            <v>8295.5427299999974</v>
          </cell>
          <cell r="F112">
            <v>16539.495749999998</v>
          </cell>
          <cell r="G112">
            <v>20770.255110000006</v>
          </cell>
          <cell r="H112">
            <v>16810.898199999996</v>
          </cell>
          <cell r="I112">
            <v>27493.678398060016</v>
          </cell>
          <cell r="J112">
            <v>30917.487265000011</v>
          </cell>
          <cell r="K112">
            <v>34989.649762815992</v>
          </cell>
        </row>
        <row r="113">
          <cell r="A113">
            <v>113</v>
          </cell>
          <cell r="C113" t="str">
            <v>Variacion en $</v>
          </cell>
          <cell r="F113">
            <v>8243.9530200000008</v>
          </cell>
          <cell r="G113">
            <v>4230.7593600000073</v>
          </cell>
          <cell r="H113">
            <v>-3959.3569100000095</v>
          </cell>
          <cell r="I113">
            <v>10682.78019806002</v>
          </cell>
          <cell r="J113">
            <v>3423.8088669399949</v>
          </cell>
          <cell r="K113">
            <v>4072.1624978159816</v>
          </cell>
        </row>
        <row r="114">
          <cell r="A114">
            <v>114</v>
          </cell>
          <cell r="C114" t="str">
            <v>Variacion en %</v>
          </cell>
          <cell r="F114">
            <v>0.99378103257627415</v>
          </cell>
          <cell r="G114">
            <v>0.25579736069039516</v>
          </cell>
          <cell r="H114">
            <v>-0.1906263013637105</v>
          </cell>
          <cell r="I114">
            <v>0.63546754438498843</v>
          </cell>
          <cell r="J114">
            <v>0.12453076730473378</v>
          </cell>
          <cell r="K114">
            <v>0.13171065497375833</v>
          </cell>
        </row>
        <row r="115">
          <cell r="A115">
            <v>115</v>
          </cell>
        </row>
      </sheetData>
      <sheetData sheetId="2" refreshError="1">
        <row r="1">
          <cell r="A1">
            <v>1</v>
          </cell>
          <cell r="B1" t="str">
            <v>Descripcion</v>
          </cell>
          <cell r="C1" t="str">
            <v>Unid.</v>
          </cell>
          <cell r="D1">
            <v>1996</v>
          </cell>
          <cell r="E1">
            <v>1997</v>
          </cell>
          <cell r="F1">
            <v>1998</v>
          </cell>
          <cell r="G1" t="str">
            <v>PO 1999</v>
          </cell>
          <cell r="H1" t="str">
            <v>PLP</v>
          </cell>
          <cell r="I1" t="str">
            <v>PLP 2000</v>
          </cell>
          <cell r="J1" t="str">
            <v>PLP 2001</v>
          </cell>
          <cell r="K1" t="str">
            <v>PLP 2002</v>
          </cell>
        </row>
        <row r="2">
          <cell r="A2">
            <v>2</v>
          </cell>
        </row>
        <row r="3">
          <cell r="A3">
            <v>3</v>
          </cell>
          <cell r="B3" t="str">
            <v>Inflacion Anual</v>
          </cell>
          <cell r="C3" t="str">
            <v>%</v>
          </cell>
          <cell r="D3">
            <v>24.3</v>
          </cell>
          <cell r="E3">
            <v>15.2</v>
          </cell>
          <cell r="F3">
            <v>8.6</v>
          </cell>
          <cell r="G3">
            <v>8.6999999999999993</v>
          </cell>
          <cell r="H3" t="str">
            <v>%</v>
          </cell>
          <cell r="I3">
            <v>6</v>
          </cell>
          <cell r="J3">
            <v>4.9538203190596164</v>
          </cell>
          <cell r="K3">
            <v>4.9599999999999795</v>
          </cell>
        </row>
        <row r="4">
          <cell r="A4">
            <v>4</v>
          </cell>
          <cell r="B4" t="str">
            <v>Devaluacion Anual</v>
          </cell>
          <cell r="C4" t="str">
            <v>%</v>
          </cell>
          <cell r="D4">
            <v>22.5</v>
          </cell>
          <cell r="E4">
            <v>15.230115918742101</v>
          </cell>
          <cell r="F4">
            <v>7.7191235059760999</v>
          </cell>
          <cell r="G4">
            <v>9.2926490984743566</v>
          </cell>
          <cell r="H4" t="str">
            <v>%</v>
          </cell>
          <cell r="I4">
            <v>4.8877146631439956</v>
          </cell>
          <cell r="J4">
            <v>4.9538203190596164</v>
          </cell>
          <cell r="K4">
            <v>4.9599999999999795</v>
          </cell>
        </row>
        <row r="5">
          <cell r="A5">
            <v>5</v>
          </cell>
          <cell r="B5" t="str">
            <v>Tasa Efectiva Anual Prestamos</v>
          </cell>
          <cell r="C5" t="str">
            <v>%</v>
          </cell>
          <cell r="D5">
            <v>33.9</v>
          </cell>
          <cell r="E5">
            <v>26.1</v>
          </cell>
          <cell r="F5">
            <v>21.7</v>
          </cell>
          <cell r="G5">
            <v>25</v>
          </cell>
          <cell r="H5" t="str">
            <v>%</v>
          </cell>
          <cell r="I5">
            <v>21.9</v>
          </cell>
          <cell r="J5">
            <v>23.2</v>
          </cell>
          <cell r="K5">
            <v>24.4</v>
          </cell>
        </row>
        <row r="6">
          <cell r="A6">
            <v>6</v>
          </cell>
          <cell r="B6" t="str">
            <v>Tasa Efectiva Mensual</v>
          </cell>
          <cell r="C6" t="str">
            <v>%</v>
          </cell>
          <cell r="D6">
            <v>2.4625235904251808</v>
          </cell>
          <cell r="E6">
            <v>1.9513366122942077</v>
          </cell>
          <cell r="F6">
            <v>1.6500386691092439</v>
          </cell>
          <cell r="G6">
            <v>1.8769265121506118</v>
          </cell>
          <cell r="H6" t="str">
            <v>%</v>
          </cell>
          <cell r="I6">
            <v>1.6639490435672588</v>
          </cell>
          <cell r="J6">
            <v>1.753859833084781</v>
          </cell>
          <cell r="K6">
            <v>1.8360858139526481</v>
          </cell>
        </row>
        <row r="7">
          <cell r="A7">
            <v>7</v>
          </cell>
          <cell r="B7" t="str">
            <v>Tasa Nominal Anual</v>
          </cell>
          <cell r="C7" t="str">
            <v>%</v>
          </cell>
          <cell r="D7">
            <v>29.550283085102169</v>
          </cell>
          <cell r="E7">
            <v>23.416039347530493</v>
          </cell>
          <cell r="F7">
            <v>19.800464029310927</v>
          </cell>
          <cell r="G7">
            <v>22.523118145807342</v>
          </cell>
          <cell r="H7" t="str">
            <v>%</v>
          </cell>
          <cell r="I7">
            <v>19.967388522807106</v>
          </cell>
          <cell r="J7">
            <v>21.046317997017372</v>
          </cell>
          <cell r="K7">
            <v>22.033029767431778</v>
          </cell>
        </row>
        <row r="8">
          <cell r="A8">
            <v>8</v>
          </cell>
          <cell r="B8" t="str">
            <v>1 U$S al 31/12</v>
          </cell>
          <cell r="C8" t="str">
            <v>$</v>
          </cell>
          <cell r="D8">
            <v>8.7129999999999992</v>
          </cell>
          <cell r="E8">
            <v>10.039999999999999</v>
          </cell>
          <cell r="F8">
            <v>10.815</v>
          </cell>
          <cell r="G8">
            <v>11.82</v>
          </cell>
          <cell r="H8" t="str">
            <v>$</v>
          </cell>
          <cell r="I8">
            <v>12.397727873183621</v>
          </cell>
          <cell r="J8">
            <v>13.01188903566711</v>
          </cell>
          <cell r="K8">
            <v>13.657278731836197</v>
          </cell>
        </row>
        <row r="9">
          <cell r="A9">
            <v>9</v>
          </cell>
          <cell r="B9" t="str">
            <v>1 U$S Promedio Anual</v>
          </cell>
          <cell r="C9" t="str">
            <v>$</v>
          </cell>
          <cell r="D9">
            <v>8.0139999999999993</v>
          </cell>
          <cell r="E9">
            <v>9.5</v>
          </cell>
          <cell r="F9">
            <v>10.475</v>
          </cell>
          <cell r="G9">
            <v>11.355</v>
          </cell>
          <cell r="H9" t="str">
            <v>$</v>
          </cell>
          <cell r="I9">
            <v>11.91</v>
          </cell>
          <cell r="J9">
            <v>12.5</v>
          </cell>
          <cell r="K9">
            <v>13.12</v>
          </cell>
        </row>
        <row r="10">
          <cell r="A10">
            <v>10</v>
          </cell>
          <cell r="B10" t="str">
            <v>Arbitraje U$S / FRS</v>
          </cell>
          <cell r="C10" t="str">
            <v>Arb.</v>
          </cell>
          <cell r="D10">
            <v>1.347</v>
          </cell>
          <cell r="E10">
            <v>1.454</v>
          </cell>
          <cell r="H10" t="str">
            <v>Arb.</v>
          </cell>
        </row>
        <row r="11">
          <cell r="A11">
            <v>11</v>
          </cell>
          <cell r="B11" t="str">
            <v>Tipo de Cambio : 100 FRS 31/12</v>
          </cell>
          <cell r="C11" t="str">
            <v>$</v>
          </cell>
          <cell r="D11">
            <v>15.459657982325261</v>
          </cell>
          <cell r="E11">
            <v>14.482071713147413</v>
          </cell>
          <cell r="F11">
            <v>0</v>
          </cell>
          <cell r="G11">
            <v>0</v>
          </cell>
          <cell r="H11" t="str">
            <v>$</v>
          </cell>
          <cell r="I11">
            <v>0</v>
          </cell>
          <cell r="J11">
            <v>0</v>
          </cell>
          <cell r="K11">
            <v>0</v>
          </cell>
        </row>
        <row r="12">
          <cell r="A12">
            <v>12</v>
          </cell>
          <cell r="B12" t="str">
            <v>Tipo de Cambio : 100 FRS Prom.</v>
          </cell>
          <cell r="C12" t="str">
            <v>$</v>
          </cell>
          <cell r="D12">
            <v>16.808085849762914</v>
          </cell>
          <cell r="E12">
            <v>15.305263157894737</v>
          </cell>
          <cell r="F12">
            <v>0</v>
          </cell>
          <cell r="G12">
            <v>0</v>
          </cell>
          <cell r="H12" t="str">
            <v>$</v>
          </cell>
          <cell r="I12">
            <v>0</v>
          </cell>
          <cell r="J12">
            <v>0</v>
          </cell>
          <cell r="K12">
            <v>0</v>
          </cell>
        </row>
        <row r="13">
          <cell r="A13">
            <v>13</v>
          </cell>
          <cell r="B13" t="str">
            <v>Crecimiento del P.B.I.</v>
          </cell>
          <cell r="C13" t="str">
            <v>%</v>
          </cell>
          <cell r="D13">
            <v>5</v>
          </cell>
          <cell r="E13">
            <v>5.0999999999999996</v>
          </cell>
          <cell r="F13">
            <v>2.5</v>
          </cell>
          <cell r="G13">
            <v>1</v>
          </cell>
          <cell r="H13" t="str">
            <v>%</v>
          </cell>
        </row>
        <row r="14">
          <cell r="A14">
            <v>14</v>
          </cell>
          <cell r="B14" t="str">
            <v>Desempleo</v>
          </cell>
          <cell r="C14" t="str">
            <v>%</v>
          </cell>
          <cell r="D14">
            <v>12</v>
          </cell>
          <cell r="E14">
            <v>11.6</v>
          </cell>
          <cell r="F14">
            <v>10.5</v>
          </cell>
          <cell r="G14">
            <v>10.199999999999999</v>
          </cell>
          <cell r="H14" t="str">
            <v>%</v>
          </cell>
        </row>
        <row r="15">
          <cell r="A15">
            <v>15</v>
          </cell>
          <cell r="B15" t="str">
            <v>Ventas al Detalle</v>
          </cell>
          <cell r="C15" t="str">
            <v>%</v>
          </cell>
          <cell r="D15">
            <v>2</v>
          </cell>
          <cell r="E15">
            <v>2</v>
          </cell>
          <cell r="H15" t="str">
            <v>%</v>
          </cell>
        </row>
        <row r="16">
          <cell r="A16">
            <v>16</v>
          </cell>
          <cell r="B16" t="str">
            <v>IPM Prod.Manuf. = Alimentos</v>
          </cell>
          <cell r="C16" t="str">
            <v>%</v>
          </cell>
          <cell r="D16">
            <v>22</v>
          </cell>
          <cell r="E16">
            <v>13</v>
          </cell>
          <cell r="F16">
            <v>8.6</v>
          </cell>
          <cell r="H16" t="str">
            <v>%</v>
          </cell>
        </row>
        <row r="17">
          <cell r="A17">
            <v>17</v>
          </cell>
          <cell r="B17" t="str">
            <v>10 Primeros Clientes no Mayoristas</v>
          </cell>
          <cell r="C17" t="str">
            <v>%</v>
          </cell>
          <cell r="D17">
            <v>25</v>
          </cell>
          <cell r="E17">
            <v>29</v>
          </cell>
          <cell r="F17">
            <v>30.5</v>
          </cell>
          <cell r="H17" t="str">
            <v>%</v>
          </cell>
        </row>
        <row r="18">
          <cell r="A18">
            <v>18</v>
          </cell>
        </row>
        <row r="19">
          <cell r="A19">
            <v>19</v>
          </cell>
          <cell r="B19" t="str">
            <v>PERSONAL : Of.Central / Ventas</v>
          </cell>
          <cell r="C19" t="str">
            <v>Per</v>
          </cell>
          <cell r="D19">
            <v>52</v>
          </cell>
          <cell r="E19">
            <v>55</v>
          </cell>
          <cell r="F19">
            <v>59</v>
          </cell>
          <cell r="G19">
            <v>62</v>
          </cell>
          <cell r="H19" t="str">
            <v>Per</v>
          </cell>
        </row>
        <row r="20">
          <cell r="A20">
            <v>20</v>
          </cell>
          <cell r="B20" t="str">
            <v xml:space="preserve">                             Fabrica</v>
          </cell>
          <cell r="C20" t="str">
            <v>Per</v>
          </cell>
          <cell r="D20">
            <v>56</v>
          </cell>
          <cell r="E20">
            <v>58</v>
          </cell>
          <cell r="F20">
            <v>62</v>
          </cell>
          <cell r="G20">
            <v>63</v>
          </cell>
          <cell r="H20" t="str">
            <v>Per</v>
          </cell>
        </row>
        <row r="21">
          <cell r="A21">
            <v>21</v>
          </cell>
          <cell r="B21" t="str">
            <v>TOTAL AL ( 31/12 )</v>
          </cell>
          <cell r="C21" t="str">
            <v>Per</v>
          </cell>
          <cell r="D21">
            <v>108</v>
          </cell>
          <cell r="E21">
            <v>113</v>
          </cell>
          <cell r="F21">
            <v>121</v>
          </cell>
          <cell r="G21">
            <v>125</v>
          </cell>
          <cell r="H21" t="str">
            <v>Per</v>
          </cell>
          <cell r="I21">
            <v>0</v>
          </cell>
          <cell r="J21">
            <v>0</v>
          </cell>
          <cell r="K21">
            <v>0</v>
          </cell>
        </row>
        <row r="22">
          <cell r="A22">
            <v>22</v>
          </cell>
          <cell r="B22" t="str">
            <v>Real Internal Growth</v>
          </cell>
          <cell r="C22" t="str">
            <v>%</v>
          </cell>
          <cell r="D22">
            <v>13.2</v>
          </cell>
          <cell r="E22">
            <v>16.8</v>
          </cell>
          <cell r="F22">
            <v>10.7</v>
          </cell>
          <cell r="G22">
            <v>6.3</v>
          </cell>
          <cell r="H22" t="str">
            <v>%</v>
          </cell>
          <cell r="I22">
            <v>4.0999999999999996</v>
          </cell>
          <cell r="J22">
            <v>4.8</v>
          </cell>
          <cell r="K22">
            <v>5</v>
          </cell>
        </row>
        <row r="23">
          <cell r="A23">
            <v>23</v>
          </cell>
        </row>
        <row r="24">
          <cell r="A24">
            <v>24</v>
          </cell>
        </row>
        <row r="25">
          <cell r="A25">
            <v>25</v>
          </cell>
          <cell r="B25" t="str">
            <v>VOLUMEN Local</v>
          </cell>
          <cell r="C25" t="str">
            <v>Ton.</v>
          </cell>
          <cell r="D25">
            <v>2093.8000000000002</v>
          </cell>
          <cell r="E25">
            <v>2565.3000000000002</v>
          </cell>
          <cell r="F25">
            <v>2791.7999999999997</v>
          </cell>
          <cell r="G25">
            <v>3059</v>
          </cell>
          <cell r="H25" t="str">
            <v>Ton.</v>
          </cell>
          <cell r="I25">
            <v>3237</v>
          </cell>
          <cell r="J25">
            <v>3421</v>
          </cell>
          <cell r="K25">
            <v>3640</v>
          </cell>
        </row>
        <row r="26">
          <cell r="A26">
            <v>26</v>
          </cell>
          <cell r="B26" t="str">
            <v>VOLUMEN Export. 3os</v>
          </cell>
          <cell r="C26" t="str">
            <v>Ton.</v>
          </cell>
          <cell r="D26">
            <v>0</v>
          </cell>
          <cell r="E26">
            <v>0</v>
          </cell>
          <cell r="F26">
            <v>18.3</v>
          </cell>
          <cell r="G26">
            <v>32</v>
          </cell>
          <cell r="H26" t="str">
            <v>Ton.</v>
          </cell>
          <cell r="I26">
            <v>0</v>
          </cell>
          <cell r="J26">
            <v>0</v>
          </cell>
          <cell r="K26">
            <v>0</v>
          </cell>
        </row>
        <row r="27">
          <cell r="A27">
            <v>27</v>
          </cell>
          <cell r="B27" t="str">
            <v>VOLUMEN Afiliadas</v>
          </cell>
          <cell r="C27" t="str">
            <v>Ton.</v>
          </cell>
          <cell r="D27">
            <v>94</v>
          </cell>
          <cell r="E27">
            <v>140.69999999999999</v>
          </cell>
          <cell r="F27">
            <v>143.69999999999999</v>
          </cell>
          <cell r="G27">
            <v>148.4</v>
          </cell>
          <cell r="H27" t="str">
            <v>Ton.</v>
          </cell>
          <cell r="I27">
            <v>184</v>
          </cell>
          <cell r="J27">
            <v>202</v>
          </cell>
          <cell r="K27">
            <v>210</v>
          </cell>
        </row>
        <row r="28">
          <cell r="A28">
            <v>28</v>
          </cell>
          <cell r="B28" t="str">
            <v>TOTAL CIA</v>
          </cell>
          <cell r="C28" t="str">
            <v>Ton.</v>
          </cell>
          <cell r="D28">
            <v>2187.8000000000002</v>
          </cell>
          <cell r="E28">
            <v>2706</v>
          </cell>
          <cell r="F28">
            <v>2953.7999999999997</v>
          </cell>
          <cell r="G28">
            <v>3239.4</v>
          </cell>
          <cell r="H28" t="str">
            <v>Ton.</v>
          </cell>
          <cell r="I28">
            <v>3421</v>
          </cell>
          <cell r="J28">
            <v>3623</v>
          </cell>
          <cell r="K28">
            <v>3850</v>
          </cell>
        </row>
        <row r="29">
          <cell r="A29">
            <v>29</v>
          </cell>
          <cell r="B29" t="str">
            <v>Ton.Exportadas</v>
          </cell>
          <cell r="C29" t="str">
            <v>Ton.</v>
          </cell>
          <cell r="D29">
            <v>94</v>
          </cell>
          <cell r="E29">
            <v>140.69999999999999</v>
          </cell>
          <cell r="F29">
            <v>162</v>
          </cell>
          <cell r="G29">
            <v>180.4</v>
          </cell>
          <cell r="H29" t="str">
            <v>Ton.</v>
          </cell>
          <cell r="I29">
            <v>184</v>
          </cell>
          <cell r="J29">
            <v>202</v>
          </cell>
          <cell r="K29">
            <v>210</v>
          </cell>
        </row>
        <row r="30">
          <cell r="A30">
            <v>30</v>
          </cell>
          <cell r="B30" t="str">
            <v>VOLUMEN</v>
          </cell>
          <cell r="C30" t="str">
            <v>Ton.</v>
          </cell>
          <cell r="D30">
            <v>2187.8000000000002</v>
          </cell>
          <cell r="E30">
            <v>2705.9999999999995</v>
          </cell>
          <cell r="F30">
            <v>2953.8</v>
          </cell>
          <cell r="G30">
            <v>3239.4</v>
          </cell>
          <cell r="H30" t="str">
            <v>Ton.</v>
          </cell>
          <cell r="I30">
            <v>3421</v>
          </cell>
          <cell r="J30">
            <v>3623</v>
          </cell>
          <cell r="K30">
            <v>3850</v>
          </cell>
        </row>
        <row r="31">
          <cell r="A31">
            <v>31</v>
          </cell>
          <cell r="B31" t="str">
            <v>Leche Condensada</v>
          </cell>
          <cell r="C31" t="str">
            <v>Ton.</v>
          </cell>
          <cell r="D31">
            <v>13.8</v>
          </cell>
          <cell r="E31">
            <v>15.1</v>
          </cell>
          <cell r="F31">
            <v>15.1</v>
          </cell>
          <cell r="G31">
            <v>17</v>
          </cell>
          <cell r="H31" t="str">
            <v>Ton.</v>
          </cell>
          <cell r="I31">
            <v>18</v>
          </cell>
          <cell r="J31">
            <v>19</v>
          </cell>
          <cell r="K31">
            <v>20</v>
          </cell>
        </row>
        <row r="32">
          <cell r="A32">
            <v>32</v>
          </cell>
          <cell r="B32" t="str">
            <v>Leches en Polvo</v>
          </cell>
          <cell r="C32" t="str">
            <v>Ton.</v>
          </cell>
          <cell r="D32">
            <v>6.2</v>
          </cell>
          <cell r="E32">
            <v>7.5</v>
          </cell>
          <cell r="F32">
            <v>9.1000000000000014</v>
          </cell>
          <cell r="G32">
            <v>10</v>
          </cell>
          <cell r="H32" t="str">
            <v>Ton.</v>
          </cell>
          <cell r="I32">
            <v>12</v>
          </cell>
          <cell r="J32">
            <v>14</v>
          </cell>
          <cell r="K32">
            <v>15</v>
          </cell>
        </row>
        <row r="33">
          <cell r="A33">
            <v>33</v>
          </cell>
          <cell r="C33" t="str">
            <v>Ton.</v>
          </cell>
          <cell r="H33" t="str">
            <v>Ton.</v>
          </cell>
        </row>
        <row r="34">
          <cell r="A34">
            <v>34</v>
          </cell>
          <cell r="B34" t="str">
            <v>MILK PRODUCTS</v>
          </cell>
          <cell r="C34" t="str">
            <v>Ton.</v>
          </cell>
          <cell r="D34">
            <v>20</v>
          </cell>
          <cell r="E34">
            <v>22.6</v>
          </cell>
          <cell r="F34">
            <v>24.200000000000003</v>
          </cell>
          <cell r="G34">
            <v>27</v>
          </cell>
          <cell r="H34" t="str">
            <v>Ton.</v>
          </cell>
          <cell r="I34">
            <v>30</v>
          </cell>
          <cell r="J34">
            <v>33</v>
          </cell>
          <cell r="K34">
            <v>35</v>
          </cell>
        </row>
        <row r="35">
          <cell r="A35">
            <v>35</v>
          </cell>
          <cell r="B35" t="str">
            <v>Nan</v>
          </cell>
          <cell r="C35" t="str">
            <v>Ton.</v>
          </cell>
          <cell r="D35">
            <v>7.2</v>
          </cell>
          <cell r="E35">
            <v>8.5</v>
          </cell>
          <cell r="F35">
            <v>16</v>
          </cell>
          <cell r="G35">
            <v>16</v>
          </cell>
          <cell r="H35" t="str">
            <v>Ton.</v>
          </cell>
          <cell r="I35">
            <v>18</v>
          </cell>
          <cell r="J35">
            <v>19</v>
          </cell>
          <cell r="K35">
            <v>20</v>
          </cell>
        </row>
        <row r="36">
          <cell r="A36">
            <v>36</v>
          </cell>
          <cell r="B36" t="str">
            <v>Nestum</v>
          </cell>
          <cell r="C36" t="str">
            <v>Ton.</v>
          </cell>
          <cell r="D36">
            <v>11.1</v>
          </cell>
          <cell r="E36">
            <v>12.2</v>
          </cell>
          <cell r="F36">
            <v>13.3</v>
          </cell>
          <cell r="G36">
            <v>13</v>
          </cell>
          <cell r="H36" t="str">
            <v>Ton.</v>
          </cell>
          <cell r="I36">
            <v>14</v>
          </cell>
          <cell r="J36">
            <v>15</v>
          </cell>
          <cell r="K36">
            <v>16</v>
          </cell>
        </row>
        <row r="37">
          <cell r="A37">
            <v>37</v>
          </cell>
          <cell r="C37" t="str">
            <v>Ton.</v>
          </cell>
          <cell r="H37" t="str">
            <v>Ton.</v>
          </cell>
        </row>
        <row r="38">
          <cell r="A38">
            <v>38</v>
          </cell>
          <cell r="B38" t="str">
            <v>INFANT NUTRITION</v>
          </cell>
          <cell r="C38" t="str">
            <v>Ton.</v>
          </cell>
          <cell r="D38">
            <v>18.3</v>
          </cell>
          <cell r="E38">
            <v>20.7</v>
          </cell>
          <cell r="F38">
            <v>29.3</v>
          </cell>
          <cell r="G38">
            <v>29</v>
          </cell>
          <cell r="H38" t="str">
            <v>Ton.</v>
          </cell>
          <cell r="I38">
            <v>32</v>
          </cell>
          <cell r="J38">
            <v>34</v>
          </cell>
          <cell r="K38">
            <v>36</v>
          </cell>
        </row>
        <row r="39">
          <cell r="A39">
            <v>39</v>
          </cell>
          <cell r="B39" t="str">
            <v>Bracafe</v>
          </cell>
          <cell r="C39" t="str">
            <v>Ton.</v>
          </cell>
          <cell r="D39">
            <v>174.3</v>
          </cell>
          <cell r="E39">
            <v>196.8</v>
          </cell>
          <cell r="F39">
            <v>212.3</v>
          </cell>
          <cell r="G39">
            <v>215</v>
          </cell>
          <cell r="H39" t="str">
            <v>Ton.</v>
          </cell>
          <cell r="I39">
            <v>218</v>
          </cell>
          <cell r="J39">
            <v>222</v>
          </cell>
          <cell r="K39">
            <v>225</v>
          </cell>
        </row>
        <row r="40">
          <cell r="A40">
            <v>40</v>
          </cell>
          <cell r="B40" t="str">
            <v>Chana Soluble</v>
          </cell>
          <cell r="C40" t="str">
            <v>Ton.</v>
          </cell>
          <cell r="D40">
            <v>13.2</v>
          </cell>
          <cell r="E40">
            <v>13.9</v>
          </cell>
          <cell r="F40">
            <v>14.8</v>
          </cell>
          <cell r="G40">
            <v>15</v>
          </cell>
          <cell r="H40" t="str">
            <v>Ton.</v>
          </cell>
          <cell r="I40">
            <v>15</v>
          </cell>
          <cell r="J40">
            <v>15</v>
          </cell>
          <cell r="K40">
            <v>15</v>
          </cell>
        </row>
        <row r="41">
          <cell r="A41">
            <v>41</v>
          </cell>
          <cell r="B41" t="str">
            <v>Nescafe Local</v>
          </cell>
          <cell r="C41" t="str">
            <v>Ton.</v>
          </cell>
          <cell r="F41">
            <v>1.5</v>
          </cell>
          <cell r="G41">
            <v>5.3</v>
          </cell>
          <cell r="H41" t="str">
            <v>Ton.</v>
          </cell>
          <cell r="I41">
            <v>135</v>
          </cell>
          <cell r="J41">
            <v>145</v>
          </cell>
          <cell r="K41">
            <v>155</v>
          </cell>
        </row>
        <row r="42">
          <cell r="A42">
            <v>42</v>
          </cell>
          <cell r="B42" t="str">
            <v>Nescafe Importado</v>
          </cell>
          <cell r="C42" t="str">
            <v>Ton.</v>
          </cell>
          <cell r="D42">
            <v>94.6</v>
          </cell>
          <cell r="E42">
            <v>116.2</v>
          </cell>
          <cell r="F42">
            <v>124.2</v>
          </cell>
          <cell r="G42">
            <v>124.7</v>
          </cell>
          <cell r="H42" t="str">
            <v>Ton.</v>
          </cell>
        </row>
        <row r="43">
          <cell r="A43">
            <v>43</v>
          </cell>
          <cell r="C43" t="str">
            <v>Ton.</v>
          </cell>
          <cell r="H43" t="str">
            <v>Ton.</v>
          </cell>
        </row>
        <row r="44">
          <cell r="A44">
            <v>44</v>
          </cell>
          <cell r="B44" t="str">
            <v>SOLUBLE COFFEE</v>
          </cell>
          <cell r="C44" t="str">
            <v>Ton.</v>
          </cell>
          <cell r="D44">
            <v>282.10000000000002</v>
          </cell>
          <cell r="E44">
            <v>326.90000000000003</v>
          </cell>
          <cell r="F44">
            <v>352.8</v>
          </cell>
          <cell r="G44">
            <v>360</v>
          </cell>
          <cell r="H44" t="str">
            <v>Ton.</v>
          </cell>
          <cell r="I44">
            <v>368</v>
          </cell>
          <cell r="J44">
            <v>382</v>
          </cell>
          <cell r="K44">
            <v>395</v>
          </cell>
        </row>
        <row r="45">
          <cell r="A45">
            <v>45</v>
          </cell>
          <cell r="B45" t="str">
            <v>Amanecer</v>
          </cell>
          <cell r="C45" t="str">
            <v>Ton.</v>
          </cell>
          <cell r="D45">
            <v>51.3</v>
          </cell>
          <cell r="E45">
            <v>47.3</v>
          </cell>
          <cell r="F45">
            <v>58.4</v>
          </cell>
          <cell r="G45">
            <v>60</v>
          </cell>
          <cell r="H45" t="str">
            <v>Ton.</v>
          </cell>
          <cell r="I45">
            <v>60</v>
          </cell>
          <cell r="J45">
            <v>60</v>
          </cell>
          <cell r="K45">
            <v>60</v>
          </cell>
        </row>
        <row r="46">
          <cell r="A46">
            <v>46</v>
          </cell>
          <cell r="B46" t="str">
            <v>Mokambo</v>
          </cell>
          <cell r="C46" t="str">
            <v>Ton.</v>
          </cell>
          <cell r="H46" t="str">
            <v>Ton.</v>
          </cell>
        </row>
        <row r="47">
          <cell r="A47">
            <v>47</v>
          </cell>
          <cell r="B47" t="str">
            <v>Vascolet</v>
          </cell>
          <cell r="C47" t="str">
            <v>Ton.</v>
          </cell>
          <cell r="D47">
            <v>499.6</v>
          </cell>
          <cell r="E47">
            <v>523.29999999999995</v>
          </cell>
          <cell r="F47">
            <v>514.6</v>
          </cell>
          <cell r="G47">
            <v>500</v>
          </cell>
          <cell r="H47" t="str">
            <v>Ton.</v>
          </cell>
          <cell r="I47">
            <v>500</v>
          </cell>
          <cell r="J47">
            <v>500</v>
          </cell>
          <cell r="K47">
            <v>500</v>
          </cell>
        </row>
        <row r="48">
          <cell r="A48">
            <v>48</v>
          </cell>
          <cell r="B48" t="str">
            <v>Nescao</v>
          </cell>
          <cell r="C48" t="str">
            <v>Ton.</v>
          </cell>
          <cell r="D48">
            <v>68.7</v>
          </cell>
          <cell r="E48">
            <v>104.1</v>
          </cell>
          <cell r="F48">
            <v>104.5</v>
          </cell>
          <cell r="G48">
            <v>110</v>
          </cell>
          <cell r="H48" t="str">
            <v>Ton.</v>
          </cell>
          <cell r="I48">
            <v>115</v>
          </cell>
          <cell r="J48">
            <v>120</v>
          </cell>
          <cell r="K48">
            <v>125</v>
          </cell>
        </row>
        <row r="49">
          <cell r="A49">
            <v>49</v>
          </cell>
          <cell r="B49" t="str">
            <v>Cocoa Copacabana</v>
          </cell>
          <cell r="C49" t="str">
            <v>Ton.</v>
          </cell>
          <cell r="D49">
            <v>172.9</v>
          </cell>
          <cell r="E49">
            <v>183.7</v>
          </cell>
          <cell r="F49">
            <v>204.1</v>
          </cell>
          <cell r="G49">
            <v>205</v>
          </cell>
          <cell r="H49" t="str">
            <v>Ton.</v>
          </cell>
          <cell r="I49">
            <v>205</v>
          </cell>
          <cell r="J49">
            <v>210</v>
          </cell>
          <cell r="K49">
            <v>210</v>
          </cell>
        </row>
        <row r="50">
          <cell r="A50">
            <v>50</v>
          </cell>
          <cell r="B50" t="str">
            <v>Cocoa Aguila</v>
          </cell>
          <cell r="C50" t="str">
            <v>Ton.</v>
          </cell>
          <cell r="H50" t="str">
            <v>Ton.</v>
          </cell>
        </row>
        <row r="51">
          <cell r="A51">
            <v>51</v>
          </cell>
          <cell r="B51" t="str">
            <v>Cacao Copacabana</v>
          </cell>
          <cell r="C51" t="str">
            <v>Ton.</v>
          </cell>
          <cell r="D51">
            <v>38</v>
          </cell>
          <cell r="E51">
            <v>43.2</v>
          </cell>
          <cell r="F51">
            <v>44.3</v>
          </cell>
          <cell r="G51">
            <v>47</v>
          </cell>
          <cell r="H51" t="str">
            <v>Ton.</v>
          </cell>
          <cell r="I51">
            <v>50</v>
          </cell>
          <cell r="J51">
            <v>52</v>
          </cell>
          <cell r="K51">
            <v>55</v>
          </cell>
        </row>
        <row r="52">
          <cell r="A52">
            <v>52</v>
          </cell>
          <cell r="C52" t="str">
            <v>Ton.</v>
          </cell>
          <cell r="H52" t="str">
            <v>Ton.</v>
          </cell>
        </row>
        <row r="53">
          <cell r="A53">
            <v>53</v>
          </cell>
          <cell r="B53" t="str">
            <v>OTHER BEVERAGES</v>
          </cell>
          <cell r="C53" t="str">
            <v>Ton.</v>
          </cell>
          <cell r="D53">
            <v>830.5</v>
          </cell>
          <cell r="E53">
            <v>901.59999999999991</v>
          </cell>
          <cell r="F53">
            <v>925.9</v>
          </cell>
          <cell r="G53">
            <v>922</v>
          </cell>
          <cell r="H53" t="str">
            <v>Ton.</v>
          </cell>
          <cell r="I53">
            <v>930</v>
          </cell>
          <cell r="J53">
            <v>942</v>
          </cell>
          <cell r="K53">
            <v>950</v>
          </cell>
        </row>
        <row r="54">
          <cell r="A54">
            <v>54</v>
          </cell>
          <cell r="B54" t="str">
            <v>Alfajor</v>
          </cell>
          <cell r="C54" t="str">
            <v>Ton.</v>
          </cell>
          <cell r="D54">
            <v>73.400000000000006</v>
          </cell>
          <cell r="E54">
            <v>63.9</v>
          </cell>
          <cell r="F54">
            <v>50.1</v>
          </cell>
          <cell r="G54">
            <v>55</v>
          </cell>
          <cell r="H54" t="str">
            <v>Ton.</v>
          </cell>
          <cell r="I54">
            <v>65</v>
          </cell>
          <cell r="J54">
            <v>70</v>
          </cell>
          <cell r="K54">
            <v>75</v>
          </cell>
        </row>
        <row r="55">
          <cell r="A55">
            <v>55</v>
          </cell>
          <cell r="B55" t="str">
            <v>Galletitas</v>
          </cell>
          <cell r="C55" t="str">
            <v>Ton.</v>
          </cell>
          <cell r="D55">
            <v>97</v>
          </cell>
          <cell r="E55">
            <v>106.9</v>
          </cell>
          <cell r="F55">
            <v>88.4</v>
          </cell>
          <cell r="G55">
            <v>100</v>
          </cell>
          <cell r="H55" t="str">
            <v>Ton.</v>
          </cell>
          <cell r="I55">
            <v>105</v>
          </cell>
          <cell r="J55">
            <v>115</v>
          </cell>
          <cell r="K55">
            <v>120</v>
          </cell>
        </row>
        <row r="56">
          <cell r="A56">
            <v>56</v>
          </cell>
          <cell r="B56" t="str">
            <v>Chocolates</v>
          </cell>
          <cell r="C56" t="str">
            <v>Ton.</v>
          </cell>
          <cell r="D56">
            <v>3.3</v>
          </cell>
          <cell r="E56">
            <v>1.7</v>
          </cell>
          <cell r="F56">
            <v>5.8</v>
          </cell>
          <cell r="G56">
            <v>10</v>
          </cell>
          <cell r="H56" t="str">
            <v>Ton.</v>
          </cell>
          <cell r="I56">
            <v>12</v>
          </cell>
          <cell r="J56">
            <v>18</v>
          </cell>
          <cell r="K56">
            <v>24</v>
          </cell>
        </row>
        <row r="57">
          <cell r="A57">
            <v>57</v>
          </cell>
          <cell r="C57" t="str">
            <v>Ton.</v>
          </cell>
          <cell r="H57" t="str">
            <v>Ton.</v>
          </cell>
        </row>
        <row r="58">
          <cell r="A58">
            <v>58</v>
          </cell>
          <cell r="B58" t="str">
            <v>CHOCOLATE, CONFECT. AND BISCUITS</v>
          </cell>
          <cell r="C58" t="str">
            <v>Ton.</v>
          </cell>
          <cell r="D58">
            <v>173.70000000000002</v>
          </cell>
          <cell r="E58">
            <v>172.5</v>
          </cell>
          <cell r="F58">
            <v>144.30000000000001</v>
          </cell>
          <cell r="G58">
            <v>165</v>
          </cell>
          <cell r="H58" t="str">
            <v>Ton.</v>
          </cell>
          <cell r="I58">
            <v>182</v>
          </cell>
          <cell r="J58">
            <v>203</v>
          </cell>
          <cell r="K58">
            <v>219</v>
          </cell>
        </row>
        <row r="59">
          <cell r="A59">
            <v>59</v>
          </cell>
          <cell r="B59" t="str">
            <v>Caldos</v>
          </cell>
          <cell r="C59" t="str">
            <v>Ton.</v>
          </cell>
          <cell r="D59">
            <v>15.3</v>
          </cell>
          <cell r="E59">
            <v>2</v>
          </cell>
          <cell r="F59">
            <v>17.600000000000001</v>
          </cell>
          <cell r="G59">
            <v>25</v>
          </cell>
          <cell r="H59" t="str">
            <v>Ton.</v>
          </cell>
          <cell r="I59">
            <v>27</v>
          </cell>
          <cell r="J59">
            <v>30</v>
          </cell>
          <cell r="K59">
            <v>35</v>
          </cell>
        </row>
        <row r="60">
          <cell r="A60">
            <v>60</v>
          </cell>
          <cell r="B60" t="str">
            <v xml:space="preserve">Sopas </v>
          </cell>
          <cell r="C60" t="str">
            <v>Ton.</v>
          </cell>
          <cell r="D60">
            <v>67.5</v>
          </cell>
          <cell r="E60">
            <v>74.5</v>
          </cell>
          <cell r="F60">
            <v>82.5</v>
          </cell>
          <cell r="G60">
            <v>89</v>
          </cell>
          <cell r="H60" t="str">
            <v>Ton.</v>
          </cell>
          <cell r="I60">
            <v>100</v>
          </cell>
          <cell r="J60">
            <v>105</v>
          </cell>
          <cell r="K60">
            <v>110</v>
          </cell>
        </row>
        <row r="61">
          <cell r="A61">
            <v>61</v>
          </cell>
          <cell r="B61" t="str">
            <v>Salsas</v>
          </cell>
          <cell r="C61" t="str">
            <v>Ton.</v>
          </cell>
          <cell r="E61">
            <v>2.8</v>
          </cell>
          <cell r="F61">
            <v>4.5999999999999996</v>
          </cell>
          <cell r="G61">
            <v>6</v>
          </cell>
          <cell r="H61" t="str">
            <v>Ton.</v>
          </cell>
        </row>
        <row r="62">
          <cell r="A62">
            <v>62</v>
          </cell>
          <cell r="B62" t="str">
            <v>Pure de Papas</v>
          </cell>
          <cell r="C62" t="str">
            <v>Ton.</v>
          </cell>
          <cell r="D62">
            <v>60.5</v>
          </cell>
          <cell r="E62">
            <v>68.099999999999994</v>
          </cell>
          <cell r="F62">
            <v>73.2</v>
          </cell>
          <cell r="G62">
            <v>73</v>
          </cell>
          <cell r="H62" t="str">
            <v>Ton.</v>
          </cell>
          <cell r="I62">
            <v>75</v>
          </cell>
          <cell r="J62">
            <v>79</v>
          </cell>
          <cell r="K62">
            <v>82</v>
          </cell>
        </row>
        <row r="63">
          <cell r="A63">
            <v>63</v>
          </cell>
          <cell r="C63" t="str">
            <v>Ton.</v>
          </cell>
          <cell r="H63" t="str">
            <v>Ton.</v>
          </cell>
        </row>
        <row r="64">
          <cell r="A64">
            <v>64</v>
          </cell>
          <cell r="B64" t="str">
            <v>CULINARY PRODUCTS</v>
          </cell>
          <cell r="C64" t="str">
            <v>Ton.</v>
          </cell>
          <cell r="D64">
            <v>143.30000000000001</v>
          </cell>
          <cell r="E64">
            <v>147.39999999999998</v>
          </cell>
          <cell r="F64">
            <v>177.89999999999998</v>
          </cell>
          <cell r="G64">
            <v>193</v>
          </cell>
          <cell r="H64" t="str">
            <v>Ton.</v>
          </cell>
          <cell r="I64">
            <v>202</v>
          </cell>
          <cell r="J64">
            <v>214</v>
          </cell>
          <cell r="K64">
            <v>227</v>
          </cell>
        </row>
        <row r="65">
          <cell r="A65">
            <v>65</v>
          </cell>
          <cell r="C65" t="str">
            <v>Ton.</v>
          </cell>
          <cell r="H65" t="str">
            <v>Ton.</v>
          </cell>
        </row>
        <row r="66">
          <cell r="A66">
            <v>66</v>
          </cell>
          <cell r="C66" t="str">
            <v>Ton.</v>
          </cell>
          <cell r="H66" t="str">
            <v>Ton.</v>
          </cell>
        </row>
        <row r="67">
          <cell r="A67">
            <v>67</v>
          </cell>
          <cell r="B67" t="str">
            <v>FROZEN FOODS</v>
          </cell>
          <cell r="C67" t="str">
            <v>Ton.</v>
          </cell>
          <cell r="D67">
            <v>0</v>
          </cell>
          <cell r="E67">
            <v>0</v>
          </cell>
          <cell r="F67">
            <v>0</v>
          </cell>
          <cell r="G67">
            <v>0</v>
          </cell>
          <cell r="H67" t="str">
            <v>Ton.</v>
          </cell>
          <cell r="I67">
            <v>0</v>
          </cell>
          <cell r="J67">
            <v>0</v>
          </cell>
          <cell r="K67">
            <v>0</v>
          </cell>
        </row>
        <row r="68">
          <cell r="A68">
            <v>68</v>
          </cell>
          <cell r="B68" t="str">
            <v>Helado Impulsivo</v>
          </cell>
          <cell r="C68" t="str">
            <v>Ton.</v>
          </cell>
          <cell r="D68">
            <v>141.9</v>
          </cell>
          <cell r="E68">
            <v>320.2</v>
          </cell>
          <cell r="F68">
            <v>374.1</v>
          </cell>
          <cell r="G68">
            <v>424</v>
          </cell>
          <cell r="H68" t="str">
            <v>Ton.</v>
          </cell>
          <cell r="I68">
            <v>720</v>
          </cell>
          <cell r="J68">
            <v>760</v>
          </cell>
          <cell r="K68">
            <v>820</v>
          </cell>
        </row>
        <row r="69">
          <cell r="A69">
            <v>69</v>
          </cell>
          <cell r="B69" t="str">
            <v>Helado Hogareño</v>
          </cell>
          <cell r="C69" t="str">
            <v>Ton.</v>
          </cell>
          <cell r="D69">
            <v>58.4</v>
          </cell>
          <cell r="E69">
            <v>177.7</v>
          </cell>
          <cell r="F69">
            <v>196.7</v>
          </cell>
          <cell r="G69">
            <v>246</v>
          </cell>
          <cell r="H69" t="str">
            <v>Ton.</v>
          </cell>
        </row>
        <row r="70">
          <cell r="A70">
            <v>70</v>
          </cell>
          <cell r="C70" t="str">
            <v>Ton.</v>
          </cell>
          <cell r="H70" t="str">
            <v>Ton.</v>
          </cell>
        </row>
        <row r="71">
          <cell r="A71">
            <v>71</v>
          </cell>
          <cell r="B71" t="str">
            <v>ICE CREAM</v>
          </cell>
          <cell r="C71" t="str">
            <v>Ton.</v>
          </cell>
          <cell r="D71">
            <v>200.3</v>
          </cell>
          <cell r="E71">
            <v>497.9</v>
          </cell>
          <cell r="F71">
            <v>570.79999999999995</v>
          </cell>
          <cell r="G71">
            <v>670</v>
          </cell>
          <cell r="H71" t="str">
            <v>Ton.</v>
          </cell>
          <cell r="I71">
            <v>720</v>
          </cell>
          <cell r="J71">
            <v>760</v>
          </cell>
          <cell r="K71">
            <v>820</v>
          </cell>
        </row>
        <row r="72">
          <cell r="A72">
            <v>72</v>
          </cell>
          <cell r="C72" t="str">
            <v>Ton.</v>
          </cell>
          <cell r="H72" t="str">
            <v>Ton.</v>
          </cell>
        </row>
        <row r="73">
          <cell r="A73">
            <v>73</v>
          </cell>
          <cell r="C73" t="str">
            <v>Ton.</v>
          </cell>
          <cell r="H73" t="str">
            <v>Ton.</v>
          </cell>
        </row>
        <row r="74">
          <cell r="A74">
            <v>74</v>
          </cell>
          <cell r="B74" t="str">
            <v>DAIRY CHILLED PRODUCTS</v>
          </cell>
          <cell r="C74" t="str">
            <v>Ton.</v>
          </cell>
          <cell r="D74">
            <v>0</v>
          </cell>
          <cell r="E74">
            <v>0</v>
          </cell>
          <cell r="F74">
            <v>0</v>
          </cell>
          <cell r="G74">
            <v>0</v>
          </cell>
          <cell r="H74" t="str">
            <v>Ton.</v>
          </cell>
          <cell r="I74">
            <v>0</v>
          </cell>
          <cell r="J74">
            <v>0</v>
          </cell>
          <cell r="K74">
            <v>0</v>
          </cell>
        </row>
        <row r="75">
          <cell r="A75">
            <v>75</v>
          </cell>
          <cell r="C75" t="str">
            <v>Ton.</v>
          </cell>
          <cell r="H75" t="str">
            <v>Ton.</v>
          </cell>
        </row>
        <row r="76">
          <cell r="A76">
            <v>76</v>
          </cell>
          <cell r="C76" t="str">
            <v>Ton.</v>
          </cell>
          <cell r="H76" t="str">
            <v>Ton.</v>
          </cell>
        </row>
        <row r="77">
          <cell r="A77">
            <v>77</v>
          </cell>
          <cell r="B77" t="str">
            <v>LIQUID DRINKS</v>
          </cell>
          <cell r="C77" t="str">
            <v>Ton.</v>
          </cell>
          <cell r="D77">
            <v>0</v>
          </cell>
          <cell r="E77">
            <v>0</v>
          </cell>
          <cell r="F77">
            <v>0</v>
          </cell>
          <cell r="G77">
            <v>0</v>
          </cell>
          <cell r="H77" t="str">
            <v>Ton.</v>
          </cell>
          <cell r="I77">
            <v>0</v>
          </cell>
          <cell r="J77">
            <v>0</v>
          </cell>
          <cell r="K77">
            <v>0</v>
          </cell>
        </row>
        <row r="78">
          <cell r="A78">
            <v>78</v>
          </cell>
          <cell r="C78" t="str">
            <v>Ton.</v>
          </cell>
          <cell r="H78" t="str">
            <v>Ton.</v>
          </cell>
        </row>
        <row r="79">
          <cell r="A79">
            <v>79</v>
          </cell>
          <cell r="C79" t="str">
            <v>Ton.</v>
          </cell>
          <cell r="H79" t="str">
            <v>Ton.</v>
          </cell>
        </row>
        <row r="80">
          <cell r="A80">
            <v>80</v>
          </cell>
          <cell r="B80" t="str">
            <v>PHARMA &amp; DERMA PRODUCTS</v>
          </cell>
          <cell r="C80" t="str">
            <v>Ton.</v>
          </cell>
          <cell r="D80">
            <v>0</v>
          </cell>
          <cell r="E80">
            <v>0</v>
          </cell>
          <cell r="F80">
            <v>0</v>
          </cell>
          <cell r="G80">
            <v>0</v>
          </cell>
          <cell r="H80" t="str">
            <v>Ton.</v>
          </cell>
          <cell r="I80">
            <v>0</v>
          </cell>
          <cell r="J80">
            <v>0</v>
          </cell>
          <cell r="K80">
            <v>0</v>
          </cell>
        </row>
        <row r="81">
          <cell r="A81">
            <v>81</v>
          </cell>
          <cell r="B81" t="str">
            <v>Dog</v>
          </cell>
          <cell r="C81" t="str">
            <v>Ton.</v>
          </cell>
          <cell r="G81">
            <v>70</v>
          </cell>
          <cell r="H81" t="str">
            <v>Ton.</v>
          </cell>
          <cell r="I81">
            <v>120</v>
          </cell>
          <cell r="J81">
            <v>160</v>
          </cell>
          <cell r="K81">
            <v>220</v>
          </cell>
        </row>
        <row r="82">
          <cell r="A82">
            <v>82</v>
          </cell>
          <cell r="B82" t="str">
            <v>Cat</v>
          </cell>
          <cell r="C82" t="str">
            <v>Ton.</v>
          </cell>
          <cell r="H82" t="str">
            <v>Ton.</v>
          </cell>
        </row>
        <row r="83">
          <cell r="A83">
            <v>83</v>
          </cell>
          <cell r="C83" t="str">
            <v>Ton.</v>
          </cell>
          <cell r="H83" t="str">
            <v>Ton.</v>
          </cell>
        </row>
        <row r="84">
          <cell r="A84">
            <v>84</v>
          </cell>
          <cell r="B84" t="str">
            <v>PET FOOD</v>
          </cell>
          <cell r="C84" t="str">
            <v>Ton.</v>
          </cell>
          <cell r="D84">
            <v>0</v>
          </cell>
          <cell r="E84">
            <v>0</v>
          </cell>
          <cell r="F84">
            <v>0</v>
          </cell>
          <cell r="G84">
            <v>70</v>
          </cell>
          <cell r="H84" t="str">
            <v>Ton.</v>
          </cell>
          <cell r="I84">
            <v>120</v>
          </cell>
          <cell r="J84">
            <v>160</v>
          </cell>
          <cell r="K84">
            <v>220</v>
          </cell>
        </row>
        <row r="85">
          <cell r="A85">
            <v>85</v>
          </cell>
          <cell r="B85" t="str">
            <v>Cereales Desayuno</v>
          </cell>
          <cell r="C85" t="str">
            <v>Ton.</v>
          </cell>
          <cell r="D85">
            <v>13.5</v>
          </cell>
          <cell r="E85">
            <v>36.299999999999997</v>
          </cell>
          <cell r="F85">
            <v>56</v>
          </cell>
          <cell r="G85">
            <v>60</v>
          </cell>
          <cell r="H85" t="str">
            <v>Ton.</v>
          </cell>
          <cell r="I85">
            <v>65</v>
          </cell>
          <cell r="J85">
            <v>70</v>
          </cell>
          <cell r="K85">
            <v>75</v>
          </cell>
        </row>
        <row r="86">
          <cell r="A86">
            <v>86</v>
          </cell>
          <cell r="C86" t="str">
            <v>Ton.</v>
          </cell>
          <cell r="H86" t="str">
            <v>Ton.</v>
          </cell>
        </row>
        <row r="87">
          <cell r="A87">
            <v>87</v>
          </cell>
          <cell r="B87" t="str">
            <v>ADULT NUTRITION</v>
          </cell>
          <cell r="C87" t="str">
            <v>Ton.</v>
          </cell>
          <cell r="D87">
            <v>13.5</v>
          </cell>
          <cell r="E87">
            <v>36.299999999999997</v>
          </cell>
          <cell r="F87">
            <v>56</v>
          </cell>
          <cell r="G87">
            <v>60</v>
          </cell>
          <cell r="H87" t="str">
            <v>Ton.</v>
          </cell>
          <cell r="I87">
            <v>65</v>
          </cell>
          <cell r="J87">
            <v>70</v>
          </cell>
          <cell r="K87">
            <v>75</v>
          </cell>
        </row>
        <row r="88">
          <cell r="A88">
            <v>88</v>
          </cell>
          <cell r="B88" t="str">
            <v>Café Express</v>
          </cell>
          <cell r="C88" t="str">
            <v>Ton.</v>
          </cell>
          <cell r="D88">
            <v>59.5</v>
          </cell>
          <cell r="E88">
            <v>59.9</v>
          </cell>
          <cell r="F88">
            <v>62.5</v>
          </cell>
          <cell r="G88">
            <v>60</v>
          </cell>
          <cell r="H88" t="str">
            <v>Ton.</v>
          </cell>
        </row>
        <row r="89">
          <cell r="A89">
            <v>89</v>
          </cell>
          <cell r="B89" t="str">
            <v>Molido El Chana</v>
          </cell>
          <cell r="C89" t="str">
            <v>Ton.</v>
          </cell>
          <cell r="D89">
            <v>320.8</v>
          </cell>
          <cell r="E89">
            <v>348.2</v>
          </cell>
          <cell r="F89">
            <v>414.5</v>
          </cell>
          <cell r="G89">
            <v>370</v>
          </cell>
          <cell r="H89" t="str">
            <v>Ton.</v>
          </cell>
          <cell r="I89">
            <v>435</v>
          </cell>
          <cell r="J89">
            <v>450</v>
          </cell>
          <cell r="K89">
            <v>470</v>
          </cell>
        </row>
        <row r="90">
          <cell r="A90">
            <v>90</v>
          </cell>
          <cell r="B90" t="str">
            <v>Molido Aguila</v>
          </cell>
          <cell r="C90" t="str">
            <v>Ton.</v>
          </cell>
          <cell r="G90">
            <v>100</v>
          </cell>
          <cell r="H90" t="str">
            <v>Ton.</v>
          </cell>
          <cell r="I90">
            <v>120</v>
          </cell>
          <cell r="J90">
            <v>140</v>
          </cell>
          <cell r="K90">
            <v>160</v>
          </cell>
        </row>
        <row r="91">
          <cell r="A91">
            <v>91</v>
          </cell>
          <cell r="C91" t="str">
            <v>Ton.</v>
          </cell>
          <cell r="H91" t="str">
            <v>Ton.</v>
          </cell>
        </row>
        <row r="92">
          <cell r="A92">
            <v>92</v>
          </cell>
          <cell r="B92" t="str">
            <v>ROAST &amp; GROUND COFFEE</v>
          </cell>
          <cell r="C92" t="str">
            <v>Ton.</v>
          </cell>
          <cell r="D92">
            <v>380.3</v>
          </cell>
          <cell r="E92">
            <v>408.09999999999997</v>
          </cell>
          <cell r="F92">
            <v>477</v>
          </cell>
          <cell r="G92">
            <v>530</v>
          </cell>
          <cell r="H92" t="str">
            <v>Ton.</v>
          </cell>
          <cell r="I92">
            <v>555</v>
          </cell>
          <cell r="J92">
            <v>590</v>
          </cell>
          <cell r="K92">
            <v>630</v>
          </cell>
        </row>
        <row r="93">
          <cell r="A93">
            <v>93</v>
          </cell>
          <cell r="C93" t="str">
            <v>Ton.</v>
          </cell>
          <cell r="H93" t="str">
            <v>Ton.</v>
          </cell>
        </row>
        <row r="94">
          <cell r="A94">
            <v>94</v>
          </cell>
          <cell r="C94" t="str">
            <v>Ton.</v>
          </cell>
          <cell r="H94" t="str">
            <v>Ton.</v>
          </cell>
        </row>
        <row r="95">
          <cell r="A95">
            <v>95</v>
          </cell>
          <cell r="B95" t="str">
            <v>CULINARY CHILLED PRODUCTS</v>
          </cell>
          <cell r="C95" t="str">
            <v>Ton.</v>
          </cell>
          <cell r="D95">
            <v>0</v>
          </cell>
          <cell r="E95">
            <v>0</v>
          </cell>
          <cell r="F95">
            <v>0</v>
          </cell>
          <cell r="G95">
            <v>0</v>
          </cell>
          <cell r="H95" t="str">
            <v>Ton.</v>
          </cell>
          <cell r="I95">
            <v>0</v>
          </cell>
          <cell r="J95">
            <v>0</v>
          </cell>
          <cell r="K95">
            <v>0</v>
          </cell>
        </row>
        <row r="96">
          <cell r="A96">
            <v>96</v>
          </cell>
          <cell r="B96" t="str">
            <v>Azucar</v>
          </cell>
          <cell r="C96" t="str">
            <v>Ton.</v>
          </cell>
          <cell r="D96">
            <v>30.5</v>
          </cell>
          <cell r="E96">
            <v>31</v>
          </cell>
          <cell r="F96">
            <v>33.1</v>
          </cell>
          <cell r="G96">
            <v>33</v>
          </cell>
          <cell r="H96" t="str">
            <v>Ton.</v>
          </cell>
          <cell r="I96">
            <v>33</v>
          </cell>
          <cell r="J96">
            <v>33</v>
          </cell>
          <cell r="K96">
            <v>33</v>
          </cell>
        </row>
        <row r="97">
          <cell r="A97">
            <v>97</v>
          </cell>
          <cell r="B97" t="str">
            <v xml:space="preserve">Te </v>
          </cell>
          <cell r="C97" t="str">
            <v>Ton.</v>
          </cell>
          <cell r="D97">
            <v>1.3</v>
          </cell>
          <cell r="E97">
            <v>0.3</v>
          </cell>
          <cell r="F97">
            <v>0.5</v>
          </cell>
          <cell r="H97" t="str">
            <v>Ton.</v>
          </cell>
        </row>
        <row r="98">
          <cell r="A98">
            <v>98</v>
          </cell>
          <cell r="C98" t="str">
            <v>Ton.</v>
          </cell>
          <cell r="H98" t="str">
            <v>Ton.</v>
          </cell>
        </row>
        <row r="99">
          <cell r="A99">
            <v>99</v>
          </cell>
          <cell r="B99" t="str">
            <v>SUBSIDIARY PROD/ACTIVITIES</v>
          </cell>
          <cell r="C99" t="str">
            <v>Ton.</v>
          </cell>
          <cell r="D99">
            <v>31.8</v>
          </cell>
          <cell r="E99">
            <v>31.3</v>
          </cell>
          <cell r="F99">
            <v>33.6</v>
          </cell>
          <cell r="G99">
            <v>33</v>
          </cell>
          <cell r="H99" t="str">
            <v>Ton.</v>
          </cell>
          <cell r="I99">
            <v>33</v>
          </cell>
          <cell r="J99">
            <v>33</v>
          </cell>
          <cell r="K99">
            <v>33</v>
          </cell>
        </row>
        <row r="100">
          <cell r="A100">
            <v>100</v>
          </cell>
          <cell r="B100" t="str">
            <v>Nescafe Exportado</v>
          </cell>
          <cell r="C100" t="str">
            <v>Ton.</v>
          </cell>
          <cell r="F100">
            <v>12</v>
          </cell>
          <cell r="G100">
            <v>11.4</v>
          </cell>
          <cell r="H100" t="str">
            <v>Ton.</v>
          </cell>
          <cell r="I100">
            <v>17</v>
          </cell>
          <cell r="J100">
            <v>18</v>
          </cell>
          <cell r="K100">
            <v>19</v>
          </cell>
        </row>
        <row r="101">
          <cell r="A101">
            <v>101</v>
          </cell>
          <cell r="B101" t="str">
            <v>Amanecer Export.Afiliadas</v>
          </cell>
          <cell r="C101" t="str">
            <v>Ton.</v>
          </cell>
          <cell r="D101">
            <v>94</v>
          </cell>
          <cell r="E101">
            <v>140.69999999999999</v>
          </cell>
          <cell r="F101">
            <v>131.69999999999999</v>
          </cell>
          <cell r="G101">
            <v>137</v>
          </cell>
          <cell r="H101" t="str">
            <v>Ton.</v>
          </cell>
          <cell r="I101">
            <v>167</v>
          </cell>
          <cell r="J101">
            <v>184</v>
          </cell>
          <cell r="K101">
            <v>191</v>
          </cell>
        </row>
        <row r="102">
          <cell r="A102">
            <v>102</v>
          </cell>
        </row>
        <row r="103">
          <cell r="A103">
            <v>103</v>
          </cell>
          <cell r="B103" t="str">
            <v>Exportacion a Afiliadas</v>
          </cell>
          <cell r="C103" t="str">
            <v>$</v>
          </cell>
          <cell r="D103">
            <v>94</v>
          </cell>
          <cell r="E103">
            <v>140.69999999999999</v>
          </cell>
          <cell r="F103">
            <v>143.69999999999999</v>
          </cell>
          <cell r="G103">
            <v>148.4</v>
          </cell>
          <cell r="H103" t="str">
            <v>$</v>
          </cell>
          <cell r="I103">
            <v>184</v>
          </cell>
          <cell r="J103">
            <v>202</v>
          </cell>
          <cell r="K103">
            <v>210</v>
          </cell>
        </row>
        <row r="104">
          <cell r="A104">
            <v>104</v>
          </cell>
          <cell r="B104" t="str">
            <v>Cebada Export.3os</v>
          </cell>
          <cell r="C104" t="str">
            <v>Ton.</v>
          </cell>
          <cell r="F104">
            <v>18.3</v>
          </cell>
          <cell r="G104">
            <v>32</v>
          </cell>
          <cell r="H104" t="str">
            <v>Ton.</v>
          </cell>
        </row>
        <row r="105">
          <cell r="A105">
            <v>105</v>
          </cell>
        </row>
        <row r="106">
          <cell r="A106">
            <v>106</v>
          </cell>
          <cell r="B106" t="str">
            <v>Exportacion a Terceros</v>
          </cell>
          <cell r="C106" t="str">
            <v>$</v>
          </cell>
          <cell r="D106">
            <v>0</v>
          </cell>
          <cell r="E106">
            <v>0</v>
          </cell>
          <cell r="F106">
            <v>18.3</v>
          </cell>
          <cell r="G106">
            <v>32</v>
          </cell>
          <cell r="H106" t="str">
            <v>$</v>
          </cell>
          <cell r="I106">
            <v>0</v>
          </cell>
          <cell r="J106">
            <v>0</v>
          </cell>
          <cell r="K106">
            <v>0</v>
          </cell>
        </row>
        <row r="107">
          <cell r="A107">
            <v>107</v>
          </cell>
        </row>
        <row r="108">
          <cell r="A108">
            <v>108</v>
          </cell>
          <cell r="B108" t="str">
            <v>VENTA NETA Local</v>
          </cell>
          <cell r="C108" t="str">
            <v>$</v>
          </cell>
          <cell r="D108">
            <v>141686</v>
          </cell>
          <cell r="E108">
            <v>180943.00000000003</v>
          </cell>
          <cell r="F108">
            <v>219566.59100000001</v>
          </cell>
          <cell r="G108">
            <v>238889.00000000003</v>
          </cell>
          <cell r="H108" t="str">
            <v>$</v>
          </cell>
          <cell r="I108">
            <v>251277.18</v>
          </cell>
          <cell r="J108">
            <v>277150</v>
          </cell>
          <cell r="K108">
            <v>310668.48</v>
          </cell>
        </row>
        <row r="109">
          <cell r="A109">
            <v>109</v>
          </cell>
          <cell r="B109" t="str">
            <v>VENTA NETA Export. 3os</v>
          </cell>
          <cell r="C109" t="str">
            <v>$</v>
          </cell>
          <cell r="D109">
            <v>0</v>
          </cell>
          <cell r="E109">
            <v>0</v>
          </cell>
          <cell r="F109">
            <v>464</v>
          </cell>
          <cell r="G109">
            <v>884</v>
          </cell>
          <cell r="H109" t="str">
            <v>$</v>
          </cell>
          <cell r="I109">
            <v>0</v>
          </cell>
          <cell r="J109">
            <v>0</v>
          </cell>
          <cell r="K109">
            <v>0</v>
          </cell>
        </row>
        <row r="110">
          <cell r="A110">
            <v>110</v>
          </cell>
          <cell r="B110" t="str">
            <v>VENTA NETA Afiliadas</v>
          </cell>
          <cell r="C110" t="str">
            <v>$</v>
          </cell>
          <cell r="D110">
            <v>2550</v>
          </cell>
          <cell r="E110">
            <v>4007</v>
          </cell>
          <cell r="F110">
            <v>4500</v>
          </cell>
          <cell r="G110">
            <v>4686</v>
          </cell>
          <cell r="H110" t="str">
            <v>$</v>
          </cell>
          <cell r="I110">
            <v>6633.87</v>
          </cell>
          <cell r="J110">
            <v>7500</v>
          </cell>
          <cell r="K110">
            <v>8252.48</v>
          </cell>
        </row>
        <row r="111">
          <cell r="A111">
            <v>111</v>
          </cell>
          <cell r="B111" t="str">
            <v>TOTAL CIA</v>
          </cell>
          <cell r="C111" t="str">
            <v>$</v>
          </cell>
          <cell r="D111">
            <v>144236</v>
          </cell>
          <cell r="E111">
            <v>184950.00000000003</v>
          </cell>
          <cell r="F111">
            <v>224530.59100000001</v>
          </cell>
          <cell r="G111">
            <v>244459.00000000003</v>
          </cell>
          <cell r="H111" t="str">
            <v>$</v>
          </cell>
          <cell r="I111">
            <v>257911.05</v>
          </cell>
          <cell r="J111">
            <v>284650</v>
          </cell>
          <cell r="K111">
            <v>318920.95999999996</v>
          </cell>
        </row>
        <row r="112">
          <cell r="A112">
            <v>112</v>
          </cell>
          <cell r="B112" t="str">
            <v>VENTA NETA Export.</v>
          </cell>
          <cell r="C112" t="str">
            <v>$</v>
          </cell>
          <cell r="D112">
            <v>2550</v>
          </cell>
          <cell r="E112">
            <v>4007</v>
          </cell>
          <cell r="F112">
            <v>4964</v>
          </cell>
          <cell r="G112">
            <v>5570</v>
          </cell>
          <cell r="H112" t="str">
            <v>$</v>
          </cell>
          <cell r="I112">
            <v>6633.87</v>
          </cell>
          <cell r="J112">
            <v>7500</v>
          </cell>
          <cell r="K112">
            <v>8252.48</v>
          </cell>
        </row>
        <row r="113">
          <cell r="A113">
            <v>113</v>
          </cell>
          <cell r="B113" t="str">
            <v>VENTA NETA Local</v>
          </cell>
          <cell r="C113" t="str">
            <v>U$S</v>
          </cell>
          <cell r="D113">
            <v>17679.810331919143</v>
          </cell>
          <cell r="E113">
            <v>19046.63157894737</v>
          </cell>
          <cell r="F113">
            <v>20961.011073985683</v>
          </cell>
          <cell r="G113">
            <v>21038.221047996478</v>
          </cell>
          <cell r="H113" t="str">
            <v>U$S</v>
          </cell>
          <cell r="I113">
            <v>21098</v>
          </cell>
          <cell r="J113">
            <v>22172</v>
          </cell>
          <cell r="K113">
            <v>23679</v>
          </cell>
        </row>
        <row r="114">
          <cell r="A114">
            <v>114</v>
          </cell>
          <cell r="B114" t="str">
            <v>VENTA NETA Export. 3os</v>
          </cell>
          <cell r="C114" t="str">
            <v>U$S</v>
          </cell>
          <cell r="D114">
            <v>0</v>
          </cell>
          <cell r="E114">
            <v>0</v>
          </cell>
          <cell r="F114">
            <v>44.295942720763726</v>
          </cell>
          <cell r="G114">
            <v>77.851166886833994</v>
          </cell>
          <cell r="H114" t="str">
            <v>U$S</v>
          </cell>
          <cell r="I114">
            <v>0</v>
          </cell>
          <cell r="J114">
            <v>0</v>
          </cell>
          <cell r="K114">
            <v>0</v>
          </cell>
        </row>
        <row r="115">
          <cell r="A115">
            <v>115</v>
          </cell>
          <cell r="B115" t="str">
            <v>VENTA NETA Afiliadas</v>
          </cell>
          <cell r="C115" t="str">
            <v>U$S</v>
          </cell>
          <cell r="D115">
            <v>318.19316196655853</v>
          </cell>
          <cell r="E115">
            <v>421.78947368421052</v>
          </cell>
          <cell r="F115">
            <v>429.59427207637231</v>
          </cell>
          <cell r="G115">
            <v>412.68163804491411</v>
          </cell>
          <cell r="H115" t="str">
            <v>U$S</v>
          </cell>
          <cell r="I115">
            <v>557</v>
          </cell>
          <cell r="J115">
            <v>600</v>
          </cell>
          <cell r="K115">
            <v>629</v>
          </cell>
        </row>
        <row r="116">
          <cell r="A116">
            <v>116</v>
          </cell>
          <cell r="B116" t="str">
            <v>TOTAL CIA</v>
          </cell>
          <cell r="C116" t="str">
            <v>U$S</v>
          </cell>
          <cell r="D116">
            <v>17998.003493885702</v>
          </cell>
          <cell r="E116">
            <v>19468.42105263158</v>
          </cell>
          <cell r="F116">
            <v>21434.901288782818</v>
          </cell>
          <cell r="G116">
            <v>21528.753852928225</v>
          </cell>
          <cell r="H116" t="str">
            <v>U$S</v>
          </cell>
          <cell r="I116">
            <v>21655</v>
          </cell>
          <cell r="J116">
            <v>22772</v>
          </cell>
          <cell r="K116">
            <v>24308</v>
          </cell>
        </row>
        <row r="117">
          <cell r="A117">
            <v>117</v>
          </cell>
          <cell r="B117" t="str">
            <v>VENTA NETA</v>
          </cell>
          <cell r="C117" t="str">
            <v>$</v>
          </cell>
          <cell r="D117">
            <v>144236</v>
          </cell>
          <cell r="E117">
            <v>184950</v>
          </cell>
          <cell r="F117">
            <v>224530.59100000001</v>
          </cell>
          <cell r="G117">
            <v>244459</v>
          </cell>
          <cell r="H117" t="str">
            <v>$</v>
          </cell>
          <cell r="I117">
            <v>257911.05000000002</v>
          </cell>
          <cell r="J117">
            <v>284650</v>
          </cell>
          <cell r="K117">
            <v>318920.96000000002</v>
          </cell>
        </row>
        <row r="118">
          <cell r="A118">
            <v>118</v>
          </cell>
          <cell r="C118" t="str">
            <v>U$S</v>
          </cell>
          <cell r="D118">
            <v>17998.003493885702</v>
          </cell>
          <cell r="E118">
            <v>19468.42105263158</v>
          </cell>
          <cell r="F118">
            <v>21434.901288782818</v>
          </cell>
          <cell r="G118">
            <v>21528.753852928225</v>
          </cell>
          <cell r="H118" t="str">
            <v>U$S</v>
          </cell>
          <cell r="I118">
            <v>21655</v>
          </cell>
          <cell r="J118">
            <v>22772</v>
          </cell>
          <cell r="K118">
            <v>24308.000000000004</v>
          </cell>
        </row>
        <row r="119">
          <cell r="A119">
            <v>119</v>
          </cell>
          <cell r="B119" t="str">
            <v>Leche Condensada</v>
          </cell>
          <cell r="C119" t="str">
            <v>$</v>
          </cell>
          <cell r="D119">
            <v>376</v>
          </cell>
          <cell r="E119">
            <v>453</v>
          </cell>
          <cell r="F119">
            <v>542</v>
          </cell>
          <cell r="G119">
            <v>692</v>
          </cell>
          <cell r="H119" t="str">
            <v>U$S</v>
          </cell>
          <cell r="I119">
            <v>159</v>
          </cell>
          <cell r="J119">
            <v>175</v>
          </cell>
          <cell r="K119">
            <v>186</v>
          </cell>
        </row>
        <row r="120">
          <cell r="A120">
            <v>120</v>
          </cell>
          <cell r="B120" t="str">
            <v>Leches en Polvo</v>
          </cell>
          <cell r="C120" t="str">
            <v>$</v>
          </cell>
          <cell r="D120">
            <v>374</v>
          </cell>
          <cell r="E120">
            <v>558</v>
          </cell>
          <cell r="F120">
            <v>804</v>
          </cell>
          <cell r="G120">
            <v>922</v>
          </cell>
          <cell r="H120" t="str">
            <v>U$S</v>
          </cell>
        </row>
        <row r="121">
          <cell r="A121">
            <v>121</v>
          </cell>
          <cell r="B121">
            <v>0</v>
          </cell>
        </row>
        <row r="122">
          <cell r="A122">
            <v>122</v>
          </cell>
          <cell r="B122" t="str">
            <v>MILK PRODUCTS</v>
          </cell>
          <cell r="C122" t="str">
            <v>$</v>
          </cell>
          <cell r="D122">
            <v>750</v>
          </cell>
          <cell r="E122">
            <v>1011</v>
          </cell>
          <cell r="F122">
            <v>1346</v>
          </cell>
          <cell r="G122">
            <v>1614</v>
          </cell>
          <cell r="H122" t="str">
            <v>$</v>
          </cell>
          <cell r="I122">
            <v>1893.69</v>
          </cell>
          <cell r="J122">
            <v>2187.5</v>
          </cell>
          <cell r="K122">
            <v>2440.3199999999997</v>
          </cell>
        </row>
        <row r="123">
          <cell r="A123">
            <v>123</v>
          </cell>
          <cell r="C123" t="str">
            <v>U$S</v>
          </cell>
          <cell r="D123">
            <v>93.586224107811333</v>
          </cell>
          <cell r="E123">
            <v>106.42105263157895</v>
          </cell>
          <cell r="F123">
            <v>128.4964200477327</v>
          </cell>
          <cell r="G123">
            <v>142.14002642007927</v>
          </cell>
          <cell r="H123" t="str">
            <v>U$S</v>
          </cell>
          <cell r="I123">
            <v>159</v>
          </cell>
          <cell r="J123">
            <v>175</v>
          </cell>
          <cell r="K123">
            <v>186</v>
          </cell>
        </row>
        <row r="124">
          <cell r="A124">
            <v>124</v>
          </cell>
          <cell r="B124" t="str">
            <v>Nan</v>
          </cell>
          <cell r="C124" t="str">
            <v>$</v>
          </cell>
          <cell r="D124">
            <v>418</v>
          </cell>
          <cell r="E124">
            <v>663</v>
          </cell>
          <cell r="F124">
            <v>1283.5</v>
          </cell>
          <cell r="G124">
            <v>1651</v>
          </cell>
          <cell r="H124" t="str">
            <v>U$S</v>
          </cell>
          <cell r="I124">
            <v>240</v>
          </cell>
          <cell r="J124">
            <v>255</v>
          </cell>
          <cell r="K124">
            <v>270</v>
          </cell>
        </row>
        <row r="125">
          <cell r="A125">
            <v>125</v>
          </cell>
          <cell r="B125" t="str">
            <v>Nestum</v>
          </cell>
          <cell r="C125" t="str">
            <v>$</v>
          </cell>
          <cell r="D125">
            <v>532</v>
          </cell>
          <cell r="E125">
            <v>654</v>
          </cell>
          <cell r="F125">
            <v>758.5</v>
          </cell>
          <cell r="G125">
            <v>833</v>
          </cell>
          <cell r="H125" t="str">
            <v>U$S</v>
          </cell>
        </row>
        <row r="126">
          <cell r="A126">
            <v>126</v>
          </cell>
          <cell r="B126">
            <v>0</v>
          </cell>
          <cell r="C126" t="str">
            <v>$</v>
          </cell>
        </row>
        <row r="127">
          <cell r="A127">
            <v>127</v>
          </cell>
          <cell r="B127" t="str">
            <v>INFANT NUTRITION</v>
          </cell>
          <cell r="C127" t="str">
            <v>$</v>
          </cell>
          <cell r="D127">
            <v>950</v>
          </cell>
          <cell r="E127">
            <v>1317</v>
          </cell>
          <cell r="F127">
            <v>2042</v>
          </cell>
          <cell r="G127">
            <v>2484</v>
          </cell>
          <cell r="H127" t="str">
            <v>$</v>
          </cell>
          <cell r="I127">
            <v>2858.4</v>
          </cell>
          <cell r="J127">
            <v>3187.5</v>
          </cell>
          <cell r="K127">
            <v>3542.3999999999996</v>
          </cell>
        </row>
        <row r="128">
          <cell r="A128">
            <v>128</v>
          </cell>
          <cell r="C128" t="str">
            <v>U$S</v>
          </cell>
          <cell r="D128">
            <v>118.54255053656102</v>
          </cell>
          <cell r="E128">
            <v>138.63157894736841</v>
          </cell>
          <cell r="F128">
            <v>194.94033412887828</v>
          </cell>
          <cell r="G128">
            <v>218.75825627476883</v>
          </cell>
          <cell r="H128" t="str">
            <v>U$S</v>
          </cell>
          <cell r="I128">
            <v>240</v>
          </cell>
          <cell r="J128">
            <v>255</v>
          </cell>
          <cell r="K128">
            <v>270</v>
          </cell>
        </row>
        <row r="129">
          <cell r="A129">
            <v>129</v>
          </cell>
          <cell r="B129" t="str">
            <v>Bracafe</v>
          </cell>
          <cell r="C129" t="str">
            <v>$</v>
          </cell>
          <cell r="D129">
            <v>43161</v>
          </cell>
          <cell r="E129">
            <v>51883</v>
          </cell>
          <cell r="F129">
            <v>58856</v>
          </cell>
          <cell r="G129">
            <v>59931</v>
          </cell>
          <cell r="H129" t="str">
            <v>U$S</v>
          </cell>
          <cell r="I129">
            <v>5122</v>
          </cell>
          <cell r="J129">
            <v>5328</v>
          </cell>
          <cell r="K129">
            <v>5624</v>
          </cell>
        </row>
        <row r="130">
          <cell r="A130">
            <v>130</v>
          </cell>
          <cell r="B130" t="str">
            <v>Chana Soluble</v>
          </cell>
          <cell r="C130" t="str">
            <v>$</v>
          </cell>
          <cell r="D130">
            <v>2554</v>
          </cell>
          <cell r="E130">
            <v>2875</v>
          </cell>
          <cell r="F130">
            <v>3233</v>
          </cell>
          <cell r="G130">
            <v>3007</v>
          </cell>
          <cell r="H130" t="str">
            <v>U$S</v>
          </cell>
          <cell r="I130">
            <v>255</v>
          </cell>
          <cell r="J130">
            <v>270</v>
          </cell>
          <cell r="K130">
            <v>285</v>
          </cell>
        </row>
        <row r="131">
          <cell r="A131">
            <v>131</v>
          </cell>
          <cell r="B131" t="str">
            <v>Nescafe Local</v>
          </cell>
          <cell r="C131" t="str">
            <v>$</v>
          </cell>
          <cell r="F131">
            <v>880.94399999999996</v>
          </cell>
          <cell r="G131">
            <v>2467</v>
          </cell>
          <cell r="H131" t="str">
            <v>U$S</v>
          </cell>
        </row>
        <row r="132">
          <cell r="A132">
            <v>132</v>
          </cell>
          <cell r="B132" t="str">
            <v>Nescafe Importado</v>
          </cell>
          <cell r="C132" t="str">
            <v>$</v>
          </cell>
          <cell r="D132">
            <v>17183</v>
          </cell>
          <cell r="E132">
            <v>24381</v>
          </cell>
          <cell r="F132">
            <v>28681.647000000001</v>
          </cell>
          <cell r="G132">
            <v>28469</v>
          </cell>
          <cell r="H132" t="str">
            <v>U$S</v>
          </cell>
          <cell r="I132">
            <v>2700</v>
          </cell>
          <cell r="J132">
            <v>3045</v>
          </cell>
          <cell r="K132">
            <v>3410</v>
          </cell>
        </row>
        <row r="133">
          <cell r="A133">
            <v>133</v>
          </cell>
          <cell r="B133">
            <v>0</v>
          </cell>
          <cell r="C133" t="str">
            <v>$</v>
          </cell>
        </row>
        <row r="134">
          <cell r="A134">
            <v>134</v>
          </cell>
          <cell r="B134" t="str">
            <v>SOLUBLE COFFEE</v>
          </cell>
          <cell r="C134" t="str">
            <v>$</v>
          </cell>
          <cell r="D134">
            <v>62898</v>
          </cell>
          <cell r="E134">
            <v>79139</v>
          </cell>
          <cell r="F134">
            <v>91651.591</v>
          </cell>
          <cell r="G134">
            <v>93874</v>
          </cell>
          <cell r="H134" t="str">
            <v>$</v>
          </cell>
          <cell r="I134">
            <v>96197.07</v>
          </cell>
          <cell r="J134">
            <v>108037.5</v>
          </cell>
          <cell r="K134">
            <v>122265.28</v>
          </cell>
        </row>
        <row r="135">
          <cell r="A135">
            <v>135</v>
          </cell>
          <cell r="C135" t="str">
            <v>U$S</v>
          </cell>
          <cell r="D135">
            <v>7848.5150985774899</v>
          </cell>
          <cell r="E135">
            <v>8330.4210526315783</v>
          </cell>
          <cell r="F135">
            <v>8749.5552267303101</v>
          </cell>
          <cell r="G135">
            <v>8267.1950682518709</v>
          </cell>
          <cell r="H135" t="str">
            <v>U$S</v>
          </cell>
          <cell r="I135">
            <v>8077</v>
          </cell>
          <cell r="J135">
            <v>8643</v>
          </cell>
          <cell r="K135">
            <v>9319</v>
          </cell>
        </row>
        <row r="136">
          <cell r="A136">
            <v>136</v>
          </cell>
          <cell r="B136" t="str">
            <v>Amanecer</v>
          </cell>
          <cell r="C136" t="str">
            <v>$</v>
          </cell>
          <cell r="D136">
            <v>5495</v>
          </cell>
          <cell r="E136">
            <v>5725</v>
          </cell>
          <cell r="F136">
            <v>7086</v>
          </cell>
          <cell r="G136">
            <v>6959</v>
          </cell>
          <cell r="H136" t="str">
            <v>U$S</v>
          </cell>
          <cell r="I136">
            <v>588</v>
          </cell>
          <cell r="J136">
            <v>588</v>
          </cell>
          <cell r="K136">
            <v>588</v>
          </cell>
        </row>
        <row r="137">
          <cell r="A137">
            <v>137</v>
          </cell>
          <cell r="B137" t="str">
            <v>Mokambo</v>
          </cell>
          <cell r="C137" t="str">
            <v>$</v>
          </cell>
          <cell r="H137" t="str">
            <v>U$S</v>
          </cell>
        </row>
        <row r="138">
          <cell r="A138">
            <v>138</v>
          </cell>
          <cell r="B138" t="str">
            <v>Vascolet</v>
          </cell>
          <cell r="C138" t="str">
            <v>$</v>
          </cell>
          <cell r="D138">
            <v>16612</v>
          </cell>
          <cell r="E138">
            <v>18055</v>
          </cell>
          <cell r="F138">
            <v>19547</v>
          </cell>
          <cell r="G138">
            <v>20630</v>
          </cell>
          <cell r="H138" t="str">
            <v>U$S</v>
          </cell>
          <cell r="I138">
            <v>2492</v>
          </cell>
          <cell r="J138">
            <v>2515</v>
          </cell>
          <cell r="K138">
            <v>2525</v>
          </cell>
        </row>
        <row r="139">
          <cell r="A139">
            <v>139</v>
          </cell>
          <cell r="B139" t="str">
            <v>Nescao</v>
          </cell>
          <cell r="C139" t="str">
            <v>$</v>
          </cell>
          <cell r="D139">
            <v>1870</v>
          </cell>
          <cell r="E139">
            <v>3107</v>
          </cell>
          <cell r="F139">
            <v>3605</v>
          </cell>
          <cell r="G139">
            <v>4169</v>
          </cell>
          <cell r="H139" t="str">
            <v>U$S</v>
          </cell>
          <cell r="I139">
            <v>380</v>
          </cell>
          <cell r="J139">
            <v>408</v>
          </cell>
          <cell r="K139">
            <v>425</v>
          </cell>
        </row>
        <row r="140">
          <cell r="A140">
            <v>140</v>
          </cell>
          <cell r="B140" t="str">
            <v>Cocoa Copacabana</v>
          </cell>
          <cell r="C140" t="str">
            <v>$</v>
          </cell>
          <cell r="D140">
            <v>4370</v>
          </cell>
          <cell r="E140">
            <v>4826</v>
          </cell>
          <cell r="F140">
            <v>5895</v>
          </cell>
          <cell r="G140">
            <v>6402</v>
          </cell>
          <cell r="H140" t="str">
            <v>U$S</v>
          </cell>
        </row>
        <row r="141">
          <cell r="A141">
            <v>141</v>
          </cell>
          <cell r="B141" t="str">
            <v>Cocoa Aguila</v>
          </cell>
          <cell r="C141" t="str">
            <v>$</v>
          </cell>
          <cell r="H141" t="str">
            <v>U$S</v>
          </cell>
        </row>
        <row r="142">
          <cell r="A142">
            <v>142</v>
          </cell>
          <cell r="B142" t="str">
            <v>Cacao Copacabana</v>
          </cell>
          <cell r="C142" t="str">
            <v>$</v>
          </cell>
          <cell r="D142">
            <v>1057</v>
          </cell>
          <cell r="E142">
            <v>1255</v>
          </cell>
          <cell r="F142">
            <v>1406</v>
          </cell>
          <cell r="G142">
            <v>1624</v>
          </cell>
          <cell r="H142" t="str">
            <v>U$S</v>
          </cell>
        </row>
        <row r="143">
          <cell r="A143">
            <v>143</v>
          </cell>
          <cell r="B143">
            <v>0</v>
          </cell>
          <cell r="C143" t="str">
            <v>$</v>
          </cell>
        </row>
        <row r="144">
          <cell r="A144">
            <v>144</v>
          </cell>
          <cell r="B144" t="str">
            <v>OTHER BEVERAGES</v>
          </cell>
          <cell r="C144" t="str">
            <v>$</v>
          </cell>
          <cell r="D144">
            <v>29404</v>
          </cell>
          <cell r="E144">
            <v>32968</v>
          </cell>
          <cell r="F144">
            <v>37539</v>
          </cell>
          <cell r="G144">
            <v>39784</v>
          </cell>
          <cell r="H144" t="str">
            <v>$</v>
          </cell>
          <cell r="I144">
            <v>41208.6</v>
          </cell>
          <cell r="J144">
            <v>43887.5</v>
          </cell>
          <cell r="K144">
            <v>46418.559999999998</v>
          </cell>
        </row>
        <row r="145">
          <cell r="A145">
            <v>145</v>
          </cell>
          <cell r="C145" t="str">
            <v>U$S</v>
          </cell>
          <cell r="D145">
            <v>3669.0791115547795</v>
          </cell>
          <cell r="E145">
            <v>3470.3157894736842</v>
          </cell>
          <cell r="F145">
            <v>3583.675417661098</v>
          </cell>
          <cell r="G145">
            <v>3503.6547776309994</v>
          </cell>
          <cell r="H145" t="str">
            <v>U$S</v>
          </cell>
          <cell r="I145">
            <v>3460</v>
          </cell>
          <cell r="J145">
            <v>3511</v>
          </cell>
          <cell r="K145">
            <v>3538</v>
          </cell>
        </row>
        <row r="146">
          <cell r="A146">
            <v>146</v>
          </cell>
          <cell r="B146" t="str">
            <v>Alfajor</v>
          </cell>
          <cell r="C146" t="str">
            <v>$</v>
          </cell>
          <cell r="D146">
            <v>2961</v>
          </cell>
          <cell r="E146">
            <v>2986</v>
          </cell>
          <cell r="F146">
            <v>2745</v>
          </cell>
          <cell r="G146">
            <v>3330</v>
          </cell>
          <cell r="H146" t="str">
            <v>U$S</v>
          </cell>
          <cell r="I146">
            <v>325</v>
          </cell>
          <cell r="J146">
            <v>350</v>
          </cell>
          <cell r="K146">
            <v>375</v>
          </cell>
        </row>
        <row r="147">
          <cell r="A147">
            <v>147</v>
          </cell>
          <cell r="B147" t="str">
            <v>Galletitas</v>
          </cell>
          <cell r="C147" t="str">
            <v>$</v>
          </cell>
          <cell r="D147">
            <v>3051</v>
          </cell>
          <cell r="E147">
            <v>3660</v>
          </cell>
          <cell r="F147">
            <v>3049</v>
          </cell>
          <cell r="G147">
            <v>3503</v>
          </cell>
          <cell r="H147" t="str">
            <v>U$S</v>
          </cell>
          <cell r="I147">
            <v>231</v>
          </cell>
          <cell r="J147">
            <v>253</v>
          </cell>
          <cell r="K147">
            <v>264</v>
          </cell>
        </row>
        <row r="148">
          <cell r="A148">
            <v>148</v>
          </cell>
          <cell r="B148" t="str">
            <v>Chocolates</v>
          </cell>
          <cell r="C148" t="str">
            <v>$</v>
          </cell>
          <cell r="D148">
            <v>154</v>
          </cell>
          <cell r="E148">
            <v>108</v>
          </cell>
          <cell r="F148">
            <v>484</v>
          </cell>
          <cell r="G148">
            <v>831</v>
          </cell>
          <cell r="H148" t="str">
            <v>U$S</v>
          </cell>
          <cell r="I148">
            <v>84</v>
          </cell>
          <cell r="J148">
            <v>126</v>
          </cell>
          <cell r="K148">
            <v>168</v>
          </cell>
        </row>
        <row r="149">
          <cell r="A149">
            <v>149</v>
          </cell>
          <cell r="B149">
            <v>0</v>
          </cell>
          <cell r="C149" t="str">
            <v>$</v>
          </cell>
        </row>
        <row r="150">
          <cell r="A150">
            <v>150</v>
          </cell>
          <cell r="B150" t="str">
            <v>CHOCOLATE, CONFECT. AND BISCUITS</v>
          </cell>
          <cell r="C150" t="str">
            <v>$</v>
          </cell>
          <cell r="D150">
            <v>6166</v>
          </cell>
          <cell r="E150">
            <v>6754</v>
          </cell>
          <cell r="F150">
            <v>6278</v>
          </cell>
          <cell r="G150">
            <v>7664</v>
          </cell>
          <cell r="H150" t="str">
            <v>$</v>
          </cell>
          <cell r="I150">
            <v>7622.4</v>
          </cell>
          <cell r="J150">
            <v>9112.5</v>
          </cell>
          <cell r="K150">
            <v>10587.84</v>
          </cell>
        </row>
        <row r="151">
          <cell r="A151">
            <v>151</v>
          </cell>
          <cell r="C151" t="str">
            <v>U$S</v>
          </cell>
          <cell r="D151">
            <v>769.40354379835298</v>
          </cell>
          <cell r="E151">
            <v>710.9473684210526</v>
          </cell>
          <cell r="F151">
            <v>599.33174224343679</v>
          </cell>
          <cell r="G151">
            <v>674.94495816820779</v>
          </cell>
          <cell r="H151" t="str">
            <v>U$S</v>
          </cell>
          <cell r="I151">
            <v>640</v>
          </cell>
          <cell r="J151">
            <v>729</v>
          </cell>
          <cell r="K151">
            <v>807</v>
          </cell>
        </row>
        <row r="152">
          <cell r="A152">
            <v>152</v>
          </cell>
          <cell r="B152" t="str">
            <v>Caldos</v>
          </cell>
          <cell r="C152" t="str">
            <v>$</v>
          </cell>
          <cell r="D152">
            <v>1172</v>
          </cell>
          <cell r="E152">
            <v>167</v>
          </cell>
          <cell r="F152">
            <v>1877</v>
          </cell>
          <cell r="G152">
            <v>2671</v>
          </cell>
          <cell r="H152" t="str">
            <v>U$S</v>
          </cell>
        </row>
        <row r="153">
          <cell r="A153">
            <v>153</v>
          </cell>
          <cell r="B153" t="str">
            <v xml:space="preserve">Sopas </v>
          </cell>
          <cell r="C153" t="str">
            <v>$</v>
          </cell>
          <cell r="D153">
            <v>5270</v>
          </cell>
          <cell r="E153">
            <v>6079</v>
          </cell>
          <cell r="F153">
            <v>7564</v>
          </cell>
          <cell r="G153">
            <v>8379</v>
          </cell>
          <cell r="H153" t="str">
            <v>U$S</v>
          </cell>
          <cell r="I153">
            <v>1434</v>
          </cell>
          <cell r="J153">
            <v>1519</v>
          </cell>
          <cell r="K153">
            <v>1612</v>
          </cell>
        </row>
        <row r="154">
          <cell r="A154">
            <v>154</v>
          </cell>
          <cell r="B154" t="str">
            <v>Salsas</v>
          </cell>
          <cell r="C154" t="str">
            <v>$</v>
          </cell>
          <cell r="E154">
            <v>284</v>
          </cell>
          <cell r="F154">
            <v>458</v>
          </cell>
          <cell r="G154">
            <v>641</v>
          </cell>
          <cell r="H154" t="str">
            <v>U$S</v>
          </cell>
        </row>
        <row r="155">
          <cell r="A155">
            <v>155</v>
          </cell>
          <cell r="B155" t="str">
            <v>Pure de Papas</v>
          </cell>
          <cell r="C155" t="str">
            <v>$</v>
          </cell>
          <cell r="D155">
            <v>2974</v>
          </cell>
          <cell r="E155">
            <v>3417</v>
          </cell>
          <cell r="F155">
            <v>3702</v>
          </cell>
          <cell r="G155">
            <v>3868</v>
          </cell>
          <cell r="H155" t="str">
            <v>U$S</v>
          </cell>
        </row>
        <row r="156">
          <cell r="A156">
            <v>156</v>
          </cell>
          <cell r="B156">
            <v>0</v>
          </cell>
          <cell r="C156" t="str">
            <v>$</v>
          </cell>
        </row>
        <row r="157">
          <cell r="A157">
            <v>157</v>
          </cell>
          <cell r="B157" t="str">
            <v>CULINARY PRODUCTS</v>
          </cell>
          <cell r="C157" t="str">
            <v>$</v>
          </cell>
          <cell r="D157">
            <v>9416</v>
          </cell>
          <cell r="E157">
            <v>9947</v>
          </cell>
          <cell r="F157">
            <v>13601</v>
          </cell>
          <cell r="G157">
            <v>15559</v>
          </cell>
          <cell r="H157" t="str">
            <v>$</v>
          </cell>
          <cell r="I157">
            <v>17078.939999999999</v>
          </cell>
          <cell r="J157">
            <v>18987.5</v>
          </cell>
          <cell r="K157">
            <v>21149.439999999999</v>
          </cell>
        </row>
        <row r="158">
          <cell r="A158">
            <v>158</v>
          </cell>
          <cell r="C158" t="str">
            <v>U$S</v>
          </cell>
          <cell r="D158">
            <v>1174.9438482655355</v>
          </cell>
          <cell r="E158">
            <v>1047.0526315789473</v>
          </cell>
          <cell r="F158">
            <v>1298.4248210023866</v>
          </cell>
          <cell r="G158">
            <v>1370.2333773667988</v>
          </cell>
          <cell r="H158" t="str">
            <v>U$S</v>
          </cell>
          <cell r="I158">
            <v>1434</v>
          </cell>
          <cell r="J158">
            <v>1519</v>
          </cell>
          <cell r="K158">
            <v>1612</v>
          </cell>
        </row>
        <row r="159">
          <cell r="A159">
            <v>159</v>
          </cell>
          <cell r="B159">
            <v>0</v>
          </cell>
          <cell r="C159" t="str">
            <v>$</v>
          </cell>
          <cell r="H159" t="str">
            <v>U$S</v>
          </cell>
        </row>
        <row r="160">
          <cell r="A160">
            <v>160</v>
          </cell>
          <cell r="B160">
            <v>0</v>
          </cell>
          <cell r="C160" t="str">
            <v>$</v>
          </cell>
        </row>
        <row r="161">
          <cell r="A161">
            <v>161</v>
          </cell>
          <cell r="B161" t="str">
            <v>FROZEN FOODS</v>
          </cell>
          <cell r="C161" t="str">
            <v>$</v>
          </cell>
          <cell r="D161">
            <v>0</v>
          </cell>
          <cell r="E161">
            <v>0</v>
          </cell>
          <cell r="F161">
            <v>0</v>
          </cell>
          <cell r="G161">
            <v>0</v>
          </cell>
          <cell r="H161" t="str">
            <v>$</v>
          </cell>
          <cell r="I161">
            <v>0</v>
          </cell>
          <cell r="J161">
            <v>0</v>
          </cell>
          <cell r="K161">
            <v>0</v>
          </cell>
        </row>
        <row r="162">
          <cell r="A162">
            <v>162</v>
          </cell>
          <cell r="C162" t="str">
            <v>U$S</v>
          </cell>
          <cell r="D162">
            <v>0</v>
          </cell>
          <cell r="E162">
            <v>0</v>
          </cell>
          <cell r="F162">
            <v>0</v>
          </cell>
          <cell r="G162">
            <v>0</v>
          </cell>
          <cell r="H162" t="str">
            <v>U$S</v>
          </cell>
          <cell r="I162">
            <v>0</v>
          </cell>
          <cell r="J162">
            <v>0</v>
          </cell>
          <cell r="K162">
            <v>0</v>
          </cell>
        </row>
        <row r="163">
          <cell r="A163">
            <v>163</v>
          </cell>
          <cell r="B163" t="str">
            <v>Helado Impulsivo</v>
          </cell>
          <cell r="C163" t="str">
            <v>$</v>
          </cell>
          <cell r="D163">
            <v>5044</v>
          </cell>
          <cell r="E163">
            <v>12730</v>
          </cell>
          <cell r="F163">
            <v>17708</v>
          </cell>
          <cell r="G163">
            <v>22560</v>
          </cell>
          <cell r="H163" t="str">
            <v>U$S</v>
          </cell>
          <cell r="I163">
            <v>2664</v>
          </cell>
          <cell r="J163">
            <v>2812</v>
          </cell>
          <cell r="K163">
            <v>3034</v>
          </cell>
        </row>
        <row r="164">
          <cell r="A164">
            <v>164</v>
          </cell>
          <cell r="B164" t="str">
            <v>Helado Hogareño</v>
          </cell>
          <cell r="C164" t="str">
            <v>$</v>
          </cell>
          <cell r="D164">
            <v>1274</v>
          </cell>
          <cell r="E164">
            <v>4508</v>
          </cell>
          <cell r="F164">
            <v>5136</v>
          </cell>
          <cell r="G164">
            <v>6387</v>
          </cell>
          <cell r="H164" t="str">
            <v>U$S</v>
          </cell>
        </row>
        <row r="165">
          <cell r="A165">
            <v>165</v>
          </cell>
          <cell r="B165">
            <v>0</v>
          </cell>
          <cell r="C165" t="str">
            <v>$</v>
          </cell>
        </row>
        <row r="166">
          <cell r="A166">
            <v>166</v>
          </cell>
          <cell r="B166" t="str">
            <v>ICE CREAM</v>
          </cell>
          <cell r="C166" t="str">
            <v>$</v>
          </cell>
          <cell r="D166">
            <v>6318</v>
          </cell>
          <cell r="E166">
            <v>17238</v>
          </cell>
          <cell r="F166">
            <v>22844</v>
          </cell>
          <cell r="G166">
            <v>28947</v>
          </cell>
          <cell r="H166" t="str">
            <v>$</v>
          </cell>
          <cell r="I166">
            <v>31728.240000000002</v>
          </cell>
          <cell r="J166">
            <v>35150</v>
          </cell>
          <cell r="K166">
            <v>39806.079999999994</v>
          </cell>
        </row>
        <row r="167">
          <cell r="A167">
            <v>167</v>
          </cell>
          <cell r="C167" t="str">
            <v>U$S</v>
          </cell>
          <cell r="D167">
            <v>788.37035188420271</v>
          </cell>
          <cell r="E167">
            <v>1814.5263157894738</v>
          </cell>
          <cell r="F167">
            <v>2180.8114558472553</v>
          </cell>
          <cell r="G167">
            <v>2549.2734478203433</v>
          </cell>
          <cell r="H167" t="str">
            <v>U$S</v>
          </cell>
          <cell r="I167">
            <v>2664</v>
          </cell>
          <cell r="J167">
            <v>2812</v>
          </cell>
          <cell r="K167">
            <v>3034</v>
          </cell>
        </row>
        <row r="168">
          <cell r="A168">
            <v>168</v>
          </cell>
          <cell r="B168">
            <v>0</v>
          </cell>
          <cell r="C168" t="str">
            <v>$</v>
          </cell>
          <cell r="H168" t="str">
            <v>U$S</v>
          </cell>
        </row>
        <row r="169">
          <cell r="A169">
            <v>169</v>
          </cell>
          <cell r="B169">
            <v>0</v>
          </cell>
          <cell r="C169" t="str">
            <v>$</v>
          </cell>
        </row>
        <row r="170">
          <cell r="A170">
            <v>170</v>
          </cell>
          <cell r="B170" t="str">
            <v>DAIRY CHILLED PRODUCTS</v>
          </cell>
          <cell r="C170" t="str">
            <v>$</v>
          </cell>
          <cell r="D170">
            <v>0</v>
          </cell>
          <cell r="E170">
            <v>0</v>
          </cell>
          <cell r="F170">
            <v>0</v>
          </cell>
          <cell r="G170">
            <v>0</v>
          </cell>
          <cell r="H170" t="str">
            <v>$</v>
          </cell>
          <cell r="I170">
            <v>0</v>
          </cell>
          <cell r="J170">
            <v>0</v>
          </cell>
          <cell r="K170">
            <v>0</v>
          </cell>
        </row>
        <row r="171">
          <cell r="A171">
            <v>171</v>
          </cell>
          <cell r="C171" t="str">
            <v>U$S</v>
          </cell>
          <cell r="D171">
            <v>0</v>
          </cell>
          <cell r="E171">
            <v>0</v>
          </cell>
          <cell r="F171">
            <v>0</v>
          </cell>
          <cell r="G171">
            <v>0</v>
          </cell>
          <cell r="H171" t="str">
            <v>U$S</v>
          </cell>
          <cell r="I171">
            <v>0</v>
          </cell>
          <cell r="J171">
            <v>0</v>
          </cell>
          <cell r="K171">
            <v>0</v>
          </cell>
        </row>
        <row r="172">
          <cell r="A172">
            <v>172</v>
          </cell>
          <cell r="B172">
            <v>0</v>
          </cell>
          <cell r="C172" t="str">
            <v>$</v>
          </cell>
          <cell r="H172" t="str">
            <v>U$S</v>
          </cell>
        </row>
        <row r="173">
          <cell r="A173">
            <v>173</v>
          </cell>
          <cell r="B173">
            <v>0</v>
          </cell>
          <cell r="C173" t="str">
            <v>$</v>
          </cell>
        </row>
        <row r="174">
          <cell r="A174">
            <v>174</v>
          </cell>
          <cell r="B174" t="str">
            <v>LIQUID DRINKS</v>
          </cell>
          <cell r="C174" t="str">
            <v>$</v>
          </cell>
          <cell r="D174">
            <v>0</v>
          </cell>
          <cell r="E174">
            <v>0</v>
          </cell>
          <cell r="F174">
            <v>0</v>
          </cell>
          <cell r="G174">
            <v>0</v>
          </cell>
          <cell r="H174" t="str">
            <v>$</v>
          </cell>
          <cell r="I174">
            <v>0</v>
          </cell>
          <cell r="J174">
            <v>0</v>
          </cell>
          <cell r="K174">
            <v>0</v>
          </cell>
        </row>
        <row r="175">
          <cell r="A175">
            <v>175</v>
          </cell>
          <cell r="C175" t="str">
            <v>U$S</v>
          </cell>
          <cell r="D175">
            <v>0</v>
          </cell>
          <cell r="E175">
            <v>0</v>
          </cell>
          <cell r="F175">
            <v>0</v>
          </cell>
          <cell r="G175">
            <v>0</v>
          </cell>
          <cell r="H175" t="str">
            <v>U$S</v>
          </cell>
          <cell r="I175">
            <v>0</v>
          </cell>
          <cell r="J175">
            <v>0</v>
          </cell>
          <cell r="K175">
            <v>0</v>
          </cell>
        </row>
        <row r="176">
          <cell r="A176">
            <v>176</v>
          </cell>
          <cell r="B176">
            <v>0</v>
          </cell>
          <cell r="C176" t="str">
            <v>$</v>
          </cell>
          <cell r="H176" t="str">
            <v>U$S</v>
          </cell>
        </row>
        <row r="177">
          <cell r="A177">
            <v>177</v>
          </cell>
          <cell r="B177">
            <v>0</v>
          </cell>
          <cell r="C177" t="str">
            <v>$</v>
          </cell>
        </row>
        <row r="178">
          <cell r="A178">
            <v>178</v>
          </cell>
          <cell r="B178" t="str">
            <v>PHARMA &amp; DERMA PRODUCTS</v>
          </cell>
          <cell r="C178" t="str">
            <v>$</v>
          </cell>
          <cell r="D178">
            <v>0</v>
          </cell>
          <cell r="E178">
            <v>0</v>
          </cell>
          <cell r="F178">
            <v>0</v>
          </cell>
          <cell r="G178">
            <v>0</v>
          </cell>
          <cell r="H178" t="str">
            <v>$</v>
          </cell>
          <cell r="I178">
            <v>0</v>
          </cell>
          <cell r="J178">
            <v>0</v>
          </cell>
          <cell r="K178">
            <v>0</v>
          </cell>
        </row>
        <row r="179">
          <cell r="A179">
            <v>179</v>
          </cell>
          <cell r="C179" t="str">
            <v>U$S</v>
          </cell>
          <cell r="D179">
            <v>0</v>
          </cell>
          <cell r="E179">
            <v>0</v>
          </cell>
          <cell r="F179">
            <v>0</v>
          </cell>
          <cell r="G179">
            <v>0</v>
          </cell>
          <cell r="H179" t="str">
            <v>U$S</v>
          </cell>
          <cell r="I179">
            <v>0</v>
          </cell>
          <cell r="J179">
            <v>0</v>
          </cell>
          <cell r="K179">
            <v>0</v>
          </cell>
        </row>
        <row r="180">
          <cell r="A180">
            <v>180</v>
          </cell>
          <cell r="B180" t="str">
            <v>Dog</v>
          </cell>
          <cell r="C180" t="str">
            <v>$</v>
          </cell>
          <cell r="G180">
            <v>1485</v>
          </cell>
          <cell r="H180" t="str">
            <v>U$S</v>
          </cell>
          <cell r="I180">
            <v>228</v>
          </cell>
          <cell r="J180">
            <v>304</v>
          </cell>
          <cell r="K180">
            <v>418</v>
          </cell>
        </row>
        <row r="181">
          <cell r="A181">
            <v>181</v>
          </cell>
          <cell r="B181" t="str">
            <v>Cat</v>
          </cell>
          <cell r="C181" t="str">
            <v>$</v>
          </cell>
          <cell r="H181" t="str">
            <v>U$S</v>
          </cell>
        </row>
        <row r="182">
          <cell r="A182">
            <v>182</v>
          </cell>
          <cell r="B182">
            <v>0</v>
          </cell>
          <cell r="C182" t="str">
            <v>$</v>
          </cell>
        </row>
        <row r="183">
          <cell r="A183">
            <v>183</v>
          </cell>
          <cell r="B183" t="str">
            <v>PET FOOD</v>
          </cell>
          <cell r="C183" t="str">
            <v>$</v>
          </cell>
          <cell r="D183">
            <v>0</v>
          </cell>
          <cell r="E183">
            <v>0</v>
          </cell>
          <cell r="F183">
            <v>0</v>
          </cell>
          <cell r="G183">
            <v>1485</v>
          </cell>
          <cell r="H183" t="str">
            <v>$</v>
          </cell>
          <cell r="I183">
            <v>2715.48</v>
          </cell>
          <cell r="J183">
            <v>3800</v>
          </cell>
          <cell r="K183">
            <v>5484.16</v>
          </cell>
        </row>
        <row r="184">
          <cell r="A184">
            <v>184</v>
          </cell>
          <cell r="C184" t="str">
            <v>U$S</v>
          </cell>
          <cell r="D184">
            <v>0</v>
          </cell>
          <cell r="E184">
            <v>0</v>
          </cell>
          <cell r="F184">
            <v>0</v>
          </cell>
          <cell r="G184">
            <v>130.77939233817702</v>
          </cell>
          <cell r="H184" t="str">
            <v>U$S</v>
          </cell>
          <cell r="I184">
            <v>228</v>
          </cell>
          <cell r="J184">
            <v>304</v>
          </cell>
          <cell r="K184">
            <v>418</v>
          </cell>
        </row>
        <row r="185">
          <cell r="A185">
            <v>185</v>
          </cell>
          <cell r="B185" t="str">
            <v>Cereales Desayuno</v>
          </cell>
          <cell r="C185" t="str">
            <v>$</v>
          </cell>
          <cell r="D185">
            <v>856</v>
          </cell>
          <cell r="E185">
            <v>2646</v>
          </cell>
          <cell r="F185">
            <v>4258</v>
          </cell>
          <cell r="G185">
            <v>4740</v>
          </cell>
          <cell r="H185" t="str">
            <v>U$S</v>
          </cell>
          <cell r="I185">
            <v>455</v>
          </cell>
          <cell r="J185">
            <v>490</v>
          </cell>
          <cell r="K185">
            <v>525</v>
          </cell>
        </row>
        <row r="186">
          <cell r="A186">
            <v>186</v>
          </cell>
          <cell r="B186">
            <v>0</v>
          </cell>
          <cell r="C186" t="str">
            <v>$</v>
          </cell>
        </row>
        <row r="187">
          <cell r="A187">
            <v>187</v>
          </cell>
          <cell r="B187" t="str">
            <v>ADULT NUTRITION</v>
          </cell>
          <cell r="C187" t="str">
            <v>$</v>
          </cell>
          <cell r="D187">
            <v>856</v>
          </cell>
          <cell r="E187">
            <v>2646</v>
          </cell>
          <cell r="F187">
            <v>4258</v>
          </cell>
          <cell r="G187">
            <v>4740</v>
          </cell>
          <cell r="H187" t="str">
            <v>$</v>
          </cell>
          <cell r="I187">
            <v>5419.05</v>
          </cell>
          <cell r="J187">
            <v>6125</v>
          </cell>
          <cell r="K187">
            <v>6888</v>
          </cell>
        </row>
        <row r="188">
          <cell r="A188">
            <v>188</v>
          </cell>
          <cell r="C188" t="str">
            <v>U$S</v>
          </cell>
          <cell r="D188">
            <v>106.81307711504867</v>
          </cell>
          <cell r="E188">
            <v>278.5263157894737</v>
          </cell>
          <cell r="F188">
            <v>406.49164677804299</v>
          </cell>
          <cell r="G188">
            <v>417.43725231175694</v>
          </cell>
          <cell r="H188" t="str">
            <v>U$S</v>
          </cell>
          <cell r="I188">
            <v>455</v>
          </cell>
          <cell r="J188">
            <v>490</v>
          </cell>
          <cell r="K188">
            <v>525</v>
          </cell>
        </row>
        <row r="189">
          <cell r="A189">
            <v>189</v>
          </cell>
          <cell r="B189" t="str">
            <v>Café Express</v>
          </cell>
          <cell r="C189" t="str">
            <v>$</v>
          </cell>
          <cell r="D189">
            <v>4075</v>
          </cell>
          <cell r="E189">
            <v>4700</v>
          </cell>
          <cell r="F189">
            <v>5623</v>
          </cell>
          <cell r="G189">
            <v>5283</v>
          </cell>
          <cell r="H189" t="str">
            <v>U$S</v>
          </cell>
        </row>
        <row r="190">
          <cell r="A190">
            <v>190</v>
          </cell>
          <cell r="B190" t="str">
            <v>Molido El Chana</v>
          </cell>
          <cell r="C190" t="str">
            <v>$</v>
          </cell>
          <cell r="D190">
            <v>20451</v>
          </cell>
          <cell r="E190">
            <v>24820</v>
          </cell>
          <cell r="F190">
            <v>33861</v>
          </cell>
          <cell r="G190">
            <v>30507</v>
          </cell>
          <cell r="H190" t="str">
            <v>U$S</v>
          </cell>
          <cell r="I190">
            <v>3045</v>
          </cell>
          <cell r="J190">
            <v>2970</v>
          </cell>
          <cell r="K190">
            <v>3102</v>
          </cell>
        </row>
        <row r="191">
          <cell r="A191">
            <v>191</v>
          </cell>
          <cell r="B191" t="str">
            <v>Molido Aguila</v>
          </cell>
          <cell r="C191" t="str">
            <v>$</v>
          </cell>
          <cell r="G191">
            <v>6519</v>
          </cell>
          <cell r="H191" t="str">
            <v>U$S</v>
          </cell>
          <cell r="I191">
            <v>660</v>
          </cell>
          <cell r="J191">
            <v>728</v>
          </cell>
          <cell r="K191">
            <v>832</v>
          </cell>
        </row>
        <row r="192">
          <cell r="A192">
            <v>192</v>
          </cell>
          <cell r="B192">
            <v>0</v>
          </cell>
          <cell r="C192" t="str">
            <v>$</v>
          </cell>
        </row>
        <row r="193">
          <cell r="A193">
            <v>193</v>
          </cell>
          <cell r="B193" t="str">
            <v>ROAST &amp; GROUND COFFEE</v>
          </cell>
          <cell r="C193" t="str">
            <v>$</v>
          </cell>
          <cell r="D193">
            <v>24526</v>
          </cell>
          <cell r="E193">
            <v>29520</v>
          </cell>
          <cell r="F193">
            <v>39484</v>
          </cell>
          <cell r="G193">
            <v>42309</v>
          </cell>
          <cell r="H193" t="str">
            <v>$</v>
          </cell>
          <cell r="I193">
            <v>44126.55</v>
          </cell>
          <cell r="J193">
            <v>46225</v>
          </cell>
          <cell r="K193">
            <v>51614.079999999994</v>
          </cell>
        </row>
        <row r="194">
          <cell r="A194">
            <v>194</v>
          </cell>
          <cell r="C194" t="str">
            <v>U$S</v>
          </cell>
          <cell r="D194">
            <v>3060.3943099575745</v>
          </cell>
          <cell r="E194">
            <v>3107.3684210526317</v>
          </cell>
          <cell r="F194">
            <v>3769.3556085918854</v>
          </cell>
          <cell r="G194">
            <v>3726.0237780713342</v>
          </cell>
          <cell r="H194" t="str">
            <v>U$S</v>
          </cell>
          <cell r="I194">
            <v>3705</v>
          </cell>
          <cell r="J194">
            <v>3698</v>
          </cell>
          <cell r="K194">
            <v>3934</v>
          </cell>
        </row>
        <row r="195">
          <cell r="A195">
            <v>195</v>
          </cell>
          <cell r="B195">
            <v>0</v>
          </cell>
          <cell r="C195" t="str">
            <v>$</v>
          </cell>
          <cell r="H195" t="str">
            <v>U$S</v>
          </cell>
        </row>
        <row r="196">
          <cell r="A196">
            <v>196</v>
          </cell>
          <cell r="B196">
            <v>0</v>
          </cell>
          <cell r="C196" t="str">
            <v>$</v>
          </cell>
        </row>
        <row r="197">
          <cell r="A197">
            <v>197</v>
          </cell>
          <cell r="B197" t="str">
            <v>CULINARY CHILLED PRODUCTS</v>
          </cell>
          <cell r="C197" t="str">
            <v>$</v>
          </cell>
          <cell r="D197">
            <v>0</v>
          </cell>
          <cell r="E197">
            <v>0</v>
          </cell>
          <cell r="F197">
            <v>0</v>
          </cell>
          <cell r="G197">
            <v>0</v>
          </cell>
          <cell r="H197" t="str">
            <v>$</v>
          </cell>
          <cell r="I197">
            <v>0</v>
          </cell>
          <cell r="J197">
            <v>0</v>
          </cell>
          <cell r="K197">
            <v>0</v>
          </cell>
        </row>
        <row r="198">
          <cell r="A198">
            <v>198</v>
          </cell>
          <cell r="C198" t="str">
            <v>U$S</v>
          </cell>
          <cell r="D198">
            <v>0</v>
          </cell>
          <cell r="E198">
            <v>0</v>
          </cell>
          <cell r="F198">
            <v>0</v>
          </cell>
          <cell r="G198">
            <v>0</v>
          </cell>
          <cell r="H198" t="str">
            <v>U$S</v>
          </cell>
          <cell r="I198">
            <v>0</v>
          </cell>
          <cell r="J198">
            <v>0</v>
          </cell>
          <cell r="K198">
            <v>0</v>
          </cell>
        </row>
        <row r="199">
          <cell r="A199">
            <v>199</v>
          </cell>
          <cell r="B199" t="str">
            <v>Azucar</v>
          </cell>
          <cell r="C199" t="str">
            <v>$</v>
          </cell>
          <cell r="D199">
            <v>260</v>
          </cell>
          <cell r="E199">
            <v>323</v>
          </cell>
          <cell r="F199">
            <v>386</v>
          </cell>
          <cell r="G199">
            <v>429</v>
          </cell>
          <cell r="H199" t="str">
            <v>U$S</v>
          </cell>
          <cell r="I199">
            <v>36</v>
          </cell>
          <cell r="J199">
            <v>36</v>
          </cell>
          <cell r="K199">
            <v>36</v>
          </cell>
        </row>
        <row r="200">
          <cell r="A200">
            <v>200</v>
          </cell>
          <cell r="B200" t="str">
            <v xml:space="preserve">Te </v>
          </cell>
          <cell r="C200" t="str">
            <v>$</v>
          </cell>
          <cell r="D200">
            <v>142</v>
          </cell>
          <cell r="E200">
            <v>80</v>
          </cell>
          <cell r="F200">
            <v>137</v>
          </cell>
          <cell r="H200" t="str">
            <v>U$S</v>
          </cell>
        </row>
        <row r="201">
          <cell r="A201">
            <v>201</v>
          </cell>
          <cell r="B201">
            <v>0</v>
          </cell>
          <cell r="C201" t="str">
            <v>$</v>
          </cell>
        </row>
        <row r="202">
          <cell r="A202">
            <v>202</v>
          </cell>
          <cell r="B202" t="str">
            <v>SUBSIDIARY PROD/ACTIVITIES</v>
          </cell>
          <cell r="C202" t="str">
            <v>$</v>
          </cell>
          <cell r="D202">
            <v>402</v>
          </cell>
          <cell r="E202">
            <v>403</v>
          </cell>
          <cell r="F202">
            <v>523</v>
          </cell>
          <cell r="G202">
            <v>429</v>
          </cell>
          <cell r="H202" t="str">
            <v>$</v>
          </cell>
          <cell r="I202">
            <v>428.76</v>
          </cell>
          <cell r="J202">
            <v>450</v>
          </cell>
          <cell r="K202">
            <v>472.32</v>
          </cell>
        </row>
        <row r="203">
          <cell r="A203">
            <v>203</v>
          </cell>
          <cell r="C203" t="str">
            <v>U$S</v>
          </cell>
          <cell r="D203">
            <v>50.162216121786876</v>
          </cell>
          <cell r="E203">
            <v>42.421052631578945</v>
          </cell>
          <cell r="F203">
            <v>49.928400954653938</v>
          </cell>
          <cell r="G203">
            <v>37.780713342140025</v>
          </cell>
          <cell r="H203" t="str">
            <v>U$S</v>
          </cell>
          <cell r="I203">
            <v>36</v>
          </cell>
          <cell r="J203">
            <v>36</v>
          </cell>
          <cell r="K203">
            <v>36</v>
          </cell>
        </row>
        <row r="204">
          <cell r="A204">
            <v>204</v>
          </cell>
          <cell r="B204" t="str">
            <v>Nescafe Exportado</v>
          </cell>
          <cell r="C204" t="str">
            <v>$</v>
          </cell>
          <cell r="F204">
            <v>2161</v>
          </cell>
          <cell r="G204">
            <v>2470</v>
          </cell>
          <cell r="H204" t="str">
            <v>U$S</v>
          </cell>
          <cell r="I204">
            <v>306</v>
          </cell>
          <cell r="J204">
            <v>324</v>
          </cell>
          <cell r="K204">
            <v>342</v>
          </cell>
        </row>
        <row r="205">
          <cell r="A205">
            <v>205</v>
          </cell>
          <cell r="B205" t="str">
            <v>Amanecer Export.Afiliadas</v>
          </cell>
          <cell r="C205" t="str">
            <v>$</v>
          </cell>
          <cell r="D205">
            <v>2550</v>
          </cell>
          <cell r="E205">
            <v>4007</v>
          </cell>
          <cell r="F205">
            <v>2339</v>
          </cell>
          <cell r="G205">
            <v>2216</v>
          </cell>
          <cell r="H205" t="str">
            <v>U$S</v>
          </cell>
          <cell r="I205">
            <v>251</v>
          </cell>
          <cell r="J205">
            <v>276</v>
          </cell>
          <cell r="K205">
            <v>287</v>
          </cell>
        </row>
        <row r="206">
          <cell r="A206">
            <v>206</v>
          </cell>
        </row>
        <row r="207">
          <cell r="A207">
            <v>207</v>
          </cell>
          <cell r="B207" t="str">
            <v>Exportacion a Afiliadas</v>
          </cell>
          <cell r="C207" t="str">
            <v>$</v>
          </cell>
          <cell r="D207">
            <v>2550</v>
          </cell>
          <cell r="E207">
            <v>4007</v>
          </cell>
          <cell r="F207">
            <v>4500</v>
          </cell>
          <cell r="G207">
            <v>4686</v>
          </cell>
          <cell r="H207" t="str">
            <v>$</v>
          </cell>
          <cell r="I207">
            <v>6633.87</v>
          </cell>
          <cell r="J207">
            <v>7500</v>
          </cell>
          <cell r="K207">
            <v>8252.48</v>
          </cell>
        </row>
        <row r="208">
          <cell r="A208">
            <v>208</v>
          </cell>
          <cell r="C208" t="str">
            <v>U$S</v>
          </cell>
          <cell r="D208">
            <v>318.19316196655853</v>
          </cell>
          <cell r="E208">
            <v>421.78947368421052</v>
          </cell>
          <cell r="F208">
            <v>429.59427207637231</v>
          </cell>
          <cell r="G208">
            <v>412.68163804491411</v>
          </cell>
          <cell r="H208" t="str">
            <v>U$S</v>
          </cell>
          <cell r="I208">
            <v>557</v>
          </cell>
          <cell r="J208">
            <v>600</v>
          </cell>
          <cell r="K208">
            <v>629</v>
          </cell>
        </row>
        <row r="209">
          <cell r="A209">
            <v>209</v>
          </cell>
          <cell r="B209" t="str">
            <v>Cebada Export.3os</v>
          </cell>
          <cell r="C209" t="str">
            <v>$</v>
          </cell>
          <cell r="F209">
            <v>464</v>
          </cell>
          <cell r="G209">
            <v>884</v>
          </cell>
          <cell r="H209" t="str">
            <v>U$S</v>
          </cell>
        </row>
        <row r="210">
          <cell r="A210">
            <v>210</v>
          </cell>
        </row>
        <row r="211">
          <cell r="A211">
            <v>211</v>
          </cell>
          <cell r="B211" t="str">
            <v>Exportacion a Terceros</v>
          </cell>
          <cell r="C211" t="str">
            <v>$</v>
          </cell>
          <cell r="D211">
            <v>0</v>
          </cell>
          <cell r="E211">
            <v>0</v>
          </cell>
          <cell r="F211">
            <v>464</v>
          </cell>
          <cell r="G211">
            <v>884</v>
          </cell>
          <cell r="H211" t="str">
            <v>$</v>
          </cell>
          <cell r="I211">
            <v>0</v>
          </cell>
          <cell r="J211">
            <v>0</v>
          </cell>
          <cell r="K211">
            <v>0</v>
          </cell>
        </row>
        <row r="212">
          <cell r="A212">
            <v>212</v>
          </cell>
          <cell r="C212" t="str">
            <v>U$S</v>
          </cell>
          <cell r="D212">
            <v>0</v>
          </cell>
          <cell r="E212">
            <v>0</v>
          </cell>
          <cell r="F212">
            <v>44.295942720763726</v>
          </cell>
          <cell r="G212">
            <v>77.851166886833994</v>
          </cell>
          <cell r="H212" t="str">
            <v>U$S</v>
          </cell>
          <cell r="I212">
            <v>0</v>
          </cell>
          <cell r="J212">
            <v>0</v>
          </cell>
          <cell r="K212">
            <v>0</v>
          </cell>
        </row>
        <row r="213">
          <cell r="A213">
            <v>213</v>
          </cell>
        </row>
        <row r="214">
          <cell r="A214">
            <v>214</v>
          </cell>
          <cell r="B214" t="str">
            <v>REGALIAS</v>
          </cell>
          <cell r="C214" t="str">
            <v>$</v>
          </cell>
          <cell r="D214">
            <v>4463.1961000000001</v>
          </cell>
          <cell r="E214">
            <v>5169.33</v>
          </cell>
          <cell r="F214">
            <v>6072.2672000000002</v>
          </cell>
          <cell r="G214">
            <v>6305.1450000000004</v>
          </cell>
          <cell r="H214" t="str">
            <v>$</v>
          </cell>
          <cell r="I214">
            <v>10467.67518</v>
          </cell>
          <cell r="J214">
            <v>11498.61875</v>
          </cell>
          <cell r="K214">
            <v>12353.988799999999</v>
          </cell>
        </row>
        <row r="215">
          <cell r="A215">
            <v>215</v>
          </cell>
          <cell r="C215" t="str">
            <v>U$S</v>
          </cell>
          <cell r="D215">
            <v>556.92489393561277</v>
          </cell>
          <cell r="E215">
            <v>544.14</v>
          </cell>
          <cell r="F215">
            <v>579.69137947494039</v>
          </cell>
          <cell r="G215">
            <v>555.27476882430653</v>
          </cell>
          <cell r="H215" t="str">
            <v>U$S</v>
          </cell>
          <cell r="I215">
            <v>878.89800000000002</v>
          </cell>
          <cell r="J215">
            <v>919.8895</v>
          </cell>
          <cell r="K215">
            <v>941.61500000000001</v>
          </cell>
        </row>
        <row r="216">
          <cell r="A216">
            <v>216</v>
          </cell>
          <cell r="B216" t="str">
            <v>Leche Condensada</v>
          </cell>
          <cell r="C216" t="str">
            <v>%</v>
          </cell>
          <cell r="H216" t="str">
            <v>%</v>
          </cell>
          <cell r="I216">
            <v>5</v>
          </cell>
          <cell r="J216">
            <v>5</v>
          </cell>
          <cell r="K216">
            <v>5</v>
          </cell>
        </row>
        <row r="217">
          <cell r="A217">
            <v>217</v>
          </cell>
          <cell r="B217" t="str">
            <v>Leches en Polvo</v>
          </cell>
          <cell r="C217" t="str">
            <v>%</v>
          </cell>
          <cell r="H217" t="str">
            <v>%</v>
          </cell>
          <cell r="I217">
            <v>5</v>
          </cell>
          <cell r="J217">
            <v>5</v>
          </cell>
          <cell r="K217">
            <v>5</v>
          </cell>
        </row>
        <row r="218">
          <cell r="A218">
            <v>218</v>
          </cell>
          <cell r="B218">
            <v>0</v>
          </cell>
        </row>
        <row r="219">
          <cell r="A219">
            <v>219</v>
          </cell>
          <cell r="B219" t="str">
            <v>MILK PRODUCTS</v>
          </cell>
          <cell r="C219" t="str">
            <v>$</v>
          </cell>
          <cell r="D219">
            <v>0</v>
          </cell>
          <cell r="E219">
            <v>0</v>
          </cell>
          <cell r="F219">
            <v>0</v>
          </cell>
          <cell r="G219">
            <v>0</v>
          </cell>
          <cell r="H219" t="str">
            <v>$</v>
          </cell>
          <cell r="I219">
            <v>94.684500000000014</v>
          </cell>
          <cell r="J219">
            <v>109.375</v>
          </cell>
          <cell r="K219">
            <v>122.01599999999999</v>
          </cell>
        </row>
        <row r="220">
          <cell r="A220">
            <v>220</v>
          </cell>
          <cell r="C220" t="str">
            <v>U$S</v>
          </cell>
          <cell r="D220">
            <v>0</v>
          </cell>
          <cell r="E220">
            <v>0</v>
          </cell>
          <cell r="F220">
            <v>0</v>
          </cell>
          <cell r="G220">
            <v>0</v>
          </cell>
          <cell r="H220" t="str">
            <v>U$S</v>
          </cell>
          <cell r="I220">
            <v>7.9500000000000011</v>
          </cell>
          <cell r="J220">
            <v>8.75</v>
          </cell>
          <cell r="K220">
            <v>9.3000000000000007</v>
          </cell>
        </row>
        <row r="221">
          <cell r="A221">
            <v>221</v>
          </cell>
          <cell r="B221" t="str">
            <v>Nan</v>
          </cell>
          <cell r="C221" t="str">
            <v>%</v>
          </cell>
          <cell r="H221" t="str">
            <v>%</v>
          </cell>
          <cell r="I221">
            <v>5</v>
          </cell>
          <cell r="J221">
            <v>5</v>
          </cell>
          <cell r="K221">
            <v>5</v>
          </cell>
        </row>
        <row r="222">
          <cell r="A222">
            <v>222</v>
          </cell>
          <cell r="B222" t="str">
            <v>Nestum</v>
          </cell>
          <cell r="C222" t="str">
            <v>%</v>
          </cell>
          <cell r="H222" t="str">
            <v>%</v>
          </cell>
          <cell r="I222">
            <v>5</v>
          </cell>
          <cell r="J222">
            <v>5</v>
          </cell>
          <cell r="K222">
            <v>5</v>
          </cell>
        </row>
        <row r="223">
          <cell r="A223">
            <v>223</v>
          </cell>
          <cell r="B223">
            <v>0</v>
          </cell>
          <cell r="C223" t="str">
            <v>$</v>
          </cell>
          <cell r="H223" t="str">
            <v>$</v>
          </cell>
        </row>
        <row r="224">
          <cell r="A224">
            <v>224</v>
          </cell>
          <cell r="B224" t="str">
            <v>INFANT NUTRITION</v>
          </cell>
          <cell r="C224" t="str">
            <v>$</v>
          </cell>
          <cell r="D224">
            <v>0</v>
          </cell>
          <cell r="E224">
            <v>0</v>
          </cell>
          <cell r="F224">
            <v>0</v>
          </cell>
          <cell r="G224">
            <v>0</v>
          </cell>
          <cell r="H224" t="str">
            <v>$</v>
          </cell>
          <cell r="I224">
            <v>142.91999999999999</v>
          </cell>
          <cell r="J224">
            <v>159.375</v>
          </cell>
          <cell r="K224">
            <v>177.12</v>
          </cell>
        </row>
        <row r="225">
          <cell r="A225">
            <v>225</v>
          </cell>
          <cell r="C225" t="str">
            <v>U$S</v>
          </cell>
          <cell r="D225">
            <v>0</v>
          </cell>
          <cell r="E225">
            <v>0</v>
          </cell>
          <cell r="F225">
            <v>0</v>
          </cell>
          <cell r="G225">
            <v>0</v>
          </cell>
          <cell r="H225" t="str">
            <v>U$S</v>
          </cell>
          <cell r="I225">
            <v>11.999999999999998</v>
          </cell>
          <cell r="J225">
            <v>12.75</v>
          </cell>
          <cell r="K225">
            <v>13.500000000000002</v>
          </cell>
        </row>
        <row r="226">
          <cell r="A226">
            <v>226</v>
          </cell>
          <cell r="B226" t="str">
            <v>Bracafe</v>
          </cell>
          <cell r="C226" t="str">
            <v>%</v>
          </cell>
          <cell r="D226">
            <v>5.01</v>
          </cell>
          <cell r="E226">
            <v>5</v>
          </cell>
          <cell r="F226">
            <v>5</v>
          </cell>
          <cell r="G226">
            <v>5</v>
          </cell>
          <cell r="H226" t="str">
            <v>%</v>
          </cell>
          <cell r="I226">
            <v>5</v>
          </cell>
          <cell r="J226">
            <v>5</v>
          </cell>
          <cell r="K226">
            <v>5</v>
          </cell>
        </row>
        <row r="227">
          <cell r="A227">
            <v>227</v>
          </cell>
          <cell r="B227" t="str">
            <v>Chana Soluble</v>
          </cell>
          <cell r="C227" t="str">
            <v>%</v>
          </cell>
          <cell r="D227">
            <v>5</v>
          </cell>
          <cell r="E227">
            <v>5</v>
          </cell>
          <cell r="F227">
            <v>5</v>
          </cell>
          <cell r="G227">
            <v>5</v>
          </cell>
          <cell r="H227" t="str">
            <v>%</v>
          </cell>
          <cell r="I227">
            <v>5</v>
          </cell>
          <cell r="J227">
            <v>5</v>
          </cell>
          <cell r="K227">
            <v>5</v>
          </cell>
        </row>
        <row r="228">
          <cell r="A228">
            <v>228</v>
          </cell>
          <cell r="B228" t="str">
            <v>Nescafe Local</v>
          </cell>
          <cell r="C228" t="str">
            <v>%</v>
          </cell>
          <cell r="D228">
            <v>5</v>
          </cell>
          <cell r="E228">
            <v>5</v>
          </cell>
          <cell r="F228">
            <v>5</v>
          </cell>
          <cell r="G228">
            <v>5</v>
          </cell>
          <cell r="H228" t="str">
            <v>%</v>
          </cell>
          <cell r="I228">
            <v>5</v>
          </cell>
          <cell r="J228">
            <v>5</v>
          </cell>
          <cell r="K228">
            <v>5</v>
          </cell>
        </row>
        <row r="229">
          <cell r="A229">
            <v>229</v>
          </cell>
          <cell r="B229">
            <v>0</v>
          </cell>
        </row>
        <row r="230">
          <cell r="A230">
            <v>230</v>
          </cell>
          <cell r="B230" t="str">
            <v>SOLUBLE COFFEE</v>
          </cell>
          <cell r="C230" t="str">
            <v>$</v>
          </cell>
          <cell r="D230">
            <v>2290.0661</v>
          </cell>
          <cell r="E230">
            <v>2737.9</v>
          </cell>
          <cell r="F230">
            <v>3148.4971999999998</v>
          </cell>
          <cell r="G230">
            <v>3270.25</v>
          </cell>
          <cell r="H230" t="str">
            <v>$</v>
          </cell>
          <cell r="I230">
            <v>3523.5735</v>
          </cell>
          <cell r="J230">
            <v>3879.375</v>
          </cell>
          <cell r="K230">
            <v>3876.3039999999996</v>
          </cell>
        </row>
        <row r="231">
          <cell r="A231">
            <v>231</v>
          </cell>
          <cell r="C231" t="str">
            <v>U$S</v>
          </cell>
          <cell r="D231">
            <v>285.75818567506866</v>
          </cell>
          <cell r="E231">
            <v>288.2</v>
          </cell>
          <cell r="F231">
            <v>300.57252505966585</v>
          </cell>
          <cell r="G231">
            <v>288.00088066930869</v>
          </cell>
          <cell r="H231" t="str">
            <v>U$S</v>
          </cell>
          <cell r="I231">
            <v>295.84999999999997</v>
          </cell>
          <cell r="J231">
            <v>310.35000000000002</v>
          </cell>
          <cell r="K231">
            <v>295.45</v>
          </cell>
        </row>
        <row r="232">
          <cell r="A232">
            <v>232</v>
          </cell>
          <cell r="B232" t="str">
            <v>Amanecer</v>
          </cell>
          <cell r="C232" t="str">
            <v>%</v>
          </cell>
          <cell r="D232">
            <v>5</v>
          </cell>
          <cell r="E232">
            <v>5</v>
          </cell>
          <cell r="F232">
            <v>5</v>
          </cell>
          <cell r="G232">
            <v>5</v>
          </cell>
          <cell r="H232" t="str">
            <v>%</v>
          </cell>
          <cell r="I232">
            <v>5</v>
          </cell>
          <cell r="J232">
            <v>5</v>
          </cell>
          <cell r="K232">
            <v>5</v>
          </cell>
        </row>
        <row r="233">
          <cell r="A233">
            <v>233</v>
          </cell>
          <cell r="B233" t="str">
            <v>Mokambo</v>
          </cell>
          <cell r="C233" t="str">
            <v>%</v>
          </cell>
          <cell r="D233">
            <v>5</v>
          </cell>
          <cell r="E233">
            <v>5</v>
          </cell>
          <cell r="F233">
            <v>5</v>
          </cell>
          <cell r="G233">
            <v>5</v>
          </cell>
          <cell r="H233" t="str">
            <v>%</v>
          </cell>
          <cell r="I233">
            <v>5</v>
          </cell>
          <cell r="J233">
            <v>5</v>
          </cell>
          <cell r="K233">
            <v>5</v>
          </cell>
        </row>
        <row r="234">
          <cell r="A234">
            <v>234</v>
          </cell>
          <cell r="B234" t="str">
            <v>Vascolet</v>
          </cell>
          <cell r="C234" t="str">
            <v>%</v>
          </cell>
          <cell r="D234">
            <v>5</v>
          </cell>
          <cell r="E234">
            <v>5</v>
          </cell>
          <cell r="F234">
            <v>5</v>
          </cell>
          <cell r="G234">
            <v>5</v>
          </cell>
          <cell r="H234" t="str">
            <v>%</v>
          </cell>
          <cell r="I234">
            <v>4.6500000000000004</v>
          </cell>
          <cell r="J234">
            <v>4.6500000000000004</v>
          </cell>
          <cell r="K234">
            <v>4.6500000000000004</v>
          </cell>
        </row>
        <row r="235">
          <cell r="A235">
            <v>235</v>
          </cell>
          <cell r="B235" t="str">
            <v>Nescao</v>
          </cell>
          <cell r="C235" t="str">
            <v>%</v>
          </cell>
          <cell r="H235" t="str">
            <v>%</v>
          </cell>
          <cell r="I235">
            <v>4.6500000000000004</v>
          </cell>
          <cell r="J235">
            <v>4.6500000000000004</v>
          </cell>
          <cell r="K235">
            <v>4.6500000000000004</v>
          </cell>
        </row>
        <row r="236">
          <cell r="A236">
            <v>236</v>
          </cell>
          <cell r="B236" t="str">
            <v>Cocoa Copacabana</v>
          </cell>
          <cell r="C236" t="str">
            <v>%</v>
          </cell>
          <cell r="D236">
            <v>3</v>
          </cell>
          <cell r="E236">
            <v>3</v>
          </cell>
          <cell r="F236">
            <v>3</v>
          </cell>
          <cell r="G236">
            <v>3</v>
          </cell>
          <cell r="H236" t="str">
            <v>%</v>
          </cell>
          <cell r="I236">
            <v>4.6500000000000004</v>
          </cell>
          <cell r="J236">
            <v>4.6500000000000004</v>
          </cell>
          <cell r="K236">
            <v>4.6500000000000004</v>
          </cell>
        </row>
        <row r="237">
          <cell r="A237">
            <v>237</v>
          </cell>
          <cell r="B237" t="str">
            <v>Cocoa Aguila</v>
          </cell>
          <cell r="C237" t="str">
            <v>%</v>
          </cell>
          <cell r="D237">
            <v>1.5</v>
          </cell>
          <cell r="E237">
            <v>1.5</v>
          </cell>
          <cell r="F237">
            <v>1.5</v>
          </cell>
          <cell r="G237">
            <v>1.5</v>
          </cell>
          <cell r="H237" t="str">
            <v>%</v>
          </cell>
          <cell r="I237">
            <v>1.5</v>
          </cell>
          <cell r="J237">
            <v>1.5</v>
          </cell>
          <cell r="K237">
            <v>1.5</v>
          </cell>
        </row>
        <row r="238">
          <cell r="A238">
            <v>238</v>
          </cell>
          <cell r="B238" t="str">
            <v>Cacao Copacabana</v>
          </cell>
          <cell r="C238" t="str">
            <v>%</v>
          </cell>
          <cell r="D238">
            <v>5</v>
          </cell>
          <cell r="E238">
            <v>5</v>
          </cell>
          <cell r="F238">
            <v>5</v>
          </cell>
          <cell r="G238">
            <v>5</v>
          </cell>
          <cell r="H238" t="str">
            <v>%</v>
          </cell>
          <cell r="I238">
            <v>5</v>
          </cell>
          <cell r="J238">
            <v>5</v>
          </cell>
          <cell r="K238">
            <v>5</v>
          </cell>
        </row>
        <row r="239">
          <cell r="A239">
            <v>239</v>
          </cell>
          <cell r="B239">
            <v>0</v>
          </cell>
        </row>
        <row r="240">
          <cell r="A240">
            <v>240</v>
          </cell>
          <cell r="B240" t="str">
            <v>OTHER BEVERAGES</v>
          </cell>
          <cell r="C240" t="str">
            <v>$</v>
          </cell>
          <cell r="D240">
            <v>1289.3</v>
          </cell>
          <cell r="E240">
            <v>1396.53</v>
          </cell>
          <cell r="F240">
            <v>1578.8</v>
          </cell>
          <cell r="G240">
            <v>1652.71</v>
          </cell>
          <cell r="H240" t="str">
            <v>$</v>
          </cell>
          <cell r="I240">
            <v>1940.7106800000004</v>
          </cell>
          <cell r="J240">
            <v>2066.4937500000001</v>
          </cell>
          <cell r="K240">
            <v>2185.4639999999999</v>
          </cell>
        </row>
        <row r="241">
          <cell r="A241">
            <v>241</v>
          </cell>
          <cell r="C241" t="str">
            <v>U$S</v>
          </cell>
          <cell r="D241">
            <v>160.88095832293487</v>
          </cell>
          <cell r="E241">
            <v>147.00315789473683</v>
          </cell>
          <cell r="F241">
            <v>150.72076372315036</v>
          </cell>
          <cell r="G241">
            <v>145.54909731395861</v>
          </cell>
          <cell r="H241" t="str">
            <v>U$S</v>
          </cell>
          <cell r="I241">
            <v>162.94800000000004</v>
          </cell>
          <cell r="J241">
            <v>165.31950000000001</v>
          </cell>
          <cell r="K241">
            <v>166.57500000000002</v>
          </cell>
        </row>
        <row r="242">
          <cell r="A242">
            <v>242</v>
          </cell>
          <cell r="B242" t="str">
            <v>Alfajor</v>
          </cell>
          <cell r="C242" t="str">
            <v>%</v>
          </cell>
          <cell r="D242">
            <v>5</v>
          </cell>
          <cell r="E242">
            <v>5</v>
          </cell>
          <cell r="F242">
            <v>5</v>
          </cell>
          <cell r="G242">
            <v>5</v>
          </cell>
          <cell r="H242" t="str">
            <v>%</v>
          </cell>
          <cell r="I242">
            <v>5</v>
          </cell>
          <cell r="J242">
            <v>5</v>
          </cell>
          <cell r="K242">
            <v>5</v>
          </cell>
        </row>
        <row r="243">
          <cell r="A243">
            <v>243</v>
          </cell>
          <cell r="B243" t="str">
            <v>Galletitas</v>
          </cell>
          <cell r="C243" t="str">
            <v>%</v>
          </cell>
          <cell r="H243" t="str">
            <v>%</v>
          </cell>
          <cell r="I243">
            <v>5</v>
          </cell>
          <cell r="J243">
            <v>5</v>
          </cell>
          <cell r="K243">
            <v>5</v>
          </cell>
        </row>
        <row r="244">
          <cell r="A244">
            <v>244</v>
          </cell>
          <cell r="B244" t="str">
            <v>Chocolates</v>
          </cell>
          <cell r="C244" t="str">
            <v>%</v>
          </cell>
          <cell r="H244" t="str">
            <v>%</v>
          </cell>
          <cell r="I244">
            <v>5</v>
          </cell>
          <cell r="J244">
            <v>5</v>
          </cell>
          <cell r="K244">
            <v>5</v>
          </cell>
        </row>
        <row r="245">
          <cell r="A245">
            <v>245</v>
          </cell>
          <cell r="B245">
            <v>0</v>
          </cell>
        </row>
        <row r="246">
          <cell r="A246">
            <v>246</v>
          </cell>
          <cell r="B246" t="str">
            <v>CHOCOLATE, CONFECT. AND BISCUITS</v>
          </cell>
          <cell r="C246" t="str">
            <v>$</v>
          </cell>
          <cell r="D246">
            <v>148.05000000000001</v>
          </cell>
          <cell r="E246">
            <v>149.30000000000001</v>
          </cell>
          <cell r="F246">
            <v>137.25</v>
          </cell>
          <cell r="G246">
            <v>166.5</v>
          </cell>
          <cell r="H246" t="str">
            <v>$</v>
          </cell>
          <cell r="I246">
            <v>381.12</v>
          </cell>
          <cell r="J246">
            <v>455.625</v>
          </cell>
          <cell r="K246">
            <v>529.39199999999994</v>
          </cell>
        </row>
        <row r="247">
          <cell r="A247">
            <v>247</v>
          </cell>
          <cell r="C247" t="str">
            <v>U$S</v>
          </cell>
          <cell r="D247">
            <v>18.47392063888196</v>
          </cell>
          <cell r="E247">
            <v>15.715789473684211</v>
          </cell>
          <cell r="F247">
            <v>13.102625298329356</v>
          </cell>
          <cell r="G247">
            <v>14.663143989431967</v>
          </cell>
          <cell r="H247" t="str">
            <v>U$S</v>
          </cell>
          <cell r="I247">
            <v>32</v>
          </cell>
          <cell r="J247">
            <v>36.450000000000003</v>
          </cell>
          <cell r="K247">
            <v>40.349999999999994</v>
          </cell>
        </row>
        <row r="248">
          <cell r="A248">
            <v>248</v>
          </cell>
          <cell r="B248" t="str">
            <v>Caldos</v>
          </cell>
          <cell r="C248" t="str">
            <v>%</v>
          </cell>
          <cell r="H248" t="str">
            <v>%</v>
          </cell>
          <cell r="I248">
            <v>5</v>
          </cell>
          <cell r="J248">
            <v>5</v>
          </cell>
          <cell r="K248">
            <v>5</v>
          </cell>
        </row>
        <row r="249">
          <cell r="A249">
            <v>249</v>
          </cell>
          <cell r="B249" t="str">
            <v xml:space="preserve">Sopas </v>
          </cell>
          <cell r="C249" t="str">
            <v>%</v>
          </cell>
          <cell r="H249" t="str">
            <v>%</v>
          </cell>
          <cell r="I249">
            <v>5</v>
          </cell>
          <cell r="J249">
            <v>5</v>
          </cell>
          <cell r="K249">
            <v>5</v>
          </cell>
        </row>
        <row r="250">
          <cell r="A250">
            <v>250</v>
          </cell>
          <cell r="B250" t="str">
            <v>Salsas</v>
          </cell>
          <cell r="C250" t="str">
            <v>%</v>
          </cell>
          <cell r="H250" t="str">
            <v>%</v>
          </cell>
          <cell r="I250">
            <v>5</v>
          </cell>
          <cell r="J250">
            <v>5</v>
          </cell>
          <cell r="K250">
            <v>5</v>
          </cell>
        </row>
        <row r="251">
          <cell r="A251">
            <v>251</v>
          </cell>
          <cell r="B251" t="str">
            <v>Pure de Papas</v>
          </cell>
          <cell r="C251" t="str">
            <v>%</v>
          </cell>
          <cell r="H251" t="str">
            <v>%</v>
          </cell>
          <cell r="I251">
            <v>5</v>
          </cell>
          <cell r="J251">
            <v>5</v>
          </cell>
          <cell r="K251">
            <v>5</v>
          </cell>
        </row>
        <row r="252">
          <cell r="A252">
            <v>252</v>
          </cell>
          <cell r="B252">
            <v>0</v>
          </cell>
          <cell r="C252" t="str">
            <v>$</v>
          </cell>
          <cell r="H252" t="str">
            <v>$</v>
          </cell>
        </row>
        <row r="253">
          <cell r="A253">
            <v>253</v>
          </cell>
          <cell r="B253" t="str">
            <v>CULINARY PRODUCTS</v>
          </cell>
          <cell r="C253" t="str">
            <v>$</v>
          </cell>
          <cell r="D253">
            <v>0</v>
          </cell>
          <cell r="E253">
            <v>0</v>
          </cell>
          <cell r="F253">
            <v>0</v>
          </cell>
          <cell r="G253">
            <v>0</v>
          </cell>
          <cell r="H253" t="str">
            <v>$</v>
          </cell>
          <cell r="I253">
            <v>853.947</v>
          </cell>
          <cell r="J253">
            <v>949.375</v>
          </cell>
          <cell r="K253">
            <v>1057.472</v>
          </cell>
        </row>
        <row r="254">
          <cell r="A254">
            <v>254</v>
          </cell>
          <cell r="C254" t="str">
            <v>U$S</v>
          </cell>
          <cell r="D254">
            <v>0</v>
          </cell>
          <cell r="E254">
            <v>0</v>
          </cell>
          <cell r="F254">
            <v>0</v>
          </cell>
          <cell r="G254">
            <v>0</v>
          </cell>
          <cell r="H254" t="str">
            <v>U$S</v>
          </cell>
          <cell r="I254">
            <v>71.7</v>
          </cell>
          <cell r="J254">
            <v>75.95</v>
          </cell>
          <cell r="K254">
            <v>80.600000000000009</v>
          </cell>
        </row>
        <row r="255">
          <cell r="A255">
            <v>255</v>
          </cell>
          <cell r="B255">
            <v>0</v>
          </cell>
          <cell r="C255" t="str">
            <v>%</v>
          </cell>
          <cell r="H255" t="str">
            <v>%</v>
          </cell>
        </row>
        <row r="256">
          <cell r="A256">
            <v>256</v>
          </cell>
          <cell r="B256">
            <v>0</v>
          </cell>
          <cell r="C256" t="str">
            <v>%</v>
          </cell>
          <cell r="H256" t="str">
            <v>%</v>
          </cell>
        </row>
        <row r="257">
          <cell r="A257">
            <v>257</v>
          </cell>
          <cell r="B257" t="str">
            <v>FROZEN FOODS</v>
          </cell>
          <cell r="C257" t="str">
            <v>$</v>
          </cell>
          <cell r="D257">
            <v>0</v>
          </cell>
          <cell r="E257">
            <v>0</v>
          </cell>
          <cell r="F257">
            <v>0</v>
          </cell>
          <cell r="G257">
            <v>0</v>
          </cell>
          <cell r="H257" t="str">
            <v>$</v>
          </cell>
          <cell r="I257">
            <v>0</v>
          </cell>
          <cell r="J257">
            <v>0</v>
          </cell>
          <cell r="K257">
            <v>0</v>
          </cell>
        </row>
        <row r="258">
          <cell r="A258">
            <v>258</v>
          </cell>
          <cell r="C258" t="str">
            <v>U$S</v>
          </cell>
          <cell r="D258">
            <v>0</v>
          </cell>
          <cell r="E258">
            <v>0</v>
          </cell>
          <cell r="F258">
            <v>0</v>
          </cell>
          <cell r="G258">
            <v>0</v>
          </cell>
          <cell r="H258" t="str">
            <v>U$S</v>
          </cell>
          <cell r="I258">
            <v>0</v>
          </cell>
          <cell r="J258">
            <v>0</v>
          </cell>
          <cell r="K258">
            <v>0</v>
          </cell>
        </row>
        <row r="259">
          <cell r="A259">
            <v>259</v>
          </cell>
          <cell r="B259" t="str">
            <v>Helado Impulsivo</v>
          </cell>
          <cell r="C259" t="str">
            <v>%</v>
          </cell>
          <cell r="H259" t="str">
            <v>%</v>
          </cell>
          <cell r="I259">
            <v>5</v>
          </cell>
          <cell r="J259">
            <v>5</v>
          </cell>
          <cell r="K259">
            <v>5</v>
          </cell>
        </row>
        <row r="260">
          <cell r="A260">
            <v>260</v>
          </cell>
          <cell r="B260" t="str">
            <v>Helado Hogareño</v>
          </cell>
          <cell r="C260" t="str">
            <v>%</v>
          </cell>
          <cell r="H260" t="str">
            <v>%</v>
          </cell>
          <cell r="I260">
            <v>5</v>
          </cell>
          <cell r="J260">
            <v>5</v>
          </cell>
          <cell r="K260">
            <v>5</v>
          </cell>
        </row>
        <row r="261">
          <cell r="A261">
            <v>261</v>
          </cell>
          <cell r="B261">
            <v>0</v>
          </cell>
          <cell r="C261" t="str">
            <v>%</v>
          </cell>
          <cell r="H261" t="str">
            <v>%</v>
          </cell>
        </row>
        <row r="262">
          <cell r="A262">
            <v>262</v>
          </cell>
          <cell r="B262" t="str">
            <v>ICE CREAM</v>
          </cell>
          <cell r="C262" t="str">
            <v>$</v>
          </cell>
          <cell r="D262">
            <v>0</v>
          </cell>
          <cell r="E262">
            <v>0</v>
          </cell>
          <cell r="F262">
            <v>0</v>
          </cell>
          <cell r="G262">
            <v>0</v>
          </cell>
          <cell r="H262" t="str">
            <v>$</v>
          </cell>
          <cell r="I262">
            <v>1586.412</v>
          </cell>
          <cell r="J262">
            <v>1757.5</v>
          </cell>
          <cell r="K262">
            <v>1990.3039999999999</v>
          </cell>
        </row>
        <row r="263">
          <cell r="A263">
            <v>263</v>
          </cell>
          <cell r="C263" t="str">
            <v>U$S</v>
          </cell>
          <cell r="D263">
            <v>0</v>
          </cell>
          <cell r="E263">
            <v>0</v>
          </cell>
          <cell r="F263">
            <v>0</v>
          </cell>
          <cell r="G263">
            <v>0</v>
          </cell>
          <cell r="H263" t="str">
            <v>U$S</v>
          </cell>
          <cell r="I263">
            <v>133.19999999999999</v>
          </cell>
          <cell r="J263">
            <v>140.6</v>
          </cell>
          <cell r="K263">
            <v>151.69999999999999</v>
          </cell>
        </row>
        <row r="264">
          <cell r="A264">
            <v>264</v>
          </cell>
          <cell r="B264">
            <v>0</v>
          </cell>
          <cell r="C264" t="str">
            <v>%</v>
          </cell>
          <cell r="H264" t="str">
            <v>%</v>
          </cell>
        </row>
        <row r="265">
          <cell r="A265">
            <v>265</v>
          </cell>
          <cell r="B265">
            <v>0</v>
          </cell>
          <cell r="C265" t="str">
            <v>%</v>
          </cell>
          <cell r="H265" t="str">
            <v>%</v>
          </cell>
        </row>
        <row r="266">
          <cell r="A266">
            <v>266</v>
          </cell>
          <cell r="B266" t="str">
            <v>DAIRY CHILLED PRODUCTS</v>
          </cell>
          <cell r="C266" t="str">
            <v>$</v>
          </cell>
          <cell r="D266">
            <v>0</v>
          </cell>
          <cell r="E266">
            <v>0</v>
          </cell>
          <cell r="F266">
            <v>0</v>
          </cell>
          <cell r="G266">
            <v>0</v>
          </cell>
          <cell r="H266" t="str">
            <v>$</v>
          </cell>
          <cell r="I266">
            <v>0</v>
          </cell>
          <cell r="J266">
            <v>0</v>
          </cell>
          <cell r="K266">
            <v>0</v>
          </cell>
        </row>
        <row r="267">
          <cell r="A267">
            <v>267</v>
          </cell>
          <cell r="C267" t="str">
            <v>U$S</v>
          </cell>
          <cell r="D267">
            <v>0</v>
          </cell>
          <cell r="E267">
            <v>0</v>
          </cell>
          <cell r="F267">
            <v>0</v>
          </cell>
          <cell r="G267">
            <v>0</v>
          </cell>
          <cell r="H267" t="str">
            <v>U$S</v>
          </cell>
          <cell r="I267">
            <v>0</v>
          </cell>
          <cell r="J267">
            <v>0</v>
          </cell>
          <cell r="K267">
            <v>0</v>
          </cell>
        </row>
        <row r="268">
          <cell r="A268">
            <v>268</v>
          </cell>
          <cell r="B268">
            <v>0</v>
          </cell>
          <cell r="C268" t="str">
            <v>%</v>
          </cell>
          <cell r="H268" t="str">
            <v>%</v>
          </cell>
        </row>
        <row r="269">
          <cell r="A269">
            <v>269</v>
          </cell>
          <cell r="B269">
            <v>0</v>
          </cell>
          <cell r="C269" t="str">
            <v>%</v>
          </cell>
          <cell r="H269" t="str">
            <v>%</v>
          </cell>
        </row>
        <row r="270">
          <cell r="A270">
            <v>270</v>
          </cell>
          <cell r="B270" t="str">
            <v>LIQUID DRINKS</v>
          </cell>
          <cell r="C270" t="str">
            <v>$</v>
          </cell>
          <cell r="D270">
            <v>0</v>
          </cell>
          <cell r="E270">
            <v>0</v>
          </cell>
          <cell r="F270">
            <v>0</v>
          </cell>
          <cell r="G270">
            <v>0</v>
          </cell>
          <cell r="H270" t="str">
            <v>$</v>
          </cell>
          <cell r="I270">
            <v>0</v>
          </cell>
          <cell r="J270">
            <v>0</v>
          </cell>
          <cell r="K270">
            <v>0</v>
          </cell>
        </row>
        <row r="271">
          <cell r="A271">
            <v>271</v>
          </cell>
          <cell r="C271" t="str">
            <v>U$S</v>
          </cell>
          <cell r="D271">
            <v>0</v>
          </cell>
          <cell r="E271">
            <v>0</v>
          </cell>
          <cell r="F271">
            <v>0</v>
          </cell>
          <cell r="G271">
            <v>0</v>
          </cell>
          <cell r="H271" t="str">
            <v>U$S</v>
          </cell>
          <cell r="I271">
            <v>0</v>
          </cell>
          <cell r="J271">
            <v>0</v>
          </cell>
          <cell r="K271">
            <v>0</v>
          </cell>
        </row>
        <row r="272">
          <cell r="A272">
            <v>272</v>
          </cell>
          <cell r="B272">
            <v>0</v>
          </cell>
          <cell r="C272" t="str">
            <v>%</v>
          </cell>
          <cell r="H272" t="str">
            <v>%</v>
          </cell>
        </row>
        <row r="273">
          <cell r="A273">
            <v>273</v>
          </cell>
          <cell r="B273">
            <v>0</v>
          </cell>
          <cell r="C273" t="str">
            <v>%</v>
          </cell>
          <cell r="H273" t="str">
            <v>%</v>
          </cell>
        </row>
        <row r="274">
          <cell r="A274">
            <v>274</v>
          </cell>
          <cell r="B274" t="str">
            <v>PHARMA &amp; DERMA PRODUCTS</v>
          </cell>
          <cell r="C274" t="str">
            <v>$</v>
          </cell>
          <cell r="D274">
            <v>0</v>
          </cell>
          <cell r="E274">
            <v>0</v>
          </cell>
          <cell r="F274">
            <v>0</v>
          </cell>
          <cell r="G274">
            <v>0</v>
          </cell>
          <cell r="H274" t="str">
            <v>$</v>
          </cell>
          <cell r="I274">
            <v>0</v>
          </cell>
          <cell r="J274">
            <v>0</v>
          </cell>
          <cell r="K274">
            <v>0</v>
          </cell>
        </row>
        <row r="275">
          <cell r="A275">
            <v>275</v>
          </cell>
          <cell r="C275" t="str">
            <v>U$S</v>
          </cell>
          <cell r="D275">
            <v>0</v>
          </cell>
          <cell r="E275">
            <v>0</v>
          </cell>
          <cell r="F275">
            <v>0</v>
          </cell>
          <cell r="G275">
            <v>0</v>
          </cell>
          <cell r="H275" t="str">
            <v>U$S</v>
          </cell>
          <cell r="I275">
            <v>0</v>
          </cell>
          <cell r="J275">
            <v>0</v>
          </cell>
          <cell r="K275">
            <v>0</v>
          </cell>
        </row>
        <row r="276">
          <cell r="A276">
            <v>276</v>
          </cell>
          <cell r="B276" t="str">
            <v>Dog</v>
          </cell>
          <cell r="C276" t="str">
            <v>%</v>
          </cell>
          <cell r="H276" t="str">
            <v>%</v>
          </cell>
          <cell r="I276">
            <v>5</v>
          </cell>
          <cell r="J276">
            <v>5</v>
          </cell>
          <cell r="K276">
            <v>5</v>
          </cell>
        </row>
        <row r="277">
          <cell r="A277">
            <v>277</v>
          </cell>
          <cell r="B277" t="str">
            <v>Cat</v>
          </cell>
          <cell r="C277" t="str">
            <v>%</v>
          </cell>
          <cell r="H277" t="str">
            <v>%</v>
          </cell>
          <cell r="I277">
            <v>5</v>
          </cell>
          <cell r="J277">
            <v>5</v>
          </cell>
          <cell r="K277">
            <v>5</v>
          </cell>
        </row>
        <row r="278">
          <cell r="A278">
            <v>278</v>
          </cell>
          <cell r="B278">
            <v>0</v>
          </cell>
          <cell r="C278" t="str">
            <v>%</v>
          </cell>
          <cell r="H278" t="str">
            <v>%</v>
          </cell>
        </row>
        <row r="279">
          <cell r="A279">
            <v>279</v>
          </cell>
          <cell r="B279" t="str">
            <v>PET FOOD</v>
          </cell>
          <cell r="C279" t="str">
            <v>$</v>
          </cell>
          <cell r="D279">
            <v>0</v>
          </cell>
          <cell r="E279">
            <v>0</v>
          </cell>
          <cell r="F279">
            <v>0</v>
          </cell>
          <cell r="G279">
            <v>0</v>
          </cell>
          <cell r="H279" t="str">
            <v>$</v>
          </cell>
          <cell r="I279">
            <v>135.774</v>
          </cell>
          <cell r="J279">
            <v>190</v>
          </cell>
          <cell r="K279">
            <v>274.20799999999997</v>
          </cell>
        </row>
        <row r="280">
          <cell r="A280">
            <v>280</v>
          </cell>
          <cell r="C280" t="str">
            <v>U$S</v>
          </cell>
          <cell r="D280">
            <v>0</v>
          </cell>
          <cell r="E280">
            <v>0</v>
          </cell>
          <cell r="F280">
            <v>0</v>
          </cell>
          <cell r="G280">
            <v>0</v>
          </cell>
          <cell r="H280" t="str">
            <v>U$S</v>
          </cell>
          <cell r="I280">
            <v>11.4</v>
          </cell>
          <cell r="J280">
            <v>15.2</v>
          </cell>
          <cell r="K280">
            <v>20.9</v>
          </cell>
        </row>
        <row r="281">
          <cell r="A281">
            <v>281</v>
          </cell>
          <cell r="B281" t="str">
            <v>Cereales Desayuno</v>
          </cell>
          <cell r="C281" t="str">
            <v>%</v>
          </cell>
          <cell r="H281" t="str">
            <v>%</v>
          </cell>
          <cell r="I281">
            <v>5</v>
          </cell>
          <cell r="J281">
            <v>5</v>
          </cell>
          <cell r="K281">
            <v>5</v>
          </cell>
        </row>
        <row r="282">
          <cell r="A282">
            <v>282</v>
          </cell>
          <cell r="B282">
            <v>0</v>
          </cell>
          <cell r="C282" t="str">
            <v>$</v>
          </cell>
          <cell r="H282" t="str">
            <v>$</v>
          </cell>
        </row>
        <row r="283">
          <cell r="A283">
            <v>283</v>
          </cell>
          <cell r="B283" t="str">
            <v>ADULT NUTRITION</v>
          </cell>
          <cell r="C283" t="str">
            <v>$</v>
          </cell>
          <cell r="D283">
            <v>0</v>
          </cell>
          <cell r="E283">
            <v>0</v>
          </cell>
          <cell r="F283">
            <v>0</v>
          </cell>
          <cell r="G283">
            <v>0</v>
          </cell>
          <cell r="H283" t="str">
            <v>$</v>
          </cell>
          <cell r="I283">
            <v>270.95249999999999</v>
          </cell>
          <cell r="J283">
            <v>306.25</v>
          </cell>
          <cell r="K283">
            <v>344.4</v>
          </cell>
        </row>
        <row r="284">
          <cell r="A284">
            <v>284</v>
          </cell>
          <cell r="C284" t="str">
            <v>U$S</v>
          </cell>
          <cell r="D284">
            <v>0</v>
          </cell>
          <cell r="E284">
            <v>0</v>
          </cell>
          <cell r="F284">
            <v>0</v>
          </cell>
          <cell r="G284">
            <v>0</v>
          </cell>
          <cell r="H284" t="str">
            <v>U$S</v>
          </cell>
          <cell r="I284">
            <v>22.75</v>
          </cell>
          <cell r="J284">
            <v>24.5</v>
          </cell>
          <cell r="K284">
            <v>26.25</v>
          </cell>
        </row>
        <row r="285">
          <cell r="A285">
            <v>285</v>
          </cell>
          <cell r="B285" t="str">
            <v>Café Express</v>
          </cell>
          <cell r="C285" t="str">
            <v>%</v>
          </cell>
          <cell r="D285">
            <v>3</v>
          </cell>
          <cell r="E285">
            <v>3</v>
          </cell>
          <cell r="F285">
            <v>3</v>
          </cell>
          <cell r="G285">
            <v>3</v>
          </cell>
          <cell r="H285" t="str">
            <v>%</v>
          </cell>
          <cell r="I285">
            <v>3</v>
          </cell>
          <cell r="J285">
            <v>3</v>
          </cell>
          <cell r="K285">
            <v>3</v>
          </cell>
        </row>
        <row r="286">
          <cell r="A286">
            <v>286</v>
          </cell>
          <cell r="B286" t="str">
            <v>Molido El Chana</v>
          </cell>
          <cell r="C286" t="str">
            <v>%</v>
          </cell>
          <cell r="D286">
            <v>3</v>
          </cell>
          <cell r="E286">
            <v>3</v>
          </cell>
          <cell r="F286">
            <v>3</v>
          </cell>
          <cell r="G286">
            <v>3</v>
          </cell>
          <cell r="H286" t="str">
            <v>%</v>
          </cell>
          <cell r="I286">
            <v>3</v>
          </cell>
          <cell r="J286">
            <v>3</v>
          </cell>
          <cell r="K286">
            <v>3</v>
          </cell>
        </row>
        <row r="287">
          <cell r="A287">
            <v>287</v>
          </cell>
          <cell r="B287" t="str">
            <v>Molido Aguila</v>
          </cell>
          <cell r="C287" t="str">
            <v>%</v>
          </cell>
          <cell r="D287">
            <v>1.5</v>
          </cell>
          <cell r="E287">
            <v>1.5</v>
          </cell>
          <cell r="F287">
            <v>1.5</v>
          </cell>
          <cell r="G287">
            <v>1.5</v>
          </cell>
          <cell r="H287" t="str">
            <v>%</v>
          </cell>
          <cell r="I287">
            <v>1.5</v>
          </cell>
          <cell r="J287">
            <v>1.5</v>
          </cell>
          <cell r="K287">
            <v>1.5</v>
          </cell>
        </row>
        <row r="288">
          <cell r="A288">
            <v>288</v>
          </cell>
          <cell r="B288">
            <v>0</v>
          </cell>
        </row>
        <row r="289">
          <cell r="A289">
            <v>289</v>
          </cell>
          <cell r="B289" t="str">
            <v>ROAST &amp; GROUND COFFEE</v>
          </cell>
          <cell r="C289" t="str">
            <v>$</v>
          </cell>
          <cell r="D289">
            <v>735.78</v>
          </cell>
          <cell r="E289">
            <v>885.6</v>
          </cell>
          <cell r="F289">
            <v>1184.52</v>
          </cell>
          <cell r="G289">
            <v>1171.4849999999999</v>
          </cell>
          <cell r="H289" t="str">
            <v>$</v>
          </cell>
          <cell r="I289">
            <v>1205.8875</v>
          </cell>
          <cell r="J289">
            <v>1250.25</v>
          </cell>
          <cell r="K289">
            <v>1384.6847999999998</v>
          </cell>
        </row>
        <row r="290">
          <cell r="A290">
            <v>290</v>
          </cell>
          <cell r="C290" t="str">
            <v>U$S</v>
          </cell>
          <cell r="D290">
            <v>91.811829298727233</v>
          </cell>
          <cell r="E290">
            <v>93.221052631578956</v>
          </cell>
          <cell r="F290">
            <v>113.08066825775657</v>
          </cell>
          <cell r="G290">
            <v>103.16908850726551</v>
          </cell>
          <cell r="H290" t="str">
            <v>U$S</v>
          </cell>
          <cell r="I290">
            <v>101.25</v>
          </cell>
          <cell r="J290">
            <v>100.02</v>
          </cell>
          <cell r="K290">
            <v>105.53999999999999</v>
          </cell>
        </row>
        <row r="291">
          <cell r="A291">
            <v>291</v>
          </cell>
          <cell r="B291" t="str">
            <v>Nescafe Exportado</v>
          </cell>
          <cell r="C291" t="str">
            <v>%</v>
          </cell>
          <cell r="H291" t="str">
            <v>%</v>
          </cell>
          <cell r="I291">
            <v>5</v>
          </cell>
          <cell r="J291">
            <v>5</v>
          </cell>
          <cell r="K291">
            <v>5</v>
          </cell>
        </row>
        <row r="292">
          <cell r="A292">
            <v>292</v>
          </cell>
          <cell r="B292" t="str">
            <v>Amanecer Export.Afiliadas</v>
          </cell>
          <cell r="C292" t="str">
            <v>%</v>
          </cell>
          <cell r="H292" t="str">
            <v>%</v>
          </cell>
          <cell r="I292">
            <v>5</v>
          </cell>
          <cell r="J292">
            <v>5</v>
          </cell>
          <cell r="K292">
            <v>5</v>
          </cell>
        </row>
        <row r="293">
          <cell r="A293">
            <v>293</v>
          </cell>
        </row>
        <row r="294">
          <cell r="A294">
            <v>294</v>
          </cell>
          <cell r="B294" t="str">
            <v>Exportacion a Afiliadas</v>
          </cell>
          <cell r="C294" t="str">
            <v>$</v>
          </cell>
          <cell r="D294">
            <v>0</v>
          </cell>
          <cell r="E294">
            <v>0</v>
          </cell>
          <cell r="F294">
            <v>0</v>
          </cell>
          <cell r="G294">
            <v>0</v>
          </cell>
          <cell r="H294" t="str">
            <v>$</v>
          </cell>
          <cell r="I294">
            <v>331.69349999999997</v>
          </cell>
          <cell r="J294">
            <v>375</v>
          </cell>
          <cell r="K294">
            <v>412.62399999999997</v>
          </cell>
        </row>
        <row r="295">
          <cell r="A295">
            <v>295</v>
          </cell>
          <cell r="C295" t="str">
            <v>U$S</v>
          </cell>
          <cell r="D295">
            <v>0</v>
          </cell>
          <cell r="E295">
            <v>0</v>
          </cell>
          <cell r="F295">
            <v>0</v>
          </cell>
          <cell r="G295">
            <v>0</v>
          </cell>
          <cell r="H295" t="str">
            <v>U$S</v>
          </cell>
          <cell r="I295">
            <v>27.849999999999998</v>
          </cell>
          <cell r="J295">
            <v>30</v>
          </cell>
          <cell r="K295">
            <v>31.45</v>
          </cell>
        </row>
        <row r="296">
          <cell r="A296">
            <v>296</v>
          </cell>
          <cell r="B296" t="str">
            <v>Cebada Export.3os</v>
          </cell>
          <cell r="C296" t="str">
            <v>%</v>
          </cell>
          <cell r="D296">
            <v>5</v>
          </cell>
          <cell r="E296">
            <v>5</v>
          </cell>
          <cell r="F296">
            <v>5</v>
          </cell>
          <cell r="G296">
            <v>5</v>
          </cell>
          <cell r="H296" t="str">
            <v>%</v>
          </cell>
          <cell r="I296">
            <v>5</v>
          </cell>
          <cell r="J296">
            <v>5</v>
          </cell>
          <cell r="K296">
            <v>5</v>
          </cell>
        </row>
        <row r="297">
          <cell r="A297">
            <v>297</v>
          </cell>
        </row>
        <row r="298">
          <cell r="A298">
            <v>298</v>
          </cell>
          <cell r="B298" t="str">
            <v>Exportacion a Terceros</v>
          </cell>
          <cell r="C298" t="str">
            <v>$</v>
          </cell>
          <cell r="D298">
            <v>0</v>
          </cell>
          <cell r="E298">
            <v>0</v>
          </cell>
          <cell r="F298">
            <v>23.2</v>
          </cell>
          <cell r="G298">
            <v>44.2</v>
          </cell>
          <cell r="H298" t="str">
            <v>$</v>
          </cell>
          <cell r="I298">
            <v>0</v>
          </cell>
          <cell r="J298">
            <v>0</v>
          </cell>
          <cell r="K298">
            <v>0</v>
          </cell>
        </row>
        <row r="299">
          <cell r="A299">
            <v>299</v>
          </cell>
          <cell r="C299" t="str">
            <v>U$S</v>
          </cell>
          <cell r="D299">
            <v>0</v>
          </cell>
          <cell r="E299">
            <v>0</v>
          </cell>
          <cell r="F299">
            <v>2.214797136038186</v>
          </cell>
          <cell r="G299">
            <v>3.8925583443416998</v>
          </cell>
          <cell r="H299" t="str">
            <v>U$S</v>
          </cell>
          <cell r="I299">
            <v>0</v>
          </cell>
          <cell r="J299">
            <v>0</v>
          </cell>
          <cell r="K299">
            <v>0</v>
          </cell>
        </row>
        <row r="300">
          <cell r="A300">
            <v>300</v>
          </cell>
          <cell r="B300" t="str">
            <v>TOTAL Exportacion</v>
          </cell>
          <cell r="C300" t="str">
            <v>$</v>
          </cell>
          <cell r="D300">
            <v>0</v>
          </cell>
          <cell r="E300">
            <v>0</v>
          </cell>
          <cell r="F300">
            <v>23.2</v>
          </cell>
          <cell r="G300">
            <v>44.2</v>
          </cell>
          <cell r="H300" t="str">
            <v>$</v>
          </cell>
          <cell r="I300">
            <v>331.69349999999997</v>
          </cell>
          <cell r="J300">
            <v>375</v>
          </cell>
          <cell r="K300">
            <v>412.62399999999997</v>
          </cell>
        </row>
        <row r="301">
          <cell r="A301">
            <v>301</v>
          </cell>
        </row>
        <row r="302">
          <cell r="A302">
            <v>302</v>
          </cell>
          <cell r="B302" t="str">
            <v>TOTAL DE MEDIOS</v>
          </cell>
          <cell r="C302" t="str">
            <v>$</v>
          </cell>
          <cell r="D302">
            <v>11727</v>
          </cell>
          <cell r="E302">
            <v>11371</v>
          </cell>
          <cell r="F302">
            <v>15595</v>
          </cell>
          <cell r="G302">
            <v>15444</v>
          </cell>
          <cell r="H302" t="str">
            <v>$</v>
          </cell>
          <cell r="I302">
            <v>0</v>
          </cell>
          <cell r="J302">
            <v>0</v>
          </cell>
          <cell r="K302">
            <v>0</v>
          </cell>
        </row>
        <row r="303">
          <cell r="A303">
            <v>303</v>
          </cell>
          <cell r="C303" t="str">
            <v>U$S</v>
          </cell>
          <cell r="D303">
            <v>1463.3142001497381</v>
          </cell>
          <cell r="E303">
            <v>1196.9473684210527</v>
          </cell>
          <cell r="F303">
            <v>1488.7828162291171</v>
          </cell>
          <cell r="G303">
            <v>1360.1056803170409</v>
          </cell>
          <cell r="H303" t="str">
            <v>U$S</v>
          </cell>
        </row>
        <row r="304">
          <cell r="A304">
            <v>304</v>
          </cell>
          <cell r="B304" t="str">
            <v>GASTO MARKETING</v>
          </cell>
          <cell r="C304" t="str">
            <v>$</v>
          </cell>
          <cell r="D304">
            <v>17775</v>
          </cell>
          <cell r="E304">
            <v>20177</v>
          </cell>
          <cell r="F304">
            <v>26658</v>
          </cell>
          <cell r="G304">
            <v>30336</v>
          </cell>
          <cell r="H304" t="str">
            <v>$</v>
          </cell>
          <cell r="I304">
            <v>28917.48</v>
          </cell>
          <cell r="J304">
            <v>29950</v>
          </cell>
          <cell r="K304">
            <v>31671.68</v>
          </cell>
        </row>
        <row r="305">
          <cell r="A305">
            <v>305</v>
          </cell>
          <cell r="C305" t="str">
            <v>U$S</v>
          </cell>
          <cell r="D305">
            <v>2217.9935113551287</v>
          </cell>
          <cell r="E305">
            <v>2123.8947368421054</v>
          </cell>
          <cell r="F305">
            <v>2544.9164677804297</v>
          </cell>
          <cell r="G305">
            <v>2671.5984147952445</v>
          </cell>
          <cell r="H305" t="str">
            <v>U$S</v>
          </cell>
          <cell r="I305">
            <v>2428</v>
          </cell>
          <cell r="J305">
            <v>2396</v>
          </cell>
          <cell r="K305">
            <v>2414</v>
          </cell>
        </row>
        <row r="306">
          <cell r="A306">
            <v>306</v>
          </cell>
          <cell r="B306" t="str">
            <v>Leche Condensada</v>
          </cell>
          <cell r="C306" t="str">
            <v>$</v>
          </cell>
          <cell r="D306">
            <v>94</v>
          </cell>
          <cell r="E306">
            <v>11</v>
          </cell>
          <cell r="F306">
            <v>0</v>
          </cell>
          <cell r="G306">
            <v>7</v>
          </cell>
          <cell r="H306" t="str">
            <v>U$S</v>
          </cell>
          <cell r="I306">
            <v>10</v>
          </cell>
          <cell r="J306">
            <v>10</v>
          </cell>
          <cell r="K306">
            <v>11</v>
          </cell>
        </row>
        <row r="307">
          <cell r="A307">
            <v>307</v>
          </cell>
          <cell r="B307" t="str">
            <v>Leches en Polvo</v>
          </cell>
          <cell r="C307" t="str">
            <v>$</v>
          </cell>
          <cell r="D307">
            <v>94</v>
          </cell>
          <cell r="E307">
            <v>58</v>
          </cell>
          <cell r="F307">
            <v>26</v>
          </cell>
          <cell r="G307">
            <v>88</v>
          </cell>
          <cell r="H307" t="str">
            <v>U$S</v>
          </cell>
        </row>
        <row r="308">
          <cell r="A308">
            <v>308</v>
          </cell>
          <cell r="B308">
            <v>0</v>
          </cell>
        </row>
        <row r="309">
          <cell r="A309">
            <v>309</v>
          </cell>
          <cell r="B309" t="str">
            <v>MILK PRODUCTS</v>
          </cell>
          <cell r="C309" t="str">
            <v>$</v>
          </cell>
          <cell r="D309">
            <v>188</v>
          </cell>
          <cell r="E309">
            <v>69</v>
          </cell>
          <cell r="F309">
            <v>26</v>
          </cell>
          <cell r="G309">
            <v>95</v>
          </cell>
          <cell r="H309" t="str">
            <v>$</v>
          </cell>
          <cell r="I309">
            <v>119.1</v>
          </cell>
          <cell r="J309">
            <v>125</v>
          </cell>
          <cell r="K309">
            <v>144.32</v>
          </cell>
        </row>
        <row r="310">
          <cell r="A310">
            <v>310</v>
          </cell>
          <cell r="C310" t="str">
            <v>U$S</v>
          </cell>
          <cell r="D310">
            <v>23.458946843024709</v>
          </cell>
          <cell r="E310">
            <v>7.2631578947368425</v>
          </cell>
          <cell r="F310">
            <v>2.4821002386634845</v>
          </cell>
          <cell r="G310">
            <v>8.3663584324086298</v>
          </cell>
          <cell r="H310" t="str">
            <v>U$S</v>
          </cell>
          <cell r="I310">
            <v>10</v>
          </cell>
          <cell r="J310">
            <v>10</v>
          </cell>
          <cell r="K310">
            <v>11</v>
          </cell>
        </row>
        <row r="311">
          <cell r="A311">
            <v>311</v>
          </cell>
          <cell r="B311" t="str">
            <v>Nan</v>
          </cell>
          <cell r="C311" t="str">
            <v>$</v>
          </cell>
          <cell r="D311">
            <v>71</v>
          </cell>
          <cell r="E311">
            <v>65</v>
          </cell>
          <cell r="F311">
            <v>242</v>
          </cell>
          <cell r="G311">
            <v>357</v>
          </cell>
          <cell r="H311" t="str">
            <v>U$S</v>
          </cell>
          <cell r="I311">
            <v>43</v>
          </cell>
          <cell r="J311">
            <v>46</v>
          </cell>
          <cell r="K311">
            <v>49</v>
          </cell>
        </row>
        <row r="312">
          <cell r="A312">
            <v>312</v>
          </cell>
          <cell r="B312" t="str">
            <v>Nestum</v>
          </cell>
          <cell r="C312" t="str">
            <v>$</v>
          </cell>
          <cell r="D312">
            <v>90</v>
          </cell>
          <cell r="E312">
            <v>65</v>
          </cell>
          <cell r="F312">
            <v>143</v>
          </cell>
          <cell r="G312">
            <v>133</v>
          </cell>
          <cell r="H312" t="str">
            <v>U$S</v>
          </cell>
        </row>
        <row r="313">
          <cell r="A313">
            <v>313</v>
          </cell>
          <cell r="B313">
            <v>0</v>
          </cell>
        </row>
        <row r="314">
          <cell r="A314">
            <v>314</v>
          </cell>
          <cell r="B314" t="str">
            <v>INFANT NUTRITION</v>
          </cell>
          <cell r="C314" t="str">
            <v>$</v>
          </cell>
          <cell r="D314">
            <v>161</v>
          </cell>
          <cell r="E314">
            <v>130</v>
          </cell>
          <cell r="F314">
            <v>385</v>
          </cell>
          <cell r="G314">
            <v>490</v>
          </cell>
          <cell r="H314" t="str">
            <v>$</v>
          </cell>
          <cell r="I314">
            <v>512.13</v>
          </cell>
          <cell r="J314">
            <v>575</v>
          </cell>
          <cell r="K314">
            <v>642.88</v>
          </cell>
        </row>
        <row r="315">
          <cell r="A315">
            <v>315</v>
          </cell>
          <cell r="C315" t="str">
            <v>U$S</v>
          </cell>
          <cell r="D315">
            <v>20.089842775143502</v>
          </cell>
          <cell r="E315">
            <v>13.684210526315789</v>
          </cell>
          <cell r="F315">
            <v>36.754176610978519</v>
          </cell>
          <cell r="G315">
            <v>43.15279612505504</v>
          </cell>
          <cell r="H315" t="str">
            <v>U$S</v>
          </cell>
          <cell r="I315">
            <v>43</v>
          </cell>
          <cell r="J315">
            <v>46</v>
          </cell>
          <cell r="K315">
            <v>49</v>
          </cell>
        </row>
        <row r="316">
          <cell r="A316">
            <v>316</v>
          </cell>
          <cell r="B316" t="str">
            <v>Bracafe</v>
          </cell>
          <cell r="C316" t="str">
            <v>$</v>
          </cell>
          <cell r="D316">
            <v>1944</v>
          </cell>
          <cell r="E316">
            <v>2139</v>
          </cell>
          <cell r="F316">
            <v>2547</v>
          </cell>
          <cell r="G316">
            <v>3075</v>
          </cell>
          <cell r="H316" t="str">
            <v>U$S</v>
          </cell>
          <cell r="I316">
            <v>281</v>
          </cell>
          <cell r="J316">
            <v>294</v>
          </cell>
          <cell r="K316">
            <v>308</v>
          </cell>
        </row>
        <row r="317">
          <cell r="A317">
            <v>317</v>
          </cell>
          <cell r="B317" t="str">
            <v>Chana Soluble</v>
          </cell>
          <cell r="C317" t="str">
            <v>$</v>
          </cell>
          <cell r="D317">
            <v>141</v>
          </cell>
          <cell r="E317">
            <v>138</v>
          </cell>
          <cell r="F317">
            <v>203</v>
          </cell>
          <cell r="G317">
            <v>310</v>
          </cell>
          <cell r="H317" t="str">
            <v>U$S</v>
          </cell>
          <cell r="I317">
            <v>15</v>
          </cell>
          <cell r="J317">
            <v>16</v>
          </cell>
          <cell r="K317">
            <v>17</v>
          </cell>
        </row>
        <row r="318">
          <cell r="A318">
            <v>318</v>
          </cell>
          <cell r="B318" t="str">
            <v>Nescafe Local</v>
          </cell>
          <cell r="C318" t="str">
            <v>$</v>
          </cell>
          <cell r="H318" t="str">
            <v>U$S</v>
          </cell>
        </row>
        <row r="319">
          <cell r="A319">
            <v>319</v>
          </cell>
          <cell r="B319" t="str">
            <v>Nescafe Importado</v>
          </cell>
          <cell r="C319" t="str">
            <v>$</v>
          </cell>
          <cell r="D319">
            <v>1631</v>
          </cell>
          <cell r="E319">
            <v>2161</v>
          </cell>
          <cell r="F319">
            <v>2875</v>
          </cell>
          <cell r="G319">
            <v>3171</v>
          </cell>
          <cell r="H319" t="str">
            <v>U$S</v>
          </cell>
          <cell r="I319">
            <v>243</v>
          </cell>
          <cell r="J319">
            <v>244</v>
          </cell>
          <cell r="K319">
            <v>273</v>
          </cell>
        </row>
        <row r="320">
          <cell r="A320">
            <v>320</v>
          </cell>
          <cell r="B320" t="str">
            <v>Nescafe Exportado</v>
          </cell>
          <cell r="C320" t="str">
            <v>$</v>
          </cell>
          <cell r="H320" t="str">
            <v>U$S</v>
          </cell>
        </row>
        <row r="321">
          <cell r="A321">
            <v>321</v>
          </cell>
          <cell r="B321">
            <v>0</v>
          </cell>
        </row>
        <row r="322">
          <cell r="A322">
            <v>322</v>
          </cell>
          <cell r="B322" t="str">
            <v>SOLUBLE COFFEE</v>
          </cell>
          <cell r="C322" t="str">
            <v>$</v>
          </cell>
          <cell r="D322">
            <v>3716</v>
          </cell>
          <cell r="E322">
            <v>4438</v>
          </cell>
          <cell r="F322">
            <v>5625</v>
          </cell>
          <cell r="G322">
            <v>6556</v>
          </cell>
          <cell r="H322" t="str">
            <v>$</v>
          </cell>
          <cell r="I322">
            <v>6419.49</v>
          </cell>
          <cell r="J322">
            <v>6925</v>
          </cell>
          <cell r="K322">
            <v>7845.7599999999993</v>
          </cell>
        </row>
        <row r="323">
          <cell r="A323">
            <v>323</v>
          </cell>
          <cell r="C323" t="str">
            <v>U$S</v>
          </cell>
          <cell r="D323">
            <v>463.68854504616922</v>
          </cell>
          <cell r="E323">
            <v>467.15789473684208</v>
          </cell>
          <cell r="F323">
            <v>536.99284009546545</v>
          </cell>
          <cell r="G323">
            <v>577.36679876706296</v>
          </cell>
          <cell r="H323" t="str">
            <v>U$S</v>
          </cell>
          <cell r="I323">
            <v>539</v>
          </cell>
          <cell r="J323">
            <v>554</v>
          </cell>
          <cell r="K323">
            <v>598</v>
          </cell>
        </row>
        <row r="324">
          <cell r="A324">
            <v>324</v>
          </cell>
          <cell r="B324" t="str">
            <v>Amanecer</v>
          </cell>
          <cell r="C324" t="str">
            <v>$</v>
          </cell>
          <cell r="D324">
            <v>23</v>
          </cell>
          <cell r="E324">
            <v>0</v>
          </cell>
          <cell r="F324">
            <v>0</v>
          </cell>
          <cell r="G324">
            <v>384</v>
          </cell>
          <cell r="H324" t="str">
            <v>U$S</v>
          </cell>
          <cell r="I324">
            <v>35</v>
          </cell>
          <cell r="J324">
            <v>35</v>
          </cell>
          <cell r="K324">
            <v>35</v>
          </cell>
        </row>
        <row r="325">
          <cell r="A325">
            <v>325</v>
          </cell>
          <cell r="B325" t="str">
            <v>Amanecer Export.Afiliadas</v>
          </cell>
          <cell r="C325" t="str">
            <v>$</v>
          </cell>
          <cell r="H325" t="str">
            <v>U$S</v>
          </cell>
        </row>
        <row r="326">
          <cell r="A326">
            <v>326</v>
          </cell>
          <cell r="B326" t="str">
            <v>Cebada Export.3os</v>
          </cell>
          <cell r="C326" t="str">
            <v>$</v>
          </cell>
          <cell r="H326" t="str">
            <v>U$S</v>
          </cell>
        </row>
        <row r="327">
          <cell r="A327">
            <v>327</v>
          </cell>
          <cell r="B327" t="str">
            <v>Mokambo</v>
          </cell>
          <cell r="C327" t="str">
            <v>$</v>
          </cell>
          <cell r="H327" t="str">
            <v>U$S</v>
          </cell>
        </row>
        <row r="328">
          <cell r="A328">
            <v>328</v>
          </cell>
          <cell r="B328" t="str">
            <v>Vascolet</v>
          </cell>
          <cell r="C328" t="str">
            <v>$</v>
          </cell>
          <cell r="D328">
            <v>1412</v>
          </cell>
          <cell r="E328">
            <v>1765</v>
          </cell>
          <cell r="F328">
            <v>1937</v>
          </cell>
          <cell r="G328">
            <v>1917</v>
          </cell>
          <cell r="H328" t="str">
            <v>U$S</v>
          </cell>
          <cell r="I328">
            <v>199</v>
          </cell>
          <cell r="J328">
            <v>201</v>
          </cell>
          <cell r="K328">
            <v>202</v>
          </cell>
        </row>
        <row r="329">
          <cell r="A329">
            <v>329</v>
          </cell>
          <cell r="B329" t="str">
            <v>Nescao</v>
          </cell>
          <cell r="C329" t="str">
            <v>$</v>
          </cell>
          <cell r="D329">
            <v>843</v>
          </cell>
          <cell r="E329">
            <v>1027</v>
          </cell>
          <cell r="F329">
            <v>1472</v>
          </cell>
          <cell r="G329">
            <v>1325</v>
          </cell>
          <cell r="H329" t="str">
            <v>U$S</v>
          </cell>
        </row>
        <row r="330">
          <cell r="A330">
            <v>330</v>
          </cell>
          <cell r="B330" t="str">
            <v>Cocoa Copacabana</v>
          </cell>
          <cell r="C330" t="str">
            <v>$</v>
          </cell>
          <cell r="D330">
            <v>262</v>
          </cell>
          <cell r="E330">
            <v>74</v>
          </cell>
          <cell r="F330">
            <v>3</v>
          </cell>
          <cell r="G330">
            <v>309</v>
          </cell>
          <cell r="H330" t="str">
            <v>U$S</v>
          </cell>
          <cell r="I330">
            <v>106</v>
          </cell>
          <cell r="J330">
            <v>102</v>
          </cell>
          <cell r="K330">
            <v>94</v>
          </cell>
        </row>
        <row r="331">
          <cell r="A331">
            <v>331</v>
          </cell>
          <cell r="B331" t="str">
            <v>Cocoa Aguila</v>
          </cell>
          <cell r="C331" t="str">
            <v>$</v>
          </cell>
          <cell r="H331" t="str">
            <v>U$S</v>
          </cell>
        </row>
        <row r="332">
          <cell r="A332">
            <v>332</v>
          </cell>
          <cell r="B332" t="str">
            <v>Cacao Copacabana</v>
          </cell>
          <cell r="C332" t="str">
            <v>$</v>
          </cell>
          <cell r="D332">
            <v>63</v>
          </cell>
          <cell r="E332">
            <v>19</v>
          </cell>
          <cell r="F332">
            <v>1</v>
          </cell>
          <cell r="G332">
            <v>78</v>
          </cell>
          <cell r="H332" t="str">
            <v>U$S</v>
          </cell>
        </row>
        <row r="333">
          <cell r="A333">
            <v>333</v>
          </cell>
          <cell r="B333">
            <v>0</v>
          </cell>
        </row>
        <row r="334">
          <cell r="A334">
            <v>334</v>
          </cell>
          <cell r="B334" t="str">
            <v>OTHER BEVERAGES</v>
          </cell>
          <cell r="C334" t="str">
            <v>$</v>
          </cell>
          <cell r="D334">
            <v>2603</v>
          </cell>
          <cell r="E334">
            <v>2885</v>
          </cell>
          <cell r="F334">
            <v>3413</v>
          </cell>
          <cell r="G334">
            <v>4013</v>
          </cell>
          <cell r="H334" t="str">
            <v>$</v>
          </cell>
          <cell r="I334">
            <v>4049.4</v>
          </cell>
          <cell r="J334">
            <v>4225</v>
          </cell>
          <cell r="K334">
            <v>4342.7199999999993</v>
          </cell>
        </row>
        <row r="335">
          <cell r="A335">
            <v>335</v>
          </cell>
          <cell r="C335" t="str">
            <v>U$S</v>
          </cell>
          <cell r="D335">
            <v>324.80658847017719</v>
          </cell>
          <cell r="E335">
            <v>303.68421052631578</v>
          </cell>
          <cell r="F335">
            <v>325.82338902147973</v>
          </cell>
          <cell r="G335">
            <v>353.41259357111403</v>
          </cell>
          <cell r="H335" t="str">
            <v>U$S</v>
          </cell>
          <cell r="I335">
            <v>340</v>
          </cell>
          <cell r="J335">
            <v>338</v>
          </cell>
          <cell r="K335">
            <v>331</v>
          </cell>
        </row>
        <row r="336">
          <cell r="A336">
            <v>336</v>
          </cell>
          <cell r="B336" t="str">
            <v>Alfajor</v>
          </cell>
          <cell r="C336" t="str">
            <v>$</v>
          </cell>
          <cell r="D336">
            <v>252</v>
          </cell>
          <cell r="E336">
            <v>9</v>
          </cell>
          <cell r="F336">
            <v>6</v>
          </cell>
          <cell r="G336">
            <v>309</v>
          </cell>
          <cell r="H336" t="str">
            <v>U$S</v>
          </cell>
          <cell r="I336">
            <v>7</v>
          </cell>
          <cell r="J336">
            <v>7</v>
          </cell>
          <cell r="K336">
            <v>8</v>
          </cell>
        </row>
        <row r="337">
          <cell r="A337">
            <v>337</v>
          </cell>
          <cell r="B337" t="str">
            <v>Galletitas</v>
          </cell>
          <cell r="C337" t="str">
            <v>$</v>
          </cell>
          <cell r="D337">
            <v>294</v>
          </cell>
          <cell r="E337">
            <v>0</v>
          </cell>
          <cell r="F337">
            <v>2</v>
          </cell>
          <cell r="G337">
            <v>183</v>
          </cell>
          <cell r="H337" t="str">
            <v>U$S</v>
          </cell>
          <cell r="I337">
            <v>12</v>
          </cell>
          <cell r="J337">
            <v>13</v>
          </cell>
          <cell r="K337">
            <v>13</v>
          </cell>
        </row>
        <row r="338">
          <cell r="A338">
            <v>338</v>
          </cell>
          <cell r="B338" t="str">
            <v>Chocolates</v>
          </cell>
          <cell r="C338" t="str">
            <v>$</v>
          </cell>
          <cell r="D338">
            <v>38</v>
          </cell>
          <cell r="E338">
            <v>0</v>
          </cell>
          <cell r="F338">
            <v>15</v>
          </cell>
          <cell r="G338">
            <v>99</v>
          </cell>
          <cell r="H338" t="str">
            <v>U$S</v>
          </cell>
          <cell r="I338">
            <v>21</v>
          </cell>
          <cell r="J338">
            <v>25</v>
          </cell>
          <cell r="K338">
            <v>34</v>
          </cell>
        </row>
        <row r="339">
          <cell r="A339">
            <v>339</v>
          </cell>
          <cell r="B339">
            <v>0</v>
          </cell>
        </row>
        <row r="340">
          <cell r="A340">
            <v>340</v>
          </cell>
          <cell r="B340" t="str">
            <v>CHOCOLATE, CONFECT. AND BISCUITS</v>
          </cell>
          <cell r="C340" t="str">
            <v>$</v>
          </cell>
          <cell r="D340">
            <v>584</v>
          </cell>
          <cell r="E340">
            <v>9</v>
          </cell>
          <cell r="F340">
            <v>23</v>
          </cell>
          <cell r="G340">
            <v>591</v>
          </cell>
          <cell r="H340" t="str">
            <v>$</v>
          </cell>
          <cell r="I340">
            <v>476.4</v>
          </cell>
          <cell r="J340">
            <v>562.5</v>
          </cell>
          <cell r="K340">
            <v>721.59999999999991</v>
          </cell>
        </row>
        <row r="341">
          <cell r="A341">
            <v>341</v>
          </cell>
          <cell r="C341" t="str">
            <v>U$S</v>
          </cell>
          <cell r="D341">
            <v>72.872473171949096</v>
          </cell>
          <cell r="E341">
            <v>0.94736842105263153</v>
          </cell>
          <cell r="F341">
            <v>2.1957040572792366</v>
          </cell>
          <cell r="G341">
            <v>52.047556142668427</v>
          </cell>
          <cell r="H341" t="str">
            <v>U$S</v>
          </cell>
          <cell r="I341">
            <v>40</v>
          </cell>
          <cell r="J341">
            <v>45</v>
          </cell>
          <cell r="K341">
            <v>55</v>
          </cell>
        </row>
        <row r="342">
          <cell r="A342">
            <v>342</v>
          </cell>
          <cell r="B342" t="str">
            <v>Caldos</v>
          </cell>
          <cell r="C342" t="str">
            <v>$</v>
          </cell>
          <cell r="D342">
            <v>672</v>
          </cell>
          <cell r="E342">
            <v>96</v>
          </cell>
          <cell r="F342">
            <v>738</v>
          </cell>
          <cell r="G342">
            <v>853</v>
          </cell>
          <cell r="H342" t="str">
            <v>U$S</v>
          </cell>
        </row>
        <row r="343">
          <cell r="A343">
            <v>343</v>
          </cell>
          <cell r="B343" t="str">
            <v xml:space="preserve">Sopas </v>
          </cell>
          <cell r="C343" t="str">
            <v>$</v>
          </cell>
          <cell r="D343">
            <v>3022</v>
          </cell>
          <cell r="E343">
            <v>3486</v>
          </cell>
          <cell r="F343">
            <v>2976</v>
          </cell>
          <cell r="G343">
            <v>2677</v>
          </cell>
          <cell r="H343" t="str">
            <v>U$S</v>
          </cell>
          <cell r="I343">
            <v>430</v>
          </cell>
          <cell r="J343">
            <v>425</v>
          </cell>
          <cell r="K343">
            <v>435</v>
          </cell>
        </row>
        <row r="344">
          <cell r="A344">
            <v>344</v>
          </cell>
          <cell r="B344" t="str">
            <v>Salsas</v>
          </cell>
          <cell r="C344" t="str">
            <v>$</v>
          </cell>
          <cell r="E344">
            <v>163</v>
          </cell>
          <cell r="F344">
            <v>180</v>
          </cell>
          <cell r="G344">
            <v>205</v>
          </cell>
          <cell r="H344" t="str">
            <v>U$S</v>
          </cell>
        </row>
        <row r="345">
          <cell r="A345">
            <v>345</v>
          </cell>
          <cell r="B345" t="str">
            <v>Pure de Papas</v>
          </cell>
          <cell r="C345" t="str">
            <v>$</v>
          </cell>
          <cell r="D345">
            <v>1705</v>
          </cell>
          <cell r="E345">
            <v>1959</v>
          </cell>
          <cell r="F345">
            <v>1457</v>
          </cell>
          <cell r="G345">
            <v>1236</v>
          </cell>
          <cell r="H345" t="str">
            <v>U$S</v>
          </cell>
        </row>
        <row r="346">
          <cell r="A346">
            <v>346</v>
          </cell>
          <cell r="B346">
            <v>0</v>
          </cell>
          <cell r="C346" t="str">
            <v>$</v>
          </cell>
          <cell r="H346" t="str">
            <v>$</v>
          </cell>
        </row>
        <row r="347">
          <cell r="A347">
            <v>347</v>
          </cell>
          <cell r="B347" t="str">
            <v>CULINARY PRODUCTS</v>
          </cell>
          <cell r="C347" t="str">
            <v>$</v>
          </cell>
          <cell r="D347">
            <v>5399</v>
          </cell>
          <cell r="E347">
            <v>5704</v>
          </cell>
          <cell r="F347">
            <v>5351</v>
          </cell>
          <cell r="G347">
            <v>4971</v>
          </cell>
          <cell r="H347" t="str">
            <v>$</v>
          </cell>
          <cell r="I347">
            <v>5121.3</v>
          </cell>
          <cell r="J347">
            <v>5312.5</v>
          </cell>
          <cell r="K347">
            <v>5707.2</v>
          </cell>
        </row>
        <row r="348">
          <cell r="A348">
            <v>348</v>
          </cell>
          <cell r="C348" t="str">
            <v>U$S</v>
          </cell>
          <cell r="D348">
            <v>673.69603194409785</v>
          </cell>
          <cell r="E348">
            <v>600.42105263157896</v>
          </cell>
          <cell r="F348">
            <v>510.83532219570407</v>
          </cell>
          <cell r="G348">
            <v>437.78071334214002</v>
          </cell>
          <cell r="H348" t="str">
            <v>U$S</v>
          </cell>
          <cell r="I348">
            <v>430</v>
          </cell>
          <cell r="J348">
            <v>425</v>
          </cell>
          <cell r="K348">
            <v>435</v>
          </cell>
        </row>
        <row r="349">
          <cell r="A349">
            <v>349</v>
          </cell>
          <cell r="B349">
            <v>0</v>
          </cell>
          <cell r="C349" t="str">
            <v>$</v>
          </cell>
          <cell r="H349" t="str">
            <v>U$S</v>
          </cell>
        </row>
        <row r="350">
          <cell r="A350">
            <v>350</v>
          </cell>
          <cell r="B350">
            <v>0</v>
          </cell>
        </row>
        <row r="351">
          <cell r="A351">
            <v>351</v>
          </cell>
          <cell r="B351" t="str">
            <v>FROZEN FOODS</v>
          </cell>
          <cell r="C351" t="str">
            <v>$</v>
          </cell>
          <cell r="D351">
            <v>0</v>
          </cell>
          <cell r="E351">
            <v>0</v>
          </cell>
          <cell r="F351">
            <v>0</v>
          </cell>
          <cell r="G351">
            <v>0</v>
          </cell>
          <cell r="H351" t="str">
            <v>$</v>
          </cell>
          <cell r="I351">
            <v>0</v>
          </cell>
          <cell r="J351">
            <v>0</v>
          </cell>
          <cell r="K351">
            <v>0</v>
          </cell>
        </row>
        <row r="352">
          <cell r="A352">
            <v>352</v>
          </cell>
          <cell r="C352" t="str">
            <v>U$S</v>
          </cell>
          <cell r="D352">
            <v>0</v>
          </cell>
          <cell r="E352">
            <v>0</v>
          </cell>
          <cell r="F352">
            <v>0</v>
          </cell>
          <cell r="G352">
            <v>0</v>
          </cell>
          <cell r="H352" t="str">
            <v>U$S</v>
          </cell>
          <cell r="I352">
            <v>0</v>
          </cell>
          <cell r="J352">
            <v>0</v>
          </cell>
          <cell r="K352">
            <v>0</v>
          </cell>
        </row>
        <row r="353">
          <cell r="A353">
            <v>353</v>
          </cell>
          <cell r="B353" t="str">
            <v>Helado Impulsivo</v>
          </cell>
          <cell r="C353" t="str">
            <v>$</v>
          </cell>
          <cell r="D353">
            <v>3500</v>
          </cell>
          <cell r="E353">
            <v>3538</v>
          </cell>
          <cell r="F353">
            <v>6097</v>
          </cell>
          <cell r="G353">
            <v>5189</v>
          </cell>
          <cell r="H353" t="str">
            <v>U$S</v>
          </cell>
          <cell r="I353">
            <v>533</v>
          </cell>
          <cell r="J353">
            <v>506</v>
          </cell>
          <cell r="K353">
            <v>455</v>
          </cell>
        </row>
        <row r="354">
          <cell r="A354">
            <v>354</v>
          </cell>
          <cell r="B354" t="str">
            <v>Helado Hogareño</v>
          </cell>
          <cell r="C354" t="str">
            <v>$</v>
          </cell>
          <cell r="E354">
            <v>1253</v>
          </cell>
          <cell r="F354">
            <v>1768</v>
          </cell>
          <cell r="G354">
            <v>1469</v>
          </cell>
          <cell r="H354" t="str">
            <v>U$S</v>
          </cell>
        </row>
        <row r="355">
          <cell r="A355">
            <v>355</v>
          </cell>
          <cell r="B355">
            <v>0</v>
          </cell>
        </row>
        <row r="356">
          <cell r="A356">
            <v>356</v>
          </cell>
          <cell r="B356" t="str">
            <v>ICE CREAM</v>
          </cell>
          <cell r="C356" t="str">
            <v>$</v>
          </cell>
          <cell r="D356">
            <v>3500</v>
          </cell>
          <cell r="E356">
            <v>4791</v>
          </cell>
          <cell r="F356">
            <v>7865</v>
          </cell>
          <cell r="G356">
            <v>6658</v>
          </cell>
          <cell r="H356" t="str">
            <v>$</v>
          </cell>
          <cell r="I356">
            <v>6348.03</v>
          </cell>
          <cell r="J356">
            <v>6325</v>
          </cell>
          <cell r="K356">
            <v>5969.5999999999995</v>
          </cell>
        </row>
        <row r="357">
          <cell r="A357">
            <v>357</v>
          </cell>
          <cell r="C357" t="str">
            <v>U$S</v>
          </cell>
          <cell r="D357">
            <v>436.7357125031196</v>
          </cell>
          <cell r="E357">
            <v>504.31578947368422</v>
          </cell>
          <cell r="F357">
            <v>750.83532219570407</v>
          </cell>
          <cell r="G357">
            <v>586.34962571554377</v>
          </cell>
          <cell r="H357" t="str">
            <v>U$S</v>
          </cell>
          <cell r="I357">
            <v>533</v>
          </cell>
          <cell r="J357">
            <v>506</v>
          </cell>
          <cell r="K357">
            <v>455</v>
          </cell>
        </row>
        <row r="358">
          <cell r="A358">
            <v>358</v>
          </cell>
          <cell r="B358">
            <v>0</v>
          </cell>
          <cell r="C358" t="str">
            <v>$</v>
          </cell>
          <cell r="H358" t="str">
            <v>U$S</v>
          </cell>
        </row>
        <row r="359">
          <cell r="A359">
            <v>359</v>
          </cell>
          <cell r="B359">
            <v>0</v>
          </cell>
        </row>
        <row r="360">
          <cell r="A360">
            <v>360</v>
          </cell>
          <cell r="B360" t="str">
            <v>DAIRY CHILLED PRODUCTS</v>
          </cell>
          <cell r="C360" t="str">
            <v>$</v>
          </cell>
          <cell r="D360">
            <v>0</v>
          </cell>
          <cell r="E360">
            <v>0</v>
          </cell>
          <cell r="F360">
            <v>0</v>
          </cell>
          <cell r="G360">
            <v>0</v>
          </cell>
          <cell r="H360" t="str">
            <v>$</v>
          </cell>
          <cell r="I360">
            <v>0</v>
          </cell>
          <cell r="J360">
            <v>0</v>
          </cell>
          <cell r="K360">
            <v>0</v>
          </cell>
        </row>
        <row r="361">
          <cell r="A361">
            <v>361</v>
          </cell>
          <cell r="C361" t="str">
            <v>U$S</v>
          </cell>
          <cell r="D361">
            <v>0</v>
          </cell>
          <cell r="E361">
            <v>0</v>
          </cell>
          <cell r="F361">
            <v>0</v>
          </cell>
          <cell r="G361">
            <v>0</v>
          </cell>
          <cell r="H361" t="str">
            <v>U$S</v>
          </cell>
          <cell r="I361">
            <v>0</v>
          </cell>
          <cell r="J361">
            <v>0</v>
          </cell>
          <cell r="K361">
            <v>0</v>
          </cell>
        </row>
        <row r="362">
          <cell r="A362">
            <v>362</v>
          </cell>
          <cell r="B362">
            <v>0</v>
          </cell>
          <cell r="C362" t="str">
            <v>$</v>
          </cell>
          <cell r="H362" t="str">
            <v>U$S</v>
          </cell>
        </row>
        <row r="363">
          <cell r="A363">
            <v>363</v>
          </cell>
          <cell r="B363">
            <v>0</v>
          </cell>
        </row>
        <row r="364">
          <cell r="A364">
            <v>364</v>
          </cell>
          <cell r="B364" t="str">
            <v>LIQUID DRINKS</v>
          </cell>
          <cell r="C364" t="str">
            <v>$</v>
          </cell>
          <cell r="D364">
            <v>0</v>
          </cell>
          <cell r="E364">
            <v>0</v>
          </cell>
          <cell r="F364">
            <v>0</v>
          </cell>
          <cell r="G364">
            <v>0</v>
          </cell>
          <cell r="H364" t="str">
            <v>$</v>
          </cell>
          <cell r="I364">
            <v>0</v>
          </cell>
          <cell r="J364">
            <v>0</v>
          </cell>
          <cell r="K364">
            <v>0</v>
          </cell>
        </row>
        <row r="365">
          <cell r="A365">
            <v>365</v>
          </cell>
          <cell r="C365" t="str">
            <v>U$S</v>
          </cell>
          <cell r="D365">
            <v>0</v>
          </cell>
          <cell r="E365">
            <v>0</v>
          </cell>
          <cell r="F365">
            <v>0</v>
          </cell>
          <cell r="G365">
            <v>0</v>
          </cell>
          <cell r="H365" t="str">
            <v>U$S</v>
          </cell>
          <cell r="I365">
            <v>0</v>
          </cell>
          <cell r="J365">
            <v>0</v>
          </cell>
          <cell r="K365">
            <v>0</v>
          </cell>
        </row>
        <row r="366">
          <cell r="A366">
            <v>366</v>
          </cell>
          <cell r="B366">
            <v>0</v>
          </cell>
          <cell r="C366" t="str">
            <v>$</v>
          </cell>
          <cell r="H366" t="str">
            <v>U$S</v>
          </cell>
        </row>
        <row r="367">
          <cell r="A367">
            <v>367</v>
          </cell>
          <cell r="B367">
            <v>0</v>
          </cell>
        </row>
        <row r="368">
          <cell r="A368">
            <v>368</v>
          </cell>
          <cell r="B368" t="str">
            <v>PHARMA &amp; DERMA PRODUCTS</v>
          </cell>
          <cell r="C368" t="str">
            <v>$</v>
          </cell>
          <cell r="D368">
            <v>0</v>
          </cell>
          <cell r="E368">
            <v>0</v>
          </cell>
          <cell r="F368">
            <v>0</v>
          </cell>
          <cell r="G368">
            <v>0</v>
          </cell>
          <cell r="H368" t="str">
            <v>$</v>
          </cell>
          <cell r="I368">
            <v>0</v>
          </cell>
          <cell r="J368">
            <v>0</v>
          </cell>
          <cell r="K368">
            <v>0</v>
          </cell>
        </row>
        <row r="369">
          <cell r="A369">
            <v>369</v>
          </cell>
          <cell r="C369" t="str">
            <v>U$S</v>
          </cell>
          <cell r="D369">
            <v>0</v>
          </cell>
          <cell r="E369">
            <v>0</v>
          </cell>
          <cell r="F369">
            <v>0</v>
          </cell>
          <cell r="G369">
            <v>0</v>
          </cell>
          <cell r="H369" t="str">
            <v>U$S</v>
          </cell>
          <cell r="I369">
            <v>0</v>
          </cell>
          <cell r="J369">
            <v>0</v>
          </cell>
          <cell r="K369">
            <v>0</v>
          </cell>
        </row>
        <row r="370">
          <cell r="A370">
            <v>370</v>
          </cell>
          <cell r="B370" t="str">
            <v>Dog</v>
          </cell>
          <cell r="C370" t="str">
            <v>$</v>
          </cell>
          <cell r="G370">
            <v>1150</v>
          </cell>
          <cell r="H370" t="str">
            <v>U$S</v>
          </cell>
          <cell r="I370">
            <v>114</v>
          </cell>
          <cell r="J370">
            <v>91</v>
          </cell>
          <cell r="K370">
            <v>105</v>
          </cell>
        </row>
        <row r="371">
          <cell r="A371">
            <v>371</v>
          </cell>
          <cell r="B371" t="str">
            <v>Cat</v>
          </cell>
          <cell r="C371" t="str">
            <v>$</v>
          </cell>
          <cell r="H371" t="str">
            <v>U$S</v>
          </cell>
        </row>
        <row r="372">
          <cell r="A372">
            <v>372</v>
          </cell>
          <cell r="B372">
            <v>0</v>
          </cell>
        </row>
        <row r="373">
          <cell r="A373">
            <v>373</v>
          </cell>
          <cell r="B373" t="str">
            <v>PET FOOD</v>
          </cell>
          <cell r="C373" t="str">
            <v>$</v>
          </cell>
          <cell r="D373">
            <v>0</v>
          </cell>
          <cell r="E373">
            <v>0</v>
          </cell>
          <cell r="F373">
            <v>0</v>
          </cell>
          <cell r="G373">
            <v>1150</v>
          </cell>
          <cell r="H373" t="str">
            <v>$</v>
          </cell>
          <cell r="I373">
            <v>1357.74</v>
          </cell>
          <cell r="J373">
            <v>1137.5</v>
          </cell>
          <cell r="K373">
            <v>1377.6</v>
          </cell>
        </row>
        <row r="374">
          <cell r="A374">
            <v>374</v>
          </cell>
          <cell r="C374" t="str">
            <v>U$S</v>
          </cell>
          <cell r="D374">
            <v>0</v>
          </cell>
          <cell r="E374">
            <v>0</v>
          </cell>
          <cell r="F374">
            <v>0</v>
          </cell>
          <cell r="G374">
            <v>101.27697049757816</v>
          </cell>
          <cell r="H374" t="str">
            <v>U$S</v>
          </cell>
          <cell r="I374">
            <v>114</v>
          </cell>
          <cell r="J374">
            <v>91</v>
          </cell>
          <cell r="K374">
            <v>105</v>
          </cell>
        </row>
        <row r="375">
          <cell r="A375">
            <v>375</v>
          </cell>
          <cell r="B375" t="str">
            <v>Cereales Desayuno</v>
          </cell>
          <cell r="C375" t="str">
            <v>$</v>
          </cell>
          <cell r="D375">
            <v>240</v>
          </cell>
          <cell r="E375">
            <v>742</v>
          </cell>
          <cell r="F375">
            <v>1496</v>
          </cell>
          <cell r="G375">
            <v>1524</v>
          </cell>
          <cell r="H375" t="str">
            <v>U$S</v>
          </cell>
          <cell r="I375">
            <v>137</v>
          </cell>
          <cell r="J375">
            <v>137</v>
          </cell>
          <cell r="K375">
            <v>131</v>
          </cell>
        </row>
        <row r="376">
          <cell r="A376">
            <v>376</v>
          </cell>
          <cell r="B376">
            <v>0</v>
          </cell>
        </row>
        <row r="377">
          <cell r="A377">
            <v>377</v>
          </cell>
          <cell r="B377" t="str">
            <v>ADULT NUTRITION</v>
          </cell>
          <cell r="C377" t="str">
            <v>$</v>
          </cell>
          <cell r="D377">
            <v>240</v>
          </cell>
          <cell r="E377">
            <v>742</v>
          </cell>
          <cell r="F377">
            <v>1496</v>
          </cell>
          <cell r="G377">
            <v>1524</v>
          </cell>
          <cell r="H377" t="str">
            <v>$</v>
          </cell>
          <cell r="I377">
            <v>1631.67</v>
          </cell>
          <cell r="J377">
            <v>1712.5</v>
          </cell>
          <cell r="K377">
            <v>1718.7199999999998</v>
          </cell>
        </row>
        <row r="378">
          <cell r="A378">
            <v>378</v>
          </cell>
          <cell r="C378" t="str">
            <v>U$S</v>
          </cell>
          <cell r="D378">
            <v>29.947591714499627</v>
          </cell>
          <cell r="E378">
            <v>78.10526315789474</v>
          </cell>
          <cell r="F378">
            <v>142.81622911694512</v>
          </cell>
          <cell r="G378">
            <v>134.21400264200793</v>
          </cell>
          <cell r="H378" t="str">
            <v>U$S</v>
          </cell>
          <cell r="I378">
            <v>137</v>
          </cell>
          <cell r="J378">
            <v>137</v>
          </cell>
          <cell r="K378">
            <v>131</v>
          </cell>
        </row>
        <row r="379">
          <cell r="A379">
            <v>379</v>
          </cell>
          <cell r="B379" t="str">
            <v>Café Express</v>
          </cell>
          <cell r="C379" t="str">
            <v>$</v>
          </cell>
          <cell r="D379">
            <v>224</v>
          </cell>
          <cell r="E379">
            <v>224</v>
          </cell>
          <cell r="F379">
            <v>352</v>
          </cell>
          <cell r="G379">
            <v>545</v>
          </cell>
          <cell r="H379" t="str">
            <v>U$S</v>
          </cell>
        </row>
        <row r="380">
          <cell r="A380">
            <v>380</v>
          </cell>
          <cell r="B380" t="str">
            <v>Molido El Chana</v>
          </cell>
          <cell r="C380" t="str">
            <v>$</v>
          </cell>
          <cell r="D380">
            <v>1125</v>
          </cell>
          <cell r="E380">
            <v>1185</v>
          </cell>
          <cell r="F380">
            <v>2122</v>
          </cell>
          <cell r="G380">
            <v>3144</v>
          </cell>
          <cell r="H380" t="str">
            <v>U$S</v>
          </cell>
          <cell r="I380">
            <v>183</v>
          </cell>
          <cell r="J380">
            <v>178</v>
          </cell>
          <cell r="K380">
            <v>186</v>
          </cell>
        </row>
        <row r="381">
          <cell r="A381">
            <v>381</v>
          </cell>
          <cell r="B381" t="str">
            <v>Molido Aguila</v>
          </cell>
          <cell r="C381" t="str">
            <v>$</v>
          </cell>
          <cell r="G381">
            <v>599</v>
          </cell>
          <cell r="H381" t="str">
            <v>U$S</v>
          </cell>
          <cell r="I381">
            <v>59</v>
          </cell>
          <cell r="J381">
            <v>66</v>
          </cell>
          <cell r="K381">
            <v>58</v>
          </cell>
        </row>
        <row r="382">
          <cell r="A382">
            <v>382</v>
          </cell>
          <cell r="B382">
            <v>0</v>
          </cell>
        </row>
        <row r="383">
          <cell r="A383">
            <v>383</v>
          </cell>
          <cell r="B383" t="str">
            <v>ROAST &amp; GROUND COFFEE</v>
          </cell>
          <cell r="C383" t="str">
            <v>$</v>
          </cell>
          <cell r="D383">
            <v>1349</v>
          </cell>
          <cell r="E383">
            <v>1409</v>
          </cell>
          <cell r="F383">
            <v>2474</v>
          </cell>
          <cell r="G383">
            <v>4288</v>
          </cell>
          <cell r="H383" t="str">
            <v>$</v>
          </cell>
          <cell r="I383">
            <v>2882.2200000000003</v>
          </cell>
          <cell r="J383">
            <v>3050</v>
          </cell>
          <cell r="K383">
            <v>3201.2799999999997</v>
          </cell>
        </row>
        <row r="384">
          <cell r="A384">
            <v>384</v>
          </cell>
          <cell r="C384" t="str">
            <v>U$S</v>
          </cell>
          <cell r="D384">
            <v>168.33042176191665</v>
          </cell>
          <cell r="E384">
            <v>148.31578947368422</v>
          </cell>
          <cell r="F384">
            <v>236.18138424821004</v>
          </cell>
          <cell r="G384">
            <v>377.63099955966533</v>
          </cell>
          <cell r="H384" t="str">
            <v>U$S</v>
          </cell>
          <cell r="I384">
            <v>242</v>
          </cell>
          <cell r="J384">
            <v>244</v>
          </cell>
          <cell r="K384">
            <v>244</v>
          </cell>
        </row>
        <row r="385">
          <cell r="A385">
            <v>385</v>
          </cell>
          <cell r="B385">
            <v>0</v>
          </cell>
          <cell r="C385" t="str">
            <v>$</v>
          </cell>
          <cell r="H385" t="str">
            <v>U$S</v>
          </cell>
        </row>
        <row r="386">
          <cell r="A386">
            <v>386</v>
          </cell>
          <cell r="B386">
            <v>0</v>
          </cell>
        </row>
        <row r="387">
          <cell r="A387">
            <v>387</v>
          </cell>
          <cell r="B387" t="str">
            <v>CULINARY CHILLED PRODUCTS</v>
          </cell>
          <cell r="C387" t="str">
            <v>$</v>
          </cell>
          <cell r="D387">
            <v>0</v>
          </cell>
          <cell r="E387">
            <v>0</v>
          </cell>
          <cell r="F387">
            <v>0</v>
          </cell>
          <cell r="G387">
            <v>0</v>
          </cell>
          <cell r="H387" t="str">
            <v>$</v>
          </cell>
          <cell r="I387">
            <v>0</v>
          </cell>
          <cell r="J387">
            <v>0</v>
          </cell>
          <cell r="K387">
            <v>0</v>
          </cell>
        </row>
        <row r="388">
          <cell r="A388">
            <v>388</v>
          </cell>
          <cell r="C388" t="str">
            <v>U$S</v>
          </cell>
          <cell r="D388">
            <v>0</v>
          </cell>
          <cell r="E388">
            <v>0</v>
          </cell>
          <cell r="F388">
            <v>0</v>
          </cell>
          <cell r="G388">
            <v>0</v>
          </cell>
          <cell r="H388" t="str">
            <v>U$S</v>
          </cell>
          <cell r="I388">
            <v>0</v>
          </cell>
          <cell r="J388">
            <v>0</v>
          </cell>
          <cell r="K388">
            <v>0</v>
          </cell>
        </row>
        <row r="389">
          <cell r="A389">
            <v>389</v>
          </cell>
          <cell r="B389" t="str">
            <v>Azucar</v>
          </cell>
          <cell r="C389" t="str">
            <v>$</v>
          </cell>
          <cell r="H389" t="str">
            <v>U$S</v>
          </cell>
        </row>
        <row r="390">
          <cell r="A390">
            <v>390</v>
          </cell>
          <cell r="B390" t="str">
            <v xml:space="preserve">Te </v>
          </cell>
          <cell r="C390" t="str">
            <v>$</v>
          </cell>
          <cell r="D390">
            <v>35</v>
          </cell>
          <cell r="H390" t="str">
            <v>U$S</v>
          </cell>
        </row>
        <row r="391">
          <cell r="A391">
            <v>391</v>
          </cell>
          <cell r="B391">
            <v>0</v>
          </cell>
        </row>
        <row r="392">
          <cell r="A392">
            <v>392</v>
          </cell>
          <cell r="B392" t="str">
            <v>SUBSIDIARY PROD/ACTIVITIES</v>
          </cell>
          <cell r="C392" t="str">
            <v>$</v>
          </cell>
          <cell r="D392">
            <v>35</v>
          </cell>
          <cell r="E392">
            <v>0</v>
          </cell>
          <cell r="F392">
            <v>0</v>
          </cell>
          <cell r="G392">
            <v>0</v>
          </cell>
          <cell r="H392" t="str">
            <v>$</v>
          </cell>
          <cell r="I392">
            <v>0</v>
          </cell>
          <cell r="J392">
            <v>0</v>
          </cell>
          <cell r="K392">
            <v>0</v>
          </cell>
        </row>
        <row r="393">
          <cell r="A393">
            <v>393</v>
          </cell>
          <cell r="C393" t="str">
            <v>U$S</v>
          </cell>
          <cell r="D393">
            <v>4.3673571250311953</v>
          </cell>
          <cell r="E393">
            <v>0</v>
          </cell>
          <cell r="F393">
            <v>0</v>
          </cell>
          <cell r="G393">
            <v>0</v>
          </cell>
          <cell r="H393" t="str">
            <v>U$S</v>
          </cell>
          <cell r="I393">
            <v>0</v>
          </cell>
          <cell r="J393">
            <v>0</v>
          </cell>
          <cell r="K393">
            <v>0</v>
          </cell>
        </row>
        <row r="394">
          <cell r="A394">
            <v>394</v>
          </cell>
        </row>
        <row r="395">
          <cell r="A395">
            <v>395</v>
          </cell>
          <cell r="B395" t="str">
            <v>Capital de Trabajo x Mes</v>
          </cell>
          <cell r="C395" t="str">
            <v>$</v>
          </cell>
          <cell r="D395">
            <v>14545.418116552348</v>
          </cell>
          <cell r="E395">
            <v>18787.729749758135</v>
          </cell>
          <cell r="F395">
            <v>25105.795401628649</v>
          </cell>
          <cell r="G395">
            <v>28237.716835401508</v>
          </cell>
          <cell r="H395" t="str">
            <v>$</v>
          </cell>
          <cell r="I395">
            <v>29453.928450619638</v>
          </cell>
          <cell r="J395">
            <v>32095.330127846009</v>
          </cell>
          <cell r="K395">
            <v>36589.736980675996</v>
          </cell>
        </row>
        <row r="396">
          <cell r="A396">
            <v>396</v>
          </cell>
          <cell r="C396" t="str">
            <v>U$S</v>
          </cell>
          <cell r="D396">
            <v>1815.0010127966495</v>
          </cell>
          <cell r="E396">
            <v>1977.6557631324351</v>
          </cell>
          <cell r="F396">
            <v>2396.7346445468879</v>
          </cell>
          <cell r="G396">
            <v>2486.8090563981955</v>
          </cell>
          <cell r="H396" t="str">
            <v>U$S</v>
          </cell>
          <cell r="I396">
            <v>2473.0418514374173</v>
          </cell>
          <cell r="J396">
            <v>2567.6264102276809</v>
          </cell>
          <cell r="K396">
            <v>2788.851904014939</v>
          </cell>
        </row>
        <row r="397">
          <cell r="A397">
            <v>397</v>
          </cell>
          <cell r="B397" t="str">
            <v>Interes Operacional</v>
          </cell>
          <cell r="C397" t="str">
            <v>$</v>
          </cell>
          <cell r="D397">
            <v>4298.2122293529546</v>
          </cell>
          <cell r="E397">
            <v>4399.3421907110569</v>
          </cell>
          <cell r="F397">
            <v>4971.0639877718777</v>
          </cell>
          <cell r="G397">
            <v>6360.0143245160116</v>
          </cell>
          <cell r="I397">
            <v>5881.1803289648424</v>
          </cell>
          <cell r="J397">
            <v>6754.8852408989933</v>
          </cell>
          <cell r="K397">
            <v>8061.8276407773355</v>
          </cell>
        </row>
        <row r="398">
          <cell r="A398">
            <v>398</v>
          </cell>
          <cell r="B398" t="str">
            <v>Interes Operac,Efectivo</v>
          </cell>
          <cell r="C398" t="str">
            <v>$</v>
          </cell>
          <cell r="D398">
            <v>4295</v>
          </cell>
          <cell r="E398">
            <v>4403</v>
          </cell>
          <cell r="F398">
            <v>4972</v>
          </cell>
          <cell r="G398">
            <v>6354</v>
          </cell>
        </row>
        <row r="399">
          <cell r="A399">
            <v>399</v>
          </cell>
          <cell r="B399" t="str">
            <v>Rotacion</v>
          </cell>
          <cell r="C399" t="str">
            <v>Cia</v>
          </cell>
          <cell r="D399">
            <v>9.9162498351190589</v>
          </cell>
          <cell r="E399">
            <v>9.844190993985368</v>
          </cell>
          <cell r="F399">
            <v>8.9433769138991064</v>
          </cell>
          <cell r="G399">
            <v>8.6571800909031982</v>
          </cell>
          <cell r="I399">
            <v>8.7564227784553541</v>
          </cell>
          <cell r="J399">
            <v>8.8688914825349237</v>
          </cell>
          <cell r="K399">
            <v>8.7161315253080556</v>
          </cell>
        </row>
        <row r="400">
          <cell r="A400">
            <v>400</v>
          </cell>
          <cell r="B400" t="str">
            <v>Leche Condensada</v>
          </cell>
          <cell r="D400">
            <v>6</v>
          </cell>
          <cell r="E400">
            <v>6.2</v>
          </cell>
          <cell r="F400">
            <v>7.1</v>
          </cell>
          <cell r="G400">
            <v>7.4</v>
          </cell>
          <cell r="I400">
            <v>7</v>
          </cell>
          <cell r="J400">
            <v>7</v>
          </cell>
          <cell r="K400">
            <v>7</v>
          </cell>
        </row>
        <row r="401">
          <cell r="A401">
            <v>401</v>
          </cell>
          <cell r="B401" t="str">
            <v>Leches en Polvo</v>
          </cell>
          <cell r="D401">
            <v>6</v>
          </cell>
          <cell r="E401">
            <v>4.9000000000000004</v>
          </cell>
          <cell r="F401">
            <v>6.9</v>
          </cell>
          <cell r="G401">
            <v>12.8</v>
          </cell>
          <cell r="I401">
            <v>7</v>
          </cell>
          <cell r="J401">
            <v>7</v>
          </cell>
          <cell r="K401">
            <v>7</v>
          </cell>
        </row>
        <row r="402">
          <cell r="A402">
            <v>402</v>
          </cell>
          <cell r="B402">
            <v>0</v>
          </cell>
        </row>
        <row r="403">
          <cell r="A403">
            <v>403</v>
          </cell>
          <cell r="B403" t="str">
            <v>MILK PRODUCTS</v>
          </cell>
          <cell r="C403" t="str">
            <v>$</v>
          </cell>
          <cell r="D403">
            <v>125</v>
          </cell>
          <cell r="E403">
            <v>186.94206714944039</v>
          </cell>
          <cell r="F403">
            <v>192.85976729944889</v>
          </cell>
          <cell r="G403">
            <v>165.54476351351352</v>
          </cell>
          <cell r="H403" t="str">
            <v>$</v>
          </cell>
          <cell r="I403">
            <v>270.52714285714285</v>
          </cell>
          <cell r="J403">
            <v>312.5</v>
          </cell>
          <cell r="K403">
            <v>348.61714285714288</v>
          </cell>
        </row>
        <row r="404">
          <cell r="A404">
            <v>404</v>
          </cell>
          <cell r="C404" t="str">
            <v>U$S</v>
          </cell>
          <cell r="D404">
            <v>15.597704017968557</v>
          </cell>
          <cell r="E404">
            <v>19.67811233152004</v>
          </cell>
          <cell r="F404">
            <v>18.411433632405622</v>
          </cell>
          <cell r="G404">
            <v>14.579019243814487</v>
          </cell>
          <cell r="H404" t="str">
            <v>U$S</v>
          </cell>
          <cell r="I404">
            <v>22.714285714285715</v>
          </cell>
          <cell r="J404">
            <v>25</v>
          </cell>
          <cell r="K404">
            <v>26.571428571428573</v>
          </cell>
        </row>
        <row r="405">
          <cell r="A405">
            <v>405</v>
          </cell>
          <cell r="B405" t="str">
            <v>Nan</v>
          </cell>
          <cell r="D405">
            <v>6.4</v>
          </cell>
          <cell r="E405">
            <v>5.7</v>
          </cell>
          <cell r="F405">
            <v>8.3000000000000007</v>
          </cell>
          <cell r="G405">
            <v>9</v>
          </cell>
          <cell r="I405">
            <v>8.5</v>
          </cell>
          <cell r="J405">
            <v>8.5</v>
          </cell>
          <cell r="K405">
            <v>8.5</v>
          </cell>
        </row>
        <row r="406">
          <cell r="A406">
            <v>406</v>
          </cell>
          <cell r="B406" t="str">
            <v>Nestum</v>
          </cell>
          <cell r="D406">
            <v>6</v>
          </cell>
          <cell r="E406">
            <v>6.2</v>
          </cell>
          <cell r="F406">
            <v>9.4</v>
          </cell>
          <cell r="G406">
            <v>8.4</v>
          </cell>
          <cell r="I406">
            <v>8</v>
          </cell>
          <cell r="J406">
            <v>8</v>
          </cell>
          <cell r="K406">
            <v>8</v>
          </cell>
        </row>
        <row r="407">
          <cell r="A407">
            <v>407</v>
          </cell>
          <cell r="B407">
            <v>0</v>
          </cell>
        </row>
        <row r="408">
          <cell r="A408">
            <v>408</v>
          </cell>
          <cell r="B408" t="str">
            <v>INFANT NUTRITION</v>
          </cell>
          <cell r="C408" t="str">
            <v>$</v>
          </cell>
          <cell r="D408">
            <v>153.97916666666669</v>
          </cell>
          <cell r="E408">
            <v>221.79966044142614</v>
          </cell>
          <cell r="F408">
            <v>235.33004357856959</v>
          </cell>
          <cell r="G408">
            <v>282.61111111111109</v>
          </cell>
          <cell r="H408" t="str">
            <v>$</v>
          </cell>
          <cell r="I408">
            <v>336.28235294117644</v>
          </cell>
          <cell r="J408">
            <v>375</v>
          </cell>
          <cell r="K408">
            <v>416.75294117647059</v>
          </cell>
        </row>
        <row r="409">
          <cell r="A409">
            <v>409</v>
          </cell>
          <cell r="C409" t="str">
            <v>U$S</v>
          </cell>
          <cell r="D409">
            <v>19.213771732800936</v>
          </cell>
          <cell r="E409">
            <v>23.347332678044857</v>
          </cell>
          <cell r="F409">
            <v>22.465875281963683</v>
          </cell>
          <cell r="G409">
            <v>24.888693184598068</v>
          </cell>
          <cell r="H409" t="str">
            <v>U$S</v>
          </cell>
          <cell r="I409">
            <v>28.235294117647058</v>
          </cell>
          <cell r="J409">
            <v>30</v>
          </cell>
          <cell r="K409">
            <v>31.764705882352942</v>
          </cell>
        </row>
        <row r="410">
          <cell r="A410">
            <v>410</v>
          </cell>
          <cell r="B410" t="str">
            <v>Bracafe</v>
          </cell>
          <cell r="D410">
            <v>10.497999999999999</v>
          </cell>
          <cell r="E410">
            <v>12.795</v>
          </cell>
          <cell r="F410">
            <v>10.7</v>
          </cell>
          <cell r="G410">
            <v>10.3</v>
          </cell>
          <cell r="I410">
            <v>10</v>
          </cell>
          <cell r="J410">
            <v>10</v>
          </cell>
          <cell r="K410">
            <v>9.5</v>
          </cell>
        </row>
        <row r="411">
          <cell r="A411">
            <v>411</v>
          </cell>
          <cell r="B411" t="str">
            <v>Chana Soluble</v>
          </cell>
          <cell r="D411">
            <v>8.9700000000000006</v>
          </cell>
          <cell r="E411">
            <v>10.7</v>
          </cell>
          <cell r="F411">
            <v>8</v>
          </cell>
          <cell r="G411">
            <v>7.4</v>
          </cell>
          <cell r="I411">
            <v>7</v>
          </cell>
          <cell r="J411">
            <v>7</v>
          </cell>
          <cell r="K411">
            <v>7</v>
          </cell>
        </row>
        <row r="412">
          <cell r="A412">
            <v>412</v>
          </cell>
          <cell r="B412" t="str">
            <v>Nescafe Local</v>
          </cell>
          <cell r="D412">
            <v>1E-4</v>
          </cell>
          <cell r="E412">
            <v>1E-8</v>
          </cell>
          <cell r="F412">
            <v>8</v>
          </cell>
          <cell r="G412">
            <v>5.6</v>
          </cell>
          <cell r="I412">
            <v>6</v>
          </cell>
          <cell r="J412">
            <v>6</v>
          </cell>
          <cell r="K412">
            <v>6</v>
          </cell>
        </row>
        <row r="413">
          <cell r="A413">
            <v>413</v>
          </cell>
          <cell r="B413" t="str">
            <v>Nescafe Importado</v>
          </cell>
          <cell r="D413">
            <v>10.5</v>
          </cell>
          <cell r="E413">
            <v>8.6</v>
          </cell>
          <cell r="F413">
            <v>8</v>
          </cell>
          <cell r="G413">
            <v>8.4</v>
          </cell>
          <cell r="I413">
            <v>8.5</v>
          </cell>
          <cell r="J413">
            <v>9</v>
          </cell>
          <cell r="K413">
            <v>9</v>
          </cell>
        </row>
        <row r="414">
          <cell r="A414">
            <v>414</v>
          </cell>
          <cell r="B414">
            <v>0</v>
          </cell>
        </row>
        <row r="415">
          <cell r="A415">
            <v>415</v>
          </cell>
          <cell r="B415" t="str">
            <v>SOLUBLE COFFEE</v>
          </cell>
          <cell r="C415" t="str">
            <v>$</v>
          </cell>
          <cell r="D415">
            <v>6032.5576015343668</v>
          </cell>
          <cell r="E415">
            <v>7158.6349260261568</v>
          </cell>
          <cell r="F415">
            <v>9600.0096226635524</v>
          </cell>
          <cell r="G415">
            <v>10054.597421624121</v>
          </cell>
          <cell r="H415" t="str">
            <v>$</v>
          </cell>
          <cell r="I415">
            <v>10317.342756302522</v>
          </cell>
          <cell r="J415">
            <v>11371.309523809523</v>
          </cell>
          <cell r="K415">
            <v>13272.233650793649</v>
          </cell>
        </row>
        <row r="416">
          <cell r="A416">
            <v>416</v>
          </cell>
          <cell r="C416" t="str">
            <v>U$S</v>
          </cell>
          <cell r="D416">
            <v>752.75238352063479</v>
          </cell>
          <cell r="E416">
            <v>753.54051852906912</v>
          </cell>
          <cell r="F416">
            <v>916.46869906095969</v>
          </cell>
          <cell r="G416">
            <v>885.47753603030571</v>
          </cell>
          <cell r="H416" t="str">
            <v>U$S</v>
          </cell>
          <cell r="I416">
            <v>866.27563025210088</v>
          </cell>
          <cell r="J416">
            <v>909.70476190476188</v>
          </cell>
          <cell r="K416">
            <v>1011.6031746031746</v>
          </cell>
        </row>
        <row r="417">
          <cell r="A417">
            <v>417</v>
          </cell>
          <cell r="B417" t="str">
            <v>Amanecer</v>
          </cell>
          <cell r="D417">
            <v>10</v>
          </cell>
          <cell r="E417">
            <v>10.6</v>
          </cell>
          <cell r="F417">
            <v>8.6999999999999993</v>
          </cell>
          <cell r="G417">
            <v>7.8</v>
          </cell>
          <cell r="I417">
            <v>8</v>
          </cell>
          <cell r="J417">
            <v>8</v>
          </cell>
          <cell r="K417">
            <v>8</v>
          </cell>
        </row>
        <row r="418">
          <cell r="A418">
            <v>418</v>
          </cell>
          <cell r="B418" t="str">
            <v>Mokambo</v>
          </cell>
          <cell r="D418">
            <v>10</v>
          </cell>
          <cell r="E418">
            <v>10.6</v>
          </cell>
          <cell r="F418">
            <v>8.6999999999999993</v>
          </cell>
          <cell r="G418">
            <v>7.8</v>
          </cell>
          <cell r="I418">
            <v>8</v>
          </cell>
          <cell r="J418">
            <v>8</v>
          </cell>
          <cell r="K418">
            <v>8</v>
          </cell>
        </row>
        <row r="419">
          <cell r="A419">
            <v>419</v>
          </cell>
          <cell r="B419" t="str">
            <v>Vascolet</v>
          </cell>
          <cell r="D419">
            <v>11</v>
          </cell>
          <cell r="E419">
            <v>11.5</v>
          </cell>
          <cell r="F419">
            <v>9.9</v>
          </cell>
          <cell r="G419">
            <v>9.1999999999999993</v>
          </cell>
          <cell r="I419">
            <v>10</v>
          </cell>
          <cell r="J419">
            <v>9</v>
          </cell>
          <cell r="K419">
            <v>9</v>
          </cell>
        </row>
        <row r="420">
          <cell r="A420">
            <v>420</v>
          </cell>
          <cell r="B420" t="str">
            <v>Nescao</v>
          </cell>
          <cell r="D420">
            <v>9</v>
          </cell>
          <cell r="E420">
            <v>8.4</v>
          </cell>
          <cell r="F420">
            <v>7.3</v>
          </cell>
          <cell r="G420">
            <v>6.2</v>
          </cell>
          <cell r="I420">
            <v>7</v>
          </cell>
          <cell r="J420">
            <v>7</v>
          </cell>
          <cell r="K420">
            <v>7</v>
          </cell>
        </row>
        <row r="421">
          <cell r="A421">
            <v>421</v>
          </cell>
          <cell r="B421" t="str">
            <v>Cocoa Copacabana</v>
          </cell>
          <cell r="D421">
            <v>11</v>
          </cell>
          <cell r="E421">
            <v>10</v>
          </cell>
          <cell r="F421">
            <v>8.8000000000000007</v>
          </cell>
          <cell r="G421">
            <v>8.1</v>
          </cell>
          <cell r="I421">
            <v>8</v>
          </cell>
          <cell r="J421">
            <v>8</v>
          </cell>
          <cell r="K421">
            <v>8</v>
          </cell>
        </row>
        <row r="422">
          <cell r="A422">
            <v>422</v>
          </cell>
          <cell r="B422" t="str">
            <v>Cocoa Aguila</v>
          </cell>
          <cell r="D422">
            <v>1E-3</v>
          </cell>
          <cell r="E422">
            <v>9.9999999999999995E-8</v>
          </cell>
          <cell r="F422">
            <v>9.9999999999999995E-8</v>
          </cell>
          <cell r="G422">
            <v>9.9999999999999995E-8</v>
          </cell>
          <cell r="I422">
            <v>7</v>
          </cell>
          <cell r="J422">
            <v>7</v>
          </cell>
          <cell r="K422">
            <v>8</v>
          </cell>
        </row>
        <row r="423">
          <cell r="A423">
            <v>423</v>
          </cell>
          <cell r="B423" t="str">
            <v>Cacao Copacabana</v>
          </cell>
          <cell r="D423">
            <v>10</v>
          </cell>
          <cell r="E423">
            <v>10.199999999999999</v>
          </cell>
          <cell r="F423">
            <v>6.4</v>
          </cell>
          <cell r="G423">
            <v>5.5</v>
          </cell>
          <cell r="I423">
            <v>6</v>
          </cell>
          <cell r="J423">
            <v>6.5</v>
          </cell>
          <cell r="K423">
            <v>7</v>
          </cell>
        </row>
        <row r="424">
          <cell r="A424">
            <v>424</v>
          </cell>
          <cell r="B424">
            <v>0</v>
          </cell>
        </row>
        <row r="425">
          <cell r="A425">
            <v>425</v>
          </cell>
          <cell r="B425" t="str">
            <v>OTHER BEVERAGES</v>
          </cell>
          <cell r="C425" t="str">
            <v>$</v>
          </cell>
          <cell r="D425">
            <v>2770.4323232323231</v>
          </cell>
          <cell r="E425">
            <v>3085.6145076898683</v>
          </cell>
          <cell r="F425">
            <v>4172.3366831398544</v>
          </cell>
          <cell r="G425">
            <v>4892.633244009121</v>
          </cell>
          <cell r="H425" t="str">
            <v>$</v>
          </cell>
          <cell r="I425">
            <v>4489.8998571428574</v>
          </cell>
          <cell r="J425">
            <v>5140.3769841269841</v>
          </cell>
          <cell r="K425">
            <v>5441.7803174603168</v>
          </cell>
        </row>
        <row r="426">
          <cell r="A426">
            <v>426</v>
          </cell>
          <cell r="C426" t="str">
            <v>U$S</v>
          </cell>
          <cell r="D426">
            <v>345.69906703672615</v>
          </cell>
          <cell r="E426">
            <v>324.80152712524932</v>
          </cell>
          <cell r="F426">
            <v>398.31376450022475</v>
          </cell>
          <cell r="G426">
            <v>430.8791936599842</v>
          </cell>
          <cell r="H426" t="str">
            <v>U$S</v>
          </cell>
          <cell r="I426">
            <v>376.98571428571427</v>
          </cell>
          <cell r="J426">
            <v>411.23015873015873</v>
          </cell>
          <cell r="K426">
            <v>414.76984126984127</v>
          </cell>
        </row>
        <row r="427">
          <cell r="A427">
            <v>427</v>
          </cell>
          <cell r="B427" t="str">
            <v>Alfajor</v>
          </cell>
          <cell r="D427">
            <v>8.01</v>
          </cell>
          <cell r="E427">
            <v>10.6</v>
          </cell>
          <cell r="F427">
            <v>7.6</v>
          </cell>
          <cell r="G427">
            <v>7.4</v>
          </cell>
          <cell r="I427">
            <v>8</v>
          </cell>
          <cell r="J427">
            <v>8</v>
          </cell>
          <cell r="K427">
            <v>8</v>
          </cell>
        </row>
        <row r="428">
          <cell r="A428">
            <v>428</v>
          </cell>
          <cell r="B428" t="str">
            <v>Galletitas</v>
          </cell>
          <cell r="D428">
            <v>8</v>
          </cell>
          <cell r="E428">
            <v>8.6</v>
          </cell>
          <cell r="F428">
            <v>7.5</v>
          </cell>
          <cell r="G428">
            <v>7.5</v>
          </cell>
          <cell r="I428">
            <v>8</v>
          </cell>
          <cell r="J428">
            <v>8</v>
          </cell>
          <cell r="K428">
            <v>8.5</v>
          </cell>
        </row>
        <row r="429">
          <cell r="A429">
            <v>429</v>
          </cell>
          <cell r="B429" t="str">
            <v>Chocolates</v>
          </cell>
          <cell r="D429">
            <v>7</v>
          </cell>
          <cell r="E429">
            <v>2.9</v>
          </cell>
          <cell r="F429">
            <v>3.1</v>
          </cell>
          <cell r="G429">
            <v>5.6</v>
          </cell>
          <cell r="I429">
            <v>6</v>
          </cell>
          <cell r="J429">
            <v>7</v>
          </cell>
          <cell r="K429">
            <v>7.5</v>
          </cell>
        </row>
        <row r="430">
          <cell r="A430">
            <v>430</v>
          </cell>
          <cell r="B430">
            <v>0</v>
          </cell>
        </row>
        <row r="431">
          <cell r="A431">
            <v>431</v>
          </cell>
          <cell r="B431" t="str">
            <v>CHOCOLATE, CONFECT. AND BISCUITS</v>
          </cell>
          <cell r="C431" t="str">
            <v>$</v>
          </cell>
          <cell r="D431">
            <v>773.03792134831463</v>
          </cell>
          <cell r="E431">
            <v>744.52088786672925</v>
          </cell>
          <cell r="F431">
            <v>923.84657611771365</v>
          </cell>
          <cell r="G431">
            <v>1065.4595238095237</v>
          </cell>
          <cell r="H431" t="str">
            <v>$</v>
          </cell>
          <cell r="I431">
            <v>994.48500000000001</v>
          </cell>
          <cell r="J431">
            <v>1167.1875</v>
          </cell>
          <cell r="K431">
            <v>1316.3797647058823</v>
          </cell>
        </row>
        <row r="432">
          <cell r="A432">
            <v>432</v>
          </cell>
          <cell r="C432" t="str">
            <v>U$S</v>
          </cell>
          <cell r="D432">
            <v>96.460933534853339</v>
          </cell>
          <cell r="E432">
            <v>78.370619775445178</v>
          </cell>
          <cell r="F432">
            <v>88.195377195008462</v>
          </cell>
          <cell r="G432">
            <v>93.831750225409394</v>
          </cell>
          <cell r="H432" t="str">
            <v>U$S</v>
          </cell>
          <cell r="I432">
            <v>83.5</v>
          </cell>
          <cell r="J432">
            <v>93.375</v>
          </cell>
          <cell r="K432">
            <v>100.33382352941177</v>
          </cell>
        </row>
        <row r="433">
          <cell r="A433">
            <v>433</v>
          </cell>
          <cell r="B433" t="str">
            <v>Caldos</v>
          </cell>
          <cell r="D433">
            <v>9</v>
          </cell>
          <cell r="E433">
            <v>3.9</v>
          </cell>
          <cell r="F433">
            <v>4.3</v>
          </cell>
          <cell r="G433">
            <v>6.6</v>
          </cell>
          <cell r="I433">
            <v>7</v>
          </cell>
          <cell r="J433">
            <v>7.5</v>
          </cell>
          <cell r="K433">
            <v>8</v>
          </cell>
        </row>
        <row r="434">
          <cell r="A434">
            <v>434</v>
          </cell>
          <cell r="B434" t="str">
            <v xml:space="preserve">Sopas </v>
          </cell>
          <cell r="D434">
            <v>9</v>
          </cell>
          <cell r="E434">
            <v>7.5</v>
          </cell>
          <cell r="F434">
            <v>9.6999999999999993</v>
          </cell>
          <cell r="G434">
            <v>9.1</v>
          </cell>
          <cell r="I434">
            <v>9.5</v>
          </cell>
          <cell r="J434">
            <v>10</v>
          </cell>
          <cell r="K434">
            <v>10</v>
          </cell>
        </row>
        <row r="435">
          <cell r="A435">
            <v>435</v>
          </cell>
          <cell r="B435" t="str">
            <v>Salsas</v>
          </cell>
          <cell r="D435">
            <v>1E-4</v>
          </cell>
          <cell r="E435">
            <v>6.7</v>
          </cell>
          <cell r="F435">
            <v>6</v>
          </cell>
          <cell r="G435">
            <v>5.7</v>
          </cell>
          <cell r="I435">
            <v>6</v>
          </cell>
          <cell r="J435">
            <v>6</v>
          </cell>
          <cell r="K435">
            <v>6</v>
          </cell>
        </row>
        <row r="436">
          <cell r="A436">
            <v>436</v>
          </cell>
          <cell r="B436" t="str">
            <v>Pure de Papas</v>
          </cell>
          <cell r="D436">
            <v>9</v>
          </cell>
          <cell r="E436">
            <v>8.4</v>
          </cell>
          <cell r="F436">
            <v>7.7</v>
          </cell>
          <cell r="G436">
            <v>7</v>
          </cell>
          <cell r="I436">
            <v>7</v>
          </cell>
          <cell r="J436">
            <v>7</v>
          </cell>
          <cell r="K436">
            <v>7</v>
          </cell>
        </row>
        <row r="437">
          <cell r="A437">
            <v>437</v>
          </cell>
          <cell r="B437">
            <v>0</v>
          </cell>
        </row>
        <row r="438">
          <cell r="A438">
            <v>438</v>
          </cell>
          <cell r="B438" t="str">
            <v>CULINARY PRODUCTS</v>
          </cell>
          <cell r="C438" t="str">
            <v>$</v>
          </cell>
          <cell r="D438">
            <v>1046.2222222222222</v>
          </cell>
          <cell r="E438">
            <v>1302.5276201410529</v>
          </cell>
          <cell r="F438">
            <v>1773.4179964525206</v>
          </cell>
          <cell r="G438">
            <v>1990.4937693885063</v>
          </cell>
          <cell r="H438" t="str">
            <v>$</v>
          </cell>
          <cell r="I438">
            <v>1797.7831578947369</v>
          </cell>
          <cell r="J438">
            <v>1898.75</v>
          </cell>
          <cell r="K438">
            <v>2114.9439999999995</v>
          </cell>
        </row>
        <row r="439">
          <cell r="A439">
            <v>439</v>
          </cell>
          <cell r="C439" t="str">
            <v>U$S</v>
          </cell>
          <cell r="D439">
            <v>130.54931647394838</v>
          </cell>
          <cell r="E439">
            <v>137.10817054116347</v>
          </cell>
          <cell r="F439">
            <v>169.30004739403537</v>
          </cell>
          <cell r="G439">
            <v>175.29667718084599</v>
          </cell>
          <cell r="H439" t="str">
            <v>U$S</v>
          </cell>
          <cell r="I439">
            <v>150.94736842105263</v>
          </cell>
          <cell r="J439">
            <v>151.9</v>
          </cell>
          <cell r="K439">
            <v>161.19999999999999</v>
          </cell>
        </row>
        <row r="440">
          <cell r="A440">
            <v>440</v>
          </cell>
          <cell r="B440">
            <v>0</v>
          </cell>
          <cell r="D440">
            <v>1E-4</v>
          </cell>
          <cell r="E440">
            <v>1E-4</v>
          </cell>
          <cell r="F440">
            <v>1E-4</v>
          </cell>
          <cell r="G440">
            <v>1E-4</v>
          </cell>
          <cell r="I440">
            <v>1E-4</v>
          </cell>
          <cell r="J440">
            <v>1E-4</v>
          </cell>
          <cell r="K440">
            <v>1E-4</v>
          </cell>
        </row>
        <row r="441">
          <cell r="A441">
            <v>441</v>
          </cell>
          <cell r="B441">
            <v>0</v>
          </cell>
        </row>
        <row r="442">
          <cell r="A442">
            <v>442</v>
          </cell>
          <cell r="B442" t="str">
            <v>FROZEN FOODS</v>
          </cell>
          <cell r="C442" t="str">
            <v>$</v>
          </cell>
          <cell r="D442">
            <v>0</v>
          </cell>
          <cell r="E442">
            <v>0</v>
          </cell>
          <cell r="F442">
            <v>0</v>
          </cell>
          <cell r="G442">
            <v>0</v>
          </cell>
          <cell r="H442" t="str">
            <v>$</v>
          </cell>
          <cell r="I442">
            <v>0</v>
          </cell>
          <cell r="J442">
            <v>1.25E-3</v>
          </cell>
          <cell r="K442">
            <v>1.312E-3</v>
          </cell>
        </row>
        <row r="443">
          <cell r="A443">
            <v>443</v>
          </cell>
          <cell r="C443" t="str">
            <v>U$S</v>
          </cell>
          <cell r="D443">
            <v>0</v>
          </cell>
          <cell r="E443">
            <v>0</v>
          </cell>
          <cell r="F443">
            <v>0</v>
          </cell>
          <cell r="G443">
            <v>0</v>
          </cell>
          <cell r="H443" t="str">
            <v>U$S</v>
          </cell>
          <cell r="I443">
            <v>0</v>
          </cell>
          <cell r="J443">
            <v>1E-4</v>
          </cell>
          <cell r="K443">
            <v>1E-4</v>
          </cell>
        </row>
        <row r="444">
          <cell r="A444">
            <v>444</v>
          </cell>
          <cell r="B444" t="str">
            <v>Helado Impulsivo</v>
          </cell>
          <cell r="D444">
            <v>6.5</v>
          </cell>
          <cell r="E444">
            <v>7.3</v>
          </cell>
          <cell r="F444">
            <v>9.1</v>
          </cell>
          <cell r="G444">
            <v>8.6</v>
          </cell>
          <cell r="I444">
            <v>9</v>
          </cell>
          <cell r="J444">
            <v>9</v>
          </cell>
          <cell r="K444">
            <v>8</v>
          </cell>
        </row>
        <row r="445">
          <cell r="A445">
            <v>445</v>
          </cell>
          <cell r="B445" t="str">
            <v>Helado Hogareño</v>
          </cell>
          <cell r="D445">
            <v>6.5</v>
          </cell>
          <cell r="E445">
            <v>7.8</v>
          </cell>
          <cell r="F445">
            <v>13.3</v>
          </cell>
          <cell r="G445">
            <v>14.7</v>
          </cell>
          <cell r="I445">
            <v>13</v>
          </cell>
          <cell r="J445">
            <v>13</v>
          </cell>
          <cell r="K445">
            <v>13</v>
          </cell>
        </row>
        <row r="446">
          <cell r="A446">
            <v>446</v>
          </cell>
          <cell r="B446">
            <v>0</v>
          </cell>
        </row>
        <row r="447">
          <cell r="A447">
            <v>447</v>
          </cell>
          <cell r="B447" t="str">
            <v>ICE CREAM</v>
          </cell>
          <cell r="C447" t="str">
            <v>$</v>
          </cell>
          <cell r="D447">
            <v>972</v>
          </cell>
          <cell r="E447">
            <v>2321.7843343870745</v>
          </cell>
          <cell r="F447">
            <v>2332.0994794679004</v>
          </cell>
          <cell r="G447">
            <v>3057.7456098718558</v>
          </cell>
          <cell r="H447" t="str">
            <v>$</v>
          </cell>
          <cell r="I447">
            <v>3525.36</v>
          </cell>
          <cell r="J447">
            <v>3905.5555555555557</v>
          </cell>
          <cell r="K447">
            <v>4975.7599999999993</v>
          </cell>
        </row>
        <row r="448">
          <cell r="A448">
            <v>448</v>
          </cell>
          <cell r="C448" t="str">
            <v>U$S</v>
          </cell>
          <cell r="D448">
            <v>121.28774644372349</v>
          </cell>
          <cell r="E448">
            <v>244.39835098811309</v>
          </cell>
          <cell r="F448">
            <v>222.63479517593322</v>
          </cell>
          <cell r="G448">
            <v>269.28627123486177</v>
          </cell>
          <cell r="H448" t="str">
            <v>U$S</v>
          </cell>
          <cell r="I448">
            <v>296</v>
          </cell>
          <cell r="J448">
            <v>312.44444444444446</v>
          </cell>
          <cell r="K448">
            <v>379.25</v>
          </cell>
        </row>
        <row r="449">
          <cell r="A449">
            <v>449</v>
          </cell>
          <cell r="B449">
            <v>0</v>
          </cell>
          <cell r="D449">
            <v>1E-4</v>
          </cell>
          <cell r="E449">
            <v>1E-4</v>
          </cell>
          <cell r="F449">
            <v>1E-4</v>
          </cell>
          <cell r="G449">
            <v>1E-4</v>
          </cell>
          <cell r="I449">
            <v>1E-4</v>
          </cell>
          <cell r="J449">
            <v>1E-4</v>
          </cell>
          <cell r="K449">
            <v>1E-4</v>
          </cell>
        </row>
        <row r="450">
          <cell r="A450">
            <v>450</v>
          </cell>
          <cell r="B450">
            <v>0</v>
          </cell>
        </row>
        <row r="451">
          <cell r="A451">
            <v>451</v>
          </cell>
          <cell r="B451" t="str">
            <v>DAIRY CHILLED PRODUCTS</v>
          </cell>
          <cell r="C451" t="str">
            <v>$</v>
          </cell>
          <cell r="D451">
            <v>0</v>
          </cell>
          <cell r="E451">
            <v>0</v>
          </cell>
          <cell r="F451">
            <v>0</v>
          </cell>
          <cell r="G451">
            <v>0</v>
          </cell>
          <cell r="H451" t="str">
            <v>$</v>
          </cell>
          <cell r="I451">
            <v>0</v>
          </cell>
          <cell r="J451">
            <v>0</v>
          </cell>
          <cell r="K451">
            <v>0</v>
          </cell>
        </row>
        <row r="452">
          <cell r="A452">
            <v>452</v>
          </cell>
          <cell r="C452" t="str">
            <v>U$S</v>
          </cell>
          <cell r="D452">
            <v>0</v>
          </cell>
          <cell r="E452">
            <v>0</v>
          </cell>
          <cell r="F452">
            <v>0</v>
          </cell>
          <cell r="G452">
            <v>0</v>
          </cell>
          <cell r="H452" t="str">
            <v>U$S</v>
          </cell>
          <cell r="I452">
            <v>0</v>
          </cell>
          <cell r="J452">
            <v>0</v>
          </cell>
          <cell r="K452">
            <v>0</v>
          </cell>
        </row>
        <row r="453">
          <cell r="A453">
            <v>453</v>
          </cell>
          <cell r="B453">
            <v>0</v>
          </cell>
          <cell r="D453">
            <v>1E-4</v>
          </cell>
          <cell r="E453">
            <v>1E-4</v>
          </cell>
          <cell r="F453">
            <v>1E-4</v>
          </cell>
          <cell r="G453">
            <v>1E-4</v>
          </cell>
          <cell r="I453">
            <v>1E-4</v>
          </cell>
          <cell r="J453">
            <v>1E-4</v>
          </cell>
          <cell r="K453">
            <v>1E-4</v>
          </cell>
        </row>
        <row r="454">
          <cell r="A454">
            <v>454</v>
          </cell>
          <cell r="B454">
            <v>0</v>
          </cell>
        </row>
        <row r="455">
          <cell r="A455">
            <v>455</v>
          </cell>
          <cell r="B455" t="str">
            <v>LIQUID DRINKS</v>
          </cell>
          <cell r="C455" t="str">
            <v>$</v>
          </cell>
          <cell r="D455">
            <v>0</v>
          </cell>
          <cell r="E455">
            <v>0</v>
          </cell>
          <cell r="F455">
            <v>0</v>
          </cell>
          <cell r="G455">
            <v>0</v>
          </cell>
          <cell r="H455" t="str">
            <v>$</v>
          </cell>
          <cell r="I455">
            <v>0</v>
          </cell>
          <cell r="J455">
            <v>0</v>
          </cell>
          <cell r="K455">
            <v>0</v>
          </cell>
        </row>
        <row r="456">
          <cell r="A456">
            <v>456</v>
          </cell>
          <cell r="C456" t="str">
            <v>U$S</v>
          </cell>
          <cell r="D456">
            <v>0</v>
          </cell>
          <cell r="E456">
            <v>0</v>
          </cell>
          <cell r="F456">
            <v>0</v>
          </cell>
          <cell r="G456">
            <v>0</v>
          </cell>
          <cell r="H456" t="str">
            <v>U$S</v>
          </cell>
          <cell r="I456">
            <v>0</v>
          </cell>
          <cell r="J456">
            <v>0</v>
          </cell>
          <cell r="K456">
            <v>0</v>
          </cell>
        </row>
        <row r="457">
          <cell r="A457">
            <v>457</v>
          </cell>
          <cell r="B457">
            <v>0</v>
          </cell>
          <cell r="D457">
            <v>1E-4</v>
          </cell>
          <cell r="E457">
            <v>1E-4</v>
          </cell>
          <cell r="F457">
            <v>1E-4</v>
          </cell>
          <cell r="G457">
            <v>1E-4</v>
          </cell>
          <cell r="I457">
            <v>1E-4</v>
          </cell>
          <cell r="J457">
            <v>1E-4</v>
          </cell>
          <cell r="K457">
            <v>1E-4</v>
          </cell>
        </row>
        <row r="458">
          <cell r="A458">
            <v>458</v>
          </cell>
          <cell r="B458">
            <v>0</v>
          </cell>
        </row>
        <row r="459">
          <cell r="A459">
            <v>459</v>
          </cell>
          <cell r="B459" t="str">
            <v>PHARMA &amp; DERMA PRODUCTS</v>
          </cell>
          <cell r="C459" t="str">
            <v>$</v>
          </cell>
          <cell r="D459">
            <v>1E-4</v>
          </cell>
          <cell r="E459">
            <v>1E-4</v>
          </cell>
          <cell r="F459">
            <v>1E-4</v>
          </cell>
          <cell r="G459">
            <v>1E-4</v>
          </cell>
          <cell r="H459" t="str">
            <v>$</v>
          </cell>
          <cell r="I459">
            <v>1.191E-3</v>
          </cell>
          <cell r="J459">
            <v>1.25E-3</v>
          </cell>
          <cell r="K459">
            <v>1.312E-3</v>
          </cell>
        </row>
        <row r="460">
          <cell r="A460">
            <v>460</v>
          </cell>
          <cell r="C460" t="str">
            <v>U$S</v>
          </cell>
          <cell r="D460">
            <v>1.2478163214374846E-5</v>
          </cell>
          <cell r="E460">
            <v>1.0526315789473684E-5</v>
          </cell>
          <cell r="F460">
            <v>9.5465393794749405E-6</v>
          </cell>
          <cell r="G460">
            <v>8.8066930867459273E-6</v>
          </cell>
          <cell r="H460" t="str">
            <v>U$S</v>
          </cell>
          <cell r="I460">
            <v>1E-4</v>
          </cell>
          <cell r="J460">
            <v>1E-4</v>
          </cell>
          <cell r="K460">
            <v>1E-4</v>
          </cell>
        </row>
        <row r="461">
          <cell r="A461">
            <v>461</v>
          </cell>
          <cell r="B461" t="str">
            <v>Dog</v>
          </cell>
          <cell r="D461">
            <v>1E-4</v>
          </cell>
          <cell r="E461">
            <v>1E-4</v>
          </cell>
          <cell r="F461">
            <v>1E-4</v>
          </cell>
          <cell r="G461">
            <v>5.8</v>
          </cell>
          <cell r="I461">
            <v>6</v>
          </cell>
          <cell r="J461">
            <v>6.5</v>
          </cell>
          <cell r="K461">
            <v>7</v>
          </cell>
        </row>
        <row r="462">
          <cell r="A462">
            <v>462</v>
          </cell>
          <cell r="B462" t="str">
            <v>Cat</v>
          </cell>
          <cell r="D462">
            <v>1E-4</v>
          </cell>
          <cell r="E462">
            <v>1E-4</v>
          </cell>
          <cell r="F462">
            <v>1E-4</v>
          </cell>
          <cell r="G462">
            <v>1E-4</v>
          </cell>
          <cell r="I462">
            <v>1E-4</v>
          </cell>
          <cell r="J462">
            <v>1E-4</v>
          </cell>
          <cell r="K462">
            <v>1E-4</v>
          </cell>
        </row>
        <row r="463">
          <cell r="A463">
            <v>463</v>
          </cell>
          <cell r="B463">
            <v>0</v>
          </cell>
        </row>
        <row r="464">
          <cell r="A464">
            <v>464</v>
          </cell>
          <cell r="B464" t="str">
            <v>PET FOOD</v>
          </cell>
          <cell r="C464" t="str">
            <v>$</v>
          </cell>
          <cell r="D464">
            <v>0</v>
          </cell>
          <cell r="E464">
            <v>0</v>
          </cell>
          <cell r="F464">
            <v>0</v>
          </cell>
          <cell r="G464">
            <v>256.0344827586207</v>
          </cell>
          <cell r="H464" t="str">
            <v>$</v>
          </cell>
          <cell r="I464">
            <v>452.58</v>
          </cell>
          <cell r="J464">
            <v>584.61538461538453</v>
          </cell>
          <cell r="K464">
            <v>783.45142857142855</v>
          </cell>
        </row>
        <row r="465">
          <cell r="A465">
            <v>465</v>
          </cell>
          <cell r="C465" t="str">
            <v>U$S</v>
          </cell>
          <cell r="D465">
            <v>0</v>
          </cell>
          <cell r="E465">
            <v>0</v>
          </cell>
          <cell r="F465">
            <v>0</v>
          </cell>
          <cell r="G465">
            <v>22.54817109278914</v>
          </cell>
          <cell r="H465" t="str">
            <v>U$S</v>
          </cell>
          <cell r="I465">
            <v>38</v>
          </cell>
          <cell r="J465">
            <v>46.769230769230766</v>
          </cell>
          <cell r="K465">
            <v>59.714285714285715</v>
          </cell>
        </row>
        <row r="466">
          <cell r="A466">
            <v>466</v>
          </cell>
          <cell r="B466" t="str">
            <v>Cereales Desayuno</v>
          </cell>
          <cell r="D466">
            <v>8</v>
          </cell>
          <cell r="E466">
            <v>4.7</v>
          </cell>
          <cell r="F466">
            <v>7.5</v>
          </cell>
          <cell r="G466">
            <v>6.6</v>
          </cell>
          <cell r="I466">
            <v>7</v>
          </cell>
          <cell r="J466">
            <v>7.2</v>
          </cell>
          <cell r="K466">
            <v>7.5</v>
          </cell>
        </row>
        <row r="467">
          <cell r="A467">
            <v>467</v>
          </cell>
          <cell r="B467">
            <v>0</v>
          </cell>
        </row>
        <row r="468">
          <cell r="A468">
            <v>468</v>
          </cell>
          <cell r="B468" t="str">
            <v>ADULT NUTRITION</v>
          </cell>
          <cell r="C468" t="str">
            <v>$</v>
          </cell>
          <cell r="D468">
            <v>107</v>
          </cell>
          <cell r="E468">
            <v>562.97872340425533</v>
          </cell>
          <cell r="F468">
            <v>567.73333333333335</v>
          </cell>
          <cell r="G468">
            <v>718.18181818181824</v>
          </cell>
          <cell r="H468" t="str">
            <v>$</v>
          </cell>
          <cell r="I468">
            <v>774.15</v>
          </cell>
          <cell r="J468">
            <v>850.69444444444446</v>
          </cell>
          <cell r="K468">
            <v>918.4</v>
          </cell>
        </row>
        <row r="469">
          <cell r="A469">
            <v>469</v>
          </cell>
          <cell r="C469" t="str">
            <v>U$S</v>
          </cell>
          <cell r="D469">
            <v>13.351634639381084</v>
          </cell>
          <cell r="E469">
            <v>59.26091825307951</v>
          </cell>
          <cell r="F469">
            <v>54.198886237072401</v>
          </cell>
          <cell r="G469">
            <v>63.248068532084389</v>
          </cell>
          <cell r="H469" t="str">
            <v>U$S</v>
          </cell>
          <cell r="I469">
            <v>65</v>
          </cell>
          <cell r="J469">
            <v>68.055555555555557</v>
          </cell>
          <cell r="K469">
            <v>70</v>
          </cell>
        </row>
        <row r="470">
          <cell r="A470">
            <v>470</v>
          </cell>
          <cell r="B470" t="str">
            <v>Café Express</v>
          </cell>
          <cell r="D470">
            <v>11.01</v>
          </cell>
          <cell r="E470">
            <v>11.4</v>
          </cell>
          <cell r="F470">
            <v>9.4</v>
          </cell>
          <cell r="G470">
            <v>9.0500000000000007</v>
          </cell>
          <cell r="I470">
            <v>9</v>
          </cell>
          <cell r="J470">
            <v>9.5</v>
          </cell>
          <cell r="K470">
            <v>10</v>
          </cell>
        </row>
        <row r="471">
          <cell r="A471">
            <v>471</v>
          </cell>
          <cell r="B471" t="str">
            <v>Molido El Chana</v>
          </cell>
          <cell r="D471">
            <v>11</v>
          </cell>
          <cell r="E471">
            <v>10.9</v>
          </cell>
          <cell r="F471">
            <v>9.6</v>
          </cell>
          <cell r="G471">
            <v>9.3000000000000007</v>
          </cell>
          <cell r="I471">
            <v>9.5</v>
          </cell>
          <cell r="J471">
            <v>10</v>
          </cell>
          <cell r="K471">
            <v>10</v>
          </cell>
        </row>
        <row r="472">
          <cell r="A472">
            <v>472</v>
          </cell>
          <cell r="B472" t="str">
            <v>Molido Aguila</v>
          </cell>
          <cell r="D472">
            <v>1E-4</v>
          </cell>
          <cell r="E472">
            <v>1E-4</v>
          </cell>
          <cell r="F472">
            <v>1.0000000000000001E-5</v>
          </cell>
          <cell r="G472">
            <v>8.3000000000000007</v>
          </cell>
          <cell r="I472">
            <v>8</v>
          </cell>
          <cell r="J472">
            <v>8.5</v>
          </cell>
          <cell r="K472">
            <v>9</v>
          </cell>
        </row>
        <row r="473">
          <cell r="A473">
            <v>473</v>
          </cell>
          <cell r="B473">
            <v>0</v>
          </cell>
        </row>
        <row r="474">
          <cell r="A474">
            <v>474</v>
          </cell>
          <cell r="B474" t="str">
            <v>ROAST &amp; GROUND COFFEE</v>
          </cell>
          <cell r="C474" t="str">
            <v>$</v>
          </cell>
          <cell r="D474">
            <v>2229.2998926595656</v>
          </cell>
          <cell r="E474">
            <v>2689.3449219378722</v>
          </cell>
          <cell r="F474">
            <v>4125.3789893617022</v>
          </cell>
          <cell r="G474">
            <v>4649.5011734694972</v>
          </cell>
          <cell r="H474" t="str">
            <v>$</v>
          </cell>
          <cell r="I474">
            <v>4800.0434210526319</v>
          </cell>
          <cell r="J474">
            <v>4783.0882352941171</v>
          </cell>
          <cell r="K474">
            <v>5282.6951111111111</v>
          </cell>
        </row>
        <row r="475">
          <cell r="A475">
            <v>475</v>
          </cell>
          <cell r="C475" t="str">
            <v>U$S</v>
          </cell>
          <cell r="D475">
            <v>278.1756791439438</v>
          </cell>
          <cell r="E475">
            <v>283.08893915135496</v>
          </cell>
          <cell r="F475">
            <v>393.83092977200022</v>
          </cell>
          <cell r="G475">
            <v>409.46729841210896</v>
          </cell>
          <cell r="H475" t="str">
            <v>U$S</v>
          </cell>
          <cell r="I475">
            <v>403.0263157894737</v>
          </cell>
          <cell r="J475">
            <v>382.64705882352939</v>
          </cell>
          <cell r="K475">
            <v>402.64444444444445</v>
          </cell>
        </row>
        <row r="476">
          <cell r="A476">
            <v>476</v>
          </cell>
          <cell r="B476">
            <v>0</v>
          </cell>
          <cell r="D476">
            <v>1E-4</v>
          </cell>
          <cell r="E476">
            <v>1E-4</v>
          </cell>
          <cell r="F476">
            <v>1E-3</v>
          </cell>
          <cell r="G476">
            <v>1E-4</v>
          </cell>
          <cell r="I476">
            <v>1.0000000000000001E-5</v>
          </cell>
          <cell r="J476">
            <v>1E-4</v>
          </cell>
          <cell r="K476">
            <v>1E-4</v>
          </cell>
        </row>
        <row r="477">
          <cell r="A477">
            <v>477</v>
          </cell>
          <cell r="B477">
            <v>0</v>
          </cell>
        </row>
        <row r="478">
          <cell r="A478">
            <v>478</v>
          </cell>
          <cell r="B478" t="str">
            <v>CULINARY CHILLED PRODUCTS</v>
          </cell>
          <cell r="C478" t="str">
            <v>$</v>
          </cell>
          <cell r="D478">
            <v>0</v>
          </cell>
          <cell r="E478">
            <v>0</v>
          </cell>
          <cell r="F478">
            <v>0</v>
          </cell>
          <cell r="G478">
            <v>0</v>
          </cell>
          <cell r="H478" t="str">
            <v>$</v>
          </cell>
          <cell r="I478">
            <v>0</v>
          </cell>
          <cell r="J478">
            <v>0</v>
          </cell>
          <cell r="K478">
            <v>0</v>
          </cell>
        </row>
        <row r="479">
          <cell r="A479">
            <v>479</v>
          </cell>
          <cell r="C479" t="str">
            <v>U$S</v>
          </cell>
          <cell r="D479">
            <v>0</v>
          </cell>
          <cell r="E479">
            <v>0</v>
          </cell>
          <cell r="F479">
            <v>0</v>
          </cell>
          <cell r="G479">
            <v>0</v>
          </cell>
          <cell r="H479" t="str">
            <v>U$S</v>
          </cell>
          <cell r="I479">
            <v>0</v>
          </cell>
          <cell r="J479">
            <v>0</v>
          </cell>
          <cell r="K479">
            <v>0</v>
          </cell>
        </row>
        <row r="480">
          <cell r="A480">
            <v>480</v>
          </cell>
          <cell r="B480" t="str">
            <v>Azucar</v>
          </cell>
          <cell r="D480">
            <v>9</v>
          </cell>
          <cell r="E480">
            <v>7.9</v>
          </cell>
          <cell r="F480">
            <v>8.3000000000000007</v>
          </cell>
          <cell r="G480">
            <v>8.1</v>
          </cell>
          <cell r="I480">
            <v>8</v>
          </cell>
          <cell r="J480">
            <v>8</v>
          </cell>
          <cell r="K480">
            <v>8</v>
          </cell>
        </row>
        <row r="481">
          <cell r="A481">
            <v>481</v>
          </cell>
          <cell r="B481" t="str">
            <v xml:space="preserve">Te </v>
          </cell>
          <cell r="D481">
            <v>6</v>
          </cell>
          <cell r="E481">
            <v>6.6</v>
          </cell>
          <cell r="F481">
            <v>5.8</v>
          </cell>
          <cell r="G481">
            <v>1.0000000000000001E-5</v>
          </cell>
          <cell r="I481">
            <v>1E-3</v>
          </cell>
          <cell r="J481">
            <v>1E-3</v>
          </cell>
          <cell r="K481">
            <v>1E-3</v>
          </cell>
        </row>
        <row r="482">
          <cell r="A482">
            <v>482</v>
          </cell>
          <cell r="B482">
            <v>0</v>
          </cell>
        </row>
        <row r="483">
          <cell r="A483">
            <v>483</v>
          </cell>
          <cell r="B483" t="str">
            <v>SUBSIDIARY PROD/ACTIVITIES</v>
          </cell>
          <cell r="C483" t="str">
            <v>$</v>
          </cell>
          <cell r="D483">
            <v>52.555555555555557</v>
          </cell>
          <cell r="E483">
            <v>53.007288070579207</v>
          </cell>
          <cell r="F483">
            <v>70.126713751557958</v>
          </cell>
          <cell r="G483">
            <v>52.962962962962962</v>
          </cell>
          <cell r="H483" t="str">
            <v>$</v>
          </cell>
          <cell r="I483">
            <v>53.594999999999999</v>
          </cell>
          <cell r="J483">
            <v>56.25</v>
          </cell>
          <cell r="K483">
            <v>59.04</v>
          </cell>
        </row>
        <row r="484">
          <cell r="A484">
            <v>484</v>
          </cell>
          <cell r="C484" t="str">
            <v>U$S</v>
          </cell>
          <cell r="D484">
            <v>6.5579680004436689</v>
          </cell>
          <cell r="E484">
            <v>5.5797145337451797</v>
          </cell>
          <cell r="F484">
            <v>6.6946743438241487</v>
          </cell>
          <cell r="G484">
            <v>4.6642855977950646</v>
          </cell>
          <cell r="H484" t="str">
            <v>U$S</v>
          </cell>
          <cell r="I484">
            <v>4.5</v>
          </cell>
          <cell r="J484">
            <v>4.5</v>
          </cell>
          <cell r="K484">
            <v>4.5</v>
          </cell>
        </row>
        <row r="485">
          <cell r="A485">
            <v>485</v>
          </cell>
          <cell r="B485" t="str">
            <v>Nescafe Exportado</v>
          </cell>
          <cell r="D485">
            <v>1E-4</v>
          </cell>
          <cell r="E485">
            <v>1E-4</v>
          </cell>
          <cell r="F485">
            <v>3.2</v>
          </cell>
          <cell r="G485">
            <v>4.8</v>
          </cell>
          <cell r="I485">
            <v>3</v>
          </cell>
          <cell r="J485">
            <v>3.5</v>
          </cell>
          <cell r="K485">
            <v>4</v>
          </cell>
        </row>
        <row r="486">
          <cell r="A486">
            <v>486</v>
          </cell>
          <cell r="B486" t="str">
            <v>Amanecer Export.Afiliadas</v>
          </cell>
          <cell r="D486">
            <v>9</v>
          </cell>
          <cell r="E486">
            <v>8.6999999999999993</v>
          </cell>
          <cell r="F486">
            <v>7.1</v>
          </cell>
          <cell r="G486">
            <v>6.5</v>
          </cell>
          <cell r="I486">
            <v>7</v>
          </cell>
          <cell r="J486">
            <v>7</v>
          </cell>
          <cell r="K486">
            <v>7</v>
          </cell>
        </row>
        <row r="487">
          <cell r="A487">
            <v>487</v>
          </cell>
        </row>
        <row r="488">
          <cell r="A488">
            <v>488</v>
          </cell>
          <cell r="B488" t="str">
            <v>Exportacion a Afiliadas</v>
          </cell>
          <cell r="C488" t="str">
            <v>$</v>
          </cell>
          <cell r="D488">
            <v>283.33333333333331</v>
          </cell>
          <cell r="E488">
            <v>460.5747126436782</v>
          </cell>
          <cell r="F488">
            <v>1004.7491197183099</v>
          </cell>
          <cell r="G488">
            <v>855.50641025641028</v>
          </cell>
          <cell r="H488" t="str">
            <v>$</v>
          </cell>
          <cell r="I488">
            <v>1641.8785714285716</v>
          </cell>
          <cell r="J488">
            <v>1650</v>
          </cell>
          <cell r="K488">
            <v>1659.6799999999998</v>
          </cell>
        </row>
        <row r="489">
          <cell r="A489">
            <v>489</v>
          </cell>
          <cell r="C489" t="str">
            <v>U$S</v>
          </cell>
          <cell r="D489">
            <v>35.354795774062062</v>
          </cell>
          <cell r="E489">
            <v>48.481548699334546</v>
          </cell>
          <cell r="F489">
            <v>95.918770378836271</v>
          </cell>
          <cell r="G489">
            <v>75.341823888719532</v>
          </cell>
          <cell r="H489" t="str">
            <v>U$S</v>
          </cell>
          <cell r="I489">
            <v>137.85714285714286</v>
          </cell>
          <cell r="J489">
            <v>132</v>
          </cell>
          <cell r="K489">
            <v>126.5</v>
          </cell>
        </row>
        <row r="490">
          <cell r="A490">
            <v>490</v>
          </cell>
          <cell r="B490" t="str">
            <v>Café Soluble a Afiliadas</v>
          </cell>
          <cell r="C490" t="str">
            <v>$</v>
          </cell>
          <cell r="D490">
            <v>0</v>
          </cell>
          <cell r="E490">
            <v>0</v>
          </cell>
          <cell r="F490">
            <v>675.3125</v>
          </cell>
          <cell r="G490">
            <v>514.58333333333337</v>
          </cell>
          <cell r="I490">
            <v>1214.82</v>
          </cell>
          <cell r="J490">
            <v>1157.1428571428571</v>
          </cell>
          <cell r="K490">
            <v>1121.76</v>
          </cell>
        </row>
        <row r="491">
          <cell r="A491">
            <v>491</v>
          </cell>
          <cell r="B491" t="str">
            <v>Cebada a Afiliadas</v>
          </cell>
          <cell r="C491" t="str">
            <v>$</v>
          </cell>
          <cell r="D491">
            <v>283.33333333333331</v>
          </cell>
          <cell r="E491">
            <v>460.5747126436782</v>
          </cell>
          <cell r="F491">
            <v>329.43661971830988</v>
          </cell>
          <cell r="G491">
            <v>340.92307692307691</v>
          </cell>
          <cell r="I491">
            <v>427.05857142857138</v>
          </cell>
          <cell r="J491">
            <v>492.85714285714289</v>
          </cell>
          <cell r="K491">
            <v>537.91999999999996</v>
          </cell>
        </row>
        <row r="492">
          <cell r="A492">
            <v>492</v>
          </cell>
          <cell r="B492" t="str">
            <v>Cebada Export.3os</v>
          </cell>
          <cell r="D492">
            <v>1E-4</v>
          </cell>
          <cell r="E492">
            <v>1E-4</v>
          </cell>
          <cell r="F492">
            <v>4.3</v>
          </cell>
          <cell r="G492">
            <v>4.5</v>
          </cell>
          <cell r="I492">
            <v>4</v>
          </cell>
          <cell r="J492">
            <v>4.5</v>
          </cell>
          <cell r="K492">
            <v>4.5</v>
          </cell>
        </row>
        <row r="493">
          <cell r="A493">
            <v>493</v>
          </cell>
        </row>
        <row r="494">
          <cell r="A494">
            <v>494</v>
          </cell>
          <cell r="B494" t="str">
            <v>Exportacion a Terceros</v>
          </cell>
          <cell r="C494" t="str">
            <v>$</v>
          </cell>
          <cell r="D494">
            <v>0</v>
          </cell>
          <cell r="E494">
            <v>0</v>
          </cell>
          <cell r="F494">
            <v>107.90697674418605</v>
          </cell>
          <cell r="G494">
            <v>196.44444444444446</v>
          </cell>
          <cell r="H494" t="str">
            <v>$</v>
          </cell>
          <cell r="I494">
            <v>0</v>
          </cell>
          <cell r="J494">
            <v>0</v>
          </cell>
          <cell r="K494">
            <v>0</v>
          </cell>
        </row>
        <row r="495">
          <cell r="A495">
            <v>495</v>
          </cell>
          <cell r="C495" t="str">
            <v>U$S</v>
          </cell>
          <cell r="D495">
            <v>0</v>
          </cell>
          <cell r="E495">
            <v>0</v>
          </cell>
          <cell r="F495">
            <v>10.301382028084587</v>
          </cell>
          <cell r="G495">
            <v>17.300259308185332</v>
          </cell>
          <cell r="H495" t="str">
            <v>U$S</v>
          </cell>
          <cell r="I495">
            <v>0</v>
          </cell>
          <cell r="J495">
            <v>0</v>
          </cell>
          <cell r="K495">
            <v>0</v>
          </cell>
        </row>
        <row r="496">
          <cell r="A496">
            <v>496</v>
          </cell>
          <cell r="B496" t="str">
            <v>Total Exportacion</v>
          </cell>
          <cell r="C496" t="str">
            <v>$</v>
          </cell>
          <cell r="D496">
            <v>283.33333333333331</v>
          </cell>
          <cell r="E496">
            <v>460.5747126436782</v>
          </cell>
          <cell r="F496">
            <v>1112.656096462496</v>
          </cell>
          <cell r="G496">
            <v>1051.9508547008547</v>
          </cell>
          <cell r="H496" t="str">
            <v>$</v>
          </cell>
          <cell r="I496">
            <v>1641.8785714285716</v>
          </cell>
          <cell r="J496">
            <v>1650</v>
          </cell>
          <cell r="K496">
            <v>1659.6799999999998</v>
          </cell>
        </row>
        <row r="497">
          <cell r="A497">
            <v>497</v>
          </cell>
        </row>
        <row r="498">
          <cell r="A498">
            <v>498</v>
          </cell>
          <cell r="B498" t="str">
            <v>Cap.Trab.Explot.al 31/12</v>
          </cell>
          <cell r="C498" t="str">
            <v>$</v>
          </cell>
          <cell r="D498">
            <v>14437</v>
          </cell>
          <cell r="E498">
            <v>18092</v>
          </cell>
          <cell r="F498">
            <v>18023</v>
          </cell>
          <cell r="G498">
            <v>21059</v>
          </cell>
        </row>
        <row r="499">
          <cell r="A499">
            <v>499</v>
          </cell>
          <cell r="B499" t="str">
            <v>Otros Elem.del Cap.Trab. 31/12</v>
          </cell>
          <cell r="C499" t="str">
            <v>$</v>
          </cell>
          <cell r="D499">
            <v>-1045</v>
          </cell>
          <cell r="E499">
            <v>-4623</v>
          </cell>
          <cell r="F499">
            <v>-4848</v>
          </cell>
          <cell r="G499">
            <v>-5881</v>
          </cell>
        </row>
        <row r="500">
          <cell r="A500">
            <v>500</v>
          </cell>
          <cell r="B500" t="str">
            <v>Coef.Cap.Trab.31/12 Prom.</v>
          </cell>
          <cell r="C500" t="str">
            <v>Coef</v>
          </cell>
          <cell r="D500">
            <v>0.99254623581917045</v>
          </cell>
          <cell r="E500">
            <v>0.96296892924132615</v>
          </cell>
          <cell r="F500">
            <v>0.71788205518598391</v>
          </cell>
          <cell r="G500">
            <v>0.74577559236653368</v>
          </cell>
          <cell r="H500" t="str">
            <v>Coef</v>
          </cell>
          <cell r="I500">
            <v>0.75</v>
          </cell>
          <cell r="J500">
            <v>0.76</v>
          </cell>
          <cell r="K500">
            <v>0.77</v>
          </cell>
        </row>
        <row r="501">
          <cell r="A501">
            <v>501</v>
          </cell>
          <cell r="B501" t="str">
            <v>Coef.Otros Elem.Cap.Trab.Explot.31/12</v>
          </cell>
          <cell r="C501" t="str">
            <v>Coef</v>
          </cell>
          <cell r="D501">
            <v>-7.238345916741705E-2</v>
          </cell>
          <cell r="E501">
            <v>-0.25552730488613751</v>
          </cell>
          <cell r="F501">
            <v>-0.26898962436886203</v>
          </cell>
          <cell r="G501">
            <v>-0.27926302293556199</v>
          </cell>
          <cell r="H501" t="str">
            <v>Coef</v>
          </cell>
          <cell r="I501">
            <v>-0.28999999999999998</v>
          </cell>
          <cell r="J501">
            <v>-0.3</v>
          </cell>
          <cell r="K501">
            <v>-0.31</v>
          </cell>
        </row>
        <row r="502">
          <cell r="A502">
            <v>502</v>
          </cell>
          <cell r="B502" t="str">
            <v>Cap.Trab.Neto Prom.Inv.Capital</v>
          </cell>
          <cell r="C502" t="str">
            <v>$</v>
          </cell>
          <cell r="D502">
            <v>13527</v>
          </cell>
          <cell r="E502">
            <v>13902</v>
          </cell>
          <cell r="F502">
            <v>18352</v>
          </cell>
          <cell r="G502">
            <v>20314</v>
          </cell>
        </row>
        <row r="503">
          <cell r="A503">
            <v>503</v>
          </cell>
          <cell r="B503" t="str">
            <v>Cap.Trab.Explot.al 31/12</v>
          </cell>
          <cell r="C503" t="str">
            <v>$</v>
          </cell>
          <cell r="D503" t="str">
            <v>Base de Calculo del PO</v>
          </cell>
          <cell r="F503">
            <v>18211</v>
          </cell>
          <cell r="G503">
            <v>-2848</v>
          </cell>
        </row>
        <row r="504">
          <cell r="A504">
            <v>504</v>
          </cell>
          <cell r="B504" t="str">
            <v>Otros Elem.del Cap.Trab. 31/12</v>
          </cell>
          <cell r="C504" t="str">
            <v>$</v>
          </cell>
          <cell r="D504" t="str">
            <v>Base de Calculo del PO</v>
          </cell>
          <cell r="F504">
            <v>-4528</v>
          </cell>
          <cell r="G504">
            <v>1353</v>
          </cell>
        </row>
        <row r="505">
          <cell r="A505">
            <v>505</v>
          </cell>
        </row>
        <row r="506">
          <cell r="A506">
            <v>506</v>
          </cell>
          <cell r="B506" t="str">
            <v>ACTIVO FIJO</v>
          </cell>
        </row>
        <row r="507">
          <cell r="A507">
            <v>507</v>
          </cell>
          <cell r="B507" t="str">
            <v>Valor Bruto al 01/01 Contable</v>
          </cell>
          <cell r="C507" t="str">
            <v>$</v>
          </cell>
          <cell r="D507">
            <v>52896</v>
          </cell>
          <cell r="E507">
            <v>70863</v>
          </cell>
          <cell r="F507">
            <v>85834</v>
          </cell>
          <cell r="G507">
            <v>99733</v>
          </cell>
        </row>
        <row r="508">
          <cell r="A508">
            <v>508</v>
          </cell>
          <cell r="B508" t="str">
            <v>Revaluo</v>
          </cell>
          <cell r="C508" t="str">
            <v>$</v>
          </cell>
          <cell r="D508">
            <v>12416</v>
          </cell>
          <cell r="E508">
            <v>9399</v>
          </cell>
          <cell r="F508">
            <v>2838</v>
          </cell>
          <cell r="G508">
            <v>8676</v>
          </cell>
        </row>
        <row r="509">
          <cell r="A509">
            <v>509</v>
          </cell>
          <cell r="B509" t="str">
            <v xml:space="preserve">Bajas </v>
          </cell>
          <cell r="C509" t="str">
            <v>$</v>
          </cell>
          <cell r="D509">
            <v>-1001</v>
          </cell>
          <cell r="E509">
            <v>-1597</v>
          </cell>
          <cell r="F509">
            <v>-2158</v>
          </cell>
          <cell r="G509">
            <v>0</v>
          </cell>
          <cell r="I509">
            <v>-700</v>
          </cell>
          <cell r="J509">
            <v>-600</v>
          </cell>
          <cell r="K509">
            <v>-800</v>
          </cell>
        </row>
        <row r="510">
          <cell r="A510">
            <v>510</v>
          </cell>
          <cell r="B510" t="str">
            <v>Fondo Amortizacion 01/01</v>
          </cell>
          <cell r="C510" t="str">
            <v>$</v>
          </cell>
          <cell r="D510">
            <v>-36861</v>
          </cell>
          <cell r="E510">
            <v>-47131</v>
          </cell>
          <cell r="F510">
            <v>-54902</v>
          </cell>
          <cell r="G510">
            <v>-64303</v>
          </cell>
        </row>
        <row r="511">
          <cell r="A511">
            <v>511</v>
          </cell>
          <cell r="B511" t="str">
            <v>Revaluo</v>
          </cell>
          <cell r="C511" t="str">
            <v>$</v>
          </cell>
          <cell r="D511">
            <v>-8652</v>
          </cell>
          <cell r="E511">
            <v>-6214</v>
          </cell>
          <cell r="F511">
            <v>-1814</v>
          </cell>
          <cell r="G511">
            <v>-5594</v>
          </cell>
        </row>
        <row r="512">
          <cell r="A512">
            <v>512</v>
          </cell>
          <cell r="B512" t="str">
            <v xml:space="preserve">Bajas </v>
          </cell>
          <cell r="C512" t="str">
            <v>$</v>
          </cell>
          <cell r="D512">
            <v>846</v>
          </cell>
          <cell r="E512">
            <v>1441</v>
          </cell>
          <cell r="F512">
            <v>1571</v>
          </cell>
          <cell r="G512">
            <v>0</v>
          </cell>
          <cell r="I512">
            <v>700</v>
          </cell>
          <cell r="J512">
            <v>600</v>
          </cell>
          <cell r="K512">
            <v>800</v>
          </cell>
        </row>
        <row r="513">
          <cell r="A513">
            <v>513</v>
          </cell>
          <cell r="B513" t="str">
            <v>Amortizacion del Ejercicio</v>
          </cell>
          <cell r="C513" t="str">
            <v>$</v>
          </cell>
          <cell r="D513">
            <v>-2464</v>
          </cell>
          <cell r="E513">
            <v>-2998</v>
          </cell>
          <cell r="F513">
            <v>-4198</v>
          </cell>
          <cell r="G513">
            <v>-7219</v>
          </cell>
        </row>
        <row r="514">
          <cell r="A514">
            <v>514</v>
          </cell>
          <cell r="B514" t="str">
            <v>% Amort.Ej./Valor Bruto 31/12</v>
          </cell>
          <cell r="C514" t="str">
            <v>%</v>
          </cell>
          <cell r="D514">
            <v>-3.4771319306267019</v>
          </cell>
          <cell r="E514">
            <v>-3.4927477136366285</v>
          </cell>
          <cell r="F514">
            <v>-4.519664524186342</v>
          </cell>
          <cell r="G514">
            <v>-6.1860449373019195</v>
          </cell>
          <cell r="H514" t="str">
            <v>%</v>
          </cell>
          <cell r="I514">
            <v>-7</v>
          </cell>
          <cell r="J514">
            <v>-7.2</v>
          </cell>
          <cell r="K514">
            <v>-7.5</v>
          </cell>
        </row>
        <row r="515">
          <cell r="A515">
            <v>515</v>
          </cell>
          <cell r="B515" t="str">
            <v>INVERSIONES</v>
          </cell>
          <cell r="C515" t="str">
            <v>$</v>
          </cell>
          <cell r="D515">
            <v>6552</v>
          </cell>
          <cell r="E515">
            <v>7170</v>
          </cell>
          <cell r="F515">
            <v>6369</v>
          </cell>
          <cell r="G515">
            <v>8289.15</v>
          </cell>
          <cell r="H515" t="str">
            <v>$</v>
          </cell>
          <cell r="I515">
            <v>7979.7</v>
          </cell>
          <cell r="J515">
            <v>8250</v>
          </cell>
          <cell r="K515">
            <v>9512</v>
          </cell>
        </row>
        <row r="516">
          <cell r="A516">
            <v>516</v>
          </cell>
          <cell r="C516" t="str">
            <v>U$S</v>
          </cell>
          <cell r="D516">
            <v>817.56925380583982</v>
          </cell>
          <cell r="E516">
            <v>754.73684210526312</v>
          </cell>
          <cell r="F516">
            <v>608.01909307875894</v>
          </cell>
          <cell r="G516">
            <v>730</v>
          </cell>
          <cell r="H516" t="str">
            <v>U$S</v>
          </cell>
          <cell r="I516">
            <v>670</v>
          </cell>
          <cell r="J516">
            <v>660</v>
          </cell>
          <cell r="K516">
            <v>725</v>
          </cell>
        </row>
        <row r="517">
          <cell r="A517">
            <v>517</v>
          </cell>
          <cell r="B517" t="str">
            <v>MILK PRODUCTS</v>
          </cell>
          <cell r="C517" t="str">
            <v>$</v>
          </cell>
          <cell r="H517" t="str">
            <v>U$S</v>
          </cell>
        </row>
        <row r="518">
          <cell r="A518">
            <v>518</v>
          </cell>
          <cell r="B518" t="str">
            <v>INFANT NUTRITION</v>
          </cell>
          <cell r="C518" t="str">
            <v>$</v>
          </cell>
          <cell r="H518" t="str">
            <v>U$S</v>
          </cell>
        </row>
        <row r="519">
          <cell r="A519">
            <v>519</v>
          </cell>
          <cell r="B519" t="str">
            <v>SOLUBLE COFFEE</v>
          </cell>
          <cell r="C519" t="str">
            <v>$</v>
          </cell>
          <cell r="H519" t="str">
            <v>U$S</v>
          </cell>
          <cell r="I519">
            <v>170</v>
          </cell>
          <cell r="J519">
            <v>160</v>
          </cell>
        </row>
        <row r="520">
          <cell r="A520">
            <v>520</v>
          </cell>
          <cell r="B520" t="str">
            <v>OTHER BEVERAGES</v>
          </cell>
          <cell r="C520" t="str">
            <v>$</v>
          </cell>
          <cell r="H520" t="str">
            <v>U$S</v>
          </cell>
        </row>
        <row r="521">
          <cell r="A521">
            <v>521</v>
          </cell>
          <cell r="B521" t="str">
            <v>CHOCOLATE, CONFECT. AND BISCUITS</v>
          </cell>
          <cell r="C521" t="str">
            <v>$</v>
          </cell>
          <cell r="H521" t="str">
            <v>U$S</v>
          </cell>
        </row>
        <row r="522">
          <cell r="A522">
            <v>522</v>
          </cell>
          <cell r="B522" t="str">
            <v>CULINARY PRODUCTS</v>
          </cell>
          <cell r="C522" t="str">
            <v>$</v>
          </cell>
          <cell r="H522" t="str">
            <v>U$S</v>
          </cell>
        </row>
        <row r="523">
          <cell r="A523">
            <v>523</v>
          </cell>
          <cell r="B523" t="str">
            <v>FROZEN FOODS</v>
          </cell>
          <cell r="C523" t="str">
            <v>$</v>
          </cell>
          <cell r="H523" t="str">
            <v>U$S</v>
          </cell>
        </row>
        <row r="524">
          <cell r="A524">
            <v>524</v>
          </cell>
          <cell r="B524" t="str">
            <v>ICE CREAM</v>
          </cell>
          <cell r="C524" t="str">
            <v>$</v>
          </cell>
          <cell r="H524" t="str">
            <v>U$S</v>
          </cell>
          <cell r="I524">
            <v>40</v>
          </cell>
          <cell r="J524">
            <v>65</v>
          </cell>
          <cell r="K524">
            <v>40</v>
          </cell>
        </row>
        <row r="525">
          <cell r="A525">
            <v>525</v>
          </cell>
          <cell r="B525" t="str">
            <v>DAIRY CHILLED PRODUCTS</v>
          </cell>
          <cell r="C525" t="str">
            <v>$</v>
          </cell>
          <cell r="H525" t="str">
            <v>U$S</v>
          </cell>
        </row>
        <row r="526">
          <cell r="A526">
            <v>526</v>
          </cell>
          <cell r="B526" t="str">
            <v>LIQUID DRINKS</v>
          </cell>
          <cell r="C526" t="str">
            <v>$</v>
          </cell>
          <cell r="H526" t="str">
            <v>U$S</v>
          </cell>
        </row>
        <row r="527">
          <cell r="A527">
            <v>527</v>
          </cell>
          <cell r="B527" t="str">
            <v>PHARMA &amp; DERMA PRODUCTS</v>
          </cell>
          <cell r="C527" t="str">
            <v>$</v>
          </cell>
          <cell r="H527" t="str">
            <v>U$S</v>
          </cell>
        </row>
        <row r="528">
          <cell r="A528">
            <v>528</v>
          </cell>
          <cell r="B528" t="str">
            <v>PET FOOD</v>
          </cell>
          <cell r="C528" t="str">
            <v>$</v>
          </cell>
          <cell r="H528" t="str">
            <v>U$S</v>
          </cell>
        </row>
        <row r="529">
          <cell r="A529">
            <v>529</v>
          </cell>
          <cell r="B529" t="str">
            <v>ADULT NUTRITION</v>
          </cell>
          <cell r="C529" t="str">
            <v>$</v>
          </cell>
          <cell r="H529" t="str">
            <v>U$S</v>
          </cell>
        </row>
        <row r="530">
          <cell r="A530">
            <v>530</v>
          </cell>
          <cell r="B530" t="str">
            <v>ROAST &amp; GROUND COFFEE</v>
          </cell>
          <cell r="C530" t="str">
            <v>$</v>
          </cell>
          <cell r="H530" t="str">
            <v>U$S</v>
          </cell>
        </row>
        <row r="531">
          <cell r="A531">
            <v>531</v>
          </cell>
          <cell r="B531" t="str">
            <v>CULINARY CHILLED PRODUCTS</v>
          </cell>
          <cell r="C531" t="str">
            <v>$</v>
          </cell>
          <cell r="H531" t="str">
            <v>U$S</v>
          </cell>
        </row>
        <row r="532">
          <cell r="A532">
            <v>532</v>
          </cell>
          <cell r="B532" t="str">
            <v>SUBSIDIARY PROD/ACTIVITIES</v>
          </cell>
          <cell r="C532" t="str">
            <v>$</v>
          </cell>
          <cell r="H532" t="str">
            <v>U$S</v>
          </cell>
        </row>
        <row r="533">
          <cell r="A533">
            <v>533</v>
          </cell>
          <cell r="B533" t="str">
            <v>Produccion</v>
          </cell>
          <cell r="C533" t="str">
            <v>$</v>
          </cell>
          <cell r="D533">
            <v>1560</v>
          </cell>
          <cell r="E533">
            <v>611</v>
          </cell>
          <cell r="F533">
            <v>3847</v>
          </cell>
          <cell r="G533">
            <v>165</v>
          </cell>
          <cell r="H533" t="str">
            <v>U$S</v>
          </cell>
          <cell r="I533">
            <v>130</v>
          </cell>
          <cell r="J533">
            <v>180</v>
          </cell>
          <cell r="K533">
            <v>115</v>
          </cell>
        </row>
        <row r="534">
          <cell r="A534">
            <v>534</v>
          </cell>
          <cell r="B534" t="str">
            <v>Ventas y Distribucion</v>
          </cell>
          <cell r="C534" t="str">
            <v>$</v>
          </cell>
          <cell r="D534">
            <v>4645</v>
          </cell>
          <cell r="E534">
            <v>3771</v>
          </cell>
          <cell r="F534">
            <v>1920</v>
          </cell>
          <cell r="G534">
            <v>460</v>
          </cell>
          <cell r="H534" t="str">
            <v>U$S</v>
          </cell>
          <cell r="I534">
            <v>65</v>
          </cell>
          <cell r="J534">
            <v>50</v>
          </cell>
          <cell r="K534">
            <v>255</v>
          </cell>
        </row>
        <row r="535">
          <cell r="A535">
            <v>535</v>
          </cell>
          <cell r="B535" t="str">
            <v>Freezers</v>
          </cell>
          <cell r="C535" t="str">
            <v>$</v>
          </cell>
          <cell r="H535" t="str">
            <v>U$S</v>
          </cell>
          <cell r="I535">
            <v>190</v>
          </cell>
          <cell r="J535">
            <v>130</v>
          </cell>
          <cell r="K535">
            <v>205</v>
          </cell>
        </row>
        <row r="536">
          <cell r="A536">
            <v>536</v>
          </cell>
          <cell r="B536" t="str">
            <v>Expendedoras de Bebidas</v>
          </cell>
          <cell r="C536" t="str">
            <v>$</v>
          </cell>
          <cell r="H536" t="str">
            <v>U$S</v>
          </cell>
        </row>
        <row r="537">
          <cell r="A537">
            <v>537</v>
          </cell>
          <cell r="B537" t="str">
            <v>Administracion</v>
          </cell>
          <cell r="C537" t="str">
            <v>$</v>
          </cell>
          <cell r="D537">
            <v>113</v>
          </cell>
          <cell r="E537">
            <v>2391</v>
          </cell>
          <cell r="F537">
            <v>253</v>
          </cell>
          <cell r="G537">
            <v>55</v>
          </cell>
          <cell r="H537" t="str">
            <v>U$S</v>
          </cell>
          <cell r="I537">
            <v>15</v>
          </cell>
          <cell r="J537">
            <v>15</v>
          </cell>
          <cell r="K537">
            <v>50</v>
          </cell>
        </row>
        <row r="538">
          <cell r="A538">
            <v>538</v>
          </cell>
          <cell r="B538" t="str">
            <v>Tecnologia de la Informacion</v>
          </cell>
          <cell r="C538" t="str">
            <v>$</v>
          </cell>
          <cell r="D538">
            <v>234</v>
          </cell>
          <cell r="E538">
            <v>397</v>
          </cell>
          <cell r="F538">
            <v>349</v>
          </cell>
          <cell r="G538">
            <v>50</v>
          </cell>
          <cell r="H538" t="str">
            <v>U$S</v>
          </cell>
          <cell r="I538">
            <v>60</v>
          </cell>
          <cell r="J538">
            <v>60</v>
          </cell>
          <cell r="K538">
            <v>60</v>
          </cell>
        </row>
        <row r="539">
          <cell r="A539">
            <v>539</v>
          </cell>
        </row>
        <row r="540">
          <cell r="A540">
            <v>540</v>
          </cell>
          <cell r="B540" t="str">
            <v>INVESTED CAPITAL</v>
          </cell>
          <cell r="C540" t="str">
            <v>$</v>
          </cell>
          <cell r="D540">
            <v>17860.560000000001</v>
          </cell>
          <cell r="E540">
            <v>23637.786000000004</v>
          </cell>
          <cell r="F540">
            <v>26989.703999999998</v>
          </cell>
          <cell r="G540">
            <v>39582.298999999999</v>
          </cell>
          <cell r="H540">
            <v>1</v>
          </cell>
          <cell r="I540">
            <v>7979.6999999999989</v>
          </cell>
          <cell r="J540">
            <v>8250</v>
          </cell>
          <cell r="K540">
            <v>9511.9999999999982</v>
          </cell>
        </row>
        <row r="541">
          <cell r="A541">
            <v>541</v>
          </cell>
          <cell r="B541" t="str">
            <v>MILK PRODUCTS</v>
          </cell>
          <cell r="C541" t="str">
            <v>$</v>
          </cell>
          <cell r="D541">
            <v>35.581000000000003</v>
          </cell>
          <cell r="E541">
            <v>54.191000000000003</v>
          </cell>
          <cell r="F541">
            <v>62.542999999999999</v>
          </cell>
          <cell r="G541">
            <v>107.133</v>
          </cell>
          <cell r="I541">
            <v>12.56595885865959</v>
          </cell>
          <cell r="J541">
            <v>12.332559083528777</v>
          </cell>
          <cell r="K541">
            <v>37.61631825668313</v>
          </cell>
        </row>
        <row r="542">
          <cell r="A542">
            <v>542</v>
          </cell>
          <cell r="B542" t="str">
            <v>INFANT NUTRITION</v>
          </cell>
          <cell r="C542" t="str">
            <v>$</v>
          </cell>
          <cell r="D542">
            <v>36.43</v>
          </cell>
          <cell r="E542">
            <v>59.436</v>
          </cell>
          <cell r="F542">
            <v>85.271000000000001</v>
          </cell>
          <cell r="G542">
            <v>134.52699999999999</v>
          </cell>
          <cell r="I542">
            <v>18.967485069674851</v>
          </cell>
          <cell r="J542">
            <v>17.970300378856216</v>
          </cell>
          <cell r="K542">
            <v>54.604332953249703</v>
          </cell>
        </row>
        <row r="543">
          <cell r="A543">
            <v>543</v>
          </cell>
          <cell r="B543" t="str">
            <v>SOLUBLE COFFEE</v>
          </cell>
          <cell r="C543" t="str">
            <v>$</v>
          </cell>
          <cell r="D543">
            <v>4781.7389999999996</v>
          </cell>
          <cell r="E543">
            <v>6149.0309999999999</v>
          </cell>
          <cell r="F543">
            <v>7449.2860000000001</v>
          </cell>
          <cell r="G543">
            <v>11417.322</v>
          </cell>
          <cell r="H543">
            <v>0.41099999999999998</v>
          </cell>
          <cell r="I543">
            <v>3299.3862037823492</v>
          </cell>
          <cell r="J543">
            <v>3533.8374751939382</v>
          </cell>
          <cell r="K543">
            <v>2504.7752399679039</v>
          </cell>
        </row>
        <row r="544">
          <cell r="A544">
            <v>544</v>
          </cell>
          <cell r="B544" t="str">
            <v>OTHER BEVERAGES</v>
          </cell>
          <cell r="C544" t="str">
            <v>$</v>
          </cell>
          <cell r="D544">
            <v>4081.7460000000001</v>
          </cell>
          <cell r="E544">
            <v>5091.9179999999997</v>
          </cell>
          <cell r="F544">
            <v>6011.8990000000003</v>
          </cell>
          <cell r="G544">
            <v>8973.27</v>
          </cell>
          <cell r="H544">
            <v>0.255</v>
          </cell>
          <cell r="I544">
            <v>668.26440975447917</v>
          </cell>
          <cell r="J544">
            <v>821.17637109868303</v>
          </cell>
          <cell r="K544">
            <v>1100.2629999577684</v>
          </cell>
        </row>
        <row r="545">
          <cell r="A545">
            <v>545</v>
          </cell>
          <cell r="B545" t="str">
            <v>CHOCOLATE, CONFECT. AND BISCUITS</v>
          </cell>
          <cell r="C545" t="str">
            <v>$</v>
          </cell>
          <cell r="D545">
            <v>1255.9069999999999</v>
          </cell>
          <cell r="E545">
            <v>1335.797</v>
          </cell>
          <cell r="F545">
            <v>1141.9390000000001</v>
          </cell>
          <cell r="G545">
            <v>1713.5630000000001</v>
          </cell>
          <cell r="H545">
            <v>3.9E-2</v>
          </cell>
          <cell r="I545">
            <v>110.9636601857996</v>
          </cell>
          <cell r="J545">
            <v>139.1239175536713</v>
          </cell>
          <cell r="K545">
            <v>222.04948404915746</v>
          </cell>
        </row>
        <row r="546">
          <cell r="A546">
            <v>546</v>
          </cell>
          <cell r="B546" t="str">
            <v>CULINARY PRODUCTS</v>
          </cell>
          <cell r="C546" t="str">
            <v>$</v>
          </cell>
          <cell r="D546">
            <v>314.57499999999999</v>
          </cell>
          <cell r="E546">
            <v>437.42200000000003</v>
          </cell>
          <cell r="F546">
            <v>546.47199999999998</v>
          </cell>
          <cell r="G546">
            <v>870.08299999999997</v>
          </cell>
          <cell r="I546">
            <v>113.33072329130724</v>
          </cell>
          <cell r="J546">
            <v>107.04661284502977</v>
          </cell>
          <cell r="K546">
            <v>326.00809155792047</v>
          </cell>
        </row>
        <row r="547">
          <cell r="A547">
            <v>547</v>
          </cell>
          <cell r="B547" t="str">
            <v>FROZEN FOODS</v>
          </cell>
          <cell r="C547" t="str">
            <v>$</v>
          </cell>
          <cell r="I547">
            <v>0</v>
          </cell>
          <cell r="J547">
            <v>0</v>
          </cell>
          <cell r="K547">
            <v>0</v>
          </cell>
        </row>
        <row r="548">
          <cell r="A548">
            <v>548</v>
          </cell>
          <cell r="B548" t="str">
            <v>ICE CREAM</v>
          </cell>
          <cell r="C548" t="str">
            <v>$</v>
          </cell>
          <cell r="D548">
            <v>4069.3760000000002</v>
          </cell>
          <cell r="E548">
            <v>6352.5569999999998</v>
          </cell>
          <cell r="F548">
            <v>6015.8360000000002</v>
          </cell>
          <cell r="G548">
            <v>7641.085</v>
          </cell>
          <cell r="I548">
            <v>2949.8390842733907</v>
          </cell>
          <cell r="J548">
            <v>2635.6666065307595</v>
          </cell>
          <cell r="K548">
            <v>3827.9909117783686</v>
          </cell>
        </row>
        <row r="549">
          <cell r="A549">
            <v>549</v>
          </cell>
          <cell r="B549" t="str">
            <v>DAIRY CHILLED PRODUCTS</v>
          </cell>
          <cell r="C549" t="str">
            <v>$</v>
          </cell>
          <cell r="I549">
            <v>0</v>
          </cell>
          <cell r="J549">
            <v>0</v>
          </cell>
          <cell r="K549">
            <v>0</v>
          </cell>
        </row>
        <row r="550">
          <cell r="A550">
            <v>550</v>
          </cell>
          <cell r="B550" t="str">
            <v>LIQUID DRINKS</v>
          </cell>
          <cell r="C550" t="str">
            <v>$</v>
          </cell>
          <cell r="I550">
            <v>0</v>
          </cell>
          <cell r="J550">
            <v>0</v>
          </cell>
          <cell r="K550">
            <v>0</v>
          </cell>
        </row>
        <row r="551">
          <cell r="A551">
            <v>551</v>
          </cell>
          <cell r="B551" t="str">
            <v>PHARMA &amp; DERMA PRODUCTS</v>
          </cell>
          <cell r="C551" t="str">
            <v>$</v>
          </cell>
          <cell r="I551">
            <v>0</v>
          </cell>
          <cell r="J551">
            <v>0</v>
          </cell>
          <cell r="K551">
            <v>0</v>
          </cell>
        </row>
        <row r="552">
          <cell r="A552">
            <v>552</v>
          </cell>
          <cell r="B552" t="str">
            <v>PET FOOD</v>
          </cell>
          <cell r="C552" t="str">
            <v>$</v>
          </cell>
          <cell r="G552">
            <v>207.75700000000001</v>
          </cell>
          <cell r="I552">
            <v>18.019110816191109</v>
          </cell>
          <cell r="J552">
            <v>21.423416922244275</v>
          </cell>
          <cell r="K552">
            <v>84.535596942438431</v>
          </cell>
        </row>
        <row r="553">
          <cell r="A553">
            <v>553</v>
          </cell>
          <cell r="B553" t="str">
            <v>ADULT NUTRITION</v>
          </cell>
          <cell r="C553" t="str">
            <v>$</v>
          </cell>
          <cell r="D553">
            <v>29.138000000000002</v>
          </cell>
          <cell r="E553">
            <v>112.73099999999999</v>
          </cell>
          <cell r="F553">
            <v>169.15799999999999</v>
          </cell>
          <cell r="G553">
            <v>267.97699999999998</v>
          </cell>
          <cell r="I553">
            <v>35.959190444591911</v>
          </cell>
          <cell r="J553">
            <v>34.531165433880574</v>
          </cell>
          <cell r="K553">
            <v>106.1750918535411</v>
          </cell>
        </row>
        <row r="554">
          <cell r="A554">
            <v>554</v>
          </cell>
          <cell r="B554" t="str">
            <v>ROAST &amp; GROUND COFFEE</v>
          </cell>
          <cell r="C554" t="str">
            <v>$</v>
          </cell>
          <cell r="D554">
            <v>3256.0680000000002</v>
          </cell>
          <cell r="E554">
            <v>4044.703</v>
          </cell>
          <cell r="F554">
            <v>5507.3</v>
          </cell>
          <cell r="G554">
            <v>8249.5820000000003</v>
          </cell>
          <cell r="H554">
            <v>0.29499999999999998</v>
          </cell>
          <cell r="I554">
            <v>749.55905076310546</v>
          </cell>
          <cell r="J554">
            <v>924.35459137651094</v>
          </cell>
          <cell r="K554">
            <v>1240.7013549558678</v>
          </cell>
        </row>
        <row r="555">
          <cell r="A555">
            <v>555</v>
          </cell>
          <cell r="B555" t="str">
            <v>CULINARY CHILLED PRODUCTS</v>
          </cell>
          <cell r="C555" t="str">
            <v>$</v>
          </cell>
          <cell r="I555">
            <v>0</v>
          </cell>
          <cell r="J555">
            <v>0</v>
          </cell>
          <cell r="K555">
            <v>0</v>
          </cell>
        </row>
        <row r="556">
          <cell r="A556">
            <v>556</v>
          </cell>
          <cell r="B556" t="str">
            <v>SUBSIDIARY PROD/ACTIVITIES</v>
          </cell>
          <cell r="C556" t="str">
            <v>$</v>
          </cell>
          <cell r="I556">
            <v>2.8451227604512277</v>
          </cell>
          <cell r="J556">
            <v>2.5369835828973484</v>
          </cell>
          <cell r="K556">
            <v>7.2805777270999608</v>
          </cell>
        </row>
        <row r="557">
          <cell r="A557">
            <v>557</v>
          </cell>
        </row>
        <row r="558">
          <cell r="A558">
            <v>558</v>
          </cell>
        </row>
        <row r="559">
          <cell r="A559">
            <v>559</v>
          </cell>
          <cell r="B559" t="str">
            <v>FONDOS PROPIOS</v>
          </cell>
        </row>
        <row r="560">
          <cell r="A560">
            <v>560</v>
          </cell>
          <cell r="B560" t="str">
            <v>Saldo al 01/01 - Reservas</v>
          </cell>
          <cell r="C560" t="str">
            <v>$</v>
          </cell>
          <cell r="D560">
            <v>11607</v>
          </cell>
          <cell r="G560">
            <v>21494</v>
          </cell>
        </row>
        <row r="561">
          <cell r="A561">
            <v>561</v>
          </cell>
          <cell r="B561" t="str">
            <v>Capital</v>
          </cell>
          <cell r="C561" t="str">
            <v>$</v>
          </cell>
          <cell r="D561">
            <v>32</v>
          </cell>
          <cell r="E561">
            <v>32</v>
          </cell>
          <cell r="F561">
            <v>32</v>
          </cell>
          <cell r="G561">
            <v>32</v>
          </cell>
          <cell r="H561" t="str">
            <v>$</v>
          </cell>
          <cell r="I561">
            <v>32</v>
          </cell>
          <cell r="J561">
            <v>32</v>
          </cell>
          <cell r="K561">
            <v>32</v>
          </cell>
        </row>
        <row r="562">
          <cell r="A562">
            <v>562</v>
          </cell>
          <cell r="B562" t="str">
            <v>Reservas Generales</v>
          </cell>
          <cell r="C562" t="str">
            <v>$</v>
          </cell>
          <cell r="D562">
            <v>6</v>
          </cell>
          <cell r="E562">
            <v>6</v>
          </cell>
          <cell r="F562">
            <v>6</v>
          </cell>
          <cell r="G562">
            <v>6</v>
          </cell>
          <cell r="H562" t="str">
            <v>$</v>
          </cell>
          <cell r="I562">
            <v>6</v>
          </cell>
          <cell r="J562">
            <v>6</v>
          </cell>
          <cell r="K562">
            <v>6</v>
          </cell>
        </row>
        <row r="563">
          <cell r="A563">
            <v>563</v>
          </cell>
          <cell r="B563" t="str">
            <v>Saldo al 01/01 - Result.Acumul</v>
          </cell>
          <cell r="C563" t="str">
            <v>$</v>
          </cell>
          <cell r="D563">
            <v>6022</v>
          </cell>
          <cell r="G563">
            <v>-12581</v>
          </cell>
        </row>
        <row r="564">
          <cell r="A564">
            <v>564</v>
          </cell>
          <cell r="B564" t="str">
            <v>Adelanto de Dividendos</v>
          </cell>
          <cell r="C564" t="str">
            <v>$</v>
          </cell>
          <cell r="D564">
            <v>-6000</v>
          </cell>
          <cell r="E564">
            <v>-7500</v>
          </cell>
          <cell r="F564">
            <v>-10000</v>
          </cell>
          <cell r="G564">
            <v>-10000</v>
          </cell>
          <cell r="H564" t="str">
            <v>$</v>
          </cell>
          <cell r="I564">
            <v>-11000</v>
          </cell>
          <cell r="J564">
            <v>-15000</v>
          </cell>
          <cell r="K564">
            <v>-17000</v>
          </cell>
        </row>
        <row r="565">
          <cell r="A565">
            <v>565</v>
          </cell>
          <cell r="B565" t="str">
            <v>Beneficio Neto</v>
          </cell>
          <cell r="C565" t="str">
            <v>$</v>
          </cell>
          <cell r="D565">
            <v>14978.702729999997</v>
          </cell>
          <cell r="E565">
            <v>21064.589</v>
          </cell>
          <cell r="F565">
            <v>25479.34666000001</v>
          </cell>
          <cell r="G565">
            <v>22895.729320000002</v>
          </cell>
          <cell r="H565" t="str">
            <v>$</v>
          </cell>
          <cell r="I565">
            <v>23659.568291634627</v>
          </cell>
          <cell r="J565">
            <v>26912.665466370716</v>
          </cell>
          <cell r="K565">
            <v>31113.183453791858</v>
          </cell>
        </row>
        <row r="566">
          <cell r="A566">
            <v>566</v>
          </cell>
          <cell r="B566" t="str">
            <v>Variacion del Capital de Trabajo</v>
          </cell>
          <cell r="C566" t="str">
            <v>$</v>
          </cell>
          <cell r="D566">
            <v>-7484</v>
          </cell>
        </row>
        <row r="567">
          <cell r="A567">
            <v>567</v>
          </cell>
          <cell r="B567" t="str">
            <v>Var. de Otros Elem.del Cap.Trab.</v>
          </cell>
          <cell r="C567" t="str">
            <v>$</v>
          </cell>
          <cell r="D567">
            <v>-210</v>
          </cell>
        </row>
        <row r="568">
          <cell r="A568">
            <v>568</v>
          </cell>
          <cell r="B568" t="str">
            <v>Provisiones a Medio/Largo plazo</v>
          </cell>
          <cell r="C568" t="str">
            <v>$</v>
          </cell>
        </row>
        <row r="569">
          <cell r="A569">
            <v>569</v>
          </cell>
          <cell r="B569" t="str">
            <v>Correccion Monetaria Estructural</v>
          </cell>
          <cell r="C569" t="str">
            <v>$</v>
          </cell>
        </row>
        <row r="570">
          <cell r="A570">
            <v>570</v>
          </cell>
          <cell r="B570" t="str">
            <v>Variacion de Creditos Diversos</v>
          </cell>
          <cell r="C570" t="str">
            <v>$</v>
          </cell>
        </row>
        <row r="571">
          <cell r="A571">
            <v>571</v>
          </cell>
          <cell r="B571" t="str">
            <v>Otros movimientos no financieros</v>
          </cell>
          <cell r="C571" t="str">
            <v>$</v>
          </cell>
          <cell r="D571">
            <v>-93</v>
          </cell>
          <cell r="E571">
            <v>-248</v>
          </cell>
          <cell r="F571">
            <v>94</v>
          </cell>
          <cell r="G571">
            <v>-1548</v>
          </cell>
        </row>
        <row r="572">
          <cell r="A572">
            <v>572</v>
          </cell>
          <cell r="B572" t="str">
            <v>Venta de Activos Fijos</v>
          </cell>
          <cell r="C572" t="str">
            <v>$</v>
          </cell>
          <cell r="D572">
            <v>248</v>
          </cell>
          <cell r="E572">
            <v>404</v>
          </cell>
          <cell r="F572">
            <v>493</v>
          </cell>
        </row>
        <row r="573">
          <cell r="A573">
            <v>573</v>
          </cell>
          <cell r="B573" t="str">
            <v>Adquisiciones / Desinversiones</v>
          </cell>
          <cell r="C573" t="str">
            <v>$</v>
          </cell>
          <cell r="F573">
            <v>-1933</v>
          </cell>
        </row>
        <row r="574">
          <cell r="A574">
            <v>574</v>
          </cell>
          <cell r="B574" t="str">
            <v>Movimiento de participaciones</v>
          </cell>
          <cell r="C574" t="str">
            <v>$</v>
          </cell>
        </row>
        <row r="575">
          <cell r="A575">
            <v>575</v>
          </cell>
          <cell r="B575" t="str">
            <v>Otros movimientos</v>
          </cell>
          <cell r="C575" t="str">
            <v>$</v>
          </cell>
        </row>
        <row r="576">
          <cell r="A576">
            <v>576</v>
          </cell>
          <cell r="B576" t="str">
            <v>Posicion Neta al 1° de Enero</v>
          </cell>
          <cell r="C576" t="str">
            <v>$</v>
          </cell>
          <cell r="D576">
            <v>-4066</v>
          </cell>
          <cell r="G576">
            <v>-15000</v>
          </cell>
        </row>
        <row r="577">
          <cell r="A577">
            <v>577</v>
          </cell>
          <cell r="B577" t="str">
            <v>Otros Valores Intangibles</v>
          </cell>
          <cell r="C577" t="str">
            <v>$</v>
          </cell>
          <cell r="F577">
            <v>-1933</v>
          </cell>
          <cell r="G577">
            <v>-1548</v>
          </cell>
        </row>
        <row r="578">
          <cell r="A578">
            <v>578</v>
          </cell>
        </row>
        <row r="579">
          <cell r="A579">
            <v>579</v>
          </cell>
          <cell r="B579" t="str">
            <v>Activo Fijo Promedio</v>
          </cell>
          <cell r="C579" t="str">
            <v>$</v>
          </cell>
          <cell r="D579">
            <v>14675</v>
          </cell>
        </row>
        <row r="580">
          <cell r="A580">
            <v>580</v>
          </cell>
        </row>
        <row r="581">
          <cell r="A581">
            <v>581</v>
          </cell>
          <cell r="B581" t="str">
            <v>Costo del Capital</v>
          </cell>
          <cell r="C581" t="str">
            <v>%</v>
          </cell>
          <cell r="D581">
            <v>33</v>
          </cell>
          <cell r="E581">
            <v>25</v>
          </cell>
          <cell r="F581">
            <v>19</v>
          </cell>
          <cell r="G581">
            <v>20</v>
          </cell>
        </row>
        <row r="582">
          <cell r="A582">
            <v>582</v>
          </cell>
          <cell r="B582" t="str">
            <v>Tasa de bajo riesgo Local (10años)</v>
          </cell>
          <cell r="H582" t="str">
            <v>%</v>
          </cell>
          <cell r="I582">
            <v>15.6</v>
          </cell>
          <cell r="J582">
            <v>14.5</v>
          </cell>
          <cell r="K582">
            <v>13.4</v>
          </cell>
        </row>
        <row r="583">
          <cell r="A583">
            <v>583</v>
          </cell>
          <cell r="B583" t="str">
            <v>Retorno antes de retencion de dividendos</v>
          </cell>
          <cell r="H583" t="str">
            <v>%</v>
          </cell>
          <cell r="I583">
            <v>100</v>
          </cell>
          <cell r="J583">
            <v>100</v>
          </cell>
          <cell r="K583">
            <v>100</v>
          </cell>
        </row>
        <row r="584">
          <cell r="A584">
            <v>584</v>
          </cell>
          <cell r="B584" t="str">
            <v>Retencion de impuestos s/dividendos</v>
          </cell>
          <cell r="H584" t="str">
            <v>%</v>
          </cell>
          <cell r="I584">
            <v>0</v>
          </cell>
          <cell r="J584">
            <v>0</v>
          </cell>
          <cell r="K584">
            <v>0</v>
          </cell>
        </row>
        <row r="585">
          <cell r="A585">
            <v>585</v>
          </cell>
          <cell r="B585" t="str">
            <v>Tasa de Interes Local Promedio</v>
          </cell>
          <cell r="H585" t="str">
            <v>%</v>
          </cell>
          <cell r="I585">
            <v>15</v>
          </cell>
          <cell r="J585">
            <v>14.5</v>
          </cell>
          <cell r="K585">
            <v>14</v>
          </cell>
        </row>
        <row r="586">
          <cell r="A586">
            <v>586</v>
          </cell>
          <cell r="B586" t="str">
            <v>Promedio de Fondos Propios</v>
          </cell>
          <cell r="H586" t="str">
            <v>%</v>
          </cell>
          <cell r="I586">
            <v>50</v>
          </cell>
          <cell r="J586">
            <v>49</v>
          </cell>
          <cell r="K586">
            <v>48</v>
          </cell>
        </row>
        <row r="587">
          <cell r="A587">
            <v>587</v>
          </cell>
        </row>
        <row r="588">
          <cell r="A588">
            <v>588</v>
          </cell>
          <cell r="B588" t="str">
            <v>Ventas Locales a 3os</v>
          </cell>
        </row>
        <row r="589">
          <cell r="A589">
            <v>589</v>
          </cell>
          <cell r="B589" t="str">
            <v>Contribucion Marginal</v>
          </cell>
          <cell r="C589" t="str">
            <v>%</v>
          </cell>
          <cell r="D589">
            <v>54</v>
          </cell>
          <cell r="E589">
            <v>52.7</v>
          </cell>
          <cell r="F589">
            <v>52.4</v>
          </cell>
          <cell r="G589">
            <v>51.9</v>
          </cell>
        </row>
        <row r="590">
          <cell r="A590">
            <v>590</v>
          </cell>
          <cell r="B590" t="str">
            <v>Contribucion Producto</v>
          </cell>
          <cell r="C590" t="str">
            <v>%</v>
          </cell>
          <cell r="D590">
            <v>30.2</v>
          </cell>
          <cell r="E590">
            <v>32.9</v>
          </cell>
          <cell r="F590">
            <v>30.8</v>
          </cell>
          <cell r="G590">
            <v>29.3</v>
          </cell>
        </row>
        <row r="591">
          <cell r="A591">
            <v>591</v>
          </cell>
          <cell r="B591" t="str">
            <v>Resultado de Explotacion</v>
          </cell>
          <cell r="C591" t="str">
            <v>%</v>
          </cell>
          <cell r="D591">
            <v>14.9</v>
          </cell>
          <cell r="E591">
            <v>17.600000000000001</v>
          </cell>
          <cell r="F591">
            <v>16.7</v>
          </cell>
          <cell r="G591">
            <v>14</v>
          </cell>
        </row>
        <row r="592">
          <cell r="A592">
            <v>592</v>
          </cell>
          <cell r="B592" t="str">
            <v>Regalias / Asistencia Tecnica</v>
          </cell>
          <cell r="C592" t="str">
            <v>%</v>
          </cell>
          <cell r="D592">
            <v>3.1</v>
          </cell>
          <cell r="E592">
            <v>2.9</v>
          </cell>
          <cell r="F592">
            <v>2.8</v>
          </cell>
          <cell r="G592">
            <v>2.6</v>
          </cell>
        </row>
        <row r="593">
          <cell r="A593">
            <v>593</v>
          </cell>
          <cell r="B593" t="str">
            <v>Prom.Precio Temporales</v>
          </cell>
          <cell r="C593" t="str">
            <v>%</v>
          </cell>
          <cell r="D593">
            <v>0.2</v>
          </cell>
          <cell r="E593">
            <v>0.3</v>
          </cell>
          <cell r="F593">
            <v>0.5</v>
          </cell>
          <cell r="G593">
            <v>0.6</v>
          </cell>
        </row>
        <row r="594">
          <cell r="A594">
            <v>594</v>
          </cell>
          <cell r="B594" t="str">
            <v>Gastos Fijos Mark.Producto</v>
          </cell>
          <cell r="C594" t="str">
            <v>%</v>
          </cell>
          <cell r="D594">
            <v>12.5</v>
          </cell>
          <cell r="E594">
            <v>11.2</v>
          </cell>
          <cell r="F594">
            <v>12.1</v>
          </cell>
          <cell r="G594">
            <v>12.7</v>
          </cell>
        </row>
        <row r="595">
          <cell r="A595">
            <v>595</v>
          </cell>
          <cell r="B595" t="str">
            <v>Publicidad Media</v>
          </cell>
          <cell r="C595" t="str">
            <v>%</v>
          </cell>
          <cell r="D595">
            <v>8.3000000000000007</v>
          </cell>
          <cell r="E595">
            <v>6.3</v>
          </cell>
          <cell r="F595">
            <v>7.1</v>
          </cell>
          <cell r="G595">
            <v>6.5</v>
          </cell>
        </row>
        <row r="596">
          <cell r="A596">
            <v>596</v>
          </cell>
        </row>
        <row r="597">
          <cell r="A597">
            <v>597</v>
          </cell>
          <cell r="B597" t="str">
            <v>CAFÉ SOLUBLE</v>
          </cell>
          <cell r="C597" t="str">
            <v>V.N.</v>
          </cell>
          <cell r="D597">
            <v>62898</v>
          </cell>
          <cell r="E597">
            <v>79139</v>
          </cell>
          <cell r="F597">
            <v>91651.591</v>
          </cell>
          <cell r="G597">
            <v>93874</v>
          </cell>
        </row>
        <row r="598">
          <cell r="A598">
            <v>598</v>
          </cell>
          <cell r="B598" t="str">
            <v>Real Internal Growth</v>
          </cell>
          <cell r="C598" t="str">
            <v>%</v>
          </cell>
          <cell r="D598">
            <v>23.3</v>
          </cell>
          <cell r="E598">
            <v>15</v>
          </cell>
          <cell r="F598">
            <v>8</v>
          </cell>
          <cell r="G598">
            <v>2.86</v>
          </cell>
          <cell r="H598" t="str">
            <v>%</v>
          </cell>
          <cell r="I598">
            <v>2.2000000000000002</v>
          </cell>
          <cell r="J598">
            <v>3.6</v>
          </cell>
          <cell r="K598">
            <v>3.2</v>
          </cell>
        </row>
        <row r="599">
          <cell r="A599">
            <v>599</v>
          </cell>
          <cell r="B599" t="str">
            <v>Prom.Precio Temporales</v>
          </cell>
          <cell r="C599" t="str">
            <v>%</v>
          </cell>
          <cell r="D599">
            <v>0.1</v>
          </cell>
          <cell r="E599">
            <v>0.2</v>
          </cell>
          <cell r="F599">
            <v>0.3</v>
          </cell>
          <cell r="G599">
            <v>0.6</v>
          </cell>
        </row>
        <row r="600">
          <cell r="A600">
            <v>600</v>
          </cell>
          <cell r="B600" t="str">
            <v>Gastos Fijos Mark.Producto</v>
          </cell>
          <cell r="C600" t="str">
            <v>%</v>
          </cell>
          <cell r="D600">
            <v>5.9</v>
          </cell>
          <cell r="E600">
            <v>5.6</v>
          </cell>
          <cell r="F600">
            <v>6.1</v>
          </cell>
          <cell r="G600">
            <v>7</v>
          </cell>
        </row>
        <row r="601">
          <cell r="A601">
            <v>601</v>
          </cell>
          <cell r="B601" t="str">
            <v>Contribucion Producto</v>
          </cell>
          <cell r="C601" t="str">
            <v>%</v>
          </cell>
          <cell r="D601">
            <v>40.200000000000003</v>
          </cell>
          <cell r="E601">
            <v>42.7</v>
          </cell>
          <cell r="F601">
            <v>40.6</v>
          </cell>
          <cell r="G601">
            <v>36.9</v>
          </cell>
        </row>
        <row r="602">
          <cell r="A602">
            <v>602</v>
          </cell>
          <cell r="B602" t="str">
            <v>Resultado de Explotacion</v>
          </cell>
          <cell r="C602" t="str">
            <v>%</v>
          </cell>
          <cell r="D602">
            <v>27</v>
          </cell>
          <cell r="E602">
            <v>30.1</v>
          </cell>
          <cell r="F602">
            <v>28.4</v>
          </cell>
          <cell r="G602">
            <v>23.7</v>
          </cell>
        </row>
        <row r="603">
          <cell r="A603">
            <v>603</v>
          </cell>
          <cell r="B603" t="str">
            <v>Regalias / Asistencia Tecnica</v>
          </cell>
          <cell r="C603" t="str">
            <v>%</v>
          </cell>
          <cell r="D603">
            <v>3.6</v>
          </cell>
          <cell r="E603">
            <v>3.5</v>
          </cell>
          <cell r="F603">
            <v>3.4</v>
          </cell>
          <cell r="G603">
            <v>3.5</v>
          </cell>
        </row>
        <row r="604">
          <cell r="A604">
            <v>604</v>
          </cell>
          <cell r="B604" t="str">
            <v>Activo Fijo Promedio</v>
          </cell>
          <cell r="C604" t="str">
            <v>$</v>
          </cell>
          <cell r="D604">
            <v>5198</v>
          </cell>
          <cell r="E604">
            <v>5465</v>
          </cell>
          <cell r="F604">
            <v>9486</v>
          </cell>
          <cell r="G604">
            <v>9433</v>
          </cell>
        </row>
        <row r="605">
          <cell r="A605">
            <v>605</v>
          </cell>
          <cell r="B605" t="str">
            <v>Capital de Tabajo Neto</v>
          </cell>
          <cell r="C605" t="str">
            <v>$</v>
          </cell>
          <cell r="D605">
            <v>5610</v>
          </cell>
          <cell r="E605">
            <v>5319</v>
          </cell>
          <cell r="F605">
            <v>7516</v>
          </cell>
          <cell r="G605">
            <v>7600</v>
          </cell>
        </row>
        <row r="606">
          <cell r="A606">
            <v>606</v>
          </cell>
          <cell r="B606" t="str">
            <v>Ventas / Cap.Trab.Operativo</v>
          </cell>
          <cell r="C606" t="str">
            <v>Fact.</v>
          </cell>
          <cell r="D606">
            <v>11.211764705882352</v>
          </cell>
          <cell r="E606">
            <v>11.078548599360783</v>
          </cell>
          <cell r="F606">
            <v>12.194197844598191</v>
          </cell>
          <cell r="G606">
            <v>12.351842105263158</v>
          </cell>
        </row>
        <row r="607">
          <cell r="A607">
            <v>607</v>
          </cell>
          <cell r="B607" t="str">
            <v>Ventas / Cap.Invertido</v>
          </cell>
          <cell r="C607" t="str">
            <v>Fact.</v>
          </cell>
          <cell r="D607">
            <v>5.8195780903034793</v>
          </cell>
          <cell r="E607">
            <v>7.438557121661721</v>
          </cell>
          <cell r="F607">
            <v>5.3906358663686627</v>
          </cell>
          <cell r="G607">
            <v>5.5113015910291789</v>
          </cell>
        </row>
        <row r="608">
          <cell r="A608">
            <v>608</v>
          </cell>
          <cell r="B608" t="str">
            <v>Retorno sobre Cap.Invertido</v>
          </cell>
          <cell r="C608" t="str">
            <v>%</v>
          </cell>
          <cell r="D608">
            <v>122</v>
          </cell>
          <cell r="E608">
            <v>165.7</v>
          </cell>
          <cell r="F608">
            <v>115.2</v>
          </cell>
          <cell r="G608">
            <v>100.9</v>
          </cell>
        </row>
        <row r="609">
          <cell r="A609">
            <v>609</v>
          </cell>
          <cell r="B609" t="str">
            <v>Inversion de Capital</v>
          </cell>
          <cell r="C609" t="str">
            <v>$</v>
          </cell>
          <cell r="D609">
            <v>1703</v>
          </cell>
          <cell r="E609">
            <v>1600</v>
          </cell>
        </row>
        <row r="610">
          <cell r="A610">
            <v>610</v>
          </cell>
          <cell r="B610" t="str">
            <v>OTRAS BEBIDAS</v>
          </cell>
          <cell r="C610" t="str">
            <v>V.N.</v>
          </cell>
          <cell r="D610">
            <v>29404</v>
          </cell>
          <cell r="E610">
            <v>32968</v>
          </cell>
          <cell r="F610">
            <v>37539</v>
          </cell>
          <cell r="G610">
            <v>39784</v>
          </cell>
          <cell r="H610" t="str">
            <v>V.N.</v>
          </cell>
          <cell r="I610">
            <v>41208.6</v>
          </cell>
          <cell r="J610">
            <v>43887.5</v>
          </cell>
          <cell r="K610">
            <v>46418.559999999998</v>
          </cell>
        </row>
        <row r="611">
          <cell r="A611">
            <v>611</v>
          </cell>
          <cell r="B611" t="str">
            <v>Ventas a Terceros</v>
          </cell>
          <cell r="C611" t="str">
            <v>$</v>
          </cell>
          <cell r="D611">
            <v>29404</v>
          </cell>
          <cell r="E611">
            <v>32968</v>
          </cell>
          <cell r="F611">
            <v>38003</v>
          </cell>
          <cell r="G611">
            <v>40668</v>
          </cell>
          <cell r="H611" t="str">
            <v>$</v>
          </cell>
          <cell r="I611">
            <v>41208.6</v>
          </cell>
          <cell r="J611">
            <v>43887.5</v>
          </cell>
          <cell r="K611">
            <v>46418.559999999998</v>
          </cell>
        </row>
        <row r="612">
          <cell r="A612">
            <v>612</v>
          </cell>
          <cell r="B612" t="str">
            <v>Real Internal Growth</v>
          </cell>
          <cell r="C612" t="str">
            <v>%</v>
          </cell>
          <cell r="D612">
            <v>-2.5</v>
          </cell>
          <cell r="E612">
            <v>5.7</v>
          </cell>
          <cell r="F612">
            <v>0.9</v>
          </cell>
          <cell r="G612">
            <v>-0.2</v>
          </cell>
          <cell r="H612" t="str">
            <v>%</v>
          </cell>
          <cell r="I612">
            <v>0.8</v>
          </cell>
          <cell r="J612">
            <v>1.1000000000000001</v>
          </cell>
          <cell r="K612">
            <v>0.8</v>
          </cell>
        </row>
        <row r="613">
          <cell r="A613">
            <v>613</v>
          </cell>
          <cell r="B613" t="str">
            <v>Prom.Precio Temporales</v>
          </cell>
          <cell r="C613" t="str">
            <v>%</v>
          </cell>
          <cell r="D613">
            <v>0.1</v>
          </cell>
          <cell r="E613">
            <v>0.2</v>
          </cell>
          <cell r="F613">
            <v>0.3</v>
          </cell>
          <cell r="G613">
            <v>0.6</v>
          </cell>
        </row>
        <row r="614">
          <cell r="A614">
            <v>614</v>
          </cell>
          <cell r="B614" t="str">
            <v>Gastos Fijos Mark.Producto</v>
          </cell>
          <cell r="C614" t="str">
            <v>%</v>
          </cell>
          <cell r="D614">
            <v>8.9</v>
          </cell>
          <cell r="E614">
            <v>8.8000000000000007</v>
          </cell>
          <cell r="F614">
            <v>9.1</v>
          </cell>
          <cell r="G614">
            <v>10.1</v>
          </cell>
        </row>
        <row r="615">
          <cell r="A615">
            <v>615</v>
          </cell>
          <cell r="B615" t="str">
            <v>Contribucion Producto</v>
          </cell>
          <cell r="C615" t="str">
            <v>%</v>
          </cell>
          <cell r="D615">
            <v>39.4</v>
          </cell>
          <cell r="E615">
            <v>41.6</v>
          </cell>
          <cell r="F615">
            <v>34.5</v>
          </cell>
          <cell r="G615">
            <v>33.200000000000003</v>
          </cell>
        </row>
        <row r="616">
          <cell r="A616">
            <v>616</v>
          </cell>
          <cell r="B616" t="str">
            <v>Resultado de Explotacion</v>
          </cell>
          <cell r="C616" t="str">
            <v>%</v>
          </cell>
          <cell r="D616">
            <v>22.9</v>
          </cell>
          <cell r="E616">
            <v>25</v>
          </cell>
          <cell r="F616">
            <v>20.3</v>
          </cell>
          <cell r="G616">
            <v>17.8</v>
          </cell>
        </row>
        <row r="617">
          <cell r="A617">
            <v>617</v>
          </cell>
          <cell r="B617" t="str">
            <v>Regalias / Asistencia Tecnica</v>
          </cell>
          <cell r="C617" t="str">
            <v>%</v>
          </cell>
          <cell r="D617">
            <v>4.4000000000000004</v>
          </cell>
          <cell r="E617">
            <v>4.2</v>
          </cell>
          <cell r="F617">
            <v>4.2</v>
          </cell>
          <cell r="G617">
            <v>4.2</v>
          </cell>
        </row>
        <row r="618">
          <cell r="A618">
            <v>618</v>
          </cell>
          <cell r="B618" t="str">
            <v>Activo Fijo Promedio</v>
          </cell>
          <cell r="C618" t="str">
            <v>$</v>
          </cell>
          <cell r="D618">
            <v>3494</v>
          </cell>
          <cell r="E618">
            <v>4587</v>
          </cell>
          <cell r="F618">
            <v>6703</v>
          </cell>
          <cell r="G618">
            <v>7493</v>
          </cell>
        </row>
        <row r="619">
          <cell r="A619">
            <v>619</v>
          </cell>
          <cell r="B619" t="str">
            <v>Capital de Tabajo Neto</v>
          </cell>
          <cell r="C619" t="str">
            <v>$</v>
          </cell>
          <cell r="D619">
            <v>2862</v>
          </cell>
          <cell r="E619">
            <v>2550</v>
          </cell>
          <cell r="F619">
            <v>3375</v>
          </cell>
          <cell r="G619">
            <v>3906</v>
          </cell>
        </row>
        <row r="620">
          <cell r="A620">
            <v>620</v>
          </cell>
          <cell r="B620" t="str">
            <v>Ventas / Cap.Trab.Operativo</v>
          </cell>
          <cell r="C620" t="str">
            <v>Fact.</v>
          </cell>
          <cell r="D620">
            <v>10.27393431167016</v>
          </cell>
          <cell r="E620">
            <v>10.628627450980392</v>
          </cell>
          <cell r="F620">
            <v>11.122666666666667</v>
          </cell>
          <cell r="G620">
            <v>10.185355862775218</v>
          </cell>
        </row>
        <row r="621">
          <cell r="A621">
            <v>621</v>
          </cell>
          <cell r="B621" t="str">
            <v>Ventas / Cap.Invertido</v>
          </cell>
          <cell r="C621" t="str">
            <v>Fact.</v>
          </cell>
          <cell r="D621">
            <v>4.6261799874134679</v>
          </cell>
          <cell r="E621">
            <v>5.1193078324225869</v>
          </cell>
          <cell r="F621">
            <v>3.7248461996427862</v>
          </cell>
          <cell r="G621">
            <v>3.490130713220458</v>
          </cell>
        </row>
        <row r="622">
          <cell r="A622">
            <v>622</v>
          </cell>
          <cell r="B622" t="str">
            <v>Retorno sobre Cap.Invertido</v>
          </cell>
          <cell r="C622" t="str">
            <v>%</v>
          </cell>
          <cell r="D622">
            <v>83.9</v>
          </cell>
          <cell r="E622">
            <v>88.2</v>
          </cell>
          <cell r="F622">
            <v>58.7</v>
          </cell>
          <cell r="G622">
            <v>50.3</v>
          </cell>
        </row>
        <row r="623">
          <cell r="A623">
            <v>623</v>
          </cell>
          <cell r="B623" t="str">
            <v>Inversion de Capital</v>
          </cell>
          <cell r="C623" t="str">
            <v>$</v>
          </cell>
          <cell r="D623">
            <v>1100</v>
          </cell>
          <cell r="E623">
            <v>1200</v>
          </cell>
        </row>
        <row r="624">
          <cell r="A624">
            <v>624</v>
          </cell>
          <cell r="B624" t="str">
            <v>CULINARIOS</v>
          </cell>
          <cell r="C624" t="str">
            <v>V.N.</v>
          </cell>
          <cell r="D624">
            <v>9416</v>
          </cell>
          <cell r="E624">
            <v>9947</v>
          </cell>
          <cell r="F624">
            <v>13601</v>
          </cell>
          <cell r="G624">
            <v>15559</v>
          </cell>
        </row>
        <row r="625">
          <cell r="A625">
            <v>625</v>
          </cell>
          <cell r="B625" t="str">
            <v>Real Internal Growth</v>
          </cell>
          <cell r="C625" t="str">
            <v>%</v>
          </cell>
          <cell r="D625">
            <v>20.9</v>
          </cell>
          <cell r="E625">
            <v>1.4</v>
          </cell>
          <cell r="F625">
            <v>24.1</v>
          </cell>
          <cell r="G625">
            <v>11.1</v>
          </cell>
          <cell r="H625" t="str">
            <v>%</v>
          </cell>
          <cell r="I625">
            <v>4.7</v>
          </cell>
          <cell r="J625">
            <v>5.9</v>
          </cell>
          <cell r="K625">
            <v>6.1</v>
          </cell>
        </row>
        <row r="626">
          <cell r="A626">
            <v>626</v>
          </cell>
          <cell r="B626" t="str">
            <v>Prom.Precio Temporales</v>
          </cell>
          <cell r="C626" t="str">
            <v>%</v>
          </cell>
          <cell r="D626">
            <v>0.4</v>
          </cell>
          <cell r="E626">
            <v>0.5</v>
          </cell>
          <cell r="F626">
            <v>0.6</v>
          </cell>
          <cell r="G626">
            <v>0.6</v>
          </cell>
        </row>
        <row r="627">
          <cell r="A627">
            <v>627</v>
          </cell>
          <cell r="B627" t="str">
            <v>Gastos Fijos Mark.Producto</v>
          </cell>
          <cell r="C627" t="str">
            <v>%</v>
          </cell>
          <cell r="D627">
            <v>57.4</v>
          </cell>
          <cell r="E627">
            <v>57.3</v>
          </cell>
          <cell r="F627">
            <v>39.299999999999997</v>
          </cell>
          <cell r="G627">
            <v>31.9</v>
          </cell>
        </row>
        <row r="628">
          <cell r="A628">
            <v>628</v>
          </cell>
          <cell r="B628" t="str">
            <v>Contribucion Producto</v>
          </cell>
          <cell r="C628" t="str">
            <v>%</v>
          </cell>
          <cell r="D628">
            <v>-12.3</v>
          </cell>
          <cell r="E628">
            <v>-8.6999999999999993</v>
          </cell>
          <cell r="F628">
            <v>12.6</v>
          </cell>
          <cell r="G628">
            <v>18.3</v>
          </cell>
        </row>
        <row r="629">
          <cell r="A629">
            <v>629</v>
          </cell>
          <cell r="B629" t="str">
            <v>Resultado de Explotacion</v>
          </cell>
          <cell r="C629" t="str">
            <v>%</v>
          </cell>
          <cell r="D629">
            <v>-26.9</v>
          </cell>
          <cell r="E629">
            <v>-23.1</v>
          </cell>
          <cell r="F629">
            <v>-0.5</v>
          </cell>
          <cell r="G629">
            <v>4.2</v>
          </cell>
        </row>
        <row r="630">
          <cell r="A630">
            <v>630</v>
          </cell>
          <cell r="B630" t="str">
            <v>Regalias / Asistencia Tecnica</v>
          </cell>
          <cell r="C630" t="str">
            <v>%</v>
          </cell>
          <cell r="D630">
            <v>0</v>
          </cell>
          <cell r="E630">
            <v>0</v>
          </cell>
          <cell r="F630">
            <v>0</v>
          </cell>
          <cell r="G630">
            <v>0</v>
          </cell>
        </row>
        <row r="631">
          <cell r="A631">
            <v>631</v>
          </cell>
          <cell r="B631" t="str">
            <v>Activo Fijo Promedio</v>
          </cell>
          <cell r="C631" t="str">
            <v>$</v>
          </cell>
          <cell r="D631">
            <v>198</v>
          </cell>
          <cell r="E631">
            <v>376</v>
          </cell>
          <cell r="F631">
            <v>570</v>
          </cell>
          <cell r="G631">
            <v>708</v>
          </cell>
        </row>
        <row r="632">
          <cell r="A632">
            <v>632</v>
          </cell>
          <cell r="B632" t="str">
            <v>Capital de Tabajo Neto</v>
          </cell>
          <cell r="C632" t="str">
            <v>$</v>
          </cell>
          <cell r="D632">
            <v>973</v>
          </cell>
          <cell r="E632">
            <v>970</v>
          </cell>
          <cell r="F632">
            <v>1298</v>
          </cell>
          <cell r="G632">
            <v>1429</v>
          </cell>
        </row>
        <row r="633">
          <cell r="A633">
            <v>633</v>
          </cell>
          <cell r="B633" t="str">
            <v>Ventas / Cap.Trab.Operativo</v>
          </cell>
          <cell r="C633" t="str">
            <v>Fact.</v>
          </cell>
          <cell r="D633">
            <v>9.6772867420349442</v>
          </cell>
          <cell r="E633">
            <v>7.6546391752577332</v>
          </cell>
          <cell r="F633">
            <v>10.478428351309708</v>
          </cell>
          <cell r="G633">
            <v>10.888033589923023</v>
          </cell>
        </row>
        <row r="634">
          <cell r="A634">
            <v>634</v>
          </cell>
          <cell r="B634" t="str">
            <v>Ventas / Cap.Invertido</v>
          </cell>
          <cell r="C634" t="str">
            <v>Fact.</v>
          </cell>
          <cell r="D634">
            <v>8.0409906063193848</v>
          </cell>
          <cell r="E634">
            <v>7.1900445765230314</v>
          </cell>
          <cell r="F634">
            <v>7.2810492505353315</v>
          </cell>
          <cell r="G634">
            <v>7.2807674309780062</v>
          </cell>
        </row>
        <row r="635">
          <cell r="A635">
            <v>635</v>
          </cell>
          <cell r="B635" t="str">
            <v>Retorno sobre Cap.Invertido</v>
          </cell>
          <cell r="C635" t="str">
            <v>%</v>
          </cell>
          <cell r="D635">
            <v>-131.1</v>
          </cell>
          <cell r="E635">
            <v>-101.1</v>
          </cell>
          <cell r="F635">
            <v>10.4</v>
          </cell>
          <cell r="G635">
            <v>35.9</v>
          </cell>
        </row>
        <row r="636">
          <cell r="A636">
            <v>636</v>
          </cell>
          <cell r="B636" t="str">
            <v>Inversion de Capital</v>
          </cell>
          <cell r="C636" t="str">
            <v>$</v>
          </cell>
          <cell r="D636">
            <v>100</v>
          </cell>
          <cell r="E636">
            <v>100</v>
          </cell>
        </row>
        <row r="637">
          <cell r="A637">
            <v>637</v>
          </cell>
          <cell r="B637" t="str">
            <v>HELADOS</v>
          </cell>
          <cell r="C637" t="str">
            <v>V.N.</v>
          </cell>
          <cell r="D637">
            <v>6318</v>
          </cell>
          <cell r="E637">
            <v>17238</v>
          </cell>
          <cell r="F637">
            <v>22844</v>
          </cell>
          <cell r="G637">
            <v>28947</v>
          </cell>
        </row>
        <row r="638">
          <cell r="A638">
            <v>638</v>
          </cell>
          <cell r="B638" t="str">
            <v>Real Internal Growth</v>
          </cell>
          <cell r="C638" t="str">
            <v>%</v>
          </cell>
          <cell r="E638">
            <v>148.6</v>
          </cell>
          <cell r="F638">
            <v>14.6</v>
          </cell>
          <cell r="G638">
            <v>15.98</v>
          </cell>
          <cell r="H638" t="str">
            <v>%</v>
          </cell>
          <cell r="I638">
            <v>7.5</v>
          </cell>
          <cell r="J638">
            <v>5.6</v>
          </cell>
          <cell r="K638">
            <v>7.9</v>
          </cell>
        </row>
        <row r="639">
          <cell r="A639">
            <v>639</v>
          </cell>
          <cell r="B639" t="str">
            <v>Prom.Precio Temporales</v>
          </cell>
          <cell r="C639" t="str">
            <v>%</v>
          </cell>
          <cell r="D639">
            <v>2.5</v>
          </cell>
          <cell r="E639">
            <v>0.7</v>
          </cell>
          <cell r="F639">
            <v>1.4</v>
          </cell>
          <cell r="G639">
            <v>0.6</v>
          </cell>
        </row>
        <row r="640">
          <cell r="A640">
            <v>640</v>
          </cell>
          <cell r="B640" t="str">
            <v>Gastos Fijos Mark.Producto</v>
          </cell>
          <cell r="C640" t="str">
            <v>%</v>
          </cell>
          <cell r="D640">
            <v>5.4</v>
          </cell>
          <cell r="E640">
            <v>27.8</v>
          </cell>
          <cell r="F640">
            <v>34.5</v>
          </cell>
          <cell r="G640">
            <v>23</v>
          </cell>
        </row>
        <row r="641">
          <cell r="A641">
            <v>641</v>
          </cell>
          <cell r="B641" t="str">
            <v>Contribucion Producto</v>
          </cell>
          <cell r="C641" t="str">
            <v>%</v>
          </cell>
          <cell r="D641">
            <v>-38.700000000000003</v>
          </cell>
          <cell r="E641">
            <v>-0.2</v>
          </cell>
          <cell r="F641">
            <v>-5.5</v>
          </cell>
          <cell r="G641">
            <v>6.7</v>
          </cell>
        </row>
        <row r="642">
          <cell r="A642">
            <v>642</v>
          </cell>
          <cell r="B642" t="str">
            <v>Resultado de Explotacion</v>
          </cell>
          <cell r="C642" t="str">
            <v>%</v>
          </cell>
          <cell r="D642">
            <v>-75</v>
          </cell>
          <cell r="E642">
            <v>-26.6</v>
          </cell>
          <cell r="F642">
            <v>-30</v>
          </cell>
          <cell r="G642">
            <v>-17.899999999999999</v>
          </cell>
        </row>
        <row r="643">
          <cell r="A643">
            <v>643</v>
          </cell>
          <cell r="B643" t="str">
            <v>Regalias / Asistencia Tecnica</v>
          </cell>
          <cell r="C643" t="str">
            <v>%</v>
          </cell>
          <cell r="D643">
            <v>0</v>
          </cell>
          <cell r="E643">
            <v>0</v>
          </cell>
          <cell r="F643">
            <v>0</v>
          </cell>
          <cell r="G643">
            <v>0</v>
          </cell>
        </row>
        <row r="644">
          <cell r="A644">
            <v>644</v>
          </cell>
          <cell r="B644" t="str">
            <v>Activo Fijo Promedio</v>
          </cell>
          <cell r="C644" t="str">
            <v>$</v>
          </cell>
          <cell r="D644">
            <v>3282</v>
          </cell>
          <cell r="E644">
            <v>5211</v>
          </cell>
          <cell r="F644">
            <v>6939</v>
          </cell>
          <cell r="G644">
            <v>6828</v>
          </cell>
        </row>
        <row r="645">
          <cell r="A645">
            <v>645</v>
          </cell>
          <cell r="B645" t="str">
            <v>Capital de Tabajo Neto</v>
          </cell>
          <cell r="C645" t="str">
            <v>$</v>
          </cell>
          <cell r="D645">
            <v>904</v>
          </cell>
          <cell r="E645">
            <v>1733</v>
          </cell>
          <cell r="F645">
            <v>1697</v>
          </cell>
          <cell r="G645">
            <v>2199</v>
          </cell>
        </row>
        <row r="646">
          <cell r="A646">
            <v>646</v>
          </cell>
          <cell r="B646" t="str">
            <v>Ventas / Cap.Trab.Operativo</v>
          </cell>
          <cell r="C646" t="str">
            <v>Fact.</v>
          </cell>
          <cell r="D646">
            <v>6.9889380530973453</v>
          </cell>
          <cell r="E646">
            <v>7.5469128678592039</v>
          </cell>
          <cell r="F646">
            <v>13.461402474955804</v>
          </cell>
          <cell r="G646">
            <v>13.163710777626195</v>
          </cell>
        </row>
        <row r="647">
          <cell r="A647">
            <v>647</v>
          </cell>
          <cell r="B647" t="str">
            <v>Ventas / Cap.Invertido</v>
          </cell>
          <cell r="C647" t="str">
            <v>Fact.</v>
          </cell>
          <cell r="D647">
            <v>1.5093167701863355</v>
          </cell>
          <cell r="E647">
            <v>2.4824308755760369</v>
          </cell>
          <cell r="F647">
            <v>2.6452061139416396</v>
          </cell>
          <cell r="G647">
            <v>3.2067131937520772</v>
          </cell>
        </row>
        <row r="648">
          <cell r="A648">
            <v>648</v>
          </cell>
          <cell r="B648" t="str">
            <v>Retorno sobre Cap.Invertido</v>
          </cell>
          <cell r="C648" t="str">
            <v>%</v>
          </cell>
          <cell r="D648">
            <v>-74.8</v>
          </cell>
          <cell r="E648">
            <v>-41</v>
          </cell>
          <cell r="F648">
            <v>-51.8</v>
          </cell>
          <cell r="G648">
            <v>-34.9</v>
          </cell>
        </row>
        <row r="649">
          <cell r="A649">
            <v>649</v>
          </cell>
          <cell r="B649" t="str">
            <v>Inversion de Capital</v>
          </cell>
          <cell r="C649" t="str">
            <v>$</v>
          </cell>
          <cell r="D649">
            <v>2800</v>
          </cell>
          <cell r="E649">
            <v>3200</v>
          </cell>
        </row>
        <row r="650">
          <cell r="A650">
            <v>650</v>
          </cell>
          <cell r="B650" t="str">
            <v>PET FOOD</v>
          </cell>
          <cell r="C650" t="str">
            <v>V.N.</v>
          </cell>
          <cell r="D650">
            <v>0</v>
          </cell>
          <cell r="E650">
            <v>0</v>
          </cell>
          <cell r="F650">
            <v>0</v>
          </cell>
          <cell r="G650">
            <v>1485</v>
          </cell>
        </row>
        <row r="651">
          <cell r="A651">
            <v>651</v>
          </cell>
          <cell r="B651" t="str">
            <v>Real Internal Growth</v>
          </cell>
          <cell r="C651" t="str">
            <v>%</v>
          </cell>
          <cell r="D651">
            <v>0</v>
          </cell>
          <cell r="E651">
            <v>0</v>
          </cell>
          <cell r="F651">
            <v>0</v>
          </cell>
          <cell r="G651">
            <v>0</v>
          </cell>
          <cell r="H651" t="str">
            <v>%</v>
          </cell>
          <cell r="I651">
            <v>71.400000000000006</v>
          </cell>
          <cell r="J651">
            <v>33.299999999999997</v>
          </cell>
          <cell r="K651">
            <v>37.5</v>
          </cell>
        </row>
        <row r="652">
          <cell r="A652">
            <v>652</v>
          </cell>
          <cell r="B652" t="str">
            <v>Prom.Precio Temporales</v>
          </cell>
          <cell r="C652" t="str">
            <v>%</v>
          </cell>
          <cell r="D652">
            <v>0</v>
          </cell>
          <cell r="E652">
            <v>0</v>
          </cell>
          <cell r="F652">
            <v>0</v>
          </cell>
          <cell r="G652">
            <v>0.6</v>
          </cell>
        </row>
        <row r="653">
          <cell r="A653">
            <v>653</v>
          </cell>
          <cell r="B653" t="str">
            <v>Gastos Fijos Mark.Producto</v>
          </cell>
          <cell r="C653" t="str">
            <v>%</v>
          </cell>
          <cell r="D653">
            <v>0</v>
          </cell>
          <cell r="E653">
            <v>0</v>
          </cell>
          <cell r="F653">
            <v>0</v>
          </cell>
          <cell r="G653">
            <v>77.400000000000006</v>
          </cell>
        </row>
        <row r="654">
          <cell r="A654">
            <v>654</v>
          </cell>
          <cell r="B654" t="str">
            <v>Contribucion Producto</v>
          </cell>
          <cell r="C654" t="str">
            <v>%</v>
          </cell>
          <cell r="D654">
            <v>0</v>
          </cell>
          <cell r="E654">
            <v>0</v>
          </cell>
          <cell r="F654">
            <v>0</v>
          </cell>
          <cell r="G654">
            <v>-31.2</v>
          </cell>
        </row>
        <row r="655">
          <cell r="A655">
            <v>655</v>
          </cell>
          <cell r="B655" t="str">
            <v>Resultado de Explotacion</v>
          </cell>
          <cell r="C655" t="str">
            <v>%</v>
          </cell>
          <cell r="D655">
            <v>0</v>
          </cell>
          <cell r="E655">
            <v>0</v>
          </cell>
          <cell r="F655">
            <v>0</v>
          </cell>
          <cell r="G655">
            <v>-49.4</v>
          </cell>
        </row>
        <row r="656">
          <cell r="A656">
            <v>656</v>
          </cell>
          <cell r="B656" t="str">
            <v>Regalias / Asistencia Tecnica</v>
          </cell>
          <cell r="C656" t="str">
            <v>%</v>
          </cell>
          <cell r="D656">
            <v>0</v>
          </cell>
          <cell r="E656">
            <v>0</v>
          </cell>
          <cell r="F656">
            <v>0</v>
          </cell>
          <cell r="G656">
            <v>0</v>
          </cell>
        </row>
        <row r="657">
          <cell r="A657">
            <v>657</v>
          </cell>
          <cell r="B657" t="str">
            <v>Activo Fijo Promedio</v>
          </cell>
          <cell r="C657" t="str">
            <v>$</v>
          </cell>
          <cell r="D657">
            <v>0</v>
          </cell>
          <cell r="E657">
            <v>0</v>
          </cell>
          <cell r="F657">
            <v>0</v>
          </cell>
          <cell r="G657">
            <v>104</v>
          </cell>
        </row>
        <row r="658">
          <cell r="A658">
            <v>658</v>
          </cell>
          <cell r="B658" t="str">
            <v>Capital de Tabajo Neto</v>
          </cell>
          <cell r="C658" t="str">
            <v>$</v>
          </cell>
          <cell r="D658">
            <v>0</v>
          </cell>
          <cell r="E658">
            <v>0</v>
          </cell>
          <cell r="F658">
            <v>0</v>
          </cell>
          <cell r="G658">
            <v>183</v>
          </cell>
        </row>
        <row r="659">
          <cell r="A659">
            <v>659</v>
          </cell>
          <cell r="B659" t="str">
            <v>Ventas / Cap.Trab.Operativo</v>
          </cell>
          <cell r="C659" t="str">
            <v>Fact.</v>
          </cell>
          <cell r="G659">
            <v>8.1147540983606561</v>
          </cell>
        </row>
        <row r="660">
          <cell r="A660">
            <v>660</v>
          </cell>
          <cell r="B660" t="str">
            <v>Ventas / Cap.Invertido</v>
          </cell>
          <cell r="C660" t="str">
            <v>Fact.</v>
          </cell>
          <cell r="G660">
            <v>5.1742160278745644</v>
          </cell>
        </row>
        <row r="661">
          <cell r="A661">
            <v>661</v>
          </cell>
          <cell r="B661" t="str">
            <v>Retorno sobre Cap.Invertido</v>
          </cell>
          <cell r="C661" t="str">
            <v>%</v>
          </cell>
          <cell r="D661">
            <v>0</v>
          </cell>
          <cell r="E661">
            <v>0</v>
          </cell>
          <cell r="F661">
            <v>0</v>
          </cell>
          <cell r="G661">
            <v>-164.9</v>
          </cell>
        </row>
        <row r="662">
          <cell r="A662">
            <v>662</v>
          </cell>
          <cell r="B662" t="str">
            <v>Inversion de Capital</v>
          </cell>
          <cell r="C662" t="str">
            <v>$</v>
          </cell>
          <cell r="D662">
            <v>0</v>
          </cell>
          <cell r="E662">
            <v>0</v>
          </cell>
          <cell r="F662">
            <v>0</v>
          </cell>
        </row>
        <row r="663">
          <cell r="A663">
            <v>663</v>
          </cell>
          <cell r="B663" t="str">
            <v>CAFÉ MOLIDO</v>
          </cell>
          <cell r="C663" t="str">
            <v>V.N.</v>
          </cell>
          <cell r="D663">
            <v>24526</v>
          </cell>
          <cell r="E663">
            <v>29520</v>
          </cell>
          <cell r="F663">
            <v>39484</v>
          </cell>
          <cell r="G663">
            <v>42309</v>
          </cell>
        </row>
        <row r="664">
          <cell r="A664">
            <v>664</v>
          </cell>
          <cell r="B664" t="str">
            <v>Real Internal Growth</v>
          </cell>
          <cell r="C664" t="str">
            <v>%</v>
          </cell>
          <cell r="D664">
            <v>-2.8</v>
          </cell>
          <cell r="E664">
            <v>7.2</v>
          </cell>
          <cell r="F664">
            <v>16.7</v>
          </cell>
          <cell r="G664">
            <v>7.8</v>
          </cell>
          <cell r="H664" t="str">
            <v>%</v>
          </cell>
          <cell r="I664">
            <v>4.0999999999999996</v>
          </cell>
          <cell r="J664">
            <v>5.8</v>
          </cell>
          <cell r="K664">
            <v>6.4</v>
          </cell>
        </row>
        <row r="665">
          <cell r="A665">
            <v>665</v>
          </cell>
          <cell r="B665" t="str">
            <v>Prom.Precio Temporales</v>
          </cell>
          <cell r="C665" t="str">
            <v>%</v>
          </cell>
          <cell r="D665">
            <v>0.1</v>
          </cell>
          <cell r="E665">
            <v>0.2</v>
          </cell>
          <cell r="F665">
            <v>0.3</v>
          </cell>
          <cell r="G665">
            <v>0.6</v>
          </cell>
        </row>
        <row r="666">
          <cell r="A666">
            <v>666</v>
          </cell>
          <cell r="B666" t="str">
            <v>Gastos Fijos Mark.Producto</v>
          </cell>
          <cell r="C666" t="str">
            <v>%</v>
          </cell>
          <cell r="D666">
            <v>5.5</v>
          </cell>
          <cell r="E666">
            <v>4.8</v>
          </cell>
          <cell r="F666">
            <v>6.3</v>
          </cell>
          <cell r="G666">
            <v>10.1</v>
          </cell>
        </row>
        <row r="667">
          <cell r="A667">
            <v>667</v>
          </cell>
          <cell r="B667" t="str">
            <v>Contribucion Producto</v>
          </cell>
          <cell r="C667" t="str">
            <v>%</v>
          </cell>
          <cell r="D667">
            <v>34.6</v>
          </cell>
          <cell r="E667">
            <v>35.1</v>
          </cell>
          <cell r="F667">
            <v>37.700000000000003</v>
          </cell>
          <cell r="G667">
            <v>36.5</v>
          </cell>
        </row>
        <row r="668">
          <cell r="A668">
            <v>668</v>
          </cell>
          <cell r="B668" t="str">
            <v>Resultado de Explotacion</v>
          </cell>
          <cell r="C668" t="str">
            <v>%</v>
          </cell>
          <cell r="D668">
            <v>20</v>
          </cell>
          <cell r="E668">
            <v>20.8</v>
          </cell>
          <cell r="F668">
            <v>24.7</v>
          </cell>
          <cell r="G668">
            <v>22.4</v>
          </cell>
        </row>
        <row r="669">
          <cell r="A669">
            <v>669</v>
          </cell>
          <cell r="B669" t="str">
            <v>Regalias / Asistencia Tecnica</v>
          </cell>
          <cell r="C669" t="str">
            <v>%</v>
          </cell>
          <cell r="D669">
            <v>3</v>
          </cell>
          <cell r="E669">
            <v>3</v>
          </cell>
          <cell r="F669">
            <v>3</v>
          </cell>
          <cell r="G669">
            <v>2.8</v>
          </cell>
        </row>
        <row r="670">
          <cell r="A670">
            <v>670</v>
          </cell>
          <cell r="B670" t="str">
            <v>Activo Fijo Promedio</v>
          </cell>
          <cell r="C670" t="str">
            <v>$</v>
          </cell>
          <cell r="D670">
            <v>1393</v>
          </cell>
          <cell r="E670">
            <v>3650</v>
          </cell>
          <cell r="F670">
            <v>6554</v>
          </cell>
          <cell r="G670">
            <v>6878</v>
          </cell>
        </row>
        <row r="671">
          <cell r="A671">
            <v>671</v>
          </cell>
          <cell r="B671" t="str">
            <v>Capital de Tabajo Neto</v>
          </cell>
          <cell r="C671" t="str">
            <v>$</v>
          </cell>
          <cell r="D671">
            <v>2073</v>
          </cell>
          <cell r="E671">
            <v>2010</v>
          </cell>
          <cell r="F671">
            <v>3011</v>
          </cell>
          <cell r="G671">
            <v>3352</v>
          </cell>
        </row>
        <row r="672">
          <cell r="A672">
            <v>672</v>
          </cell>
          <cell r="B672" t="str">
            <v>Ventas / Cap.Trab.Operativo</v>
          </cell>
          <cell r="C672" t="str">
            <v>Fact.</v>
          </cell>
          <cell r="D672">
            <v>11.831162566328992</v>
          </cell>
          <cell r="E672">
            <v>10.886567164179105</v>
          </cell>
          <cell r="F672">
            <v>13.113251411491198</v>
          </cell>
          <cell r="G672">
            <v>12.622016706443913</v>
          </cell>
        </row>
        <row r="673">
          <cell r="A673">
            <v>673</v>
          </cell>
          <cell r="B673" t="str">
            <v>Ventas / Cap.Invertido</v>
          </cell>
          <cell r="C673" t="str">
            <v>Fact.</v>
          </cell>
          <cell r="D673">
            <v>7.0761684939411422</v>
          </cell>
          <cell r="E673">
            <v>5.2155477031802118</v>
          </cell>
          <cell r="F673">
            <v>4.127966544694198</v>
          </cell>
          <cell r="G673">
            <v>4.1357771260997067</v>
          </cell>
        </row>
        <row r="674">
          <cell r="A674">
            <v>674</v>
          </cell>
          <cell r="B674" t="str">
            <v>Retorno sobre Cap.Invertido</v>
          </cell>
          <cell r="C674" t="str">
            <v>%</v>
          </cell>
          <cell r="D674">
            <v>111.5</v>
          </cell>
          <cell r="E674">
            <v>83.9</v>
          </cell>
          <cell r="F674">
            <v>77.3</v>
          </cell>
          <cell r="G674">
            <v>71.900000000000006</v>
          </cell>
        </row>
        <row r="675">
          <cell r="A675">
            <v>675</v>
          </cell>
          <cell r="B675" t="str">
            <v>Inversion de Capital</v>
          </cell>
          <cell r="C675" t="str">
            <v>$</v>
          </cell>
          <cell r="D675">
            <v>500</v>
          </cell>
          <cell r="E675">
            <v>700</v>
          </cell>
        </row>
        <row r="676">
          <cell r="A676">
            <v>676</v>
          </cell>
        </row>
        <row r="677">
          <cell r="A677">
            <v>677</v>
          </cell>
        </row>
        <row r="678">
          <cell r="A678">
            <v>678</v>
          </cell>
        </row>
        <row r="679">
          <cell r="A679">
            <v>679</v>
          </cell>
        </row>
        <row r="680">
          <cell r="A680">
            <v>680</v>
          </cell>
        </row>
        <row r="681">
          <cell r="A681">
            <v>681</v>
          </cell>
        </row>
        <row r="682">
          <cell r="A682">
            <v>682</v>
          </cell>
        </row>
        <row r="683">
          <cell r="A683">
            <v>683</v>
          </cell>
        </row>
        <row r="684">
          <cell r="A684">
            <v>684</v>
          </cell>
        </row>
        <row r="685">
          <cell r="A685">
            <v>685</v>
          </cell>
        </row>
        <row r="686">
          <cell r="A686">
            <v>686</v>
          </cell>
        </row>
        <row r="687">
          <cell r="A687">
            <v>687</v>
          </cell>
        </row>
        <row r="688">
          <cell r="A688">
            <v>688</v>
          </cell>
        </row>
        <row r="689">
          <cell r="A689">
            <v>689</v>
          </cell>
        </row>
        <row r="690">
          <cell r="A690">
            <v>690</v>
          </cell>
        </row>
        <row r="691">
          <cell r="A691">
            <v>691</v>
          </cell>
        </row>
        <row r="692">
          <cell r="A692">
            <v>692</v>
          </cell>
        </row>
        <row r="693">
          <cell r="A693">
            <v>693</v>
          </cell>
        </row>
        <row r="694">
          <cell r="A694">
            <v>694</v>
          </cell>
        </row>
        <row r="695">
          <cell r="A695">
            <v>695</v>
          </cell>
        </row>
        <row r="696">
          <cell r="A696">
            <v>696</v>
          </cell>
        </row>
        <row r="697">
          <cell r="A697">
            <v>697</v>
          </cell>
        </row>
        <row r="698">
          <cell r="A698">
            <v>698</v>
          </cell>
        </row>
        <row r="699">
          <cell r="A699">
            <v>699</v>
          </cell>
        </row>
        <row r="700">
          <cell r="A700">
            <v>700</v>
          </cell>
        </row>
      </sheetData>
      <sheetData sheetId="3" refreshError="1"/>
      <sheetData sheetId="4" refreshError="1"/>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 val="BALANCE_2008"/>
      <sheetName val="EEPN_2008"/>
      <sheetName val="EEAF_2008"/>
      <sheetName val="10_ME"/>
      <sheetName val="11_2"/>
      <sheetName val="BALANCE_2007"/>
    </sheetNames>
    <sheetDataSet>
      <sheetData sheetId="0" refreshError="1"/>
      <sheetData sheetId="1"/>
      <sheetData sheetId="2"/>
      <sheetData sheetId="3" refreshError="1"/>
      <sheetData sheetId="4" refreshError="1"/>
      <sheetData sheetId="5"/>
      <sheetData sheetId="6"/>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Control"/>
      <sheetName val="RegistroDatos"/>
      <sheetName val="Resumen"/>
      <sheetName val="TablaCoeficientes"/>
      <sheetName val="TipoBienes"/>
      <sheetName val="Cuaresumen"/>
      <sheetName val="Asiento"/>
    </sheetNames>
    <sheetDataSet>
      <sheetData sheetId="0"/>
      <sheetData sheetId="1"/>
      <sheetData sheetId="2"/>
      <sheetData sheetId="3"/>
      <sheetData sheetId="4">
        <row r="1">
          <cell r="A1" t="str">
            <v>TipoDelBien</v>
          </cell>
        </row>
        <row r="2">
          <cell r="A2" t="str">
            <v>barcazas 1</v>
          </cell>
        </row>
        <row r="3">
          <cell r="A3" t="str">
            <v>barcazas 2</v>
          </cell>
        </row>
        <row r="4">
          <cell r="A4" t="str">
            <v>barcazas 3</v>
          </cell>
        </row>
        <row r="5">
          <cell r="A5" t="str">
            <v>bienes de oficina 1</v>
          </cell>
        </row>
        <row r="6">
          <cell r="A6" t="str">
            <v>bienes de oficina 2</v>
          </cell>
        </row>
        <row r="7">
          <cell r="A7" t="str">
            <v>bienes de oficina 3</v>
          </cell>
        </row>
        <row r="8">
          <cell r="A8" t="str">
            <v>Equipos y Utiles a bordo 1</v>
          </cell>
        </row>
        <row r="9">
          <cell r="A9" t="str">
            <v>Equipos y Utiles a bordo 2</v>
          </cell>
        </row>
        <row r="10">
          <cell r="A10" t="str">
            <v>Estancia Flor Jara 1</v>
          </cell>
        </row>
        <row r="11">
          <cell r="A11" t="str">
            <v>Estancia Flor Jara 2</v>
          </cell>
        </row>
        <row r="12">
          <cell r="A12" t="str">
            <v>Estancia Flor Jara 3</v>
          </cell>
        </row>
        <row r="13">
          <cell r="A13" t="str">
            <v>Inmueble 1</v>
          </cell>
        </row>
        <row r="14">
          <cell r="A14" t="str">
            <v>Inmueble 2</v>
          </cell>
        </row>
        <row r="15">
          <cell r="A15" t="str">
            <v>Maquinarias y equipos</v>
          </cell>
        </row>
        <row r="16">
          <cell r="A16" t="str">
            <v>Remolcador 1</v>
          </cell>
        </row>
        <row r="17">
          <cell r="A17" t="str">
            <v>Remolcador 2</v>
          </cell>
        </row>
        <row r="18">
          <cell r="A18" t="str">
            <v>vehiculos</v>
          </cell>
        </row>
        <row r="19">
          <cell r="A19" t="str">
            <v>inmueble alta del año</v>
          </cell>
        </row>
        <row r="20">
          <cell r="A20" t="str">
            <v>barcazas 4</v>
          </cell>
        </row>
        <row r="21">
          <cell r="A21" t="str">
            <v>Obras en Curso</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Control"/>
      <sheetName val="RegistroDatos"/>
      <sheetName val="Resumen"/>
      <sheetName val="TablaCoeficientes"/>
      <sheetName val="TipoBienes"/>
      <sheetName val="Cuaresumen"/>
      <sheetName val="Asiento"/>
    </sheetNames>
    <sheetDataSet>
      <sheetData sheetId="0"/>
      <sheetData sheetId="1"/>
      <sheetData sheetId="2"/>
      <sheetData sheetId="3"/>
      <sheetData sheetId="4">
        <row r="1">
          <cell r="A1" t="str">
            <v>TipoDelBien</v>
          </cell>
        </row>
        <row r="2">
          <cell r="A2" t="str">
            <v>barcazas 1</v>
          </cell>
        </row>
        <row r="3">
          <cell r="A3" t="str">
            <v>barcazas 2</v>
          </cell>
        </row>
        <row r="4">
          <cell r="A4" t="str">
            <v>barcazas 3</v>
          </cell>
        </row>
        <row r="5">
          <cell r="A5" t="str">
            <v>bienes de oficina 1</v>
          </cell>
        </row>
        <row r="6">
          <cell r="A6" t="str">
            <v>bienes de oficina 2</v>
          </cell>
        </row>
        <row r="7">
          <cell r="A7" t="str">
            <v>bienes de oficina 3</v>
          </cell>
        </row>
        <row r="8">
          <cell r="A8" t="str">
            <v>Equipos y Utiles a bordo 1</v>
          </cell>
        </row>
        <row r="9">
          <cell r="A9" t="str">
            <v>Equipos y Utiles a bordo 2</v>
          </cell>
        </row>
        <row r="10">
          <cell r="A10" t="str">
            <v>Estancia Flor Jara 1</v>
          </cell>
        </row>
        <row r="11">
          <cell r="A11" t="str">
            <v>Estancia Flor Jara 2</v>
          </cell>
        </row>
        <row r="12">
          <cell r="A12" t="str">
            <v>Estancia Flor Jara 3</v>
          </cell>
        </row>
        <row r="13">
          <cell r="A13" t="str">
            <v>Inmueble 1</v>
          </cell>
        </row>
        <row r="14">
          <cell r="A14" t="str">
            <v>Inmueble 2</v>
          </cell>
        </row>
        <row r="15">
          <cell r="A15" t="str">
            <v>Maquinarias y equipos</v>
          </cell>
        </row>
        <row r="16">
          <cell r="A16" t="str">
            <v>Remolcador 1</v>
          </cell>
        </row>
        <row r="17">
          <cell r="A17" t="str">
            <v>Remolcador 2</v>
          </cell>
        </row>
        <row r="18">
          <cell r="A18" t="str">
            <v>vehiculos</v>
          </cell>
        </row>
        <row r="19">
          <cell r="A19" t="str">
            <v>inmueble alta del año</v>
          </cell>
        </row>
        <row r="20">
          <cell r="A20" t="str">
            <v>barcazas 4</v>
          </cell>
        </row>
        <row r="21">
          <cell r="A21" t="str">
            <v>Obras en Curso</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6.vml"/><Relationship Id="rId1" Type="http://schemas.openxmlformats.org/officeDocument/2006/relationships/drawing" Target="../drawings/drawing8.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8"/>
  <sheetViews>
    <sheetView workbookViewId="0">
      <selection activeCell="D24" sqref="D24"/>
    </sheetView>
  </sheetViews>
  <sheetFormatPr baseColWidth="10" defaultRowHeight="13"/>
  <cols>
    <col min="1" max="1" width="2.5" customWidth="1"/>
    <col min="3" max="3" width="8.5" customWidth="1"/>
    <col min="5" max="5" width="13.83203125" customWidth="1"/>
    <col min="7" max="7" width="12.1640625" customWidth="1"/>
    <col min="8" max="8" width="12.6640625" customWidth="1"/>
    <col min="9" max="9" width="14.83203125" customWidth="1"/>
  </cols>
  <sheetData>
    <row r="1" spans="2:4" ht="14" thickBot="1"/>
    <row r="7" spans="2:4">
      <c r="B7" t="s">
        <v>382</v>
      </c>
    </row>
    <row r="8" spans="2:4">
      <c r="B8" t="s">
        <v>358</v>
      </c>
    </row>
    <row r="10" spans="2:4">
      <c r="B10" t="s">
        <v>392</v>
      </c>
      <c r="D10" t="s">
        <v>359</v>
      </c>
    </row>
    <row r="12" spans="2:4">
      <c r="B12" t="s">
        <v>360</v>
      </c>
      <c r="D12" t="s">
        <v>364</v>
      </c>
    </row>
    <row r="14" spans="2:4">
      <c r="B14" t="s">
        <v>365</v>
      </c>
      <c r="D14" t="s">
        <v>366</v>
      </c>
    </row>
    <row r="15" spans="2:4">
      <c r="B15" t="s">
        <v>367</v>
      </c>
    </row>
    <row r="16" spans="2:4">
      <c r="D16" t="s">
        <v>368</v>
      </c>
    </row>
    <row r="18" spans="2:9">
      <c r="B18" t="s">
        <v>369</v>
      </c>
    </row>
    <row r="19" spans="2:9">
      <c r="B19" t="s">
        <v>370</v>
      </c>
    </row>
    <row r="20" spans="2:9">
      <c r="B20" t="s">
        <v>371</v>
      </c>
    </row>
    <row r="22" spans="2:9">
      <c r="B22" t="s">
        <v>372</v>
      </c>
    </row>
    <row r="24" spans="2:9">
      <c r="B24" t="s">
        <v>373</v>
      </c>
    </row>
    <row r="26" spans="2:9">
      <c r="B26" t="s">
        <v>374</v>
      </c>
    </row>
    <row r="28" spans="2:9">
      <c r="B28" t="s">
        <v>375</v>
      </c>
    </row>
    <row r="29" spans="2:9">
      <c r="E29" t="s">
        <v>377</v>
      </c>
      <c r="G29" t="s">
        <v>379</v>
      </c>
      <c r="I29" t="s">
        <v>381</v>
      </c>
    </row>
    <row r="30" spans="2:9">
      <c r="C30" t="s">
        <v>262</v>
      </c>
      <c r="D30" t="s">
        <v>376</v>
      </c>
      <c r="E30" t="s">
        <v>378</v>
      </c>
      <c r="G30" t="s">
        <v>380</v>
      </c>
      <c r="I30" t="s">
        <v>380</v>
      </c>
    </row>
    <row r="47" spans="2:9" ht="14" thickBot="1">
      <c r="B47" t="s">
        <v>214</v>
      </c>
      <c r="C47">
        <f>SUM(C31:C46)</f>
        <v>0</v>
      </c>
      <c r="G47">
        <f>SUM(G31:G46)</f>
        <v>0</v>
      </c>
      <c r="I47">
        <f>SUM(I31:I46)</f>
        <v>0</v>
      </c>
    </row>
    <row r="48" spans="2:9" ht="14" thickTop="1"/>
    <row r="50" spans="3:7">
      <c r="C50" t="s">
        <v>398</v>
      </c>
      <c r="G50" t="s">
        <v>400</v>
      </c>
    </row>
    <row r="51" spans="3:7">
      <c r="C51" t="s">
        <v>399</v>
      </c>
      <c r="G51" t="s">
        <v>401</v>
      </c>
    </row>
    <row r="55" spans="3:7" ht="4.5" customHeight="1"/>
    <row r="56" spans="3:7" ht="14">
      <c r="F56" t="s">
        <v>361</v>
      </c>
    </row>
    <row r="57" spans="3:7" ht="14">
      <c r="F57" t="s">
        <v>362</v>
      </c>
    </row>
    <row r="58" spans="3:7" ht="14" thickBot="1">
      <c r="F58" t="s">
        <v>363</v>
      </c>
    </row>
  </sheetData>
  <phoneticPr fontId="4" type="noConversion"/>
  <pageMargins left="0.98425196850393704" right="0.78740157480314965" top="1.1811023622047245" bottom="0.98425196850393704" header="0" footer="0"/>
  <pageSetup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7:R89"/>
  <sheetViews>
    <sheetView showGridLines="0" view="pageBreakPreview" topLeftCell="F2" zoomScale="115" zoomScaleNormal="99" zoomScaleSheetLayoutView="115" workbookViewId="0">
      <selection activeCell="R41" sqref="R41"/>
    </sheetView>
  </sheetViews>
  <sheetFormatPr baseColWidth="10" defaultColWidth="11.5" defaultRowHeight="13"/>
  <cols>
    <col min="1" max="1" width="4.33203125" style="15" customWidth="1"/>
    <col min="2" max="2" width="3.33203125" style="15" customWidth="1"/>
    <col min="3" max="5" width="11.5" style="15"/>
    <col min="6" max="6" width="14.33203125" style="15" bestFit="1" customWidth="1"/>
    <col min="7" max="7" width="14" style="15" customWidth="1"/>
    <col min="8" max="8" width="1.5" style="15" customWidth="1"/>
    <col min="9" max="9" width="14.33203125" style="15" bestFit="1" customWidth="1"/>
    <col min="10" max="10" width="2.5" style="15" hidden="1" customWidth="1"/>
    <col min="11" max="11" width="9.5" style="15" hidden="1" customWidth="1"/>
    <col min="12" max="12" width="6.83203125" style="15" customWidth="1"/>
    <col min="13" max="13" width="16.1640625" style="15" customWidth="1"/>
    <col min="14" max="14" width="13.5" style="15" customWidth="1"/>
    <col min="15" max="15" width="11.5" style="15"/>
    <col min="16" max="16" width="11.6640625" style="15" bestFit="1" customWidth="1"/>
    <col min="17" max="16384" width="11.5" style="15"/>
  </cols>
  <sheetData>
    <row r="7" spans="2:12" hidden="1">
      <c r="C7" s="372" t="s">
        <v>437</v>
      </c>
      <c r="D7" s="372"/>
      <c r="E7" s="372"/>
      <c r="F7" s="372"/>
      <c r="G7" s="372"/>
      <c r="H7" s="372"/>
      <c r="I7" s="372"/>
    </row>
    <row r="8" spans="2:12" hidden="1">
      <c r="C8" s="372" t="s">
        <v>460</v>
      </c>
      <c r="D8" s="372"/>
      <c r="E8" s="372"/>
      <c r="F8" s="372"/>
      <c r="G8" s="372"/>
      <c r="H8" s="372"/>
      <c r="I8" s="372"/>
    </row>
    <row r="9" spans="2:12" ht="12.75" hidden="1" customHeight="1" thickBot="1">
      <c r="B9" s="372" t="s">
        <v>461</v>
      </c>
      <c r="C9" s="372"/>
      <c r="D9" s="372"/>
      <c r="E9" s="372"/>
      <c r="F9" s="372"/>
      <c r="G9" s="372"/>
      <c r="H9" s="372"/>
      <c r="I9" s="372"/>
      <c r="J9" s="372"/>
      <c r="K9" s="372"/>
      <c r="L9" s="372"/>
    </row>
    <row r="10" spans="2:12" hidden="1"/>
    <row r="11" spans="2:12" ht="14">
      <c r="C11" s="403" t="s">
        <v>723</v>
      </c>
      <c r="D11" s="403"/>
      <c r="E11" s="403"/>
      <c r="F11" s="403"/>
      <c r="G11" s="403"/>
      <c r="H11" s="403"/>
      <c r="I11" s="403"/>
    </row>
    <row r="12" spans="2:12" ht="14">
      <c r="C12" s="29"/>
      <c r="D12" s="29"/>
      <c r="E12" s="29"/>
      <c r="F12" s="29"/>
      <c r="G12" s="29"/>
      <c r="H12" s="29"/>
      <c r="I12" s="29"/>
    </row>
    <row r="13" spans="2:12" ht="14">
      <c r="C13" s="403" t="s">
        <v>194</v>
      </c>
      <c r="D13" s="403"/>
      <c r="E13" s="403"/>
      <c r="F13" s="403"/>
      <c r="G13" s="403"/>
      <c r="H13" s="403"/>
      <c r="I13" s="403"/>
    </row>
    <row r="14" spans="2:12">
      <c r="C14" s="372"/>
      <c r="D14" s="372"/>
      <c r="E14" s="372"/>
      <c r="F14" s="372"/>
      <c r="G14" s="372"/>
      <c r="H14" s="372"/>
      <c r="I14" s="372"/>
    </row>
    <row r="15" spans="2:12">
      <c r="C15" s="402" t="s">
        <v>4020</v>
      </c>
      <c r="D15" s="402"/>
      <c r="E15" s="402"/>
      <c r="F15" s="402"/>
      <c r="G15" s="402"/>
      <c r="H15" s="402"/>
      <c r="I15" s="402"/>
    </row>
    <row r="16" spans="2:12">
      <c r="C16" s="372"/>
      <c r="D16" s="372"/>
      <c r="E16" s="372"/>
      <c r="F16" s="372"/>
      <c r="G16" s="372"/>
      <c r="H16" s="372"/>
      <c r="I16" s="372"/>
    </row>
    <row r="17" spans="3:14">
      <c r="C17" s="404" t="s">
        <v>4021</v>
      </c>
      <c r="D17" s="404"/>
      <c r="E17" s="404"/>
      <c r="F17" s="404"/>
      <c r="G17" s="404"/>
      <c r="H17" s="404"/>
      <c r="I17" s="404"/>
    </row>
    <row r="18" spans="3:14" ht="14" thickBot="1"/>
    <row r="19" spans="3:14" ht="14" thickBot="1">
      <c r="C19" s="17"/>
      <c r="D19" s="18"/>
      <c r="E19" s="18"/>
      <c r="F19" s="18"/>
      <c r="G19" s="405" t="s">
        <v>438</v>
      </c>
      <c r="H19" s="406"/>
      <c r="I19" s="407"/>
    </row>
    <row r="20" spans="3:14">
      <c r="C20" s="8"/>
      <c r="D20" s="9"/>
      <c r="E20" s="9"/>
      <c r="F20" s="9"/>
      <c r="G20" s="408" t="s">
        <v>4022</v>
      </c>
      <c r="H20" s="409"/>
      <c r="I20" s="412" t="s">
        <v>4023</v>
      </c>
      <c r="K20" s="15" t="s">
        <v>1</v>
      </c>
    </row>
    <row r="21" spans="3:14" ht="14" thickBot="1">
      <c r="C21" s="8" t="s">
        <v>439</v>
      </c>
      <c r="D21" s="9"/>
      <c r="E21" s="9"/>
      <c r="F21" s="9"/>
      <c r="G21" s="410"/>
      <c r="H21" s="411"/>
      <c r="I21" s="413"/>
    </row>
    <row r="22" spans="3:14">
      <c r="C22" s="8"/>
      <c r="D22" s="9"/>
      <c r="E22" s="9"/>
      <c r="F22" s="9"/>
      <c r="G22" s="8"/>
      <c r="H22" s="10"/>
      <c r="I22" s="10"/>
    </row>
    <row r="23" spans="3:14">
      <c r="C23" s="8" t="s">
        <v>440</v>
      </c>
      <c r="D23" s="9"/>
      <c r="E23" s="9"/>
      <c r="F23" s="9"/>
      <c r="G23" s="31">
        <f>+'Flujo de Efectivo'!E67/1000</f>
        <v>2718425.0759999999</v>
      </c>
      <c r="H23" s="30"/>
      <c r="I23" s="30">
        <f>+'Flujo de Efectivo'!E66/1000</f>
        <v>4753742.9079999998</v>
      </c>
      <c r="K23" s="15">
        <f>+'Flujo de Efectivo'!I67/1000</f>
        <v>0</v>
      </c>
    </row>
    <row r="24" spans="3:14" hidden="1">
      <c r="C24" s="8" t="s">
        <v>441</v>
      </c>
      <c r="D24" s="9"/>
      <c r="E24" s="9"/>
      <c r="F24" s="9"/>
      <c r="G24" s="31">
        <v>0</v>
      </c>
      <c r="H24" s="30"/>
      <c r="I24" s="30">
        <v>0</v>
      </c>
      <c r="K24" s="15">
        <v>0</v>
      </c>
    </row>
    <row r="25" spans="3:14">
      <c r="C25" s="8"/>
      <c r="D25" s="9"/>
      <c r="E25" s="9"/>
      <c r="F25" s="9"/>
      <c r="G25" s="31"/>
      <c r="H25" s="30"/>
      <c r="I25" s="30"/>
    </row>
    <row r="26" spans="3:14">
      <c r="C26" s="8" t="s">
        <v>442</v>
      </c>
      <c r="D26" s="9"/>
      <c r="E26" s="9"/>
      <c r="F26" s="9"/>
      <c r="G26" s="31">
        <f>+G23+G24</f>
        <v>2718425.0759999999</v>
      </c>
      <c r="H26" s="30"/>
      <c r="I26" s="30">
        <f>+I23+I24</f>
        <v>4753742.9079999998</v>
      </c>
      <c r="K26" s="15">
        <f>+K23+K24</f>
        <v>0</v>
      </c>
    </row>
    <row r="27" spans="3:14">
      <c r="C27" s="8"/>
      <c r="D27" s="9"/>
      <c r="E27" s="9"/>
      <c r="F27" s="9"/>
      <c r="G27" s="31"/>
      <c r="H27" s="30"/>
      <c r="I27" s="30"/>
    </row>
    <row r="28" spans="3:14">
      <c r="C28" s="8" t="s">
        <v>443</v>
      </c>
      <c r="D28" s="9"/>
      <c r="E28" s="9"/>
      <c r="F28" s="9"/>
      <c r="G28" s="31">
        <f>+('Flujo de Efectivo'!C67-'Flujo de Efectivo'!E67)/1000</f>
        <v>2727624.875</v>
      </c>
      <c r="H28" s="30"/>
      <c r="I28" s="30">
        <f>+'Flujo de Efectivo'!E65/1000</f>
        <v>-2035317.8319999999</v>
      </c>
      <c r="K28" s="15" t="e">
        <f>+('Flujo de Efectivo'!G67-'Flujo de Efectivo'!I67)/1000</f>
        <v>#REF!</v>
      </c>
      <c r="M28" s="15" t="s">
        <v>434</v>
      </c>
    </row>
    <row r="29" spans="3:14">
      <c r="C29" s="8"/>
      <c r="D29" s="9"/>
      <c r="E29" s="9"/>
      <c r="F29" s="9"/>
      <c r="G29" s="31"/>
      <c r="H29" s="30"/>
      <c r="I29" s="30"/>
    </row>
    <row r="30" spans="3:14">
      <c r="C30" s="8" t="s">
        <v>444</v>
      </c>
      <c r="D30" s="9"/>
      <c r="E30" s="9"/>
      <c r="F30" s="9"/>
      <c r="G30" s="31">
        <f>+G26+G28</f>
        <v>5446049.9509999994</v>
      </c>
      <c r="H30" s="30"/>
      <c r="I30" s="30">
        <f>+I26+I28</f>
        <v>2718425.0759999999</v>
      </c>
      <c r="K30" s="15" t="e">
        <f>+K26+K28</f>
        <v>#REF!</v>
      </c>
      <c r="M30" s="22">
        <f>+G30-('Flujo de Efectivo'!C69/1000)</f>
        <v>0</v>
      </c>
      <c r="N30" s="22">
        <f>+I30-('Flujo de Efectivo'!E69/1000)</f>
        <v>0</v>
      </c>
    </row>
    <row r="31" spans="3:14">
      <c r="C31" s="8"/>
      <c r="D31" s="9"/>
      <c r="E31" s="9"/>
      <c r="F31" s="9"/>
      <c r="G31" s="31">
        <f>+'Flujo de Efectivo'!C67/1000</f>
        <v>5446049.9510000004</v>
      </c>
      <c r="H31" s="30"/>
      <c r="I31" s="30">
        <f>+'Flujo de Efectivo'!E67/1000</f>
        <v>2718425.0759999999</v>
      </c>
      <c r="K31" s="15" t="e">
        <f>+'Flujo de Efectivo'!G67/1000</f>
        <v>#REF!</v>
      </c>
    </row>
    <row r="32" spans="3:14">
      <c r="C32" s="8" t="s">
        <v>445</v>
      </c>
      <c r="D32" s="9"/>
      <c r="E32" s="9"/>
      <c r="F32" s="9"/>
      <c r="G32" s="31"/>
      <c r="H32" s="30"/>
      <c r="I32" s="30"/>
    </row>
    <row r="33" spans="3:11">
      <c r="C33" s="8"/>
      <c r="D33" s="9"/>
      <c r="E33" s="9"/>
      <c r="F33" s="9"/>
      <c r="G33" s="31"/>
      <c r="H33" s="30"/>
      <c r="I33" s="30"/>
    </row>
    <row r="34" spans="3:11">
      <c r="C34" s="8" t="s">
        <v>446</v>
      </c>
      <c r="D34" s="9"/>
      <c r="E34" s="9"/>
      <c r="F34" s="9"/>
      <c r="G34" s="31">
        <f>+G35</f>
        <v>80872399.591999993</v>
      </c>
      <c r="H34" s="30"/>
      <c r="I34" s="30">
        <f>+I35</f>
        <v>76641058.641000003</v>
      </c>
      <c r="K34" s="15" t="e">
        <f>+K35</f>
        <v>#REF!</v>
      </c>
    </row>
    <row r="35" spans="3:11">
      <c r="C35" s="8" t="s">
        <v>462</v>
      </c>
      <c r="D35" s="9"/>
      <c r="E35" s="9"/>
      <c r="F35" s="9"/>
      <c r="G35" s="31">
        <f>+'Flujo de Efectivo'!C10/1000</f>
        <v>80872399.591999993</v>
      </c>
      <c r="H35" s="30"/>
      <c r="I35" s="30">
        <f>+'Flujo de Efectivo'!E10/1000</f>
        <v>76641058.641000003</v>
      </c>
      <c r="K35" s="15" t="e">
        <f>+'Flujo de Efectivo'!G10/1000</f>
        <v>#REF!</v>
      </c>
    </row>
    <row r="36" spans="3:11">
      <c r="C36" s="8"/>
      <c r="D36" s="9"/>
      <c r="E36" s="9"/>
      <c r="F36" s="9"/>
      <c r="G36" s="31"/>
      <c r="H36" s="30"/>
      <c r="I36" s="30"/>
    </row>
    <row r="37" spans="3:11">
      <c r="C37" s="8" t="s">
        <v>903</v>
      </c>
      <c r="D37" s="9"/>
      <c r="E37" s="9"/>
      <c r="F37" s="9"/>
      <c r="G37" s="31">
        <f>+(+'Flujo de Efectivo'!C13+'Flujo de Efectivo'!C35)/1000</f>
        <v>-12604011.419</v>
      </c>
      <c r="H37" s="30"/>
      <c r="I37" s="30">
        <f>+(+'Flujo de Efectivo'!E13+'Flujo de Efectivo'!E35)/1000</f>
        <v>-10492850.876</v>
      </c>
      <c r="K37" s="15" t="e">
        <f>+(+'Flujo de Efectivo'!G13+'Flujo de Efectivo'!G35)/1000</f>
        <v>#REF!</v>
      </c>
    </row>
    <row r="38" spans="3:11">
      <c r="C38" s="8"/>
      <c r="D38" s="9"/>
      <c r="E38" s="9"/>
      <c r="F38" s="9"/>
      <c r="G38" s="31"/>
      <c r="H38" s="30"/>
      <c r="I38" s="30"/>
    </row>
    <row r="39" spans="3:11">
      <c r="C39" s="8" t="s">
        <v>904</v>
      </c>
      <c r="D39" s="9"/>
      <c r="E39" s="9"/>
      <c r="F39" s="9"/>
      <c r="G39" s="31">
        <f>+('Flujo de Efectivo'!C14+'Flujo de Efectivo'!C29+'Flujo de Efectivo'!C30+'Flujo de Efectivo'!C31)/1000</f>
        <v>-1366759.301</v>
      </c>
      <c r="H39" s="30"/>
      <c r="I39" s="30">
        <f>+('Flujo de Efectivo'!E14+'Flujo de Efectivo'!E29+'Flujo de Efectivo'!E30+'Flujo de Efectivo'!E31)/1000</f>
        <v>599479.68200000003</v>
      </c>
      <c r="K39" s="15" t="e">
        <f>+('Flujo de Efectivo'!G14+'Flujo de Efectivo'!G29+'Flujo de Efectivo'!G30+'Flujo de Efectivo'!G31)/1000</f>
        <v>#REF!</v>
      </c>
    </row>
    <row r="40" spans="3:11">
      <c r="C40" s="8"/>
      <c r="D40" s="9"/>
      <c r="E40" s="9"/>
      <c r="F40" s="9"/>
      <c r="G40" s="31"/>
      <c r="H40" s="30"/>
      <c r="I40" s="30"/>
    </row>
    <row r="41" spans="3:11">
      <c r="C41" s="8" t="s">
        <v>447</v>
      </c>
      <c r="D41" s="9"/>
      <c r="E41" s="9"/>
      <c r="F41" s="9"/>
      <c r="G41" s="31">
        <f>+G34+G37+G39</f>
        <v>66901628.871999994</v>
      </c>
      <c r="H41" s="30"/>
      <c r="I41" s="30">
        <f>+I34+I37+I39</f>
        <v>66747687.446999997</v>
      </c>
      <c r="K41" s="15" t="e">
        <f>+K34+K37+K39</f>
        <v>#REF!</v>
      </c>
    </row>
    <row r="42" spans="3:11">
      <c r="C42" s="8"/>
      <c r="D42" s="9"/>
      <c r="E42" s="9"/>
      <c r="F42" s="9"/>
      <c r="G42" s="31"/>
      <c r="H42" s="30"/>
      <c r="I42" s="30"/>
    </row>
    <row r="43" spans="3:11">
      <c r="C43" s="8" t="s">
        <v>448</v>
      </c>
      <c r="D43" s="9"/>
      <c r="E43" s="9"/>
      <c r="F43" s="9"/>
      <c r="G43" s="31">
        <f>+'Flujo de Efectivo'!C55/1000</f>
        <v>0</v>
      </c>
      <c r="H43" s="30"/>
      <c r="I43" s="30">
        <f>+'Flujo de Efectivo'!E55/1000</f>
        <v>0</v>
      </c>
      <c r="K43" s="15" t="e">
        <f>+'Flujo de Efectivo'!G55/1000</f>
        <v>#REF!</v>
      </c>
    </row>
    <row r="44" spans="3:11">
      <c r="C44" s="8" t="s">
        <v>449</v>
      </c>
      <c r="D44" s="9"/>
      <c r="E44" s="9"/>
      <c r="F44" s="9"/>
      <c r="G44" s="31">
        <f>+('Flujo de Efectivo'!C56+'Flujo de Efectivo'!C57+'Flujo de Efectivo'!C58)/1000</f>
        <v>-15486270.205</v>
      </c>
      <c r="H44" s="30"/>
      <c r="I44" s="30">
        <f>+('Flujo de Efectivo'!E56+'Flujo de Efectivo'!E57+'Flujo de Efectivo'!E58)/1000</f>
        <v>3734023.1150000002</v>
      </c>
      <c r="K44" s="15" t="e">
        <f>+('Flujo de Efectivo'!G56+'Flujo de Efectivo'!G57+'Flujo de Efectivo'!G58)/1000</f>
        <v>#REF!</v>
      </c>
    </row>
    <row r="45" spans="3:11" hidden="1">
      <c r="C45" s="8" t="s">
        <v>450</v>
      </c>
      <c r="D45" s="9"/>
      <c r="E45" s="9"/>
      <c r="F45" s="9"/>
      <c r="G45" s="31">
        <v>0</v>
      </c>
      <c r="H45" s="30"/>
      <c r="I45" s="30">
        <v>0</v>
      </c>
      <c r="K45" s="15">
        <v>0</v>
      </c>
    </row>
    <row r="46" spans="3:11">
      <c r="C46" s="8" t="s">
        <v>451</v>
      </c>
      <c r="D46" s="9"/>
      <c r="E46" s="9"/>
      <c r="F46" s="9"/>
      <c r="G46" s="31">
        <f>+G43+G44+G45</f>
        <v>-15486270.205</v>
      </c>
      <c r="H46" s="30"/>
      <c r="I46" s="30">
        <f>+I43+I44+I45</f>
        <v>3734023.1150000002</v>
      </c>
      <c r="K46" s="15" t="e">
        <f>+K43+K44+K45</f>
        <v>#REF!</v>
      </c>
    </row>
    <row r="47" spans="3:11">
      <c r="C47" s="8"/>
      <c r="D47" s="9"/>
      <c r="E47" s="9"/>
      <c r="F47" s="9"/>
      <c r="G47" s="31"/>
      <c r="H47" s="30"/>
      <c r="I47" s="30"/>
    </row>
    <row r="48" spans="3:11">
      <c r="C48" s="8" t="s">
        <v>452</v>
      </c>
      <c r="D48" s="9"/>
      <c r="E48" s="9"/>
      <c r="F48" s="9"/>
      <c r="G48" s="31">
        <f>+G41+G46</f>
        <v>51415358.666999996</v>
      </c>
      <c r="H48" s="30"/>
      <c r="I48" s="30">
        <f>+I41+I46</f>
        <v>70481710.561999992</v>
      </c>
      <c r="K48" s="15" t="e">
        <f>+K41+K46</f>
        <v>#REF!</v>
      </c>
    </row>
    <row r="49" spans="3:11">
      <c r="C49" s="8"/>
      <c r="D49" s="9"/>
      <c r="E49" s="9"/>
      <c r="F49" s="9"/>
      <c r="G49" s="31"/>
      <c r="H49" s="30"/>
      <c r="I49" s="30"/>
    </row>
    <row r="50" spans="3:11">
      <c r="C50" s="8"/>
      <c r="D50" s="9"/>
      <c r="E50" s="9"/>
      <c r="F50" s="9"/>
      <c r="G50" s="31"/>
      <c r="H50" s="30"/>
      <c r="I50" s="30"/>
    </row>
    <row r="51" spans="3:11">
      <c r="C51" s="8" t="s">
        <v>453</v>
      </c>
      <c r="D51" s="9"/>
      <c r="E51" s="9"/>
      <c r="F51" s="9"/>
      <c r="G51" s="31">
        <f>+G52</f>
        <v>-53782298.061999999</v>
      </c>
      <c r="H51" s="30"/>
      <c r="I51" s="30">
        <f>+I52</f>
        <v>-62924200.372000001</v>
      </c>
      <c r="K51" s="15" t="e">
        <f>+K52</f>
        <v>#REF!</v>
      </c>
    </row>
    <row r="52" spans="3:11">
      <c r="C52" s="8" t="str">
        <f>[33]CFLOW173!$A$33</f>
        <v>Pagos a Proveedores</v>
      </c>
      <c r="D52" s="9"/>
      <c r="E52" s="9"/>
      <c r="F52" s="9"/>
      <c r="G52" s="31">
        <f>+'Flujo de Efectivo'!C12/1000</f>
        <v>-53782298.061999999</v>
      </c>
      <c r="H52" s="30"/>
      <c r="I52" s="30">
        <f>+'Flujo de Efectivo'!E12/1000</f>
        <v>-62924200.372000001</v>
      </c>
      <c r="K52" s="15" t="e">
        <f>+'Flujo de Efectivo'!G12/1000</f>
        <v>#REF!</v>
      </c>
    </row>
    <row r="53" spans="3:11">
      <c r="C53" s="8"/>
      <c r="D53" s="9"/>
      <c r="E53" s="9"/>
      <c r="F53" s="9"/>
      <c r="G53" s="31"/>
      <c r="H53" s="30"/>
      <c r="I53" s="30"/>
    </row>
    <row r="54" spans="3:11" hidden="1">
      <c r="C54" s="8" t="s">
        <v>454</v>
      </c>
      <c r="D54" s="9"/>
      <c r="E54" s="9"/>
      <c r="F54" s="9"/>
      <c r="G54" s="31">
        <v>0</v>
      </c>
      <c r="H54" s="30"/>
      <c r="I54" s="30">
        <v>0</v>
      </c>
      <c r="K54" s="15">
        <v>0</v>
      </c>
    </row>
    <row r="55" spans="3:11" hidden="1">
      <c r="C55" s="8"/>
      <c r="D55" s="9"/>
      <c r="E55" s="9"/>
      <c r="F55" s="9"/>
      <c r="G55" s="31"/>
      <c r="H55" s="30"/>
      <c r="I55" s="30"/>
    </row>
    <row r="56" spans="3:11">
      <c r="C56" s="8" t="s">
        <v>970</v>
      </c>
      <c r="D56" s="9"/>
      <c r="E56" s="9"/>
      <c r="F56" s="9"/>
      <c r="G56" s="31">
        <f>+G57</f>
        <v>1929036.986</v>
      </c>
      <c r="H56" s="30"/>
      <c r="I56" s="30">
        <f>+I57</f>
        <v>-10820498.098999999</v>
      </c>
      <c r="K56" s="15" t="e">
        <f>+K57</f>
        <v>#REF!</v>
      </c>
    </row>
    <row r="57" spans="3:11">
      <c r="C57" s="8" t="str">
        <f>[33]CFLOW173!$A$47</f>
        <v>Compra de propiedad, planta y equipo</v>
      </c>
      <c r="D57" s="9"/>
      <c r="E57" s="9"/>
      <c r="F57" s="9"/>
      <c r="G57" s="31">
        <f>+'Flujo de Efectivo'!C51/1000</f>
        <v>1929036.986</v>
      </c>
      <c r="H57" s="30"/>
      <c r="I57" s="30">
        <f>+'Flujo de Efectivo'!E51/1000</f>
        <v>-10820498.098999999</v>
      </c>
      <c r="K57" s="15" t="e">
        <f>+'Flujo de Efectivo'!G49/1000</f>
        <v>#REF!</v>
      </c>
    </row>
    <row r="58" spans="3:11">
      <c r="C58" s="8"/>
      <c r="D58" s="9"/>
      <c r="E58" s="9"/>
      <c r="F58" s="9"/>
      <c r="G58" s="31"/>
      <c r="H58" s="30"/>
      <c r="I58" s="30"/>
    </row>
    <row r="59" spans="3:11" hidden="1">
      <c r="C59" s="8" t="s">
        <v>455</v>
      </c>
      <c r="D59" s="9"/>
      <c r="E59" s="9"/>
      <c r="F59" s="9"/>
      <c r="G59" s="31">
        <f>+'[34]flujo res 173-04'!D59</f>
        <v>0</v>
      </c>
      <c r="H59" s="30"/>
      <c r="I59" s="30">
        <f>+'[34]flujo res 173-04'!F59</f>
        <v>0</v>
      </c>
      <c r="K59" s="15">
        <v>0</v>
      </c>
    </row>
    <row r="60" spans="3:11" hidden="1">
      <c r="C60" s="8"/>
      <c r="D60" s="9"/>
      <c r="E60" s="9"/>
      <c r="F60" s="9"/>
      <c r="G60" s="31"/>
      <c r="H60" s="30"/>
      <c r="I60" s="30"/>
    </row>
    <row r="61" spans="3:11" hidden="1">
      <c r="C61" s="8" t="s">
        <v>456</v>
      </c>
      <c r="D61" s="9"/>
      <c r="E61" s="9"/>
      <c r="F61" s="9"/>
      <c r="G61" s="31">
        <f>+'[34]flujo res 173-04'!D49</f>
        <v>0</v>
      </c>
      <c r="H61" s="30"/>
      <c r="I61" s="30">
        <v>0</v>
      </c>
      <c r="K61" s="15">
        <v>0</v>
      </c>
    </row>
    <row r="62" spans="3:11">
      <c r="C62" s="8"/>
      <c r="D62" s="9"/>
      <c r="E62" s="9"/>
      <c r="F62" s="9"/>
      <c r="G62" s="31"/>
      <c r="H62" s="30"/>
      <c r="I62" s="30"/>
    </row>
    <row r="63" spans="3:11">
      <c r="C63" s="8" t="s">
        <v>457</v>
      </c>
      <c r="D63" s="9"/>
      <c r="E63" s="9"/>
      <c r="F63" s="9"/>
      <c r="G63" s="31">
        <f>+'Flujo de Efectivo'!C63/1000</f>
        <v>959204.67500000005</v>
      </c>
      <c r="H63" s="30"/>
      <c r="I63" s="30">
        <f>+'Flujo de Efectivo'!E63/1000</f>
        <v>1130637.95</v>
      </c>
      <c r="K63" s="15" t="e">
        <f>+'Flujo de Efectivo'!G63/1000</f>
        <v>#REF!</v>
      </c>
    </row>
    <row r="64" spans="3:11">
      <c r="C64" s="8" t="str">
        <f>[33]CFLOW173!$A$38</f>
        <v>Impuesto a la Renta</v>
      </c>
      <c r="D64" s="9"/>
      <c r="E64" s="9"/>
      <c r="F64" s="9"/>
      <c r="G64" s="31">
        <f>+'Flujo de Efectivo'!C40/1000</f>
        <v>-162814.35200000001</v>
      </c>
      <c r="H64" s="30"/>
      <c r="I64" s="30">
        <f>+'Flujo de Efectivo'!E40/1000</f>
        <v>97032.126999999993</v>
      </c>
      <c r="K64" s="15" t="e">
        <f>+'Flujo de Efectivo'!G40/1000</f>
        <v>#REF!</v>
      </c>
    </row>
    <row r="65" spans="3:18">
      <c r="C65" s="8"/>
      <c r="D65" s="9"/>
      <c r="E65" s="9"/>
      <c r="F65" s="9"/>
      <c r="G65" s="31"/>
      <c r="H65" s="30"/>
      <c r="I65" s="30"/>
    </row>
    <row r="66" spans="3:18">
      <c r="C66" s="6" t="s">
        <v>458</v>
      </c>
      <c r="D66" s="7"/>
      <c r="E66" s="7"/>
      <c r="F66" s="7"/>
      <c r="G66" s="32">
        <f>+SUM(G48+G51+G56+G63+G64)</f>
        <v>358487.91399999679</v>
      </c>
      <c r="H66" s="33"/>
      <c r="I66" s="33">
        <f>+SUM(I48+I51+I56+I63+I64)</f>
        <v>-2035317.832000009</v>
      </c>
      <c r="K66" s="15" t="e">
        <f>+SUM(K48+K51+K56+K63+K64)</f>
        <v>#REF!</v>
      </c>
      <c r="M66" s="43">
        <f>+G66-('Flujo de Efectivo'!C65/1000)</f>
        <v>-3.2014213502407074E-9</v>
      </c>
      <c r="N66" s="43">
        <f>+I66-('Flujo de Efectivo'!E65/1000)</f>
        <v>-9.0803951025009155E-9</v>
      </c>
    </row>
    <row r="67" spans="3:18" ht="14" thickBot="1">
      <c r="C67" s="11"/>
      <c r="D67" s="12"/>
      <c r="E67" s="12"/>
      <c r="F67" s="12"/>
      <c r="G67" s="11"/>
      <c r="H67" s="13"/>
      <c r="I67" s="13"/>
    </row>
    <row r="69" spans="3:18">
      <c r="C69" s="126" t="s">
        <v>1573</v>
      </c>
      <c r="D69" s="126"/>
      <c r="E69" s="126"/>
      <c r="F69" s="126"/>
      <c r="G69" s="126"/>
      <c r="H69" s="126"/>
      <c r="I69" s="126"/>
    </row>
    <row r="73" spans="3:18">
      <c r="D73" s="15" t="s">
        <v>1622</v>
      </c>
      <c r="P73" s="372"/>
      <c r="Q73" s="372"/>
      <c r="R73" s="372"/>
    </row>
    <row r="74" spans="3:18">
      <c r="C74" s="372"/>
      <c r="D74" s="372"/>
      <c r="G74" s="372"/>
      <c r="H74" s="372"/>
      <c r="I74" s="372"/>
      <c r="J74" s="372"/>
      <c r="K74" s="372"/>
      <c r="L74" s="372"/>
    </row>
    <row r="89" spans="12:12">
      <c r="L89" s="15">
        <v>6</v>
      </c>
    </row>
  </sheetData>
  <mergeCells count="15">
    <mergeCell ref="C16:I16"/>
    <mergeCell ref="C17:I17"/>
    <mergeCell ref="P73:R73"/>
    <mergeCell ref="C74:D74"/>
    <mergeCell ref="G74:L74"/>
    <mergeCell ref="G19:I19"/>
    <mergeCell ref="G20:H21"/>
    <mergeCell ref="I20:I21"/>
    <mergeCell ref="C15:I15"/>
    <mergeCell ref="C7:I7"/>
    <mergeCell ref="C8:I8"/>
    <mergeCell ref="B9:L9"/>
    <mergeCell ref="C11:I11"/>
    <mergeCell ref="C13:I13"/>
    <mergeCell ref="C14:I14"/>
  </mergeCells>
  <phoneticPr fontId="4" type="noConversion"/>
  <printOptions horizontalCentered="1"/>
  <pageMargins left="0.74803149606299213" right="0.15748031496062992" top="0.98425196850393704" bottom="0" header="0" footer="0"/>
  <pageSetup paperSize="9" scale="80" orientation="portrait" r:id="rId1"/>
  <headerFooter>
    <oddHeader>&amp;L
&amp;G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5C5F1-B582-B24B-B687-F87A6CB4BF6D}">
  <dimension ref="A1:R23"/>
  <sheetViews>
    <sheetView showGridLines="0" workbookViewId="0">
      <selection activeCell="B2" sqref="B2:R2"/>
    </sheetView>
  </sheetViews>
  <sheetFormatPr baseColWidth="10" defaultRowHeight="13"/>
  <cols>
    <col min="2" max="2" width="6.1640625" style="249" customWidth="1"/>
    <col min="3" max="3" width="10.83203125" style="327"/>
    <col min="18" max="18" width="2.5" customWidth="1"/>
  </cols>
  <sheetData>
    <row r="1" spans="1:18" s="249" customFormat="1" ht="14" thickBot="1">
      <c r="C1" s="327"/>
    </row>
    <row r="2" spans="1:18" ht="14" thickTop="1">
      <c r="B2" s="328"/>
      <c r="C2" s="329"/>
      <c r="D2" s="330"/>
      <c r="E2" s="330"/>
      <c r="F2" s="330"/>
      <c r="G2" s="330"/>
      <c r="H2" s="330"/>
      <c r="I2" s="330"/>
      <c r="J2" s="330"/>
      <c r="K2" s="330"/>
      <c r="L2" s="330"/>
      <c r="M2" s="330"/>
      <c r="N2" s="330"/>
      <c r="O2" s="330"/>
      <c r="P2" s="330"/>
      <c r="Q2" s="330"/>
      <c r="R2" s="331"/>
    </row>
    <row r="3" spans="1:18" ht="18">
      <c r="B3" s="332"/>
      <c r="C3" s="415" t="s">
        <v>4813</v>
      </c>
      <c r="D3" s="416"/>
      <c r="E3" s="416"/>
      <c r="F3" s="416"/>
      <c r="G3" s="416"/>
      <c r="H3" s="416"/>
      <c r="I3" s="416"/>
      <c r="J3" s="416"/>
      <c r="K3" s="416"/>
      <c r="L3" s="416"/>
      <c r="M3" s="416"/>
      <c r="N3" s="416"/>
      <c r="O3" s="416"/>
      <c r="P3" s="416"/>
      <c r="Q3" s="333"/>
      <c r="R3" s="334"/>
    </row>
    <row r="4" spans="1:18">
      <c r="B4" s="332"/>
      <c r="C4" s="335"/>
      <c r="D4" s="333"/>
      <c r="E4" s="333"/>
      <c r="F4" s="333"/>
      <c r="G4" s="333"/>
      <c r="H4" s="333"/>
      <c r="I4" s="333"/>
      <c r="J4" s="333"/>
      <c r="K4" s="333"/>
      <c r="L4" s="333"/>
      <c r="M4" s="333"/>
      <c r="N4" s="333"/>
      <c r="O4" s="333"/>
      <c r="P4" s="333"/>
      <c r="Q4" s="333"/>
      <c r="R4" s="334"/>
    </row>
    <row r="5" spans="1:18">
      <c r="A5" s="241"/>
      <c r="B5" s="271"/>
      <c r="C5" s="335"/>
      <c r="D5" s="250"/>
      <c r="E5" s="250"/>
      <c r="F5" s="250"/>
      <c r="G5" s="250"/>
      <c r="H5" s="250"/>
      <c r="I5" s="250"/>
      <c r="J5" s="333"/>
      <c r="K5" s="333"/>
      <c r="L5" s="333"/>
      <c r="M5" s="333"/>
      <c r="N5" s="333"/>
      <c r="O5" s="333"/>
      <c r="P5" s="333"/>
      <c r="Q5" s="333"/>
      <c r="R5" s="334"/>
    </row>
    <row r="6" spans="1:18" ht="20">
      <c r="A6" s="241"/>
      <c r="B6" s="271"/>
      <c r="C6" s="336" t="s">
        <v>4807</v>
      </c>
      <c r="D6" s="250"/>
      <c r="E6" s="250"/>
      <c r="F6" s="250"/>
      <c r="G6" s="250"/>
      <c r="H6" s="250"/>
      <c r="I6" s="250"/>
      <c r="J6" s="333"/>
      <c r="K6" s="333"/>
      <c r="L6" s="333"/>
      <c r="M6" s="333"/>
      <c r="N6" s="333"/>
      <c r="O6" s="333"/>
      <c r="P6" s="333"/>
      <c r="Q6" s="333"/>
      <c r="R6" s="334"/>
    </row>
    <row r="7" spans="1:18">
      <c r="A7" s="241"/>
      <c r="B7" s="271"/>
      <c r="C7" s="337"/>
      <c r="D7" s="250"/>
      <c r="E7" s="250"/>
      <c r="F7" s="250"/>
      <c r="G7" s="250"/>
      <c r="H7" s="250"/>
      <c r="I7" s="250"/>
      <c r="J7" s="333"/>
      <c r="K7" s="333"/>
      <c r="L7" s="333"/>
      <c r="M7" s="333"/>
      <c r="N7" s="333"/>
      <c r="O7" s="333"/>
      <c r="P7" s="333"/>
      <c r="Q7" s="333"/>
      <c r="R7" s="334"/>
    </row>
    <row r="8" spans="1:18" ht="16" customHeight="1">
      <c r="A8" s="241"/>
      <c r="B8" s="271"/>
      <c r="C8" s="417" t="s">
        <v>4808</v>
      </c>
      <c r="D8" s="417"/>
      <c r="E8" s="417"/>
      <c r="F8" s="417"/>
      <c r="G8" s="417"/>
      <c r="H8" s="417"/>
      <c r="I8" s="417"/>
      <c r="J8" s="417"/>
      <c r="K8" s="417"/>
      <c r="L8" s="417"/>
      <c r="M8" s="417"/>
      <c r="N8" s="417"/>
      <c r="O8" s="417"/>
      <c r="P8" s="417"/>
      <c r="Q8" s="417"/>
      <c r="R8" s="334"/>
    </row>
    <row r="9" spans="1:18" ht="20" customHeight="1">
      <c r="A9" s="241"/>
      <c r="B9" s="271"/>
      <c r="C9" s="417"/>
      <c r="D9" s="417"/>
      <c r="E9" s="417"/>
      <c r="F9" s="417"/>
      <c r="G9" s="417"/>
      <c r="H9" s="417"/>
      <c r="I9" s="417"/>
      <c r="J9" s="417"/>
      <c r="K9" s="417"/>
      <c r="L9" s="417"/>
      <c r="M9" s="417"/>
      <c r="N9" s="417"/>
      <c r="O9" s="417"/>
      <c r="P9" s="417"/>
      <c r="Q9" s="417"/>
      <c r="R9" s="334"/>
    </row>
    <row r="10" spans="1:18" ht="16" customHeight="1">
      <c r="A10" s="241"/>
      <c r="B10" s="271"/>
      <c r="C10" s="343"/>
      <c r="D10" s="343"/>
      <c r="E10" s="343"/>
      <c r="F10" s="343"/>
      <c r="G10" s="343"/>
      <c r="H10" s="343"/>
      <c r="I10" s="343"/>
      <c r="J10" s="343"/>
      <c r="K10" s="343"/>
      <c r="L10" s="343"/>
      <c r="M10" s="343"/>
      <c r="N10" s="343"/>
      <c r="O10" s="343"/>
      <c r="P10" s="343"/>
      <c r="Q10" s="343"/>
      <c r="R10" s="334"/>
    </row>
    <row r="11" spans="1:18" ht="16" customHeight="1">
      <c r="A11" s="241"/>
      <c r="B11" s="271"/>
      <c r="C11" s="417" t="s">
        <v>4809</v>
      </c>
      <c r="D11" s="417"/>
      <c r="E11" s="417"/>
      <c r="F11" s="417"/>
      <c r="G11" s="417"/>
      <c r="H11" s="417"/>
      <c r="I11" s="417"/>
      <c r="J11" s="417"/>
      <c r="K11" s="417"/>
      <c r="L11" s="417"/>
      <c r="M11" s="417"/>
      <c r="N11" s="417"/>
      <c r="O11" s="417"/>
      <c r="P11" s="417"/>
      <c r="Q11" s="417"/>
      <c r="R11" s="334"/>
    </row>
    <row r="12" spans="1:18" ht="21" customHeight="1">
      <c r="A12" s="241"/>
      <c r="B12" s="271"/>
      <c r="C12" s="417"/>
      <c r="D12" s="417"/>
      <c r="E12" s="417"/>
      <c r="F12" s="417"/>
      <c r="G12" s="417"/>
      <c r="H12" s="417"/>
      <c r="I12" s="417"/>
      <c r="J12" s="417"/>
      <c r="K12" s="417"/>
      <c r="L12" s="417"/>
      <c r="M12" s="417"/>
      <c r="N12" s="417"/>
      <c r="O12" s="417"/>
      <c r="P12" s="417"/>
      <c r="Q12" s="417"/>
      <c r="R12" s="334"/>
    </row>
    <row r="13" spans="1:18" ht="16">
      <c r="A13" s="241"/>
      <c r="B13" s="271"/>
      <c r="C13" s="338"/>
      <c r="D13" s="167"/>
      <c r="E13" s="250"/>
      <c r="F13" s="250"/>
      <c r="G13" s="250"/>
      <c r="H13" s="250"/>
      <c r="I13" s="250"/>
      <c r="J13" s="333"/>
      <c r="K13" s="333"/>
      <c r="L13" s="333"/>
      <c r="M13" s="333"/>
      <c r="N13" s="333"/>
      <c r="O13" s="333"/>
      <c r="P13" s="333"/>
      <c r="Q13" s="333"/>
      <c r="R13" s="334"/>
    </row>
    <row r="14" spans="1:18" ht="16">
      <c r="A14" s="241"/>
      <c r="B14" s="271"/>
      <c r="C14" s="167" t="s">
        <v>4810</v>
      </c>
      <c r="D14" s="167"/>
      <c r="E14" s="250"/>
      <c r="F14" s="250"/>
      <c r="G14" s="250"/>
      <c r="H14" s="250"/>
      <c r="I14" s="250"/>
      <c r="J14" s="333"/>
      <c r="K14" s="333"/>
      <c r="L14" s="333"/>
      <c r="M14" s="333"/>
      <c r="N14" s="333"/>
      <c r="O14" s="333"/>
      <c r="P14" s="333"/>
      <c r="Q14" s="333"/>
      <c r="R14" s="334"/>
    </row>
    <row r="15" spans="1:18" ht="16">
      <c r="A15" s="241"/>
      <c r="B15" s="271"/>
      <c r="C15" s="338"/>
      <c r="D15" s="167"/>
      <c r="E15" s="250"/>
      <c r="F15" s="250"/>
      <c r="G15" s="250"/>
      <c r="H15" s="250"/>
      <c r="I15" s="250"/>
      <c r="J15" s="333"/>
      <c r="K15" s="333"/>
      <c r="L15" s="333"/>
      <c r="M15" s="333"/>
      <c r="N15" s="333"/>
      <c r="O15" s="333"/>
      <c r="P15" s="333"/>
      <c r="Q15" s="333"/>
      <c r="R15" s="334"/>
    </row>
    <row r="16" spans="1:18" ht="16" customHeight="1">
      <c r="A16" s="241"/>
      <c r="B16" s="271"/>
      <c r="C16" s="414" t="s">
        <v>4811</v>
      </c>
      <c r="D16" s="414"/>
      <c r="E16" s="414"/>
      <c r="F16" s="414"/>
      <c r="G16" s="414"/>
      <c r="H16" s="414"/>
      <c r="I16" s="414"/>
      <c r="J16" s="414"/>
      <c r="K16" s="414"/>
      <c r="L16" s="414"/>
      <c r="M16" s="414"/>
      <c r="N16" s="414"/>
      <c r="O16" s="414"/>
      <c r="P16" s="414"/>
      <c r="Q16" s="414"/>
      <c r="R16" s="334"/>
    </row>
    <row r="17" spans="1:18" ht="52" customHeight="1">
      <c r="A17" s="241"/>
      <c r="B17" s="271"/>
      <c r="C17" s="414"/>
      <c r="D17" s="414"/>
      <c r="E17" s="414"/>
      <c r="F17" s="414"/>
      <c r="G17" s="414"/>
      <c r="H17" s="414"/>
      <c r="I17" s="414"/>
      <c r="J17" s="414"/>
      <c r="K17" s="414"/>
      <c r="L17" s="414"/>
      <c r="M17" s="414"/>
      <c r="N17" s="414"/>
      <c r="O17" s="414"/>
      <c r="P17" s="414"/>
      <c r="Q17" s="414"/>
      <c r="R17" s="334"/>
    </row>
    <row r="18" spans="1:18" ht="16">
      <c r="A18" s="241"/>
      <c r="B18" s="271"/>
      <c r="C18" s="167"/>
      <c r="D18" s="167"/>
      <c r="E18" s="250"/>
      <c r="F18" s="250"/>
      <c r="G18" s="250"/>
      <c r="H18" s="250"/>
      <c r="I18" s="250"/>
      <c r="J18" s="333"/>
      <c r="K18" s="333"/>
      <c r="L18" s="333"/>
      <c r="M18" s="333"/>
      <c r="N18" s="333"/>
      <c r="O18" s="333"/>
      <c r="P18" s="333"/>
      <c r="Q18" s="333"/>
      <c r="R18" s="334"/>
    </row>
    <row r="19" spans="1:18" ht="16" customHeight="1">
      <c r="A19" s="241"/>
      <c r="B19" s="271"/>
      <c r="C19" s="414" t="s">
        <v>4812</v>
      </c>
      <c r="D19" s="414"/>
      <c r="E19" s="414"/>
      <c r="F19" s="414"/>
      <c r="G19" s="414"/>
      <c r="H19" s="414"/>
      <c r="I19" s="414"/>
      <c r="J19" s="414"/>
      <c r="K19" s="414"/>
      <c r="L19" s="414"/>
      <c r="M19" s="414"/>
      <c r="N19" s="414"/>
      <c r="O19" s="414"/>
      <c r="P19" s="414"/>
      <c r="Q19" s="414"/>
      <c r="R19" s="334"/>
    </row>
    <row r="20" spans="1:18">
      <c r="A20" s="241"/>
      <c r="B20" s="271"/>
      <c r="C20" s="414"/>
      <c r="D20" s="414"/>
      <c r="E20" s="414"/>
      <c r="F20" s="414"/>
      <c r="G20" s="414"/>
      <c r="H20" s="414"/>
      <c r="I20" s="414"/>
      <c r="J20" s="414"/>
      <c r="K20" s="414"/>
      <c r="L20" s="414"/>
      <c r="M20" s="414"/>
      <c r="N20" s="414"/>
      <c r="O20" s="414"/>
      <c r="P20" s="414"/>
      <c r="Q20" s="414"/>
      <c r="R20" s="334"/>
    </row>
    <row r="21" spans="1:18" ht="18" customHeight="1">
      <c r="A21" s="241"/>
      <c r="B21" s="271"/>
      <c r="C21" s="414"/>
      <c r="D21" s="414"/>
      <c r="E21" s="414"/>
      <c r="F21" s="414"/>
      <c r="G21" s="414"/>
      <c r="H21" s="414"/>
      <c r="I21" s="414"/>
      <c r="J21" s="414"/>
      <c r="K21" s="414"/>
      <c r="L21" s="414"/>
      <c r="M21" s="414"/>
      <c r="N21" s="414"/>
      <c r="O21" s="414"/>
      <c r="P21" s="414"/>
      <c r="Q21" s="414"/>
      <c r="R21" s="334"/>
    </row>
    <row r="22" spans="1:18" ht="14" thickBot="1">
      <c r="B22" s="339"/>
      <c r="C22" s="340"/>
      <c r="D22" s="341"/>
      <c r="E22" s="341"/>
      <c r="F22" s="341"/>
      <c r="G22" s="341"/>
      <c r="H22" s="341"/>
      <c r="I22" s="341"/>
      <c r="J22" s="341"/>
      <c r="K22" s="341"/>
      <c r="L22" s="341"/>
      <c r="M22" s="341"/>
      <c r="N22" s="341"/>
      <c r="O22" s="341"/>
      <c r="P22" s="341"/>
      <c r="Q22" s="341"/>
      <c r="R22" s="342"/>
    </row>
    <row r="23" spans="1:18" ht="14" thickTop="1"/>
  </sheetData>
  <mergeCells count="5">
    <mergeCell ref="C16:Q17"/>
    <mergeCell ref="C19:Q21"/>
    <mergeCell ref="C3:P3"/>
    <mergeCell ref="C8:Q9"/>
    <mergeCell ref="C11:Q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446A-DF7B-EF4B-808C-832063BC4915}">
  <dimension ref="B1:R219"/>
  <sheetViews>
    <sheetView showGridLines="0" topLeftCell="A122" workbookViewId="0">
      <selection activeCell="C145" sqref="C145"/>
    </sheetView>
  </sheetViews>
  <sheetFormatPr baseColWidth="10" defaultRowHeight="13"/>
  <cols>
    <col min="1" max="1" width="10.83203125" style="241"/>
    <col min="2" max="2" width="5.33203125" style="241" customWidth="1"/>
    <col min="3" max="17" width="10.83203125" style="241"/>
    <col min="18" max="18" width="3.83203125" style="241" customWidth="1"/>
    <col min="19" max="16384" width="10.83203125" style="241"/>
  </cols>
  <sheetData>
    <row r="1" spans="2:18" ht="14" thickBot="1"/>
    <row r="2" spans="2:18" ht="14" thickTop="1">
      <c r="B2" s="328"/>
      <c r="C2" s="329"/>
      <c r="D2" s="330"/>
      <c r="E2" s="330"/>
      <c r="F2" s="330"/>
      <c r="G2" s="330"/>
      <c r="H2" s="330"/>
      <c r="I2" s="330"/>
      <c r="J2" s="330"/>
      <c r="K2" s="330"/>
      <c r="L2" s="330"/>
      <c r="M2" s="330"/>
      <c r="N2" s="330"/>
      <c r="O2" s="330"/>
      <c r="P2" s="330"/>
      <c r="Q2" s="330"/>
      <c r="R2" s="331"/>
    </row>
    <row r="3" spans="2:18">
      <c r="B3" s="271"/>
      <c r="C3" s="250"/>
      <c r="D3" s="250"/>
      <c r="E3" s="250"/>
      <c r="F3" s="250"/>
      <c r="G3" s="250"/>
      <c r="H3" s="250"/>
      <c r="I3" s="250"/>
      <c r="J3" s="250"/>
      <c r="K3" s="250"/>
      <c r="L3" s="250"/>
      <c r="M3" s="250"/>
      <c r="N3" s="250"/>
      <c r="O3" s="250"/>
      <c r="P3" s="250"/>
      <c r="Q3" s="250"/>
      <c r="R3" s="272"/>
    </row>
    <row r="4" spans="2:18" ht="20">
      <c r="B4" s="271"/>
      <c r="C4" s="336" t="s">
        <v>4814</v>
      </c>
      <c r="D4" s="250"/>
      <c r="E4" s="250"/>
      <c r="F4" s="250"/>
      <c r="G4" s="250"/>
      <c r="H4" s="250"/>
      <c r="I4" s="250"/>
      <c r="J4" s="250"/>
      <c r="K4" s="250"/>
      <c r="L4" s="250"/>
      <c r="M4" s="250"/>
      <c r="N4" s="250"/>
      <c r="O4" s="250"/>
      <c r="P4" s="250"/>
      <c r="Q4" s="250"/>
      <c r="R4" s="272"/>
    </row>
    <row r="5" spans="2:18">
      <c r="B5" s="271"/>
      <c r="C5" s="250"/>
      <c r="D5" s="250"/>
      <c r="E5" s="250"/>
      <c r="F5" s="250"/>
      <c r="G5" s="250"/>
      <c r="H5" s="250"/>
      <c r="I5" s="250"/>
      <c r="J5" s="250"/>
      <c r="K5" s="250"/>
      <c r="L5" s="250"/>
      <c r="M5" s="250"/>
      <c r="N5" s="250"/>
      <c r="O5" s="250"/>
      <c r="P5" s="250"/>
      <c r="Q5" s="250"/>
      <c r="R5" s="272"/>
    </row>
    <row r="6" spans="2:18">
      <c r="B6" s="271"/>
      <c r="C6" s="250"/>
      <c r="D6" s="250"/>
      <c r="E6" s="250"/>
      <c r="F6" s="250"/>
      <c r="G6" s="250"/>
      <c r="H6" s="250"/>
      <c r="I6" s="250"/>
      <c r="J6" s="250"/>
      <c r="K6" s="250"/>
      <c r="L6" s="250"/>
      <c r="M6" s="250"/>
      <c r="N6" s="250"/>
      <c r="O6" s="250"/>
      <c r="P6" s="250"/>
      <c r="Q6" s="250"/>
      <c r="R6" s="272"/>
    </row>
    <row r="7" spans="2:18" ht="16">
      <c r="B7" s="275"/>
      <c r="C7" s="163" t="s">
        <v>4815</v>
      </c>
      <c r="D7" s="167"/>
      <c r="E7" s="167"/>
      <c r="F7" s="167"/>
      <c r="G7" s="250"/>
      <c r="H7" s="250"/>
      <c r="I7" s="250"/>
      <c r="J7" s="250"/>
      <c r="K7" s="250"/>
      <c r="L7" s="250"/>
      <c r="M7" s="250"/>
      <c r="N7" s="250"/>
      <c r="O7" s="250"/>
      <c r="P7" s="250"/>
      <c r="Q7" s="250"/>
      <c r="R7" s="272"/>
    </row>
    <row r="8" spans="2:18" ht="16">
      <c r="B8" s="275"/>
      <c r="C8" s="167"/>
      <c r="D8" s="167"/>
      <c r="E8" s="167"/>
      <c r="F8" s="167"/>
      <c r="G8" s="250"/>
      <c r="H8" s="250"/>
      <c r="I8" s="250"/>
      <c r="J8" s="250"/>
      <c r="K8" s="250"/>
      <c r="L8" s="250"/>
      <c r="M8" s="250"/>
      <c r="N8" s="250"/>
      <c r="O8" s="250"/>
      <c r="P8" s="250"/>
      <c r="Q8" s="250"/>
      <c r="R8" s="272"/>
    </row>
    <row r="9" spans="2:18" ht="16">
      <c r="B9" s="275"/>
      <c r="C9" s="344" t="s">
        <v>4816</v>
      </c>
      <c r="D9" s="167"/>
      <c r="E9" s="167"/>
      <c r="F9" s="167"/>
      <c r="G9" s="250"/>
      <c r="H9" s="250"/>
      <c r="I9" s="250"/>
      <c r="J9" s="250"/>
      <c r="K9" s="250"/>
      <c r="L9" s="250"/>
      <c r="M9" s="250"/>
      <c r="N9" s="250"/>
      <c r="O9" s="250"/>
      <c r="P9" s="250"/>
      <c r="Q9" s="250"/>
      <c r="R9" s="272"/>
    </row>
    <row r="10" spans="2:18" ht="16">
      <c r="B10" s="275"/>
      <c r="C10" s="167"/>
      <c r="D10" s="167"/>
      <c r="E10" s="167"/>
      <c r="F10" s="167"/>
      <c r="G10" s="250"/>
      <c r="H10" s="250"/>
      <c r="I10" s="250"/>
      <c r="J10" s="250"/>
      <c r="K10" s="250"/>
      <c r="L10" s="250"/>
      <c r="M10" s="250"/>
      <c r="N10" s="250"/>
      <c r="O10" s="250"/>
      <c r="P10" s="250"/>
      <c r="Q10" s="250"/>
      <c r="R10" s="272"/>
    </row>
    <row r="11" spans="2:18" ht="16" customHeight="1">
      <c r="B11" s="275"/>
      <c r="C11" s="417" t="s">
        <v>4817</v>
      </c>
      <c r="D11" s="417"/>
      <c r="E11" s="417"/>
      <c r="F11" s="417"/>
      <c r="G11" s="417"/>
      <c r="H11" s="417"/>
      <c r="I11" s="417"/>
      <c r="J11" s="417"/>
      <c r="K11" s="417"/>
      <c r="L11" s="417"/>
      <c r="M11" s="417"/>
      <c r="N11" s="417"/>
      <c r="O11" s="417"/>
      <c r="P11" s="417"/>
      <c r="Q11" s="417"/>
      <c r="R11" s="272"/>
    </row>
    <row r="12" spans="2:18" ht="16">
      <c r="B12" s="275"/>
      <c r="C12" s="417"/>
      <c r="D12" s="417"/>
      <c r="E12" s="417"/>
      <c r="F12" s="417"/>
      <c r="G12" s="417"/>
      <c r="H12" s="417"/>
      <c r="I12" s="417"/>
      <c r="J12" s="417"/>
      <c r="K12" s="417"/>
      <c r="L12" s="417"/>
      <c r="M12" s="417"/>
      <c r="N12" s="417"/>
      <c r="O12" s="417"/>
      <c r="P12" s="417"/>
      <c r="Q12" s="417"/>
      <c r="R12" s="272"/>
    </row>
    <row r="13" spans="2:18" ht="16">
      <c r="B13" s="275"/>
      <c r="C13" s="343"/>
      <c r="D13" s="343"/>
      <c r="E13" s="343"/>
      <c r="F13" s="343"/>
      <c r="G13" s="343"/>
      <c r="H13" s="343"/>
      <c r="I13" s="343"/>
      <c r="J13" s="343"/>
      <c r="K13" s="343"/>
      <c r="L13" s="343"/>
      <c r="M13" s="343"/>
      <c r="N13" s="343"/>
      <c r="O13" s="343"/>
      <c r="P13" s="343"/>
      <c r="Q13" s="343"/>
      <c r="R13" s="272"/>
    </row>
    <row r="14" spans="2:18" ht="16">
      <c r="B14" s="275"/>
      <c r="C14" s="167" t="s">
        <v>4818</v>
      </c>
      <c r="D14" s="167"/>
      <c r="E14" s="167"/>
      <c r="F14" s="167"/>
      <c r="G14" s="250"/>
      <c r="H14" s="250"/>
      <c r="I14" s="250"/>
      <c r="J14" s="250"/>
      <c r="K14" s="250"/>
      <c r="L14" s="250"/>
      <c r="M14" s="250"/>
      <c r="N14" s="250"/>
      <c r="O14" s="250"/>
      <c r="P14" s="250"/>
      <c r="Q14" s="250"/>
      <c r="R14" s="272"/>
    </row>
    <row r="15" spans="2:18" ht="16">
      <c r="B15" s="275"/>
      <c r="C15" s="167"/>
      <c r="D15" s="167"/>
      <c r="E15" s="167"/>
      <c r="F15" s="167"/>
      <c r="G15" s="250"/>
      <c r="H15" s="250"/>
      <c r="I15" s="250"/>
      <c r="J15" s="250"/>
      <c r="K15" s="250"/>
      <c r="L15" s="250"/>
      <c r="M15" s="250"/>
      <c r="N15" s="250"/>
      <c r="O15" s="250"/>
      <c r="P15" s="250"/>
      <c r="Q15" s="250"/>
      <c r="R15" s="272"/>
    </row>
    <row r="16" spans="2:18" ht="16">
      <c r="B16" s="275"/>
      <c r="C16" s="344" t="s">
        <v>4819</v>
      </c>
      <c r="D16" s="167"/>
      <c r="E16" s="167"/>
      <c r="F16" s="167"/>
      <c r="G16" s="250"/>
      <c r="H16" s="250"/>
      <c r="I16" s="250"/>
      <c r="J16" s="250"/>
      <c r="K16" s="250"/>
      <c r="L16" s="250"/>
      <c r="M16" s="250"/>
      <c r="N16" s="250"/>
      <c r="O16" s="250"/>
      <c r="P16" s="250"/>
      <c r="Q16" s="250"/>
      <c r="R16" s="272"/>
    </row>
    <row r="17" spans="2:18" ht="16">
      <c r="B17" s="275"/>
      <c r="C17" s="167"/>
      <c r="D17" s="167"/>
      <c r="E17" s="167"/>
      <c r="F17" s="167"/>
      <c r="G17" s="250"/>
      <c r="H17" s="250"/>
      <c r="I17" s="250"/>
      <c r="J17" s="250"/>
      <c r="K17" s="250"/>
      <c r="L17" s="250"/>
      <c r="M17" s="250"/>
      <c r="N17" s="250"/>
      <c r="O17" s="250"/>
      <c r="P17" s="250"/>
      <c r="Q17" s="250"/>
      <c r="R17" s="272"/>
    </row>
    <row r="18" spans="2:18" ht="16">
      <c r="B18" s="275"/>
      <c r="C18" s="167" t="s">
        <v>4820</v>
      </c>
      <c r="D18" s="167"/>
      <c r="E18" s="167"/>
      <c r="F18" s="167"/>
      <c r="G18" s="250"/>
      <c r="H18" s="250"/>
      <c r="I18" s="250"/>
      <c r="J18" s="250"/>
      <c r="K18" s="250"/>
      <c r="L18" s="250"/>
      <c r="M18" s="250"/>
      <c r="N18" s="250"/>
      <c r="O18" s="250"/>
      <c r="P18" s="250"/>
      <c r="Q18" s="250"/>
      <c r="R18" s="272"/>
    </row>
    <row r="19" spans="2:18" ht="16">
      <c r="B19" s="275"/>
      <c r="C19" s="167"/>
      <c r="D19" s="167"/>
      <c r="E19" s="167"/>
      <c r="F19" s="167"/>
      <c r="G19" s="250"/>
      <c r="H19" s="250"/>
      <c r="I19" s="250"/>
      <c r="J19" s="250"/>
      <c r="K19" s="250"/>
      <c r="L19" s="250"/>
      <c r="M19" s="250"/>
      <c r="N19" s="250"/>
      <c r="O19" s="250"/>
      <c r="P19" s="250"/>
      <c r="Q19" s="250"/>
      <c r="R19" s="272"/>
    </row>
    <row r="20" spans="2:18" ht="16">
      <c r="B20" s="275"/>
      <c r="C20" s="344" t="s">
        <v>4821</v>
      </c>
      <c r="D20" s="167"/>
      <c r="E20" s="167"/>
      <c r="F20" s="167"/>
      <c r="G20" s="250"/>
      <c r="H20" s="250"/>
      <c r="I20" s="250"/>
      <c r="J20" s="250"/>
      <c r="K20" s="250"/>
      <c r="L20" s="250"/>
      <c r="M20" s="250"/>
      <c r="N20" s="250"/>
      <c r="O20" s="250"/>
      <c r="P20" s="250"/>
      <c r="Q20" s="250"/>
      <c r="R20" s="272"/>
    </row>
    <row r="21" spans="2:18" ht="16">
      <c r="B21" s="275"/>
      <c r="C21" s="167"/>
      <c r="D21" s="167"/>
      <c r="E21" s="167"/>
      <c r="F21" s="167"/>
      <c r="G21" s="250"/>
      <c r="H21" s="250"/>
      <c r="I21" s="250"/>
      <c r="J21" s="250"/>
      <c r="K21" s="250"/>
      <c r="L21" s="250"/>
      <c r="M21" s="250"/>
      <c r="N21" s="250"/>
      <c r="O21" s="250"/>
      <c r="P21" s="250"/>
      <c r="Q21" s="250"/>
      <c r="R21" s="272"/>
    </row>
    <row r="22" spans="2:18" ht="16">
      <c r="B22" s="275"/>
      <c r="C22" s="414" t="s">
        <v>4822</v>
      </c>
      <c r="D22" s="414"/>
      <c r="E22" s="414"/>
      <c r="F22" s="414"/>
      <c r="G22" s="414"/>
      <c r="H22" s="414"/>
      <c r="I22" s="414"/>
      <c r="J22" s="414"/>
      <c r="K22" s="414"/>
      <c r="L22" s="414"/>
      <c r="M22" s="414"/>
      <c r="N22" s="414"/>
      <c r="O22" s="414"/>
      <c r="P22" s="414"/>
      <c r="Q22" s="414"/>
      <c r="R22" s="272"/>
    </row>
    <row r="23" spans="2:18" ht="16">
      <c r="B23" s="275"/>
      <c r="C23" s="414"/>
      <c r="D23" s="414"/>
      <c r="E23" s="414"/>
      <c r="F23" s="414"/>
      <c r="G23" s="414"/>
      <c r="H23" s="414"/>
      <c r="I23" s="414"/>
      <c r="J23" s="414"/>
      <c r="K23" s="414"/>
      <c r="L23" s="414"/>
      <c r="M23" s="414"/>
      <c r="N23" s="414"/>
      <c r="O23" s="414"/>
      <c r="P23" s="414"/>
      <c r="Q23" s="414"/>
      <c r="R23" s="272"/>
    </row>
    <row r="24" spans="2:18" ht="16">
      <c r="B24" s="275"/>
      <c r="C24" s="167"/>
      <c r="D24" s="167"/>
      <c r="E24" s="167"/>
      <c r="F24" s="167"/>
      <c r="G24" s="250"/>
      <c r="H24" s="250"/>
      <c r="I24" s="250"/>
      <c r="J24" s="250"/>
      <c r="K24" s="250"/>
      <c r="L24" s="250"/>
      <c r="M24" s="250"/>
      <c r="N24" s="250"/>
      <c r="O24" s="250"/>
      <c r="P24" s="250"/>
      <c r="Q24" s="250"/>
      <c r="R24" s="272"/>
    </row>
    <row r="25" spans="2:18" ht="16">
      <c r="B25" s="275"/>
      <c r="C25" s="167" t="s">
        <v>4823</v>
      </c>
      <c r="D25" s="167"/>
      <c r="E25" s="167"/>
      <c r="F25" s="167"/>
      <c r="G25" s="250"/>
      <c r="H25" s="250"/>
      <c r="I25" s="250"/>
      <c r="J25" s="250"/>
      <c r="K25" s="250"/>
      <c r="L25" s="250"/>
      <c r="M25" s="250"/>
      <c r="N25" s="250"/>
      <c r="O25" s="250"/>
      <c r="P25" s="250"/>
      <c r="Q25" s="250"/>
      <c r="R25" s="272"/>
    </row>
    <row r="26" spans="2:18" ht="16">
      <c r="B26" s="275"/>
      <c r="C26" s="167"/>
      <c r="D26" s="167"/>
      <c r="E26" s="167"/>
      <c r="F26" s="167"/>
      <c r="G26" s="250"/>
      <c r="H26" s="250"/>
      <c r="I26" s="250"/>
      <c r="J26" s="250"/>
      <c r="K26" s="250"/>
      <c r="L26" s="250"/>
      <c r="M26" s="250"/>
      <c r="N26" s="250"/>
      <c r="O26" s="250"/>
      <c r="P26" s="250"/>
      <c r="Q26" s="250"/>
      <c r="R26" s="272"/>
    </row>
    <row r="27" spans="2:18" ht="16">
      <c r="B27" s="275"/>
      <c r="C27" s="163" t="s">
        <v>4824</v>
      </c>
      <c r="D27" s="167"/>
      <c r="E27" s="167"/>
      <c r="F27" s="167"/>
      <c r="G27" s="250"/>
      <c r="H27" s="250"/>
      <c r="I27" s="250"/>
      <c r="J27" s="250"/>
      <c r="K27" s="250"/>
      <c r="L27" s="250"/>
      <c r="M27" s="250"/>
      <c r="N27" s="250"/>
      <c r="O27" s="250"/>
      <c r="P27" s="250"/>
      <c r="Q27" s="250"/>
      <c r="R27" s="272"/>
    </row>
    <row r="28" spans="2:18" ht="16">
      <c r="B28" s="275"/>
      <c r="C28" s="167"/>
      <c r="D28" s="167"/>
      <c r="E28" s="167"/>
      <c r="F28" s="167"/>
      <c r="G28" s="250"/>
      <c r="H28" s="250"/>
      <c r="I28" s="250"/>
      <c r="J28" s="250"/>
      <c r="K28" s="250"/>
      <c r="L28" s="250"/>
      <c r="M28" s="250"/>
      <c r="N28" s="250"/>
      <c r="O28" s="250"/>
      <c r="P28" s="250"/>
      <c r="Q28" s="250"/>
      <c r="R28" s="272"/>
    </row>
    <row r="29" spans="2:18" ht="16">
      <c r="B29" s="275"/>
      <c r="C29" s="414" t="s">
        <v>4825</v>
      </c>
      <c r="D29" s="414"/>
      <c r="E29" s="414"/>
      <c r="F29" s="414"/>
      <c r="G29" s="414"/>
      <c r="H29" s="414"/>
      <c r="I29" s="414"/>
      <c r="J29" s="414"/>
      <c r="K29" s="414"/>
      <c r="L29" s="414"/>
      <c r="M29" s="414"/>
      <c r="N29" s="414"/>
      <c r="O29" s="414"/>
      <c r="P29" s="414"/>
      <c r="Q29" s="414"/>
      <c r="R29" s="272"/>
    </row>
    <row r="30" spans="2:18" ht="16">
      <c r="B30" s="275"/>
      <c r="C30" s="414"/>
      <c r="D30" s="414"/>
      <c r="E30" s="414"/>
      <c r="F30" s="414"/>
      <c r="G30" s="414"/>
      <c r="H30" s="414"/>
      <c r="I30" s="414"/>
      <c r="J30" s="414"/>
      <c r="K30" s="414"/>
      <c r="L30" s="414"/>
      <c r="M30" s="414"/>
      <c r="N30" s="414"/>
      <c r="O30" s="414"/>
      <c r="P30" s="414"/>
      <c r="Q30" s="414"/>
      <c r="R30" s="272"/>
    </row>
    <row r="31" spans="2:18" ht="16">
      <c r="B31" s="275"/>
      <c r="C31" s="167"/>
      <c r="D31" s="167"/>
      <c r="E31" s="167"/>
      <c r="F31" s="167"/>
      <c r="G31" s="250"/>
      <c r="H31" s="250"/>
      <c r="I31" s="250"/>
      <c r="J31" s="250"/>
      <c r="K31" s="250"/>
      <c r="L31" s="250"/>
      <c r="M31" s="250"/>
      <c r="N31" s="250"/>
      <c r="O31" s="250"/>
      <c r="P31" s="250"/>
      <c r="Q31" s="250"/>
      <c r="R31" s="272"/>
    </row>
    <row r="32" spans="2:18" ht="16">
      <c r="B32" s="275"/>
      <c r="C32" s="167" t="s">
        <v>4826</v>
      </c>
      <c r="D32" s="167"/>
      <c r="E32" s="167"/>
      <c r="F32" s="167"/>
      <c r="G32" s="250"/>
      <c r="H32" s="250"/>
      <c r="I32" s="250"/>
      <c r="J32" s="250"/>
      <c r="K32" s="250"/>
      <c r="L32" s="250"/>
      <c r="M32" s="250"/>
      <c r="N32" s="250"/>
      <c r="O32" s="250"/>
      <c r="P32" s="250"/>
      <c r="Q32" s="250"/>
      <c r="R32" s="272"/>
    </row>
    <row r="33" spans="2:18" ht="16">
      <c r="B33" s="275"/>
      <c r="C33" s="167"/>
      <c r="D33" s="167"/>
      <c r="E33" s="167"/>
      <c r="F33" s="167"/>
      <c r="G33" s="250"/>
      <c r="H33" s="250"/>
      <c r="I33" s="250"/>
      <c r="J33" s="250"/>
      <c r="K33" s="250"/>
      <c r="L33" s="250"/>
      <c r="M33" s="250"/>
      <c r="N33" s="250"/>
      <c r="O33" s="250"/>
      <c r="P33" s="250"/>
      <c r="Q33" s="250"/>
      <c r="R33" s="272"/>
    </row>
    <row r="34" spans="2:18" ht="16">
      <c r="B34" s="275"/>
      <c r="C34" s="167"/>
      <c r="D34" s="167"/>
      <c r="E34" s="418" t="s">
        <v>4827</v>
      </c>
      <c r="F34" s="418"/>
      <c r="G34" s="167"/>
      <c r="H34" s="418" t="s">
        <v>4828</v>
      </c>
      <c r="I34" s="418"/>
      <c r="J34" s="418"/>
      <c r="K34" s="418"/>
      <c r="L34" s="167"/>
      <c r="M34" s="167"/>
      <c r="N34" s="250"/>
      <c r="O34" s="250"/>
      <c r="P34" s="250"/>
      <c r="Q34" s="250"/>
      <c r="R34" s="272"/>
    </row>
    <row r="35" spans="2:18" ht="16">
      <c r="B35" s="275"/>
      <c r="C35" s="167"/>
      <c r="D35" s="167"/>
      <c r="E35" s="251">
        <v>2019</v>
      </c>
      <c r="F35" s="251">
        <v>2018</v>
      </c>
      <c r="G35" s="167"/>
      <c r="H35" s="418">
        <v>2019</v>
      </c>
      <c r="I35" s="418"/>
      <c r="J35" s="418">
        <v>2018</v>
      </c>
      <c r="K35" s="418"/>
      <c r="L35" s="167"/>
      <c r="M35" s="167"/>
      <c r="N35" s="250"/>
      <c r="O35" s="250"/>
      <c r="P35" s="250"/>
      <c r="Q35" s="250"/>
      <c r="R35" s="272"/>
    </row>
    <row r="36" spans="2:18" ht="16">
      <c r="B36" s="275"/>
      <c r="C36" s="167" t="s">
        <v>4829</v>
      </c>
      <c r="D36" s="167"/>
      <c r="E36" s="178">
        <v>6240</v>
      </c>
      <c r="F36" s="178">
        <v>5733</v>
      </c>
      <c r="G36" s="167"/>
      <c r="H36" s="178">
        <v>6442</v>
      </c>
      <c r="I36" s="178">
        <v>6464</v>
      </c>
      <c r="J36" s="178">
        <v>5960</v>
      </c>
      <c r="K36" s="178">
        <v>5961</v>
      </c>
      <c r="L36" s="167"/>
      <c r="M36" s="167"/>
      <c r="N36" s="250"/>
      <c r="O36" s="250"/>
      <c r="P36" s="250"/>
      <c r="Q36" s="250"/>
      <c r="R36" s="272"/>
    </row>
    <row r="37" spans="2:18" ht="16">
      <c r="B37" s="275"/>
      <c r="C37" s="167"/>
      <c r="D37" s="167"/>
      <c r="E37" s="167"/>
      <c r="F37" s="167"/>
      <c r="G37" s="167"/>
      <c r="H37" s="167"/>
      <c r="I37" s="167"/>
      <c r="J37" s="167"/>
      <c r="K37" s="167"/>
      <c r="L37" s="167"/>
      <c r="M37" s="167"/>
      <c r="N37" s="250"/>
      <c r="O37" s="250"/>
      <c r="P37" s="250"/>
      <c r="Q37" s="250"/>
      <c r="R37" s="272"/>
    </row>
    <row r="38" spans="2:18" ht="16">
      <c r="B38" s="275"/>
      <c r="C38" s="163" t="s">
        <v>4830</v>
      </c>
      <c r="D38" s="167"/>
      <c r="E38" s="167"/>
      <c r="F38" s="167"/>
      <c r="G38" s="250"/>
      <c r="H38" s="250"/>
      <c r="I38" s="250"/>
      <c r="J38" s="250"/>
      <c r="K38" s="250"/>
      <c r="L38" s="250"/>
      <c r="M38" s="250"/>
      <c r="N38" s="250"/>
      <c r="O38" s="250"/>
      <c r="P38" s="250"/>
      <c r="Q38" s="250"/>
      <c r="R38" s="272"/>
    </row>
    <row r="39" spans="2:18" ht="16">
      <c r="B39" s="275"/>
      <c r="C39" s="167"/>
      <c r="D39" s="167"/>
      <c r="E39" s="167"/>
      <c r="F39" s="167"/>
      <c r="G39" s="250"/>
      <c r="H39" s="250"/>
      <c r="I39" s="250"/>
      <c r="J39" s="250"/>
      <c r="K39" s="250"/>
      <c r="L39" s="250"/>
      <c r="M39" s="250"/>
      <c r="N39" s="250"/>
      <c r="O39" s="250"/>
      <c r="P39" s="250"/>
      <c r="Q39" s="250"/>
      <c r="R39" s="272"/>
    </row>
    <row r="40" spans="2:18" ht="16">
      <c r="B40" s="275"/>
      <c r="C40" s="344" t="s">
        <v>4831</v>
      </c>
      <c r="D40" s="167"/>
      <c r="E40" s="167"/>
      <c r="F40" s="167"/>
      <c r="G40" s="250"/>
      <c r="H40" s="250"/>
      <c r="I40" s="250"/>
      <c r="J40" s="250"/>
      <c r="K40" s="250"/>
      <c r="L40" s="250"/>
      <c r="M40" s="250"/>
      <c r="N40" s="250"/>
      <c r="O40" s="250"/>
      <c r="P40" s="250"/>
      <c r="Q40" s="250"/>
      <c r="R40" s="272"/>
    </row>
    <row r="41" spans="2:18" ht="16">
      <c r="B41" s="275"/>
      <c r="C41" s="167"/>
      <c r="D41" s="167"/>
      <c r="E41" s="167"/>
      <c r="F41" s="167"/>
      <c r="G41" s="250"/>
      <c r="H41" s="250"/>
      <c r="I41" s="250"/>
      <c r="J41" s="250"/>
      <c r="K41" s="250"/>
      <c r="L41" s="250"/>
      <c r="M41" s="250"/>
      <c r="N41" s="250"/>
      <c r="O41" s="250"/>
      <c r="P41" s="250"/>
      <c r="Q41" s="250"/>
      <c r="R41" s="272"/>
    </row>
    <row r="42" spans="2:18" ht="16">
      <c r="B42" s="275"/>
      <c r="C42" s="414" t="s">
        <v>4832</v>
      </c>
      <c r="D42" s="414"/>
      <c r="E42" s="414"/>
      <c r="F42" s="414"/>
      <c r="G42" s="414"/>
      <c r="H42" s="414"/>
      <c r="I42" s="414"/>
      <c r="J42" s="414"/>
      <c r="K42" s="414"/>
      <c r="L42" s="414"/>
      <c r="M42" s="414"/>
      <c r="N42" s="414"/>
      <c r="O42" s="414"/>
      <c r="P42" s="414"/>
      <c r="Q42" s="414"/>
      <c r="R42" s="272"/>
    </row>
    <row r="43" spans="2:18" ht="16">
      <c r="B43" s="275"/>
      <c r="C43" s="414"/>
      <c r="D43" s="414"/>
      <c r="E43" s="414"/>
      <c r="F43" s="414"/>
      <c r="G43" s="414"/>
      <c r="H43" s="414"/>
      <c r="I43" s="414"/>
      <c r="J43" s="414"/>
      <c r="K43" s="414"/>
      <c r="L43" s="414"/>
      <c r="M43" s="414"/>
      <c r="N43" s="414"/>
      <c r="O43" s="414"/>
      <c r="P43" s="414"/>
      <c r="Q43" s="414"/>
      <c r="R43" s="272"/>
    </row>
    <row r="44" spans="2:18" ht="16">
      <c r="B44" s="275"/>
      <c r="C44" s="167"/>
      <c r="D44" s="167"/>
      <c r="E44" s="167"/>
      <c r="F44" s="167"/>
      <c r="G44" s="250"/>
      <c r="H44" s="250"/>
      <c r="I44" s="250"/>
      <c r="J44" s="250"/>
      <c r="K44" s="250"/>
      <c r="L44" s="250"/>
      <c r="M44" s="250"/>
      <c r="N44" s="250"/>
      <c r="O44" s="250"/>
      <c r="P44" s="250"/>
      <c r="Q44" s="250"/>
      <c r="R44" s="272"/>
    </row>
    <row r="45" spans="2:18" ht="16">
      <c r="B45" s="275"/>
      <c r="C45" s="414" t="s">
        <v>4833</v>
      </c>
      <c r="D45" s="414"/>
      <c r="E45" s="414"/>
      <c r="F45" s="414"/>
      <c r="G45" s="414"/>
      <c r="H45" s="414"/>
      <c r="I45" s="414"/>
      <c r="J45" s="414"/>
      <c r="K45" s="414"/>
      <c r="L45" s="414"/>
      <c r="M45" s="414"/>
      <c r="N45" s="414"/>
      <c r="O45" s="414"/>
      <c r="P45" s="414"/>
      <c r="Q45" s="414"/>
      <c r="R45" s="272"/>
    </row>
    <row r="46" spans="2:18" ht="16">
      <c r="B46" s="275"/>
      <c r="C46" s="414"/>
      <c r="D46" s="414"/>
      <c r="E46" s="414"/>
      <c r="F46" s="414"/>
      <c r="G46" s="414"/>
      <c r="H46" s="414"/>
      <c r="I46" s="414"/>
      <c r="J46" s="414"/>
      <c r="K46" s="414"/>
      <c r="L46" s="414"/>
      <c r="M46" s="414"/>
      <c r="N46" s="414"/>
      <c r="O46" s="414"/>
      <c r="P46" s="414"/>
      <c r="Q46" s="414"/>
      <c r="R46" s="272"/>
    </row>
    <row r="47" spans="2:18" ht="16">
      <c r="B47" s="275"/>
      <c r="C47" s="167"/>
      <c r="D47" s="167"/>
      <c r="E47" s="167"/>
      <c r="F47" s="167"/>
      <c r="G47" s="250"/>
      <c r="H47" s="250"/>
      <c r="I47" s="250"/>
      <c r="J47" s="250"/>
      <c r="K47" s="250"/>
      <c r="L47" s="250"/>
      <c r="M47" s="250"/>
      <c r="N47" s="250"/>
      <c r="O47" s="250"/>
      <c r="P47" s="250"/>
      <c r="Q47" s="250"/>
      <c r="R47" s="272"/>
    </row>
    <row r="48" spans="2:18" ht="16">
      <c r="B48" s="275"/>
      <c r="C48" s="414" t="s">
        <v>4834</v>
      </c>
      <c r="D48" s="414"/>
      <c r="E48" s="414"/>
      <c r="F48" s="414"/>
      <c r="G48" s="414"/>
      <c r="H48" s="414"/>
      <c r="I48" s="414"/>
      <c r="J48" s="414"/>
      <c r="K48" s="414"/>
      <c r="L48" s="414"/>
      <c r="M48" s="414"/>
      <c r="N48" s="414"/>
      <c r="O48" s="414"/>
      <c r="P48" s="414"/>
      <c r="Q48" s="414"/>
      <c r="R48" s="272"/>
    </row>
    <row r="49" spans="2:18" ht="16">
      <c r="B49" s="275"/>
      <c r="C49" s="414"/>
      <c r="D49" s="414"/>
      <c r="E49" s="414"/>
      <c r="F49" s="414"/>
      <c r="G49" s="414"/>
      <c r="H49" s="414"/>
      <c r="I49" s="414"/>
      <c r="J49" s="414"/>
      <c r="K49" s="414"/>
      <c r="L49" s="414"/>
      <c r="M49" s="414"/>
      <c r="N49" s="414"/>
      <c r="O49" s="414"/>
      <c r="P49" s="414"/>
      <c r="Q49" s="414"/>
      <c r="R49" s="272"/>
    </row>
    <row r="50" spans="2:18" ht="16">
      <c r="B50" s="275"/>
      <c r="C50" s="167"/>
      <c r="D50" s="167"/>
      <c r="E50" s="167"/>
      <c r="F50" s="167"/>
      <c r="G50" s="250"/>
      <c r="H50" s="250"/>
      <c r="I50" s="250"/>
      <c r="J50" s="250"/>
      <c r="K50" s="250"/>
      <c r="L50" s="250"/>
      <c r="M50" s="250"/>
      <c r="N50" s="250"/>
      <c r="O50" s="250"/>
      <c r="P50" s="250"/>
      <c r="Q50" s="250"/>
      <c r="R50" s="272"/>
    </row>
    <row r="51" spans="2:18" ht="16">
      <c r="B51" s="275"/>
      <c r="C51" s="167" t="s">
        <v>4835</v>
      </c>
      <c r="D51" s="167"/>
      <c r="E51" s="167"/>
      <c r="F51" s="167"/>
      <c r="G51" s="250"/>
      <c r="H51" s="250"/>
      <c r="I51" s="250"/>
      <c r="J51" s="250"/>
      <c r="K51" s="250"/>
      <c r="L51" s="250"/>
      <c r="M51" s="250"/>
      <c r="N51" s="250"/>
      <c r="O51" s="250"/>
      <c r="P51" s="250"/>
      <c r="Q51" s="250"/>
      <c r="R51" s="272"/>
    </row>
    <row r="52" spans="2:18" ht="16">
      <c r="B52" s="275"/>
      <c r="C52" s="167"/>
      <c r="D52" s="167"/>
      <c r="E52" s="167"/>
      <c r="F52" s="167"/>
      <c r="G52" s="250"/>
      <c r="H52" s="250"/>
      <c r="I52" s="250"/>
      <c r="J52" s="250"/>
      <c r="K52" s="250"/>
      <c r="L52" s="250"/>
      <c r="M52" s="250"/>
      <c r="N52" s="250"/>
      <c r="O52" s="250"/>
      <c r="P52" s="250"/>
      <c r="Q52" s="250"/>
      <c r="R52" s="272"/>
    </row>
    <row r="53" spans="2:18" ht="16">
      <c r="B53" s="275"/>
      <c r="C53" s="414" t="s">
        <v>4836</v>
      </c>
      <c r="D53" s="414"/>
      <c r="E53" s="414"/>
      <c r="F53" s="414"/>
      <c r="G53" s="414"/>
      <c r="H53" s="414"/>
      <c r="I53" s="414"/>
      <c r="J53" s="414"/>
      <c r="K53" s="414"/>
      <c r="L53" s="414"/>
      <c r="M53" s="414"/>
      <c r="N53" s="414"/>
      <c r="O53" s="414"/>
      <c r="P53" s="414"/>
      <c r="Q53" s="414"/>
      <c r="R53" s="272"/>
    </row>
    <row r="54" spans="2:18" ht="16">
      <c r="B54" s="275"/>
      <c r="C54" s="414"/>
      <c r="D54" s="414"/>
      <c r="E54" s="414"/>
      <c r="F54" s="414"/>
      <c r="G54" s="414"/>
      <c r="H54" s="414"/>
      <c r="I54" s="414"/>
      <c r="J54" s="414"/>
      <c r="K54" s="414"/>
      <c r="L54" s="414"/>
      <c r="M54" s="414"/>
      <c r="N54" s="414"/>
      <c r="O54" s="414"/>
      <c r="P54" s="414"/>
      <c r="Q54" s="414"/>
      <c r="R54" s="272"/>
    </row>
    <row r="55" spans="2:18" ht="16">
      <c r="B55" s="275"/>
      <c r="C55" s="167"/>
      <c r="D55" s="167"/>
      <c r="E55" s="167"/>
      <c r="F55" s="167"/>
      <c r="G55" s="250"/>
      <c r="H55" s="250"/>
      <c r="I55" s="250"/>
      <c r="J55" s="250"/>
      <c r="K55" s="250"/>
      <c r="L55" s="250"/>
      <c r="M55" s="250"/>
      <c r="N55" s="250"/>
      <c r="O55" s="250"/>
      <c r="P55" s="250"/>
      <c r="Q55" s="250"/>
      <c r="R55" s="272"/>
    </row>
    <row r="56" spans="2:18" ht="16" customHeight="1">
      <c r="B56" s="275"/>
      <c r="C56" s="417" t="s">
        <v>4877</v>
      </c>
      <c r="D56" s="417"/>
      <c r="E56" s="417"/>
      <c r="F56" s="417"/>
      <c r="G56" s="417"/>
      <c r="H56" s="417"/>
      <c r="I56" s="417"/>
      <c r="J56" s="417"/>
      <c r="K56" s="417"/>
      <c r="L56" s="417"/>
      <c r="M56" s="417"/>
      <c r="N56" s="417"/>
      <c r="O56" s="417"/>
      <c r="P56" s="417"/>
      <c r="Q56" s="417"/>
      <c r="R56" s="272"/>
    </row>
    <row r="57" spans="2:18" ht="16">
      <c r="B57" s="275"/>
      <c r="C57" s="417"/>
      <c r="D57" s="417"/>
      <c r="E57" s="417"/>
      <c r="F57" s="417"/>
      <c r="G57" s="417"/>
      <c r="H57" s="417"/>
      <c r="I57" s="417"/>
      <c r="J57" s="417"/>
      <c r="K57" s="417"/>
      <c r="L57" s="417"/>
      <c r="M57" s="417"/>
      <c r="N57" s="417"/>
      <c r="O57" s="417"/>
      <c r="P57" s="417"/>
      <c r="Q57" s="417"/>
      <c r="R57" s="272"/>
    </row>
    <row r="58" spans="2:18" ht="16">
      <c r="B58" s="275"/>
      <c r="C58" s="417"/>
      <c r="D58" s="417"/>
      <c r="E58" s="417"/>
      <c r="F58" s="417"/>
      <c r="G58" s="417"/>
      <c r="H58" s="417"/>
      <c r="I58" s="417"/>
      <c r="J58" s="417"/>
      <c r="K58" s="417"/>
      <c r="L58" s="417"/>
      <c r="M58" s="417"/>
      <c r="N58" s="417"/>
      <c r="O58" s="417"/>
      <c r="P58" s="417"/>
      <c r="Q58" s="417"/>
      <c r="R58" s="272"/>
    </row>
    <row r="59" spans="2:18" ht="16">
      <c r="B59" s="275"/>
      <c r="C59" s="167"/>
      <c r="D59" s="167"/>
      <c r="E59" s="167"/>
      <c r="F59" s="167"/>
      <c r="G59" s="250"/>
      <c r="H59" s="250"/>
      <c r="I59" s="250"/>
      <c r="J59" s="250"/>
      <c r="K59" s="250"/>
      <c r="L59" s="250"/>
      <c r="M59" s="250"/>
      <c r="N59" s="250"/>
      <c r="O59" s="250"/>
      <c r="P59" s="250"/>
      <c r="Q59" s="250"/>
      <c r="R59" s="272"/>
    </row>
    <row r="60" spans="2:18" ht="16">
      <c r="B60" s="275"/>
      <c r="C60" s="167" t="s">
        <v>4837</v>
      </c>
      <c r="D60" s="167"/>
      <c r="E60" s="167"/>
      <c r="F60" s="167"/>
      <c r="G60" s="250"/>
      <c r="H60" s="250"/>
      <c r="I60" s="250"/>
      <c r="J60" s="250"/>
      <c r="K60" s="250"/>
      <c r="L60" s="250"/>
      <c r="M60" s="250"/>
      <c r="N60" s="250"/>
      <c r="O60" s="250"/>
      <c r="P60" s="250"/>
      <c r="Q60" s="250"/>
      <c r="R60" s="272"/>
    </row>
    <row r="61" spans="2:18" ht="16">
      <c r="B61" s="275"/>
      <c r="C61" s="414" t="s">
        <v>4838</v>
      </c>
      <c r="D61" s="414"/>
      <c r="E61" s="414"/>
      <c r="F61" s="414"/>
      <c r="G61" s="414"/>
      <c r="H61" s="414"/>
      <c r="I61" s="414"/>
      <c r="J61" s="414"/>
      <c r="K61" s="414"/>
      <c r="L61" s="414"/>
      <c r="M61" s="414"/>
      <c r="N61" s="414"/>
      <c r="O61" s="414"/>
      <c r="P61" s="414"/>
      <c r="Q61" s="414"/>
      <c r="R61" s="272"/>
    </row>
    <row r="62" spans="2:18" ht="52" customHeight="1">
      <c r="B62" s="275"/>
      <c r="C62" s="414"/>
      <c r="D62" s="414"/>
      <c r="E62" s="414"/>
      <c r="F62" s="414"/>
      <c r="G62" s="414"/>
      <c r="H62" s="414"/>
      <c r="I62" s="414"/>
      <c r="J62" s="414"/>
      <c r="K62" s="414"/>
      <c r="L62" s="414"/>
      <c r="M62" s="414"/>
      <c r="N62" s="414"/>
      <c r="O62" s="414"/>
      <c r="P62" s="414"/>
      <c r="Q62" s="414"/>
      <c r="R62" s="272"/>
    </row>
    <row r="63" spans="2:18" ht="16">
      <c r="B63" s="275"/>
      <c r="C63" s="167"/>
      <c r="D63" s="167"/>
      <c r="E63" s="167"/>
      <c r="F63" s="167"/>
      <c r="G63" s="250"/>
      <c r="H63" s="250"/>
      <c r="I63" s="250"/>
      <c r="J63" s="250"/>
      <c r="K63" s="250"/>
      <c r="L63" s="250"/>
      <c r="M63" s="250"/>
      <c r="N63" s="250"/>
      <c r="O63" s="250"/>
      <c r="P63" s="250"/>
      <c r="Q63" s="250"/>
      <c r="R63" s="272"/>
    </row>
    <row r="64" spans="2:18" ht="16">
      <c r="B64" s="275"/>
      <c r="C64" s="163" t="s">
        <v>4839</v>
      </c>
      <c r="D64" s="167"/>
      <c r="E64" s="167"/>
      <c r="F64" s="167"/>
      <c r="G64" s="250"/>
      <c r="H64" s="250"/>
      <c r="I64" s="250"/>
      <c r="J64" s="250"/>
      <c r="K64" s="250"/>
      <c r="L64" s="250"/>
      <c r="M64" s="250"/>
      <c r="N64" s="250"/>
      <c r="O64" s="250"/>
      <c r="P64" s="250"/>
      <c r="Q64" s="250"/>
      <c r="R64" s="272"/>
    </row>
    <row r="65" spans="2:18" ht="16">
      <c r="B65" s="275"/>
      <c r="C65" s="167"/>
      <c r="D65" s="167"/>
      <c r="E65" s="167"/>
      <c r="F65" s="167"/>
      <c r="G65" s="250"/>
      <c r="H65" s="250"/>
      <c r="I65" s="250"/>
      <c r="J65" s="250"/>
      <c r="K65" s="250"/>
      <c r="L65" s="250"/>
      <c r="M65" s="250"/>
      <c r="N65" s="250"/>
      <c r="O65" s="250"/>
      <c r="P65" s="250"/>
      <c r="Q65" s="250"/>
      <c r="R65" s="272"/>
    </row>
    <row r="66" spans="2:18" ht="16">
      <c r="B66" s="275"/>
      <c r="C66" s="167" t="s">
        <v>4840</v>
      </c>
      <c r="D66" s="167"/>
      <c r="E66" s="167"/>
      <c r="F66" s="167"/>
      <c r="G66" s="250"/>
      <c r="H66" s="250"/>
      <c r="I66" s="250"/>
      <c r="J66" s="250"/>
      <c r="K66" s="250"/>
      <c r="L66" s="250"/>
      <c r="M66" s="250"/>
      <c r="N66" s="250"/>
      <c r="O66" s="250"/>
      <c r="P66" s="250"/>
      <c r="Q66" s="250"/>
      <c r="R66" s="272"/>
    </row>
    <row r="67" spans="2:18" ht="16">
      <c r="B67" s="275"/>
      <c r="C67" s="167"/>
      <c r="D67" s="167"/>
      <c r="E67" s="167"/>
      <c r="F67" s="167"/>
      <c r="G67" s="250"/>
      <c r="H67" s="250"/>
      <c r="I67" s="250"/>
      <c r="J67" s="250"/>
      <c r="K67" s="250"/>
      <c r="L67" s="250"/>
      <c r="M67" s="250"/>
      <c r="N67" s="250"/>
      <c r="O67" s="250"/>
      <c r="P67" s="250"/>
      <c r="Q67" s="250"/>
      <c r="R67" s="272"/>
    </row>
    <row r="68" spans="2:18" ht="16">
      <c r="B68" s="275"/>
      <c r="C68" s="163" t="s">
        <v>4841</v>
      </c>
      <c r="D68" s="167"/>
      <c r="E68" s="167"/>
      <c r="F68" s="167"/>
      <c r="G68" s="250"/>
      <c r="H68" s="250"/>
      <c r="I68" s="250"/>
      <c r="J68" s="250"/>
      <c r="K68" s="250"/>
      <c r="L68" s="250"/>
      <c r="M68" s="250"/>
      <c r="N68" s="250"/>
      <c r="O68" s="250"/>
      <c r="P68" s="250"/>
      <c r="Q68" s="250"/>
      <c r="R68" s="272"/>
    </row>
    <row r="69" spans="2:18" ht="16">
      <c r="B69" s="275"/>
      <c r="C69" s="167"/>
      <c r="D69" s="167"/>
      <c r="E69" s="167"/>
      <c r="F69" s="167"/>
      <c r="G69" s="250"/>
      <c r="H69" s="250"/>
      <c r="I69" s="250"/>
      <c r="J69" s="250"/>
      <c r="K69" s="250"/>
      <c r="L69" s="250"/>
      <c r="M69" s="250"/>
      <c r="N69" s="250"/>
      <c r="O69" s="250"/>
      <c r="P69" s="250"/>
      <c r="Q69" s="250"/>
      <c r="R69" s="272"/>
    </row>
    <row r="70" spans="2:18" ht="16">
      <c r="B70" s="275"/>
      <c r="C70" s="414" t="s">
        <v>4842</v>
      </c>
      <c r="D70" s="414"/>
      <c r="E70" s="414"/>
      <c r="F70" s="414"/>
      <c r="G70" s="414"/>
      <c r="H70" s="414"/>
      <c r="I70" s="414"/>
      <c r="J70" s="414"/>
      <c r="K70" s="414"/>
      <c r="L70" s="414"/>
      <c r="M70" s="414"/>
      <c r="N70" s="414"/>
      <c r="O70" s="414"/>
      <c r="P70" s="414"/>
      <c r="Q70" s="414"/>
      <c r="R70" s="272"/>
    </row>
    <row r="71" spans="2:18" ht="16">
      <c r="B71" s="275"/>
      <c r="C71" s="414"/>
      <c r="D71" s="414"/>
      <c r="E71" s="414"/>
      <c r="F71" s="414"/>
      <c r="G71" s="414"/>
      <c r="H71" s="414"/>
      <c r="I71" s="414"/>
      <c r="J71" s="414"/>
      <c r="K71" s="414"/>
      <c r="L71" s="414"/>
      <c r="M71" s="414"/>
      <c r="N71" s="414"/>
      <c r="O71" s="414"/>
      <c r="P71" s="414"/>
      <c r="Q71" s="414"/>
      <c r="R71" s="272"/>
    </row>
    <row r="72" spans="2:18" ht="16">
      <c r="B72" s="275"/>
      <c r="C72" s="167"/>
      <c r="D72" s="167"/>
      <c r="E72" s="167"/>
      <c r="F72" s="167"/>
      <c r="G72" s="250"/>
      <c r="H72" s="250"/>
      <c r="I72" s="250"/>
      <c r="J72" s="250"/>
      <c r="K72" s="250"/>
      <c r="L72" s="250"/>
      <c r="M72" s="250"/>
      <c r="N72" s="250"/>
      <c r="O72" s="250"/>
      <c r="P72" s="250"/>
      <c r="Q72" s="250"/>
      <c r="R72" s="272"/>
    </row>
    <row r="73" spans="2:18" ht="16">
      <c r="B73" s="275"/>
      <c r="C73" s="163" t="s">
        <v>4843</v>
      </c>
      <c r="D73" s="167"/>
      <c r="E73" s="167"/>
      <c r="F73" s="167"/>
      <c r="G73" s="250"/>
      <c r="H73" s="250"/>
      <c r="I73" s="250"/>
      <c r="J73" s="250"/>
      <c r="K73" s="250"/>
      <c r="L73" s="250"/>
      <c r="M73" s="250"/>
      <c r="N73" s="250"/>
      <c r="O73" s="250"/>
      <c r="P73" s="250"/>
      <c r="Q73" s="250"/>
      <c r="R73" s="272"/>
    </row>
    <row r="74" spans="2:18" ht="16">
      <c r="B74" s="275"/>
      <c r="C74" s="167"/>
      <c r="D74" s="167"/>
      <c r="E74" s="167"/>
      <c r="F74" s="167"/>
      <c r="G74" s="250"/>
      <c r="H74" s="250"/>
      <c r="I74" s="250"/>
      <c r="J74" s="250"/>
      <c r="K74" s="250"/>
      <c r="L74" s="250"/>
      <c r="M74" s="250"/>
      <c r="N74" s="250"/>
      <c r="O74" s="250"/>
      <c r="P74" s="250"/>
      <c r="Q74" s="250"/>
      <c r="R74" s="272"/>
    </row>
    <row r="75" spans="2:18" ht="16">
      <c r="B75" s="275"/>
      <c r="C75" s="414" t="s">
        <v>4844</v>
      </c>
      <c r="D75" s="414"/>
      <c r="E75" s="414"/>
      <c r="F75" s="414"/>
      <c r="G75" s="414"/>
      <c r="H75" s="414"/>
      <c r="I75" s="414"/>
      <c r="J75" s="414"/>
      <c r="K75" s="414"/>
      <c r="L75" s="414"/>
      <c r="M75" s="414"/>
      <c r="N75" s="414"/>
      <c r="O75" s="414"/>
      <c r="P75" s="414"/>
      <c r="Q75" s="414"/>
      <c r="R75" s="272"/>
    </row>
    <row r="76" spans="2:18" ht="16">
      <c r="B76" s="275"/>
      <c r="C76" s="414"/>
      <c r="D76" s="414"/>
      <c r="E76" s="414"/>
      <c r="F76" s="414"/>
      <c r="G76" s="414"/>
      <c r="H76" s="414"/>
      <c r="I76" s="414"/>
      <c r="J76" s="414"/>
      <c r="K76" s="414"/>
      <c r="L76" s="414"/>
      <c r="M76" s="414"/>
      <c r="N76" s="414"/>
      <c r="O76" s="414"/>
      <c r="P76" s="414"/>
      <c r="Q76" s="414"/>
      <c r="R76" s="272"/>
    </row>
    <row r="77" spans="2:18" ht="16">
      <c r="B77" s="275"/>
      <c r="C77" s="167"/>
      <c r="D77" s="167"/>
      <c r="E77" s="167"/>
      <c r="F77" s="167"/>
      <c r="G77" s="250"/>
      <c r="H77" s="250"/>
      <c r="I77" s="250"/>
      <c r="J77" s="250"/>
      <c r="K77" s="250"/>
      <c r="L77" s="250"/>
      <c r="M77" s="250"/>
      <c r="N77" s="250"/>
      <c r="O77" s="250"/>
      <c r="P77" s="250"/>
      <c r="Q77" s="250"/>
      <c r="R77" s="272"/>
    </row>
    <row r="78" spans="2:18" ht="16">
      <c r="B78" s="275"/>
      <c r="C78" s="163" t="s">
        <v>4845</v>
      </c>
      <c r="D78" s="167"/>
      <c r="E78" s="167"/>
      <c r="F78" s="167"/>
      <c r="G78" s="250"/>
      <c r="H78" s="250"/>
      <c r="I78" s="250"/>
      <c r="J78" s="250"/>
      <c r="K78" s="250"/>
      <c r="L78" s="250"/>
      <c r="M78" s="250"/>
      <c r="N78" s="250"/>
      <c r="O78" s="250"/>
      <c r="P78" s="250"/>
      <c r="Q78" s="250"/>
      <c r="R78" s="272"/>
    </row>
    <row r="79" spans="2:18" ht="16">
      <c r="B79" s="275"/>
      <c r="C79" s="167"/>
      <c r="D79" s="167"/>
      <c r="E79" s="167"/>
      <c r="F79" s="167"/>
      <c r="G79" s="250"/>
      <c r="H79" s="250"/>
      <c r="I79" s="250"/>
      <c r="J79" s="250"/>
      <c r="K79" s="250"/>
      <c r="L79" s="250"/>
      <c r="M79" s="250"/>
      <c r="N79" s="250"/>
      <c r="O79" s="250"/>
      <c r="P79" s="250"/>
      <c r="Q79" s="250"/>
      <c r="R79" s="272"/>
    </row>
    <row r="80" spans="2:18" ht="16">
      <c r="B80" s="275"/>
      <c r="C80" s="167" t="s">
        <v>4846</v>
      </c>
      <c r="D80" s="167"/>
      <c r="E80" s="167"/>
      <c r="F80" s="167"/>
      <c r="G80" s="250"/>
      <c r="H80" s="250"/>
      <c r="I80" s="250"/>
      <c r="J80" s="250"/>
      <c r="K80" s="250"/>
      <c r="L80" s="250"/>
      <c r="M80" s="250"/>
      <c r="N80" s="250"/>
      <c r="O80" s="250"/>
      <c r="P80" s="250"/>
      <c r="Q80" s="250"/>
      <c r="R80" s="272"/>
    </row>
    <row r="81" spans="2:18" ht="16">
      <c r="B81" s="275"/>
      <c r="C81" s="167"/>
      <c r="D81" s="167"/>
      <c r="E81" s="167"/>
      <c r="F81" s="167"/>
      <c r="G81" s="250"/>
      <c r="H81" s="250"/>
      <c r="I81" s="250"/>
      <c r="J81" s="250"/>
      <c r="K81" s="250"/>
      <c r="L81" s="250"/>
      <c r="M81" s="250"/>
      <c r="N81" s="250"/>
      <c r="O81" s="250"/>
      <c r="P81" s="250"/>
      <c r="Q81" s="250"/>
      <c r="R81" s="272"/>
    </row>
    <row r="82" spans="2:18" ht="16">
      <c r="B82" s="275"/>
      <c r="C82" s="163" t="s">
        <v>4847</v>
      </c>
      <c r="D82" s="167"/>
      <c r="E82" s="167"/>
      <c r="F82" s="167"/>
      <c r="G82" s="250"/>
      <c r="H82" s="250"/>
      <c r="I82" s="250"/>
      <c r="J82" s="250"/>
      <c r="K82" s="250"/>
      <c r="L82" s="250"/>
      <c r="M82" s="250"/>
      <c r="N82" s="250"/>
      <c r="O82" s="250"/>
      <c r="P82" s="250"/>
      <c r="Q82" s="250"/>
      <c r="R82" s="272"/>
    </row>
    <row r="83" spans="2:18" ht="16">
      <c r="B83" s="275"/>
      <c r="C83" s="167"/>
      <c r="D83" s="167"/>
      <c r="E83" s="167"/>
      <c r="F83" s="167"/>
      <c r="G83" s="250"/>
      <c r="H83" s="250"/>
      <c r="I83" s="250"/>
      <c r="J83" s="250"/>
      <c r="K83" s="250"/>
      <c r="L83" s="250"/>
      <c r="M83" s="250"/>
      <c r="N83" s="250"/>
      <c r="O83" s="250"/>
      <c r="P83" s="250"/>
      <c r="Q83" s="250"/>
      <c r="R83" s="272"/>
    </row>
    <row r="84" spans="2:18" ht="16">
      <c r="B84" s="275"/>
      <c r="C84" s="344" t="s">
        <v>4848</v>
      </c>
      <c r="D84" s="167"/>
      <c r="E84" s="167"/>
      <c r="F84" s="167"/>
      <c r="G84" s="250"/>
      <c r="H84" s="250"/>
      <c r="I84" s="250"/>
      <c r="J84" s="250"/>
      <c r="K84" s="250"/>
      <c r="L84" s="250"/>
      <c r="M84" s="250"/>
      <c r="N84" s="250"/>
      <c r="O84" s="250"/>
      <c r="P84" s="250"/>
      <c r="Q84" s="250"/>
      <c r="R84" s="272"/>
    </row>
    <row r="85" spans="2:18" ht="16">
      <c r="B85" s="275"/>
      <c r="C85" s="167"/>
      <c r="D85" s="167"/>
      <c r="E85" s="167"/>
      <c r="F85" s="167"/>
      <c r="G85" s="250"/>
      <c r="H85" s="250"/>
      <c r="I85" s="250"/>
      <c r="J85" s="250"/>
      <c r="K85" s="250"/>
      <c r="L85" s="250"/>
      <c r="M85" s="250"/>
      <c r="N85" s="250"/>
      <c r="O85" s="250"/>
      <c r="P85" s="250"/>
      <c r="Q85" s="250"/>
      <c r="R85" s="272"/>
    </row>
    <row r="86" spans="2:18" ht="16">
      <c r="B86" s="275"/>
      <c r="C86" s="414" t="s">
        <v>4849</v>
      </c>
      <c r="D86" s="414"/>
      <c r="E86" s="414"/>
      <c r="F86" s="414"/>
      <c r="G86" s="414"/>
      <c r="H86" s="414"/>
      <c r="I86" s="414"/>
      <c r="J86" s="414"/>
      <c r="K86" s="414"/>
      <c r="L86" s="414"/>
      <c r="M86" s="414"/>
      <c r="N86" s="414"/>
      <c r="O86" s="414"/>
      <c r="P86" s="414"/>
      <c r="Q86" s="414"/>
      <c r="R86" s="272"/>
    </row>
    <row r="87" spans="2:18" ht="16">
      <c r="B87" s="275"/>
      <c r="C87" s="414"/>
      <c r="D87" s="414"/>
      <c r="E87" s="414"/>
      <c r="F87" s="414"/>
      <c r="G87" s="414"/>
      <c r="H87" s="414"/>
      <c r="I87" s="414"/>
      <c r="J87" s="414"/>
      <c r="K87" s="414"/>
      <c r="L87" s="414"/>
      <c r="M87" s="414"/>
      <c r="N87" s="414"/>
      <c r="O87" s="414"/>
      <c r="P87" s="414"/>
      <c r="Q87" s="414"/>
      <c r="R87" s="272"/>
    </row>
    <row r="88" spans="2:18" ht="16">
      <c r="B88" s="275"/>
      <c r="C88" s="167"/>
      <c r="D88" s="167"/>
      <c r="E88" s="167"/>
      <c r="F88" s="167"/>
      <c r="G88" s="250"/>
      <c r="H88" s="250"/>
      <c r="I88" s="250"/>
      <c r="J88" s="250"/>
      <c r="K88" s="250"/>
      <c r="L88" s="250"/>
      <c r="M88" s="250"/>
      <c r="N88" s="250"/>
      <c r="O88" s="250"/>
      <c r="P88" s="250"/>
      <c r="Q88" s="250"/>
      <c r="R88" s="272"/>
    </row>
    <row r="89" spans="2:18" ht="16">
      <c r="B89" s="275"/>
      <c r="C89" s="344" t="s">
        <v>4850</v>
      </c>
      <c r="D89" s="167"/>
      <c r="E89" s="167"/>
      <c r="F89" s="167"/>
      <c r="G89" s="250"/>
      <c r="H89" s="250"/>
      <c r="I89" s="250"/>
      <c r="J89" s="250"/>
      <c r="K89" s="250"/>
      <c r="L89" s="250"/>
      <c r="M89" s="250"/>
      <c r="N89" s="250"/>
      <c r="O89" s="250"/>
      <c r="P89" s="250"/>
      <c r="Q89" s="250"/>
      <c r="R89" s="272"/>
    </row>
    <row r="90" spans="2:18" ht="16">
      <c r="B90" s="275"/>
      <c r="C90" s="167"/>
      <c r="D90" s="167"/>
      <c r="E90" s="167"/>
      <c r="F90" s="167"/>
      <c r="G90" s="250"/>
      <c r="H90" s="250"/>
      <c r="I90" s="250"/>
      <c r="J90" s="250"/>
      <c r="K90" s="250"/>
      <c r="L90" s="250"/>
      <c r="M90" s="250"/>
      <c r="N90" s="250"/>
      <c r="O90" s="250"/>
      <c r="P90" s="250"/>
      <c r="Q90" s="250"/>
      <c r="R90" s="272"/>
    </row>
    <row r="91" spans="2:18" ht="16">
      <c r="B91" s="275"/>
      <c r="C91" s="414" t="s">
        <v>4851</v>
      </c>
      <c r="D91" s="414"/>
      <c r="E91" s="414"/>
      <c r="F91" s="414"/>
      <c r="G91" s="414"/>
      <c r="H91" s="414"/>
      <c r="I91" s="414"/>
      <c r="J91" s="414"/>
      <c r="K91" s="414"/>
      <c r="L91" s="414"/>
      <c r="M91" s="414"/>
      <c r="N91" s="414"/>
      <c r="O91" s="414"/>
      <c r="P91" s="414"/>
      <c r="Q91" s="414"/>
      <c r="R91" s="272"/>
    </row>
    <row r="92" spans="2:18" ht="16">
      <c r="B92" s="275"/>
      <c r="C92" s="414"/>
      <c r="D92" s="414"/>
      <c r="E92" s="414"/>
      <c r="F92" s="414"/>
      <c r="G92" s="414"/>
      <c r="H92" s="414"/>
      <c r="I92" s="414"/>
      <c r="J92" s="414"/>
      <c r="K92" s="414"/>
      <c r="L92" s="414"/>
      <c r="M92" s="414"/>
      <c r="N92" s="414"/>
      <c r="O92" s="414"/>
      <c r="P92" s="414"/>
      <c r="Q92" s="414"/>
      <c r="R92" s="272"/>
    </row>
    <row r="93" spans="2:18" ht="16">
      <c r="B93" s="275"/>
      <c r="C93" s="167"/>
      <c r="D93" s="167"/>
      <c r="E93" s="167"/>
      <c r="F93" s="167"/>
      <c r="G93" s="250"/>
      <c r="H93" s="250"/>
      <c r="I93" s="250"/>
      <c r="J93" s="250"/>
      <c r="K93" s="250"/>
      <c r="L93" s="250"/>
      <c r="M93" s="250"/>
      <c r="N93" s="250"/>
      <c r="O93" s="250"/>
      <c r="P93" s="250"/>
      <c r="Q93" s="250"/>
      <c r="R93" s="272"/>
    </row>
    <row r="94" spans="2:18" ht="16">
      <c r="B94" s="275"/>
      <c r="C94" s="344" t="s">
        <v>4852</v>
      </c>
      <c r="D94" s="167"/>
      <c r="E94" s="167"/>
      <c r="F94" s="167"/>
      <c r="G94" s="250"/>
      <c r="H94" s="250"/>
      <c r="I94" s="250"/>
      <c r="J94" s="250"/>
      <c r="K94" s="250"/>
      <c r="L94" s="250"/>
      <c r="M94" s="250"/>
      <c r="N94" s="250"/>
      <c r="O94" s="250"/>
      <c r="P94" s="250"/>
      <c r="Q94" s="250"/>
      <c r="R94" s="272"/>
    </row>
    <row r="95" spans="2:18" ht="16">
      <c r="B95" s="275"/>
      <c r="C95" s="167"/>
      <c r="D95" s="167"/>
      <c r="E95" s="167"/>
      <c r="F95" s="167"/>
      <c r="G95" s="250"/>
      <c r="H95" s="250"/>
      <c r="I95" s="250"/>
      <c r="J95" s="250"/>
      <c r="K95" s="250"/>
      <c r="L95" s="250"/>
      <c r="M95" s="250"/>
      <c r="N95" s="250"/>
      <c r="O95" s="250"/>
      <c r="P95" s="250"/>
      <c r="Q95" s="250"/>
      <c r="R95" s="272"/>
    </row>
    <row r="96" spans="2:18" ht="16">
      <c r="B96" s="275"/>
      <c r="C96" s="414" t="s">
        <v>4878</v>
      </c>
      <c r="D96" s="414"/>
      <c r="E96" s="414"/>
      <c r="F96" s="414"/>
      <c r="G96" s="414"/>
      <c r="H96" s="414"/>
      <c r="I96" s="414"/>
      <c r="J96" s="414"/>
      <c r="K96" s="414"/>
      <c r="L96" s="414"/>
      <c r="M96" s="414"/>
      <c r="N96" s="414"/>
      <c r="O96" s="414"/>
      <c r="P96" s="414"/>
      <c r="Q96" s="414"/>
      <c r="R96" s="272"/>
    </row>
    <row r="97" spans="2:18" ht="16">
      <c r="B97" s="275"/>
      <c r="C97" s="414"/>
      <c r="D97" s="414"/>
      <c r="E97" s="414"/>
      <c r="F97" s="414"/>
      <c r="G97" s="414"/>
      <c r="H97" s="414"/>
      <c r="I97" s="414"/>
      <c r="J97" s="414"/>
      <c r="K97" s="414"/>
      <c r="L97" s="414"/>
      <c r="M97" s="414"/>
      <c r="N97" s="414"/>
      <c r="O97" s="414"/>
      <c r="P97" s="414"/>
      <c r="Q97" s="414"/>
      <c r="R97" s="272"/>
    </row>
    <row r="98" spans="2:18" ht="16">
      <c r="B98" s="275"/>
      <c r="C98" s="167"/>
      <c r="D98" s="167"/>
      <c r="E98" s="167"/>
      <c r="F98" s="167"/>
      <c r="G98" s="250"/>
      <c r="H98" s="250"/>
      <c r="I98" s="250"/>
      <c r="J98" s="250"/>
      <c r="K98" s="250"/>
      <c r="L98" s="250"/>
      <c r="M98" s="250"/>
      <c r="N98" s="250"/>
      <c r="O98" s="250"/>
      <c r="P98" s="250"/>
      <c r="Q98" s="250"/>
      <c r="R98" s="272"/>
    </row>
    <row r="99" spans="2:18" ht="16">
      <c r="B99" s="275"/>
      <c r="C99" s="163" t="s">
        <v>4853</v>
      </c>
      <c r="D99" s="167"/>
      <c r="E99" s="167"/>
      <c r="F99" s="167"/>
      <c r="G99" s="250"/>
      <c r="H99" s="250"/>
      <c r="I99" s="250"/>
      <c r="J99" s="250"/>
      <c r="K99" s="250"/>
      <c r="L99" s="250"/>
      <c r="M99" s="250"/>
      <c r="N99" s="250"/>
      <c r="O99" s="250"/>
      <c r="P99" s="250"/>
      <c r="Q99" s="250"/>
      <c r="R99" s="272"/>
    </row>
    <row r="100" spans="2:18" ht="16">
      <c r="B100" s="275"/>
      <c r="C100" s="167"/>
      <c r="D100" s="167"/>
      <c r="E100" s="167"/>
      <c r="F100" s="167"/>
      <c r="G100" s="250"/>
      <c r="H100" s="250"/>
      <c r="I100" s="250"/>
      <c r="J100" s="250"/>
      <c r="K100" s="250"/>
      <c r="L100" s="250"/>
      <c r="M100" s="250"/>
      <c r="N100" s="250"/>
      <c r="O100" s="250"/>
      <c r="P100" s="250"/>
      <c r="Q100" s="250"/>
      <c r="R100" s="272"/>
    </row>
    <row r="101" spans="2:18" ht="16">
      <c r="B101" s="275"/>
      <c r="C101" s="167" t="s">
        <v>4854</v>
      </c>
      <c r="D101" s="167"/>
      <c r="E101" s="167"/>
      <c r="F101" s="167"/>
      <c r="G101" s="250"/>
      <c r="H101" s="250"/>
      <c r="I101" s="250"/>
      <c r="J101" s="250"/>
      <c r="K101" s="250"/>
      <c r="L101" s="250"/>
      <c r="M101" s="250"/>
      <c r="N101" s="250"/>
      <c r="O101" s="250"/>
      <c r="P101" s="250"/>
      <c r="Q101" s="250"/>
      <c r="R101" s="272"/>
    </row>
    <row r="102" spans="2:18" ht="16">
      <c r="B102" s="275"/>
      <c r="C102" s="167"/>
      <c r="D102" s="167"/>
      <c r="E102" s="167"/>
      <c r="F102" s="167"/>
      <c r="G102" s="250"/>
      <c r="H102" s="250"/>
      <c r="I102" s="250"/>
      <c r="J102" s="250"/>
      <c r="K102" s="250"/>
      <c r="L102" s="250"/>
      <c r="M102" s="250"/>
      <c r="N102" s="250"/>
      <c r="O102" s="250"/>
      <c r="P102" s="250"/>
      <c r="Q102" s="250"/>
      <c r="R102" s="272"/>
    </row>
    <row r="103" spans="2:18" ht="16">
      <c r="B103" s="275"/>
      <c r="C103" s="163" t="s">
        <v>4855</v>
      </c>
      <c r="D103" s="167"/>
      <c r="E103" s="167"/>
      <c r="F103" s="167"/>
      <c r="G103" s="250"/>
      <c r="H103" s="250"/>
      <c r="I103" s="250"/>
      <c r="J103" s="250"/>
      <c r="K103" s="250"/>
      <c r="L103" s="250"/>
      <c r="M103" s="250"/>
      <c r="N103" s="250"/>
      <c r="O103" s="250"/>
      <c r="P103" s="250"/>
      <c r="Q103" s="250"/>
      <c r="R103" s="272"/>
    </row>
    <row r="104" spans="2:18" ht="16">
      <c r="B104" s="275"/>
      <c r="C104" s="167"/>
      <c r="D104" s="167"/>
      <c r="E104" s="167"/>
      <c r="F104" s="167"/>
      <c r="G104" s="250"/>
      <c r="H104" s="250"/>
      <c r="I104" s="250"/>
      <c r="J104" s="250"/>
      <c r="K104" s="250"/>
      <c r="L104" s="250"/>
      <c r="M104" s="250"/>
      <c r="N104" s="250"/>
      <c r="O104" s="250"/>
      <c r="P104" s="250"/>
      <c r="Q104" s="250"/>
      <c r="R104" s="272"/>
    </row>
    <row r="105" spans="2:18" ht="16">
      <c r="B105" s="275"/>
      <c r="C105" s="414" t="s">
        <v>4856</v>
      </c>
      <c r="D105" s="414"/>
      <c r="E105" s="414"/>
      <c r="F105" s="414"/>
      <c r="G105" s="414"/>
      <c r="H105" s="414"/>
      <c r="I105" s="414"/>
      <c r="J105" s="414"/>
      <c r="K105" s="414"/>
      <c r="L105" s="414"/>
      <c r="M105" s="414"/>
      <c r="N105" s="414"/>
      <c r="O105" s="414"/>
      <c r="P105" s="414"/>
      <c r="Q105" s="414"/>
      <c r="R105" s="272"/>
    </row>
    <row r="106" spans="2:18" ht="16">
      <c r="B106" s="275"/>
      <c r="C106" s="414"/>
      <c r="D106" s="414"/>
      <c r="E106" s="414"/>
      <c r="F106" s="414"/>
      <c r="G106" s="414"/>
      <c r="H106" s="414"/>
      <c r="I106" s="414"/>
      <c r="J106" s="414"/>
      <c r="K106" s="414"/>
      <c r="L106" s="414"/>
      <c r="M106" s="414"/>
      <c r="N106" s="414"/>
      <c r="O106" s="414"/>
      <c r="P106" s="414"/>
      <c r="Q106" s="414"/>
      <c r="R106" s="272"/>
    </row>
    <row r="107" spans="2:18" ht="16">
      <c r="B107" s="275"/>
      <c r="C107" s="345"/>
      <c r="D107" s="345"/>
      <c r="E107" s="345"/>
      <c r="F107" s="345"/>
      <c r="G107" s="345"/>
      <c r="H107" s="345"/>
      <c r="I107" s="345"/>
      <c r="J107" s="345"/>
      <c r="K107" s="345"/>
      <c r="L107" s="345"/>
      <c r="M107" s="345"/>
      <c r="N107" s="345"/>
      <c r="O107" s="345"/>
      <c r="P107" s="345"/>
      <c r="Q107" s="345"/>
      <c r="R107" s="272"/>
    </row>
    <row r="108" spans="2:18" ht="16">
      <c r="B108" s="275"/>
      <c r="C108" s="163" t="s">
        <v>4857</v>
      </c>
      <c r="D108" s="167"/>
      <c r="E108" s="167"/>
      <c r="F108" s="167"/>
      <c r="G108" s="250"/>
      <c r="H108" s="250"/>
      <c r="I108" s="250"/>
      <c r="J108" s="250"/>
      <c r="K108" s="250"/>
      <c r="L108" s="250"/>
      <c r="M108" s="250"/>
      <c r="N108" s="250"/>
      <c r="O108" s="250"/>
      <c r="P108" s="250"/>
      <c r="Q108" s="250"/>
      <c r="R108" s="272"/>
    </row>
    <row r="109" spans="2:18" ht="16">
      <c r="B109" s="275"/>
      <c r="C109" s="167"/>
      <c r="D109" s="167"/>
      <c r="E109" s="167"/>
      <c r="F109" s="167"/>
      <c r="G109" s="250"/>
      <c r="H109" s="250"/>
      <c r="I109" s="250"/>
      <c r="J109" s="250"/>
      <c r="K109" s="250"/>
      <c r="L109" s="250"/>
      <c r="M109" s="250"/>
      <c r="N109" s="250"/>
      <c r="O109" s="250"/>
      <c r="P109" s="250"/>
      <c r="Q109" s="250"/>
      <c r="R109" s="272"/>
    </row>
    <row r="110" spans="2:18" ht="16">
      <c r="B110" s="275"/>
      <c r="C110" s="167" t="s">
        <v>4858</v>
      </c>
      <c r="D110" s="167"/>
      <c r="E110" s="167"/>
      <c r="F110" s="167"/>
      <c r="G110" s="250"/>
      <c r="H110" s="250"/>
      <c r="I110" s="250"/>
      <c r="J110" s="250"/>
      <c r="K110" s="250"/>
      <c r="L110" s="250"/>
      <c r="M110" s="250"/>
      <c r="N110" s="250"/>
      <c r="O110" s="250"/>
      <c r="P110" s="250"/>
      <c r="Q110" s="250"/>
      <c r="R110" s="272"/>
    </row>
    <row r="111" spans="2:18" ht="16">
      <c r="B111" s="275"/>
      <c r="C111" s="167"/>
      <c r="D111" s="167"/>
      <c r="E111" s="167"/>
      <c r="F111" s="167"/>
      <c r="G111" s="250"/>
      <c r="H111" s="250"/>
      <c r="I111" s="250"/>
      <c r="J111" s="250"/>
      <c r="K111" s="250"/>
      <c r="L111" s="250"/>
      <c r="M111" s="250"/>
      <c r="N111" s="250"/>
      <c r="O111" s="250"/>
      <c r="P111" s="250"/>
      <c r="Q111" s="250"/>
      <c r="R111" s="272"/>
    </row>
    <row r="112" spans="2:18" ht="16">
      <c r="B112" s="275"/>
      <c r="C112" s="163" t="s">
        <v>4859</v>
      </c>
      <c r="D112" s="167"/>
      <c r="E112" s="167"/>
      <c r="F112" s="167"/>
      <c r="G112" s="250"/>
      <c r="H112" s="250"/>
      <c r="I112" s="250"/>
      <c r="J112" s="250"/>
      <c r="K112" s="250"/>
      <c r="L112" s="250"/>
      <c r="M112" s="250"/>
      <c r="N112" s="250"/>
      <c r="O112" s="250"/>
      <c r="P112" s="250"/>
      <c r="Q112" s="250"/>
      <c r="R112" s="272"/>
    </row>
    <row r="113" spans="2:18" ht="16">
      <c r="B113" s="275"/>
      <c r="C113" s="167"/>
      <c r="D113" s="167"/>
      <c r="E113" s="167"/>
      <c r="F113" s="167"/>
      <c r="G113" s="250"/>
      <c r="H113" s="250"/>
      <c r="I113" s="250"/>
      <c r="J113" s="250"/>
      <c r="K113" s="250"/>
      <c r="L113" s="250"/>
      <c r="M113" s="250"/>
      <c r="N113" s="250"/>
      <c r="O113" s="250"/>
      <c r="P113" s="250"/>
      <c r="Q113" s="250"/>
      <c r="R113" s="272"/>
    </row>
    <row r="114" spans="2:18" ht="16">
      <c r="B114" s="275"/>
      <c r="C114" s="414" t="s">
        <v>4860</v>
      </c>
      <c r="D114" s="414"/>
      <c r="E114" s="414"/>
      <c r="F114" s="414"/>
      <c r="G114" s="414"/>
      <c r="H114" s="414"/>
      <c r="I114" s="414"/>
      <c r="J114" s="414"/>
      <c r="K114" s="414"/>
      <c r="L114" s="414"/>
      <c r="M114" s="414"/>
      <c r="N114" s="414"/>
      <c r="O114" s="414"/>
      <c r="P114" s="414"/>
      <c r="Q114" s="414"/>
      <c r="R114" s="272"/>
    </row>
    <row r="115" spans="2:18" ht="16">
      <c r="B115" s="275"/>
      <c r="C115" s="414"/>
      <c r="D115" s="414"/>
      <c r="E115" s="414"/>
      <c r="F115" s="414"/>
      <c r="G115" s="414"/>
      <c r="H115" s="414"/>
      <c r="I115" s="414"/>
      <c r="J115" s="414"/>
      <c r="K115" s="414"/>
      <c r="L115" s="414"/>
      <c r="M115" s="414"/>
      <c r="N115" s="414"/>
      <c r="O115" s="414"/>
      <c r="P115" s="414"/>
      <c r="Q115" s="414"/>
      <c r="R115" s="272"/>
    </row>
    <row r="116" spans="2:18" ht="16">
      <c r="B116" s="275"/>
      <c r="C116" s="167" t="s">
        <v>4861</v>
      </c>
      <c r="D116" s="167"/>
      <c r="E116" s="167"/>
      <c r="F116" s="167"/>
      <c r="G116" s="250"/>
      <c r="H116" s="250"/>
      <c r="I116" s="250"/>
      <c r="J116" s="250"/>
      <c r="K116" s="250"/>
      <c r="L116" s="250"/>
      <c r="M116" s="250"/>
      <c r="N116" s="250"/>
      <c r="O116" s="250"/>
      <c r="P116" s="250"/>
      <c r="Q116" s="250"/>
      <c r="R116" s="272"/>
    </row>
    <row r="117" spans="2:18" ht="16">
      <c r="B117" s="275"/>
      <c r="C117" s="414" t="s">
        <v>4862</v>
      </c>
      <c r="D117" s="414"/>
      <c r="E117" s="414"/>
      <c r="F117" s="414"/>
      <c r="G117" s="414"/>
      <c r="H117" s="414"/>
      <c r="I117" s="414"/>
      <c r="J117" s="414"/>
      <c r="K117" s="414"/>
      <c r="L117" s="414"/>
      <c r="M117" s="414"/>
      <c r="N117" s="414"/>
      <c r="O117" s="414"/>
      <c r="P117" s="414"/>
      <c r="Q117" s="414"/>
      <c r="R117" s="272"/>
    </row>
    <row r="118" spans="2:18" ht="33" customHeight="1">
      <c r="B118" s="275"/>
      <c r="C118" s="414"/>
      <c r="D118" s="414"/>
      <c r="E118" s="414"/>
      <c r="F118" s="414"/>
      <c r="G118" s="414"/>
      <c r="H118" s="414"/>
      <c r="I118" s="414"/>
      <c r="J118" s="414"/>
      <c r="K118" s="414"/>
      <c r="L118" s="414"/>
      <c r="M118" s="414"/>
      <c r="N118" s="414"/>
      <c r="O118" s="414"/>
      <c r="P118" s="414"/>
      <c r="Q118" s="414"/>
      <c r="R118" s="272"/>
    </row>
    <row r="119" spans="2:18" ht="16">
      <c r="B119" s="275"/>
      <c r="C119" s="167" t="s">
        <v>4863</v>
      </c>
      <c r="D119" s="167"/>
      <c r="E119" s="167"/>
      <c r="F119" s="167"/>
      <c r="G119" s="250"/>
      <c r="H119" s="250"/>
      <c r="I119" s="250"/>
      <c r="J119" s="250"/>
      <c r="K119" s="250"/>
      <c r="L119" s="250"/>
      <c r="M119" s="250"/>
      <c r="N119" s="250"/>
      <c r="O119" s="250"/>
      <c r="P119" s="250"/>
      <c r="Q119" s="250"/>
      <c r="R119" s="272"/>
    </row>
    <row r="120" spans="2:18" ht="16">
      <c r="B120" s="275"/>
      <c r="C120" s="167"/>
      <c r="D120" s="167"/>
      <c r="E120" s="167"/>
      <c r="F120" s="167"/>
      <c r="G120" s="250"/>
      <c r="H120" s="250"/>
      <c r="I120" s="250"/>
      <c r="J120" s="250"/>
      <c r="K120" s="250"/>
      <c r="L120" s="250"/>
      <c r="M120" s="250"/>
      <c r="N120" s="250"/>
      <c r="O120" s="250"/>
      <c r="P120" s="250"/>
      <c r="Q120" s="250"/>
      <c r="R120" s="272"/>
    </row>
    <row r="121" spans="2:18" ht="16">
      <c r="B121" s="275"/>
      <c r="C121" s="163" t="s">
        <v>4864</v>
      </c>
      <c r="D121" s="167"/>
      <c r="E121" s="167"/>
      <c r="F121" s="167"/>
      <c r="G121" s="250"/>
      <c r="H121" s="250"/>
      <c r="I121" s="250"/>
      <c r="J121" s="250"/>
      <c r="K121" s="250"/>
      <c r="L121" s="250"/>
      <c r="M121" s="250"/>
      <c r="N121" s="250"/>
      <c r="O121" s="250"/>
      <c r="P121" s="250"/>
      <c r="Q121" s="250"/>
      <c r="R121" s="272"/>
    </row>
    <row r="122" spans="2:18" ht="16">
      <c r="B122" s="275"/>
      <c r="C122" s="167"/>
      <c r="D122" s="167"/>
      <c r="E122" s="167"/>
      <c r="F122" s="167"/>
      <c r="G122" s="250"/>
      <c r="H122" s="250"/>
      <c r="I122" s="250"/>
      <c r="J122" s="250"/>
      <c r="K122" s="250"/>
      <c r="L122" s="250"/>
      <c r="M122" s="250"/>
      <c r="N122" s="250"/>
      <c r="O122" s="250"/>
      <c r="P122" s="250"/>
      <c r="Q122" s="250"/>
      <c r="R122" s="272"/>
    </row>
    <row r="123" spans="2:18" ht="16">
      <c r="B123" s="275"/>
      <c r="C123" s="167" t="s">
        <v>4865</v>
      </c>
      <c r="D123" s="167"/>
      <c r="E123" s="167"/>
      <c r="F123" s="167"/>
      <c r="G123" s="250"/>
      <c r="H123" s="250"/>
      <c r="I123" s="250"/>
      <c r="J123" s="250"/>
      <c r="K123" s="250"/>
      <c r="L123" s="250"/>
      <c r="M123" s="250"/>
      <c r="N123" s="250"/>
      <c r="O123" s="250"/>
      <c r="P123" s="250"/>
      <c r="Q123" s="250"/>
      <c r="R123" s="272"/>
    </row>
    <row r="124" spans="2:18" ht="16">
      <c r="B124" s="275"/>
      <c r="C124" s="414" t="s">
        <v>4866</v>
      </c>
      <c r="D124" s="414"/>
      <c r="E124" s="414"/>
      <c r="F124" s="414"/>
      <c r="G124" s="414"/>
      <c r="H124" s="414"/>
      <c r="I124" s="414"/>
      <c r="J124" s="414"/>
      <c r="K124" s="414"/>
      <c r="L124" s="414"/>
      <c r="M124" s="414"/>
      <c r="N124" s="414"/>
      <c r="O124" s="414"/>
      <c r="P124" s="414"/>
      <c r="Q124" s="414"/>
      <c r="R124" s="272"/>
    </row>
    <row r="125" spans="2:18" ht="16">
      <c r="B125" s="275"/>
      <c r="C125" s="414"/>
      <c r="D125" s="414"/>
      <c r="E125" s="414"/>
      <c r="F125" s="414"/>
      <c r="G125" s="414"/>
      <c r="H125" s="414"/>
      <c r="I125" s="414"/>
      <c r="J125" s="414"/>
      <c r="K125" s="414"/>
      <c r="L125" s="414"/>
      <c r="M125" s="414"/>
      <c r="N125" s="414"/>
      <c r="O125" s="414"/>
      <c r="P125" s="414"/>
      <c r="Q125" s="414"/>
      <c r="R125" s="272"/>
    </row>
    <row r="126" spans="2:18" ht="16">
      <c r="B126" s="275"/>
      <c r="C126" s="167" t="s">
        <v>4867</v>
      </c>
      <c r="D126" s="167"/>
      <c r="E126" s="167"/>
      <c r="F126" s="167"/>
      <c r="G126" s="250"/>
      <c r="H126" s="250"/>
      <c r="I126" s="250"/>
      <c r="J126" s="250"/>
      <c r="K126" s="250"/>
      <c r="L126" s="250"/>
      <c r="M126" s="250"/>
      <c r="N126" s="250"/>
      <c r="O126" s="250"/>
      <c r="P126" s="250"/>
      <c r="Q126" s="250"/>
      <c r="R126" s="272"/>
    </row>
    <row r="127" spans="2:18" ht="16">
      <c r="B127" s="275"/>
      <c r="C127" s="167" t="s">
        <v>4868</v>
      </c>
      <c r="D127" s="167"/>
      <c r="E127" s="167"/>
      <c r="F127" s="167"/>
      <c r="G127" s="250"/>
      <c r="H127" s="250"/>
      <c r="I127" s="250"/>
      <c r="J127" s="250"/>
      <c r="K127" s="250"/>
      <c r="L127" s="250"/>
      <c r="M127" s="250"/>
      <c r="N127" s="250"/>
      <c r="O127" s="250"/>
      <c r="P127" s="250"/>
      <c r="Q127" s="250"/>
      <c r="R127" s="272"/>
    </row>
    <row r="128" spans="2:18" ht="16">
      <c r="B128" s="275"/>
      <c r="C128" s="167" t="s">
        <v>4869</v>
      </c>
      <c r="D128" s="167"/>
      <c r="E128" s="167"/>
      <c r="F128" s="167"/>
      <c r="G128" s="250"/>
      <c r="H128" s="250"/>
      <c r="I128" s="250"/>
      <c r="J128" s="250"/>
      <c r="K128" s="250"/>
      <c r="L128" s="250"/>
      <c r="M128" s="250"/>
      <c r="N128" s="250"/>
      <c r="O128" s="250"/>
      <c r="P128" s="250"/>
      <c r="Q128" s="250"/>
      <c r="R128" s="272"/>
    </row>
    <row r="129" spans="2:18" ht="16">
      <c r="B129" s="275"/>
      <c r="C129" s="167"/>
      <c r="D129" s="167"/>
      <c r="E129" s="167"/>
      <c r="F129" s="167"/>
      <c r="G129" s="250"/>
      <c r="H129" s="250"/>
      <c r="I129" s="250"/>
      <c r="J129" s="250"/>
      <c r="K129" s="250"/>
      <c r="L129" s="250"/>
      <c r="M129" s="250"/>
      <c r="N129" s="250"/>
      <c r="O129" s="250"/>
      <c r="P129" s="250"/>
      <c r="Q129" s="250"/>
      <c r="R129" s="272"/>
    </row>
    <row r="130" spans="2:18" ht="16">
      <c r="B130" s="275"/>
      <c r="C130" s="167" t="s">
        <v>4870</v>
      </c>
      <c r="D130" s="167"/>
      <c r="E130" s="167"/>
      <c r="F130" s="167"/>
      <c r="G130" s="250"/>
      <c r="H130" s="250"/>
      <c r="I130" s="250"/>
      <c r="J130" s="250"/>
      <c r="K130" s="250"/>
      <c r="L130" s="250"/>
      <c r="M130" s="250"/>
      <c r="N130" s="250"/>
      <c r="O130" s="250"/>
      <c r="P130" s="250"/>
      <c r="Q130" s="250"/>
      <c r="R130" s="272"/>
    </row>
    <row r="131" spans="2:18" ht="16">
      <c r="B131" s="275"/>
      <c r="C131" s="167"/>
      <c r="D131" s="167"/>
      <c r="E131" s="167"/>
      <c r="F131" s="167"/>
      <c r="G131" s="250"/>
      <c r="H131" s="250"/>
      <c r="I131" s="250"/>
      <c r="J131" s="250"/>
      <c r="K131" s="250"/>
      <c r="L131" s="250"/>
      <c r="M131" s="250"/>
      <c r="N131" s="250"/>
      <c r="O131" s="250"/>
      <c r="P131" s="250"/>
      <c r="Q131" s="250"/>
      <c r="R131" s="272"/>
    </row>
    <row r="132" spans="2:18" ht="16">
      <c r="B132" s="275"/>
      <c r="C132" s="163" t="s">
        <v>4871</v>
      </c>
      <c r="D132" s="167"/>
      <c r="E132" s="167"/>
      <c r="F132" s="167"/>
      <c r="G132" s="250"/>
      <c r="H132" s="250"/>
      <c r="I132" s="250"/>
      <c r="J132" s="250"/>
      <c r="K132" s="250"/>
      <c r="L132" s="250"/>
      <c r="M132" s="250"/>
      <c r="N132" s="250"/>
      <c r="O132" s="250"/>
      <c r="P132" s="250"/>
      <c r="Q132" s="250"/>
      <c r="R132" s="272"/>
    </row>
    <row r="133" spans="2:18" ht="16">
      <c r="B133" s="275"/>
      <c r="C133" s="167"/>
      <c r="D133" s="167"/>
      <c r="E133" s="167"/>
      <c r="F133" s="167"/>
      <c r="G133" s="250"/>
      <c r="H133" s="250"/>
      <c r="I133" s="250"/>
      <c r="J133" s="250"/>
      <c r="K133" s="250"/>
      <c r="L133" s="250"/>
      <c r="M133" s="250"/>
      <c r="N133" s="250"/>
      <c r="O133" s="250"/>
      <c r="P133" s="250"/>
      <c r="Q133" s="250"/>
      <c r="R133" s="272"/>
    </row>
    <row r="134" spans="2:18" ht="16">
      <c r="B134" s="275"/>
      <c r="C134" s="414" t="s">
        <v>4879</v>
      </c>
      <c r="D134" s="414"/>
      <c r="E134" s="414"/>
      <c r="F134" s="414"/>
      <c r="G134" s="414"/>
      <c r="H134" s="414"/>
      <c r="I134" s="414"/>
      <c r="J134" s="414"/>
      <c r="K134" s="414"/>
      <c r="L134" s="414"/>
      <c r="M134" s="414"/>
      <c r="N134" s="414"/>
      <c r="O134" s="414"/>
      <c r="P134" s="414"/>
      <c r="Q134" s="414"/>
      <c r="R134" s="272"/>
    </row>
    <row r="135" spans="2:18" ht="36" customHeight="1">
      <c r="B135" s="275"/>
      <c r="C135" s="414"/>
      <c r="D135" s="414"/>
      <c r="E135" s="414"/>
      <c r="F135" s="414"/>
      <c r="G135" s="414"/>
      <c r="H135" s="414"/>
      <c r="I135" s="414"/>
      <c r="J135" s="414"/>
      <c r="K135" s="414"/>
      <c r="L135" s="414"/>
      <c r="M135" s="414"/>
      <c r="N135" s="414"/>
      <c r="O135" s="414"/>
      <c r="P135" s="414"/>
      <c r="Q135" s="414"/>
      <c r="R135" s="272"/>
    </row>
    <row r="136" spans="2:18" ht="16">
      <c r="B136" s="275"/>
      <c r="C136" s="167"/>
      <c r="D136" s="167"/>
      <c r="E136" s="167"/>
      <c r="F136" s="167"/>
      <c r="G136" s="250"/>
      <c r="H136" s="250"/>
      <c r="I136" s="250"/>
      <c r="J136" s="250"/>
      <c r="K136" s="250"/>
      <c r="L136" s="250"/>
      <c r="M136" s="250"/>
      <c r="N136" s="250"/>
      <c r="O136" s="250"/>
      <c r="P136" s="250"/>
      <c r="Q136" s="250"/>
      <c r="R136" s="272"/>
    </row>
    <row r="137" spans="2:18" ht="16">
      <c r="B137" s="275"/>
      <c r="C137" s="414" t="s">
        <v>4872</v>
      </c>
      <c r="D137" s="414"/>
      <c r="E137" s="414"/>
      <c r="F137" s="414"/>
      <c r="G137" s="414"/>
      <c r="H137" s="414"/>
      <c r="I137" s="414"/>
      <c r="J137" s="414"/>
      <c r="K137" s="414"/>
      <c r="L137" s="414"/>
      <c r="M137" s="414"/>
      <c r="N137" s="414"/>
      <c r="O137" s="414"/>
      <c r="P137" s="414"/>
      <c r="Q137" s="414"/>
      <c r="R137" s="272"/>
    </row>
    <row r="138" spans="2:18" ht="34" customHeight="1">
      <c r="B138" s="275"/>
      <c r="C138" s="414"/>
      <c r="D138" s="414"/>
      <c r="E138" s="414"/>
      <c r="F138" s="414"/>
      <c r="G138" s="414"/>
      <c r="H138" s="414"/>
      <c r="I138" s="414"/>
      <c r="J138" s="414"/>
      <c r="K138" s="414"/>
      <c r="L138" s="414"/>
      <c r="M138" s="414"/>
      <c r="N138" s="414"/>
      <c r="O138" s="414"/>
      <c r="P138" s="414"/>
      <c r="Q138" s="414"/>
      <c r="R138" s="272"/>
    </row>
    <row r="139" spans="2:18" ht="16">
      <c r="B139" s="275"/>
      <c r="C139" s="167"/>
      <c r="D139" s="167"/>
      <c r="E139" s="167"/>
      <c r="F139" s="167"/>
      <c r="G139" s="250"/>
      <c r="H139" s="250"/>
      <c r="I139" s="250"/>
      <c r="J139" s="250"/>
      <c r="K139" s="250"/>
      <c r="L139" s="250"/>
      <c r="M139" s="250"/>
      <c r="N139" s="250"/>
      <c r="O139" s="250"/>
      <c r="P139" s="250"/>
      <c r="Q139" s="250"/>
      <c r="R139" s="272"/>
    </row>
    <row r="140" spans="2:18" ht="16">
      <c r="B140" s="275"/>
      <c r="C140" s="414" t="s">
        <v>4873</v>
      </c>
      <c r="D140" s="414"/>
      <c r="E140" s="414"/>
      <c r="F140" s="414"/>
      <c r="G140" s="414"/>
      <c r="H140" s="414"/>
      <c r="I140" s="414"/>
      <c r="J140" s="414"/>
      <c r="K140" s="414"/>
      <c r="L140" s="414"/>
      <c r="M140" s="414"/>
      <c r="N140" s="414"/>
      <c r="O140" s="414"/>
      <c r="P140" s="414"/>
      <c r="Q140" s="414"/>
      <c r="R140" s="272"/>
    </row>
    <row r="141" spans="2:18" ht="16">
      <c r="B141" s="275"/>
      <c r="C141" s="414"/>
      <c r="D141" s="414"/>
      <c r="E141" s="414"/>
      <c r="F141" s="414"/>
      <c r="G141" s="414"/>
      <c r="H141" s="414"/>
      <c r="I141" s="414"/>
      <c r="J141" s="414"/>
      <c r="K141" s="414"/>
      <c r="L141" s="414"/>
      <c r="M141" s="414"/>
      <c r="N141" s="414"/>
      <c r="O141" s="414"/>
      <c r="P141" s="414"/>
      <c r="Q141" s="414"/>
      <c r="R141" s="272"/>
    </row>
    <row r="142" spans="2:18" ht="16">
      <c r="B142" s="275"/>
      <c r="C142" s="167"/>
      <c r="D142" s="167"/>
      <c r="E142" s="167"/>
      <c r="F142" s="167"/>
      <c r="G142" s="250"/>
      <c r="H142" s="250"/>
      <c r="I142" s="250"/>
      <c r="J142" s="250"/>
      <c r="K142" s="250"/>
      <c r="L142" s="250"/>
      <c r="M142" s="250"/>
      <c r="N142" s="250"/>
      <c r="O142" s="250"/>
      <c r="P142" s="250"/>
      <c r="Q142" s="250"/>
      <c r="R142" s="272"/>
    </row>
    <row r="143" spans="2:18" ht="16">
      <c r="B143" s="275"/>
      <c r="C143" s="167" t="s">
        <v>4874</v>
      </c>
      <c r="D143" s="167"/>
      <c r="E143" s="167"/>
      <c r="F143" s="167"/>
      <c r="G143" s="250"/>
      <c r="H143" s="250"/>
      <c r="I143" s="250"/>
      <c r="J143" s="250"/>
      <c r="K143" s="250"/>
      <c r="L143" s="250"/>
      <c r="M143" s="250"/>
      <c r="N143" s="250"/>
      <c r="O143" s="250"/>
      <c r="P143" s="250"/>
      <c r="Q143" s="250"/>
      <c r="R143" s="272"/>
    </row>
    <row r="144" spans="2:18" ht="16">
      <c r="B144" s="275"/>
      <c r="C144" s="167"/>
      <c r="D144" s="167"/>
      <c r="E144" s="167"/>
      <c r="F144" s="167"/>
      <c r="G144" s="250"/>
      <c r="H144" s="250"/>
      <c r="I144" s="250"/>
      <c r="J144" s="250"/>
      <c r="K144" s="250"/>
      <c r="L144" s="250"/>
      <c r="M144" s="250"/>
      <c r="N144" s="250"/>
      <c r="O144" s="250"/>
      <c r="P144" s="250"/>
      <c r="Q144" s="250"/>
      <c r="R144" s="272"/>
    </row>
    <row r="145" spans="2:18" ht="16">
      <c r="B145" s="275"/>
      <c r="C145" s="163" t="s">
        <v>4875</v>
      </c>
      <c r="D145" s="167"/>
      <c r="E145" s="167"/>
      <c r="F145" s="167"/>
      <c r="G145" s="250"/>
      <c r="H145" s="250"/>
      <c r="I145" s="250"/>
      <c r="J145" s="250"/>
      <c r="K145" s="250"/>
      <c r="L145" s="250"/>
      <c r="M145" s="250"/>
      <c r="N145" s="250"/>
      <c r="O145" s="250"/>
      <c r="P145" s="250"/>
      <c r="Q145" s="250"/>
      <c r="R145" s="272"/>
    </row>
    <row r="146" spans="2:18" ht="16">
      <c r="B146" s="275"/>
      <c r="C146" s="167"/>
      <c r="D146" s="167"/>
      <c r="E146" s="167"/>
      <c r="F146" s="167"/>
      <c r="G146" s="250"/>
      <c r="H146" s="250"/>
      <c r="I146" s="250"/>
      <c r="J146" s="250"/>
      <c r="K146" s="250"/>
      <c r="L146" s="250"/>
      <c r="M146" s="250"/>
      <c r="N146" s="250"/>
      <c r="O146" s="250"/>
      <c r="P146" s="250"/>
      <c r="Q146" s="250"/>
      <c r="R146" s="272"/>
    </row>
    <row r="147" spans="2:18" ht="16">
      <c r="B147" s="275"/>
      <c r="C147" s="167" t="s">
        <v>4876</v>
      </c>
      <c r="D147" s="167"/>
      <c r="E147" s="167"/>
      <c r="F147" s="167"/>
      <c r="G147" s="250"/>
      <c r="H147" s="250"/>
      <c r="I147" s="250"/>
      <c r="J147" s="250"/>
      <c r="K147" s="250"/>
      <c r="L147" s="250"/>
      <c r="M147" s="250"/>
      <c r="N147" s="250"/>
      <c r="O147" s="250"/>
      <c r="P147" s="250"/>
      <c r="Q147" s="250"/>
      <c r="R147" s="272"/>
    </row>
    <row r="148" spans="2:18" ht="16">
      <c r="B148" s="275"/>
      <c r="C148" s="167"/>
      <c r="D148" s="167"/>
      <c r="E148" s="167"/>
      <c r="F148" s="167"/>
      <c r="G148" s="250"/>
      <c r="H148" s="250"/>
      <c r="I148" s="250"/>
      <c r="J148" s="250"/>
      <c r="K148" s="250"/>
      <c r="L148" s="250"/>
      <c r="M148" s="250"/>
      <c r="N148" s="250"/>
      <c r="O148" s="250"/>
      <c r="P148" s="250"/>
      <c r="Q148" s="250"/>
      <c r="R148" s="272"/>
    </row>
    <row r="149" spans="2:18" ht="17" thickBot="1">
      <c r="B149" s="279"/>
      <c r="C149" s="280"/>
      <c r="D149" s="280"/>
      <c r="E149" s="280"/>
      <c r="F149" s="280"/>
      <c r="G149" s="325"/>
      <c r="H149" s="325"/>
      <c r="I149" s="325"/>
      <c r="J149" s="325"/>
      <c r="K149" s="325"/>
      <c r="L149" s="325"/>
      <c r="M149" s="325"/>
      <c r="N149" s="325"/>
      <c r="O149" s="325"/>
      <c r="P149" s="325"/>
      <c r="Q149" s="325"/>
      <c r="R149" s="293"/>
    </row>
    <row r="150" spans="2:18" ht="17" thickTop="1">
      <c r="B150" s="252"/>
      <c r="C150" s="252"/>
      <c r="D150" s="252"/>
      <c r="E150" s="252"/>
      <c r="F150" s="252"/>
    </row>
    <row r="151" spans="2:18" ht="16">
      <c r="B151" s="252"/>
      <c r="C151" s="252"/>
      <c r="D151" s="252"/>
      <c r="E151" s="252"/>
      <c r="F151" s="252"/>
    </row>
    <row r="152" spans="2:18" ht="16">
      <c r="B152" s="252"/>
      <c r="C152" s="252"/>
      <c r="D152" s="252"/>
      <c r="E152" s="252"/>
      <c r="F152" s="252"/>
    </row>
    <row r="153" spans="2:18" ht="16">
      <c r="B153" s="252"/>
      <c r="C153" s="252"/>
      <c r="D153" s="252"/>
      <c r="E153" s="252"/>
      <c r="F153" s="252"/>
    </row>
    <row r="154" spans="2:18" ht="16">
      <c r="B154" s="252"/>
      <c r="C154" s="252"/>
      <c r="D154" s="252"/>
      <c r="E154" s="252"/>
      <c r="F154" s="252"/>
    </row>
    <row r="155" spans="2:18" ht="16">
      <c r="B155" s="252"/>
      <c r="C155" s="252"/>
      <c r="D155" s="252"/>
      <c r="E155" s="252"/>
      <c r="F155" s="252"/>
    </row>
    <row r="156" spans="2:18" ht="16">
      <c r="B156" s="252"/>
      <c r="C156" s="252"/>
      <c r="D156" s="252"/>
      <c r="E156" s="252"/>
      <c r="F156" s="252"/>
    </row>
    <row r="157" spans="2:18" ht="16">
      <c r="B157" s="252"/>
      <c r="C157" s="252"/>
      <c r="D157" s="252"/>
      <c r="E157" s="252"/>
      <c r="F157" s="252"/>
    </row>
    <row r="158" spans="2:18" ht="16">
      <c r="B158" s="252"/>
      <c r="C158" s="252"/>
      <c r="D158" s="252"/>
      <c r="E158" s="252"/>
      <c r="F158" s="252"/>
    </row>
    <row r="159" spans="2:18" ht="16">
      <c r="B159" s="252"/>
      <c r="C159" s="252"/>
      <c r="D159" s="252"/>
      <c r="E159" s="252"/>
      <c r="F159" s="252"/>
    </row>
    <row r="160" spans="2:18" ht="16">
      <c r="B160" s="252"/>
      <c r="C160" s="252"/>
      <c r="D160" s="252"/>
      <c r="E160" s="252"/>
      <c r="F160" s="252"/>
    </row>
    <row r="161" spans="2:6" ht="16">
      <c r="B161" s="252"/>
      <c r="C161" s="252"/>
      <c r="D161" s="252"/>
      <c r="E161" s="252"/>
      <c r="F161" s="252"/>
    </row>
    <row r="162" spans="2:6" ht="16">
      <c r="B162" s="252"/>
      <c r="C162" s="252"/>
      <c r="D162" s="252"/>
      <c r="E162" s="252"/>
      <c r="F162" s="252"/>
    </row>
    <row r="163" spans="2:6" ht="16">
      <c r="B163" s="252"/>
      <c r="C163" s="252"/>
      <c r="D163" s="252"/>
      <c r="E163" s="252"/>
      <c r="F163" s="252"/>
    </row>
    <row r="164" spans="2:6" ht="16">
      <c r="B164" s="252"/>
      <c r="C164" s="252"/>
      <c r="D164" s="252"/>
      <c r="E164" s="252"/>
      <c r="F164" s="252"/>
    </row>
    <row r="165" spans="2:6" ht="16">
      <c r="B165" s="252"/>
      <c r="C165" s="252"/>
      <c r="D165" s="252"/>
      <c r="E165" s="252"/>
      <c r="F165" s="252"/>
    </row>
    <row r="166" spans="2:6" ht="16">
      <c r="B166" s="252"/>
      <c r="C166" s="252"/>
      <c r="D166" s="252"/>
      <c r="E166" s="252"/>
      <c r="F166" s="252"/>
    </row>
    <row r="167" spans="2:6" ht="16">
      <c r="B167" s="252"/>
      <c r="C167" s="252"/>
      <c r="D167" s="252"/>
      <c r="E167" s="252"/>
      <c r="F167" s="252"/>
    </row>
    <row r="168" spans="2:6" ht="16">
      <c r="B168" s="252"/>
      <c r="C168" s="252"/>
      <c r="D168" s="252"/>
      <c r="E168" s="252"/>
      <c r="F168" s="252"/>
    </row>
    <row r="169" spans="2:6" ht="16">
      <c r="B169" s="252"/>
      <c r="C169" s="252"/>
      <c r="D169" s="252"/>
      <c r="E169" s="252"/>
      <c r="F169" s="252"/>
    </row>
    <row r="170" spans="2:6" ht="16">
      <c r="B170" s="252"/>
      <c r="C170" s="252"/>
      <c r="D170" s="252"/>
      <c r="E170" s="252"/>
      <c r="F170" s="252"/>
    </row>
    <row r="171" spans="2:6" ht="16">
      <c r="B171" s="252"/>
      <c r="C171" s="252"/>
      <c r="D171" s="252"/>
      <c r="E171" s="252"/>
      <c r="F171" s="252"/>
    </row>
    <row r="172" spans="2:6" ht="16">
      <c r="B172" s="252"/>
      <c r="C172" s="252"/>
      <c r="D172" s="252"/>
      <c r="E172" s="252"/>
      <c r="F172" s="252"/>
    </row>
    <row r="173" spans="2:6" ht="16">
      <c r="B173" s="252"/>
      <c r="C173" s="252"/>
      <c r="D173" s="252"/>
      <c r="E173" s="252"/>
      <c r="F173" s="252"/>
    </row>
    <row r="174" spans="2:6" ht="16">
      <c r="B174" s="252"/>
      <c r="C174" s="252"/>
      <c r="D174" s="252"/>
      <c r="E174" s="252"/>
      <c r="F174" s="252"/>
    </row>
    <row r="175" spans="2:6" ht="16">
      <c r="B175" s="252"/>
      <c r="C175" s="252"/>
      <c r="D175" s="252"/>
      <c r="E175" s="252"/>
      <c r="F175" s="252"/>
    </row>
    <row r="176" spans="2:6" ht="16">
      <c r="B176" s="252"/>
      <c r="C176" s="252"/>
      <c r="D176" s="252"/>
      <c r="E176" s="252"/>
      <c r="F176" s="252"/>
    </row>
    <row r="177" spans="2:6" ht="16">
      <c r="B177" s="252"/>
      <c r="C177" s="252"/>
      <c r="D177" s="252"/>
      <c r="E177" s="252"/>
      <c r="F177" s="252"/>
    </row>
    <row r="178" spans="2:6" ht="16">
      <c r="B178" s="252"/>
      <c r="C178" s="252"/>
      <c r="D178" s="252"/>
      <c r="E178" s="252"/>
      <c r="F178" s="252"/>
    </row>
    <row r="179" spans="2:6" ht="16">
      <c r="B179" s="252"/>
      <c r="C179" s="252"/>
      <c r="D179" s="252"/>
      <c r="E179" s="252"/>
      <c r="F179" s="252"/>
    </row>
    <row r="180" spans="2:6" ht="16">
      <c r="B180" s="252"/>
      <c r="C180" s="252"/>
      <c r="D180" s="252"/>
      <c r="E180" s="252"/>
      <c r="F180" s="252"/>
    </row>
    <row r="181" spans="2:6" ht="16">
      <c r="B181" s="252"/>
      <c r="C181" s="252"/>
      <c r="D181" s="252"/>
      <c r="E181" s="252"/>
      <c r="F181" s="252"/>
    </row>
    <row r="182" spans="2:6" ht="16">
      <c r="B182" s="252"/>
      <c r="C182" s="252"/>
      <c r="D182" s="252"/>
      <c r="E182" s="252"/>
      <c r="F182" s="252"/>
    </row>
    <row r="183" spans="2:6" ht="16">
      <c r="B183" s="252"/>
      <c r="C183" s="252"/>
      <c r="D183" s="252"/>
      <c r="E183" s="252"/>
      <c r="F183" s="252"/>
    </row>
    <row r="184" spans="2:6" ht="16">
      <c r="B184" s="252"/>
      <c r="C184" s="252"/>
      <c r="D184" s="252"/>
      <c r="E184" s="252"/>
      <c r="F184" s="252"/>
    </row>
    <row r="185" spans="2:6" ht="16">
      <c r="B185" s="252"/>
      <c r="C185" s="252"/>
      <c r="D185" s="252"/>
      <c r="E185" s="252"/>
      <c r="F185" s="252"/>
    </row>
    <row r="186" spans="2:6" ht="16">
      <c r="B186" s="252"/>
      <c r="C186" s="252"/>
      <c r="D186" s="252"/>
      <c r="E186" s="252"/>
      <c r="F186" s="252"/>
    </row>
    <row r="187" spans="2:6" ht="16">
      <c r="B187" s="252"/>
      <c r="C187" s="252"/>
      <c r="D187" s="252"/>
      <c r="E187" s="252"/>
      <c r="F187" s="252"/>
    </row>
    <row r="188" spans="2:6" ht="16">
      <c r="B188" s="252"/>
      <c r="C188" s="252"/>
      <c r="D188" s="252"/>
      <c r="E188" s="252"/>
      <c r="F188" s="252"/>
    </row>
    <row r="189" spans="2:6" ht="16">
      <c r="B189" s="252"/>
      <c r="C189" s="252"/>
      <c r="D189" s="252"/>
      <c r="E189" s="252"/>
      <c r="F189" s="252"/>
    </row>
    <row r="190" spans="2:6" ht="16">
      <c r="B190" s="252"/>
      <c r="C190" s="252"/>
      <c r="D190" s="252"/>
      <c r="E190" s="252"/>
      <c r="F190" s="252"/>
    </row>
    <row r="191" spans="2:6" ht="16">
      <c r="B191" s="252"/>
      <c r="C191" s="252"/>
      <c r="D191" s="252"/>
      <c r="E191" s="252"/>
      <c r="F191" s="252"/>
    </row>
    <row r="192" spans="2:6" ht="16">
      <c r="B192" s="252"/>
      <c r="C192" s="252"/>
      <c r="D192" s="252"/>
      <c r="E192" s="252"/>
      <c r="F192" s="252"/>
    </row>
    <row r="193" spans="2:6" ht="16">
      <c r="B193" s="252"/>
      <c r="C193" s="252"/>
      <c r="D193" s="252"/>
      <c r="E193" s="252"/>
      <c r="F193" s="252"/>
    </row>
    <row r="194" spans="2:6" ht="16">
      <c r="B194" s="252"/>
      <c r="C194" s="252"/>
      <c r="D194" s="252"/>
      <c r="E194" s="252"/>
      <c r="F194" s="252"/>
    </row>
    <row r="195" spans="2:6" ht="16">
      <c r="B195" s="252"/>
      <c r="C195" s="252"/>
      <c r="D195" s="252"/>
      <c r="E195" s="252"/>
      <c r="F195" s="252"/>
    </row>
    <row r="196" spans="2:6" ht="16">
      <c r="B196" s="252"/>
      <c r="C196" s="252"/>
      <c r="D196" s="252"/>
      <c r="E196" s="252"/>
      <c r="F196" s="252"/>
    </row>
    <row r="197" spans="2:6" ht="16">
      <c r="B197" s="252"/>
      <c r="C197" s="252"/>
      <c r="D197" s="252"/>
      <c r="E197" s="252"/>
      <c r="F197" s="252"/>
    </row>
    <row r="198" spans="2:6" ht="16">
      <c r="B198" s="252"/>
      <c r="C198" s="252"/>
      <c r="D198" s="252"/>
      <c r="E198" s="252"/>
      <c r="F198" s="252"/>
    </row>
    <row r="199" spans="2:6" ht="16">
      <c r="B199" s="252"/>
      <c r="C199" s="252"/>
      <c r="D199" s="252"/>
      <c r="E199" s="252"/>
      <c r="F199" s="252"/>
    </row>
    <row r="200" spans="2:6" ht="16">
      <c r="B200" s="252"/>
      <c r="C200" s="252"/>
      <c r="D200" s="252"/>
      <c r="E200" s="252"/>
      <c r="F200" s="252"/>
    </row>
    <row r="201" spans="2:6" ht="16">
      <c r="B201" s="252"/>
      <c r="C201" s="252"/>
      <c r="D201" s="252"/>
      <c r="E201" s="252"/>
      <c r="F201" s="252"/>
    </row>
    <row r="202" spans="2:6" ht="16">
      <c r="B202" s="252"/>
      <c r="C202" s="252"/>
      <c r="D202" s="252"/>
      <c r="E202" s="252"/>
      <c r="F202" s="252"/>
    </row>
    <row r="203" spans="2:6" ht="16">
      <c r="B203" s="252"/>
      <c r="C203" s="252"/>
      <c r="D203" s="252"/>
      <c r="E203" s="252"/>
      <c r="F203" s="252"/>
    </row>
    <row r="204" spans="2:6" ht="16">
      <c r="B204" s="252"/>
      <c r="C204" s="252"/>
      <c r="D204" s="252"/>
      <c r="E204" s="252"/>
      <c r="F204" s="252"/>
    </row>
    <row r="205" spans="2:6" ht="16">
      <c r="B205" s="252"/>
      <c r="C205" s="252"/>
      <c r="D205" s="252"/>
      <c r="E205" s="252"/>
      <c r="F205" s="252"/>
    </row>
    <row r="206" spans="2:6" ht="16">
      <c r="B206" s="252"/>
      <c r="C206" s="252"/>
      <c r="D206" s="252"/>
      <c r="E206" s="252"/>
      <c r="F206" s="252"/>
    </row>
    <row r="207" spans="2:6" ht="16">
      <c r="B207" s="252"/>
      <c r="C207" s="252"/>
      <c r="D207" s="252"/>
      <c r="E207" s="252"/>
      <c r="F207" s="252"/>
    </row>
    <row r="208" spans="2:6" ht="16">
      <c r="B208" s="252"/>
      <c r="C208" s="252"/>
      <c r="D208" s="252"/>
      <c r="E208" s="252"/>
      <c r="F208" s="252"/>
    </row>
    <row r="209" spans="2:6" ht="16">
      <c r="B209" s="252"/>
      <c r="C209" s="252"/>
      <c r="D209" s="252"/>
      <c r="E209" s="252"/>
      <c r="F209" s="252"/>
    </row>
    <row r="210" spans="2:6" ht="16">
      <c r="B210" s="252"/>
      <c r="C210" s="252"/>
      <c r="D210" s="252"/>
      <c r="E210" s="252"/>
      <c r="F210" s="252"/>
    </row>
    <row r="211" spans="2:6" ht="16">
      <c r="B211" s="252"/>
      <c r="C211" s="252"/>
      <c r="D211" s="252"/>
      <c r="E211" s="252"/>
      <c r="F211" s="252"/>
    </row>
    <row r="212" spans="2:6" ht="16">
      <c r="B212" s="252"/>
      <c r="C212" s="252"/>
      <c r="D212" s="252"/>
      <c r="E212" s="252"/>
      <c r="F212" s="252"/>
    </row>
    <row r="213" spans="2:6" ht="16">
      <c r="B213" s="252"/>
      <c r="C213" s="252"/>
      <c r="D213" s="252"/>
      <c r="E213" s="252"/>
      <c r="F213" s="252"/>
    </row>
    <row r="214" spans="2:6" ht="16">
      <c r="B214" s="252"/>
      <c r="C214" s="252"/>
      <c r="D214" s="252"/>
      <c r="E214" s="252"/>
      <c r="F214" s="252"/>
    </row>
    <row r="215" spans="2:6" ht="16">
      <c r="B215" s="252"/>
      <c r="C215" s="252"/>
      <c r="D215" s="252"/>
      <c r="E215" s="252"/>
      <c r="F215" s="252"/>
    </row>
    <row r="216" spans="2:6" ht="16">
      <c r="B216" s="252"/>
      <c r="C216" s="252"/>
      <c r="D216" s="252"/>
      <c r="E216" s="252"/>
      <c r="F216" s="252"/>
    </row>
    <row r="217" spans="2:6" ht="16">
      <c r="B217" s="252"/>
      <c r="C217" s="252"/>
      <c r="D217" s="252"/>
      <c r="E217" s="252"/>
      <c r="F217" s="252"/>
    </row>
    <row r="218" spans="2:6" ht="16">
      <c r="B218" s="252"/>
      <c r="C218" s="252"/>
      <c r="D218" s="252"/>
      <c r="E218" s="252"/>
      <c r="F218" s="252"/>
    </row>
    <row r="219" spans="2:6" ht="16">
      <c r="B219" s="252"/>
      <c r="C219" s="252"/>
      <c r="D219" s="252"/>
      <c r="E219" s="252"/>
      <c r="F219" s="252"/>
    </row>
  </sheetData>
  <mergeCells count="25">
    <mergeCell ref="C11:Q12"/>
    <mergeCell ref="C22:Q23"/>
    <mergeCell ref="C29:Q30"/>
    <mergeCell ref="E34:F34"/>
    <mergeCell ref="H35:I35"/>
    <mergeCell ref="J35:K35"/>
    <mergeCell ref="H34:K34"/>
    <mergeCell ref="C42:Q43"/>
    <mergeCell ref="C45:Q46"/>
    <mergeCell ref="C48:Q49"/>
    <mergeCell ref="C53:Q54"/>
    <mergeCell ref="C56:Q58"/>
    <mergeCell ref="C61:Q62"/>
    <mergeCell ref="C70:Q71"/>
    <mergeCell ref="C124:Q125"/>
    <mergeCell ref="C134:Q135"/>
    <mergeCell ref="C137:Q138"/>
    <mergeCell ref="C140:Q141"/>
    <mergeCell ref="C75:Q76"/>
    <mergeCell ref="C86:Q87"/>
    <mergeCell ref="C91:Q92"/>
    <mergeCell ref="C96:Q97"/>
    <mergeCell ref="C114:Q115"/>
    <mergeCell ref="C117:Q118"/>
    <mergeCell ref="C105:Q10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showGridLines="0" zoomScaleNormal="100" zoomScaleSheetLayoutView="115" workbookViewId="0">
      <selection activeCell="F10" sqref="F10"/>
    </sheetView>
  </sheetViews>
  <sheetFormatPr baseColWidth="10" defaultColWidth="11.5" defaultRowHeight="13"/>
  <cols>
    <col min="1" max="1" width="4.83203125" style="241" customWidth="1"/>
    <col min="2" max="2" width="5.6640625" style="241" customWidth="1"/>
    <col min="3" max="3" width="31" style="96" customWidth="1"/>
    <col min="4" max="4" width="16.33203125" style="50" customWidth="1"/>
    <col min="5" max="5" width="4.83203125" style="50" customWidth="1"/>
    <col min="6" max="6" width="16.33203125" style="50" customWidth="1"/>
    <col min="7" max="7" width="19.5" style="96" hidden="1" customWidth="1"/>
    <col min="8" max="8" width="15.83203125" style="96" hidden="1" customWidth="1"/>
    <col min="9" max="9" width="5.1640625" style="96" hidden="1" customWidth="1"/>
    <col min="10" max="10" width="14" style="96" hidden="1" customWidth="1"/>
    <col min="11" max="11" width="4.6640625" style="96" customWidth="1"/>
    <col min="12" max="16384" width="11.5" style="96"/>
  </cols>
  <sheetData>
    <row r="1" spans="1:11" s="241" customFormat="1" ht="14" thickBot="1">
      <c r="D1" s="50"/>
      <c r="E1" s="50"/>
      <c r="F1" s="50"/>
    </row>
    <row r="2" spans="1:11" s="241" customFormat="1" ht="14" thickTop="1">
      <c r="B2" s="268"/>
      <c r="C2" s="269"/>
      <c r="D2" s="315"/>
      <c r="E2" s="315"/>
      <c r="F2" s="315"/>
      <c r="G2" s="269"/>
      <c r="H2" s="269"/>
      <c r="I2" s="269"/>
      <c r="J2" s="269"/>
      <c r="K2" s="270"/>
    </row>
    <row r="3" spans="1:11" ht="18">
      <c r="B3" s="271"/>
      <c r="C3" s="316" t="s">
        <v>1543</v>
      </c>
      <c r="D3" s="44"/>
      <c r="E3" s="44"/>
      <c r="F3" s="44"/>
      <c r="G3" s="250"/>
      <c r="H3" s="250"/>
      <c r="I3" s="250"/>
      <c r="J3" s="250"/>
      <c r="K3" s="272"/>
    </row>
    <row r="4" spans="1:11" s="98" customFormat="1" ht="14">
      <c r="A4" s="245"/>
      <c r="B4" s="317"/>
      <c r="C4" s="318" t="s">
        <v>387</v>
      </c>
      <c r="D4" s="319"/>
      <c r="E4" s="319"/>
      <c r="F4" s="319"/>
      <c r="G4" s="318"/>
      <c r="H4" s="318"/>
      <c r="I4" s="318"/>
      <c r="J4" s="318"/>
      <c r="K4" s="320"/>
    </row>
    <row r="5" spans="1:11" s="98" customFormat="1" ht="14">
      <c r="A5" s="245"/>
      <c r="B5" s="317"/>
      <c r="C5" s="419" t="s">
        <v>1544</v>
      </c>
      <c r="D5" s="419"/>
      <c r="E5" s="419"/>
      <c r="F5" s="419"/>
      <c r="G5" s="318"/>
      <c r="H5" s="318"/>
      <c r="I5" s="318"/>
      <c r="J5" s="318"/>
      <c r="K5" s="320"/>
    </row>
    <row r="6" spans="1:11" s="98" customFormat="1" ht="14">
      <c r="A6" s="245"/>
      <c r="B6" s="317"/>
      <c r="C6" s="318"/>
      <c r="D6" s="319"/>
      <c r="E6" s="319"/>
      <c r="F6" s="319"/>
      <c r="G6" s="318"/>
      <c r="H6" s="318"/>
      <c r="I6" s="318"/>
      <c r="J6" s="318"/>
      <c r="K6" s="320"/>
    </row>
    <row r="7" spans="1:11" s="98" customFormat="1" ht="14">
      <c r="A7" s="245"/>
      <c r="B7" s="317"/>
      <c r="C7" s="322" t="s">
        <v>754</v>
      </c>
      <c r="D7" s="104" t="s">
        <v>1991</v>
      </c>
      <c r="E7" s="323"/>
      <c r="F7" s="105" t="s">
        <v>1098</v>
      </c>
      <c r="G7" s="318"/>
      <c r="H7" s="318"/>
      <c r="I7" s="318"/>
      <c r="J7" s="318"/>
      <c r="K7" s="320"/>
    </row>
    <row r="8" spans="1:11" s="98" customFormat="1" ht="14">
      <c r="A8" s="245"/>
      <c r="B8" s="317"/>
      <c r="C8" s="318" t="s">
        <v>954</v>
      </c>
      <c r="D8" s="319">
        <v>1586932.88</v>
      </c>
      <c r="E8" s="319"/>
      <c r="F8" s="319">
        <v>114787.137</v>
      </c>
      <c r="G8" s="318" t="s">
        <v>907</v>
      </c>
      <c r="H8" s="319">
        <v>162472.57399999999</v>
      </c>
      <c r="I8" s="319"/>
      <c r="J8" s="319">
        <v>1597247.7560000001</v>
      </c>
      <c r="K8" s="320"/>
    </row>
    <row r="9" spans="1:11" s="98" customFormat="1" ht="14">
      <c r="A9" s="245"/>
      <c r="B9" s="317"/>
      <c r="C9" s="318" t="s">
        <v>952</v>
      </c>
      <c r="D9" s="319">
        <v>1324237.811</v>
      </c>
      <c r="E9" s="319"/>
      <c r="F9" s="319">
        <v>577566.22199999995</v>
      </c>
      <c r="G9" s="318" t="s">
        <v>1027</v>
      </c>
      <c r="H9" s="319">
        <v>439565.87199999997</v>
      </c>
      <c r="I9" s="319"/>
      <c r="J9" s="319">
        <v>775897.14899999998</v>
      </c>
      <c r="K9" s="320"/>
    </row>
    <row r="10" spans="1:11" s="98" customFormat="1" ht="14">
      <c r="A10" s="245"/>
      <c r="B10" s="317"/>
      <c r="C10" s="318" t="s">
        <v>1027</v>
      </c>
      <c r="D10" s="319">
        <v>439565.87199999997</v>
      </c>
      <c r="E10" s="319"/>
      <c r="F10" s="319">
        <v>775897.14899999998</v>
      </c>
      <c r="G10" s="318" t="s">
        <v>955</v>
      </c>
      <c r="H10" s="319">
        <v>172011.12100000001</v>
      </c>
      <c r="I10" s="319"/>
      <c r="J10" s="319">
        <v>119767.469</v>
      </c>
      <c r="K10" s="320"/>
    </row>
    <row r="11" spans="1:11" s="98" customFormat="1" ht="14">
      <c r="A11" s="245"/>
      <c r="B11" s="317"/>
      <c r="C11" s="318" t="s">
        <v>933</v>
      </c>
      <c r="D11" s="319">
        <v>399035.13400000002</v>
      </c>
      <c r="E11" s="319"/>
      <c r="F11" s="319">
        <v>256315.851</v>
      </c>
      <c r="G11" s="318" t="s">
        <v>933</v>
      </c>
      <c r="H11" s="319">
        <v>399035.13400000002</v>
      </c>
      <c r="I11" s="319"/>
      <c r="J11" s="319">
        <v>256315.851</v>
      </c>
      <c r="K11" s="320"/>
    </row>
    <row r="12" spans="1:11" s="98" customFormat="1" ht="14">
      <c r="A12" s="245"/>
      <c r="B12" s="317"/>
      <c r="C12" s="318" t="s">
        <v>908</v>
      </c>
      <c r="D12" s="319">
        <v>322954.28899999999</v>
      </c>
      <c r="E12" s="319"/>
      <c r="F12" s="319">
        <v>125155.79399999999</v>
      </c>
      <c r="G12" s="318" t="s">
        <v>950</v>
      </c>
      <c r="H12" s="319">
        <v>289025.67700000003</v>
      </c>
      <c r="I12" s="319"/>
      <c r="J12" s="319">
        <v>668661.43299999996</v>
      </c>
      <c r="K12" s="320"/>
    </row>
    <row r="13" spans="1:11" s="98" customFormat="1" ht="14">
      <c r="A13" s="245"/>
      <c r="B13" s="317"/>
      <c r="C13" s="318" t="s">
        <v>950</v>
      </c>
      <c r="D13" s="319">
        <v>289025.67700000003</v>
      </c>
      <c r="E13" s="319"/>
      <c r="F13" s="319">
        <v>668661.43299999996</v>
      </c>
      <c r="G13" s="318" t="s">
        <v>908</v>
      </c>
      <c r="H13" s="319">
        <v>322954.28899999999</v>
      </c>
      <c r="I13" s="319"/>
      <c r="J13" s="319">
        <v>125155.79399999999</v>
      </c>
      <c r="K13" s="320"/>
    </row>
    <row r="14" spans="1:11" s="98" customFormat="1" ht="14">
      <c r="A14" s="245"/>
      <c r="B14" s="317"/>
      <c r="C14" s="318" t="s">
        <v>1889</v>
      </c>
      <c r="D14" s="319">
        <v>187071.946</v>
      </c>
      <c r="E14" s="319"/>
      <c r="F14" s="319">
        <v>41549</v>
      </c>
      <c r="G14" s="318" t="s">
        <v>954</v>
      </c>
      <c r="H14" s="319">
        <v>1586932.88</v>
      </c>
      <c r="I14" s="319"/>
      <c r="J14" s="319">
        <v>114787.137</v>
      </c>
      <c r="K14" s="320"/>
    </row>
    <row r="15" spans="1:11" s="98" customFormat="1" ht="14">
      <c r="A15" s="245"/>
      <c r="B15" s="317"/>
      <c r="C15" s="318" t="s">
        <v>955</v>
      </c>
      <c r="D15" s="319">
        <v>172011.12100000001</v>
      </c>
      <c r="E15" s="319"/>
      <c r="F15" s="319">
        <v>119767.469</v>
      </c>
      <c r="G15" s="318" t="s">
        <v>1889</v>
      </c>
      <c r="H15" s="319">
        <v>187071.946</v>
      </c>
      <c r="I15" s="319"/>
      <c r="J15" s="319">
        <v>41549</v>
      </c>
      <c r="K15" s="320"/>
    </row>
    <row r="16" spans="1:11" s="98" customFormat="1" ht="14">
      <c r="A16" s="245"/>
      <c r="B16" s="317"/>
      <c r="C16" s="318" t="s">
        <v>907</v>
      </c>
      <c r="D16" s="319">
        <v>162472.57399999999</v>
      </c>
      <c r="E16" s="319"/>
      <c r="F16" s="319">
        <v>1597247.7560000001</v>
      </c>
      <c r="G16" s="318" t="s">
        <v>952</v>
      </c>
      <c r="H16" s="319">
        <v>1324237.811</v>
      </c>
      <c r="I16" s="319"/>
      <c r="J16" s="319">
        <v>577566.22199999995</v>
      </c>
      <c r="K16" s="320"/>
    </row>
    <row r="17" spans="1:11" s="98" customFormat="1" ht="14">
      <c r="A17" s="245"/>
      <c r="B17" s="317"/>
      <c r="C17" s="318" t="s">
        <v>949</v>
      </c>
      <c r="D17" s="319">
        <v>161324.17800000001</v>
      </c>
      <c r="E17" s="319"/>
      <c r="F17" s="319">
        <v>18946.919000000002</v>
      </c>
      <c r="G17" s="318" t="s">
        <v>909</v>
      </c>
      <c r="H17" s="319">
        <v>106524.16899999999</v>
      </c>
      <c r="I17" s="319"/>
      <c r="J17" s="319">
        <v>19563.948</v>
      </c>
      <c r="K17" s="320"/>
    </row>
    <row r="18" spans="1:11" s="98" customFormat="1" ht="14">
      <c r="A18" s="245"/>
      <c r="B18" s="317"/>
      <c r="C18" s="318" t="s">
        <v>948</v>
      </c>
      <c r="D18" s="319">
        <v>124903.117</v>
      </c>
      <c r="E18" s="319"/>
      <c r="F18" s="319">
        <v>38099.934999999998</v>
      </c>
      <c r="G18" s="318" t="s">
        <v>948</v>
      </c>
      <c r="H18" s="319">
        <v>124903.117</v>
      </c>
      <c r="I18" s="319"/>
      <c r="J18" s="319">
        <v>38099.934999999998</v>
      </c>
      <c r="K18" s="320"/>
    </row>
    <row r="19" spans="1:11" s="98" customFormat="1" ht="14">
      <c r="A19" s="245"/>
      <c r="B19" s="317"/>
      <c r="C19" s="318" t="s">
        <v>909</v>
      </c>
      <c r="D19" s="319">
        <v>106524.16899999999</v>
      </c>
      <c r="E19" s="319"/>
      <c r="F19" s="319">
        <v>19563.948</v>
      </c>
      <c r="G19" s="318" t="s">
        <v>951</v>
      </c>
      <c r="H19" s="319">
        <v>32399.34</v>
      </c>
      <c r="I19" s="319"/>
      <c r="J19" s="319">
        <v>242396.72099999999</v>
      </c>
      <c r="K19" s="320"/>
    </row>
    <row r="20" spans="1:11" s="98" customFormat="1" ht="14" hidden="1">
      <c r="A20" s="245"/>
      <c r="B20" s="317"/>
      <c r="C20" s="318" t="s">
        <v>953</v>
      </c>
      <c r="D20" s="319">
        <v>0</v>
      </c>
      <c r="E20" s="319"/>
      <c r="F20" s="319">
        <v>0</v>
      </c>
      <c r="G20" s="318" t="s">
        <v>953</v>
      </c>
      <c r="H20" s="319">
        <v>0</v>
      </c>
      <c r="I20" s="319"/>
      <c r="J20" s="319">
        <v>0</v>
      </c>
      <c r="K20" s="320"/>
    </row>
    <row r="21" spans="1:11" s="98" customFormat="1" ht="14" hidden="1">
      <c r="A21" s="245"/>
      <c r="B21" s="317"/>
      <c r="C21" s="318" t="s">
        <v>951</v>
      </c>
      <c r="D21" s="319">
        <v>0</v>
      </c>
      <c r="E21" s="319"/>
      <c r="F21" s="319">
        <v>0</v>
      </c>
      <c r="G21" s="318" t="s">
        <v>949</v>
      </c>
      <c r="H21" s="319">
        <v>0</v>
      </c>
      <c r="I21" s="319"/>
      <c r="J21" s="319">
        <v>0</v>
      </c>
      <c r="K21" s="320"/>
    </row>
    <row r="22" spans="1:11" s="98" customFormat="1" ht="14" hidden="1">
      <c r="A22" s="245"/>
      <c r="B22" s="317"/>
      <c r="C22" s="318" t="s">
        <v>1016</v>
      </c>
      <c r="D22" s="319">
        <v>0</v>
      </c>
      <c r="E22" s="319"/>
      <c r="F22" s="319">
        <v>0</v>
      </c>
      <c r="G22" s="318" t="s">
        <v>1016</v>
      </c>
      <c r="H22" s="319">
        <v>0</v>
      </c>
      <c r="I22" s="319"/>
      <c r="J22" s="319">
        <v>0</v>
      </c>
      <c r="K22" s="320"/>
    </row>
    <row r="23" spans="1:11" s="98" customFormat="1" ht="14" hidden="1">
      <c r="A23" s="245"/>
      <c r="B23" s="317"/>
      <c r="C23" s="318" t="s">
        <v>1647</v>
      </c>
      <c r="D23" s="319">
        <v>0</v>
      </c>
      <c r="E23" s="319"/>
      <c r="F23" s="319">
        <v>0</v>
      </c>
      <c r="G23" s="318" t="s">
        <v>1647</v>
      </c>
      <c r="H23" s="319">
        <v>0</v>
      </c>
      <c r="I23" s="319"/>
      <c r="J23" s="319">
        <v>0</v>
      </c>
      <c r="K23" s="320"/>
    </row>
    <row r="24" spans="1:11" s="98" customFormat="1" ht="14" hidden="1">
      <c r="A24" s="245"/>
      <c r="B24" s="317"/>
      <c r="C24" s="318" t="s">
        <v>956</v>
      </c>
      <c r="D24" s="319">
        <v>0</v>
      </c>
      <c r="E24" s="319"/>
      <c r="F24" s="319">
        <v>0</v>
      </c>
      <c r="G24" s="318" t="s">
        <v>956</v>
      </c>
      <c r="H24" s="319">
        <v>0</v>
      </c>
      <c r="I24" s="319"/>
      <c r="J24" s="319">
        <v>0</v>
      </c>
      <c r="K24" s="320"/>
    </row>
    <row r="25" spans="1:11" s="98" customFormat="1" ht="14" hidden="1">
      <c r="A25" s="245"/>
      <c r="B25" s="317"/>
      <c r="C25" s="318" t="s">
        <v>947</v>
      </c>
      <c r="D25" s="319">
        <v>0</v>
      </c>
      <c r="E25" s="319"/>
      <c r="F25" s="319">
        <v>0</v>
      </c>
      <c r="G25" s="318" t="s">
        <v>947</v>
      </c>
      <c r="H25" s="319">
        <v>0</v>
      </c>
      <c r="I25" s="319"/>
      <c r="J25" s="319">
        <v>0</v>
      </c>
      <c r="K25" s="320"/>
    </row>
    <row r="26" spans="1:11" s="98" customFormat="1" ht="14">
      <c r="A26" s="245"/>
      <c r="B26" s="317"/>
      <c r="C26" s="318" t="s">
        <v>1028</v>
      </c>
      <c r="D26" s="319">
        <v>169991.18299999999</v>
      </c>
      <c r="E26" s="319"/>
      <c r="F26" s="319">
        <v>734003.424</v>
      </c>
      <c r="G26" s="318" t="s">
        <v>1028</v>
      </c>
      <c r="H26" s="319">
        <v>298916.02100000001</v>
      </c>
      <c r="I26" s="319"/>
      <c r="J26" s="319">
        <v>510553.62199999997</v>
      </c>
      <c r="K26" s="320"/>
    </row>
    <row r="27" spans="1:11" s="98" customFormat="1" ht="15" thickBot="1">
      <c r="A27" s="245"/>
      <c r="B27" s="317"/>
      <c r="C27" s="318"/>
      <c r="D27" s="106">
        <v>5446049.9509999994</v>
      </c>
      <c r="E27" s="323"/>
      <c r="F27" s="106">
        <v>5087562.0369999995</v>
      </c>
      <c r="G27" s="318"/>
      <c r="H27" s="318"/>
      <c r="I27" s="318"/>
      <c r="J27" s="318"/>
      <c r="K27" s="320"/>
    </row>
    <row r="28" spans="1:11" s="98" customFormat="1" ht="15" thickTop="1">
      <c r="A28" s="245"/>
      <c r="B28" s="317"/>
      <c r="C28" s="318"/>
      <c r="D28" s="319"/>
      <c r="E28" s="319"/>
      <c r="F28" s="319"/>
      <c r="G28" s="324">
        <f>+D27-BG!E13</f>
        <v>-4.9000000581145287E-2</v>
      </c>
      <c r="H28" s="324">
        <f>+F27-BG!G13</f>
        <v>0</v>
      </c>
      <c r="I28" s="318"/>
      <c r="J28" s="318"/>
      <c r="K28" s="320"/>
    </row>
    <row r="29" spans="1:11" hidden="1">
      <c r="B29" s="271"/>
      <c r="C29" s="250" t="s">
        <v>971</v>
      </c>
      <c r="D29" s="44"/>
      <c r="E29" s="44"/>
      <c r="F29" s="44"/>
      <c r="G29" s="250"/>
      <c r="H29" s="250"/>
      <c r="I29" s="250"/>
      <c r="J29" s="250"/>
      <c r="K29" s="272"/>
    </row>
    <row r="30" spans="1:11" hidden="1">
      <c r="B30" s="271"/>
      <c r="C30" s="250"/>
      <c r="D30" s="44"/>
      <c r="E30" s="44"/>
      <c r="F30" s="44"/>
      <c r="G30" s="250"/>
      <c r="H30" s="250"/>
      <c r="I30" s="250"/>
      <c r="J30" s="250"/>
      <c r="K30" s="272"/>
    </row>
    <row r="31" spans="1:11" hidden="1">
      <c r="B31" s="271"/>
      <c r="C31" s="250" t="s">
        <v>941</v>
      </c>
      <c r="D31" s="44">
        <f>SUMIF(COMPARATIVO!F:F,C31,COMPARATIVO!Z:Z)/1000</f>
        <v>0</v>
      </c>
      <c r="E31" s="44"/>
      <c r="F31" s="44">
        <f>SUMIF(COMPARATIVO!F:F,C31,COMPARATIVO!I:I)/1000</f>
        <v>0</v>
      </c>
      <c r="G31" s="250"/>
      <c r="H31" s="250"/>
      <c r="I31" s="250"/>
      <c r="J31" s="250"/>
      <c r="K31" s="272"/>
    </row>
    <row r="32" spans="1:11" hidden="1">
      <c r="B32" s="271"/>
      <c r="C32" s="250"/>
      <c r="D32" s="44"/>
      <c r="E32" s="44"/>
      <c r="F32" s="44"/>
      <c r="G32" s="250"/>
      <c r="H32" s="250"/>
      <c r="I32" s="250"/>
      <c r="J32" s="250"/>
      <c r="K32" s="272"/>
    </row>
    <row r="33" spans="2:11" ht="14" thickBot="1">
      <c r="B33" s="292"/>
      <c r="C33" s="325"/>
      <c r="D33" s="326"/>
      <c r="E33" s="326"/>
      <c r="F33" s="326"/>
      <c r="G33" s="325"/>
      <c r="H33" s="325"/>
      <c r="I33" s="325"/>
      <c r="J33" s="325"/>
      <c r="K33" s="293"/>
    </row>
    <row r="34" spans="2:11" ht="14" thickTop="1"/>
  </sheetData>
  <mergeCells count="1">
    <mergeCell ref="C5:F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showGridLines="0" topLeftCell="A4" zoomScale="110" zoomScaleNormal="100" zoomScaleSheetLayoutView="115" zoomScalePageLayoutView="150" workbookViewId="0">
      <selection activeCell="F20" sqref="F20"/>
    </sheetView>
  </sheetViews>
  <sheetFormatPr baseColWidth="10" defaultColWidth="11.5" defaultRowHeight="14"/>
  <cols>
    <col min="1" max="1" width="5.5" style="245" customWidth="1"/>
    <col min="2" max="2" width="4.1640625" style="245" customWidth="1"/>
    <col min="3" max="3" width="40" style="98" customWidth="1"/>
    <col min="4" max="4" width="15.83203125" style="98" customWidth="1"/>
    <col min="5" max="5" width="4.5" style="98" customWidth="1"/>
    <col min="6" max="6" width="15.83203125" style="98" customWidth="1"/>
    <col min="7" max="8" width="4.6640625" style="83" customWidth="1"/>
    <col min="9" max="9" width="11.5" style="83" hidden="1" customWidth="1"/>
    <col min="10" max="16384" width="11.5" style="98"/>
  </cols>
  <sheetData>
    <row r="1" spans="1:10" s="245" customFormat="1" ht="15" thickBot="1">
      <c r="G1" s="83"/>
      <c r="H1" s="83"/>
      <c r="I1" s="83"/>
    </row>
    <row r="2" spans="1:10" s="245" customFormat="1" ht="15" thickTop="1">
      <c r="B2" s="346"/>
      <c r="C2" s="347"/>
      <c r="D2" s="347"/>
      <c r="E2" s="347"/>
      <c r="F2" s="347"/>
      <c r="G2" s="348"/>
      <c r="H2" s="324"/>
      <c r="I2" s="83"/>
    </row>
    <row r="3" spans="1:10" ht="18" customHeight="1">
      <c r="B3" s="317"/>
      <c r="C3" s="420" t="s">
        <v>912</v>
      </c>
      <c r="D3" s="420"/>
      <c r="E3" s="420"/>
      <c r="F3" s="420"/>
      <c r="G3" s="350"/>
      <c r="H3" s="324"/>
    </row>
    <row r="4" spans="1:10" ht="18" customHeight="1">
      <c r="B4" s="317"/>
      <c r="C4" s="318" t="s">
        <v>387</v>
      </c>
      <c r="D4" s="318"/>
      <c r="E4" s="318"/>
      <c r="F4" s="318"/>
      <c r="G4" s="350"/>
      <c r="H4" s="324"/>
    </row>
    <row r="5" spans="1:10" ht="14.25" customHeight="1">
      <c r="B5" s="317"/>
      <c r="C5" s="318" t="s">
        <v>1545</v>
      </c>
      <c r="D5" s="318"/>
      <c r="E5" s="318"/>
      <c r="F5" s="318"/>
      <c r="G5" s="350"/>
      <c r="H5" s="324"/>
    </row>
    <row r="6" spans="1:10" ht="14.25" customHeight="1">
      <c r="B6" s="317"/>
      <c r="C6" s="318"/>
      <c r="D6" s="318"/>
      <c r="E6" s="318"/>
      <c r="F6" s="318"/>
      <c r="G6" s="350"/>
      <c r="H6" s="324"/>
    </row>
    <row r="7" spans="1:10" s="29" customFormat="1" ht="14" customHeight="1">
      <c r="A7" s="248"/>
      <c r="B7" s="351"/>
      <c r="C7" s="322"/>
      <c r="D7" s="358" t="s">
        <v>1991</v>
      </c>
      <c r="E7" s="359"/>
      <c r="F7" s="358" t="s">
        <v>1098</v>
      </c>
      <c r="G7" s="334"/>
      <c r="H7" s="324"/>
      <c r="I7" s="360"/>
      <c r="J7" s="357"/>
    </row>
    <row r="8" spans="1:10" s="29" customFormat="1" ht="14" customHeight="1">
      <c r="A8" s="248"/>
      <c r="B8" s="351"/>
      <c r="C8" s="322" t="s">
        <v>754</v>
      </c>
      <c r="D8" s="322"/>
      <c r="E8" s="322"/>
      <c r="F8" s="322"/>
      <c r="G8" s="352"/>
      <c r="H8" s="361"/>
      <c r="I8" s="107"/>
    </row>
    <row r="9" spans="1:10" ht="13.5" customHeight="1">
      <c r="B9" s="317"/>
      <c r="C9" s="318" t="s">
        <v>1029</v>
      </c>
      <c r="D9" s="353">
        <v>28249394</v>
      </c>
      <c r="E9" s="319"/>
      <c r="F9" s="353">
        <v>33293214.098000001</v>
      </c>
      <c r="G9" s="350"/>
      <c r="H9" s="324"/>
      <c r="I9" s="215">
        <f>+ROUND(D9,0)+1</f>
        <v>28249395</v>
      </c>
    </row>
    <row r="10" spans="1:10" ht="14" customHeight="1">
      <c r="B10" s="317"/>
      <c r="C10" s="318" t="s">
        <v>756</v>
      </c>
      <c r="D10" s="353">
        <v>-281776.61800000002</v>
      </c>
      <c r="E10" s="319"/>
      <c r="F10" s="353">
        <v>-281776.61800000002</v>
      </c>
      <c r="G10" s="350"/>
      <c r="H10" s="324"/>
      <c r="I10" s="215">
        <f>+ROUND(D10,0)</f>
        <v>-281777</v>
      </c>
    </row>
    <row r="11" spans="1:10" ht="14" customHeight="1">
      <c r="B11" s="317"/>
      <c r="C11" s="318" t="s">
        <v>757</v>
      </c>
      <c r="D11" s="353">
        <v>-1753131.6070000001</v>
      </c>
      <c r="E11" s="319"/>
      <c r="F11" s="353">
        <v>-1999835.122</v>
      </c>
      <c r="G11" s="350"/>
      <c r="H11" s="324"/>
      <c r="I11" s="215">
        <f>+ROUND(D11,0)</f>
        <v>-1753132</v>
      </c>
    </row>
    <row r="12" spans="1:10" s="29" customFormat="1" ht="14" customHeight="1" thickBot="1">
      <c r="A12" s="248"/>
      <c r="B12" s="351"/>
      <c r="C12" s="322" t="s">
        <v>214</v>
      </c>
      <c r="D12" s="109">
        <v>26214485.263</v>
      </c>
      <c r="E12" s="106"/>
      <c r="F12" s="109">
        <v>31011602.357999999</v>
      </c>
      <c r="G12" s="352">
        <f>BG!E14-'Nota 4'!D12</f>
        <v>-0.2630000002682209</v>
      </c>
      <c r="H12" s="361"/>
      <c r="I12" s="109">
        <f>SUM(I9:I11)</f>
        <v>26214486</v>
      </c>
    </row>
    <row r="13" spans="1:10" ht="12.75" customHeight="1" thickTop="1">
      <c r="B13" s="317"/>
      <c r="C13" s="318"/>
      <c r="D13" s="319"/>
      <c r="E13" s="319"/>
      <c r="F13" s="353"/>
      <c r="G13" s="350"/>
      <c r="H13" s="324"/>
    </row>
    <row r="14" spans="1:10" ht="12.75" customHeight="1">
      <c r="B14" s="317"/>
      <c r="C14" s="318" t="s">
        <v>764</v>
      </c>
      <c r="D14" s="319"/>
      <c r="E14" s="319"/>
      <c r="F14" s="353"/>
      <c r="G14" s="350"/>
      <c r="H14" s="324"/>
    </row>
    <row r="15" spans="1:10" ht="12.75" customHeight="1">
      <c r="B15" s="317"/>
      <c r="C15" s="318" t="s">
        <v>1546</v>
      </c>
      <c r="D15" s="353">
        <v>29942226.092</v>
      </c>
      <c r="E15" s="319"/>
      <c r="F15" s="353">
        <v>26278538.640000001</v>
      </c>
      <c r="G15" s="350"/>
      <c r="H15" s="324"/>
    </row>
    <row r="16" spans="1:10" ht="12.75" customHeight="1">
      <c r="B16" s="317"/>
      <c r="C16" s="318" t="s">
        <v>1547</v>
      </c>
      <c r="D16" s="353">
        <v>8127250.8059999999</v>
      </c>
      <c r="E16" s="319"/>
      <c r="F16" s="353">
        <v>4669172.5889999997</v>
      </c>
      <c r="G16" s="350"/>
      <c r="H16" s="324"/>
    </row>
    <row r="17" spans="1:9" ht="12.75" customHeight="1">
      <c r="B17" s="317"/>
      <c r="C17" s="318" t="s">
        <v>1548</v>
      </c>
      <c r="D17" s="353">
        <v>-950897.674</v>
      </c>
      <c r="E17" s="319"/>
      <c r="F17" s="353">
        <v>-950897.674</v>
      </c>
      <c r="G17" s="350"/>
      <c r="H17" s="324"/>
    </row>
    <row r="18" spans="1:9" ht="12.75" customHeight="1">
      <c r="B18" s="317"/>
      <c r="C18" s="318" t="s">
        <v>1549</v>
      </c>
      <c r="D18" s="353">
        <v>-1748399.4</v>
      </c>
      <c r="E18" s="319"/>
      <c r="F18" s="353">
        <v>-1389715.933</v>
      </c>
      <c r="G18" s="350"/>
      <c r="H18" s="324"/>
    </row>
    <row r="19" spans="1:9" s="29" customFormat="1" ht="12.75" customHeight="1" thickBot="1">
      <c r="A19" s="248"/>
      <c r="B19" s="351"/>
      <c r="C19" s="322" t="s">
        <v>214</v>
      </c>
      <c r="D19" s="109">
        <v>35370179.824000001</v>
      </c>
      <c r="E19" s="323"/>
      <c r="F19" s="109">
        <v>28607097.622000005</v>
      </c>
      <c r="G19" s="352">
        <f>D19-BG!E21</f>
        <v>-0.17599999904632568</v>
      </c>
      <c r="H19" s="361"/>
      <c r="I19" s="107">
        <f>F19-BG!G21</f>
        <v>0</v>
      </c>
    </row>
    <row r="20" spans="1:9" ht="12.75" customHeight="1" thickTop="1">
      <c r="B20" s="317"/>
      <c r="C20" s="318"/>
      <c r="D20" s="318"/>
      <c r="E20" s="318"/>
      <c r="F20" s="318"/>
      <c r="G20" s="350"/>
      <c r="H20" s="324"/>
    </row>
    <row r="21" spans="1:9" ht="14" customHeight="1">
      <c r="B21" s="317"/>
      <c r="C21" s="419" t="s">
        <v>760</v>
      </c>
      <c r="D21" s="419"/>
      <c r="E21" s="419"/>
      <c r="F21" s="419"/>
      <c r="G21" s="350"/>
      <c r="H21" s="324"/>
    </row>
    <row r="22" spans="1:9" ht="7.5" customHeight="1">
      <c r="B22" s="317"/>
      <c r="C22" s="318"/>
      <c r="D22" s="318"/>
      <c r="E22" s="318"/>
      <c r="F22" s="318"/>
      <c r="G22" s="350"/>
      <c r="H22" s="324"/>
    </row>
    <row r="23" spans="1:9" ht="14" customHeight="1">
      <c r="B23" s="317"/>
      <c r="C23" s="318"/>
      <c r="D23" s="108" t="s">
        <v>1991</v>
      </c>
      <c r="E23" s="322"/>
      <c r="F23" s="108" t="s">
        <v>1098</v>
      </c>
      <c r="G23" s="350"/>
      <c r="H23" s="324"/>
    </row>
    <row r="24" spans="1:9" ht="14" customHeight="1">
      <c r="B24" s="317"/>
      <c r="C24" s="318" t="s">
        <v>761</v>
      </c>
      <c r="D24" s="353">
        <v>1232674.2919999999</v>
      </c>
      <c r="E24" s="319"/>
      <c r="F24" s="353">
        <v>1189553.398</v>
      </c>
      <c r="G24" s="350"/>
      <c r="H24" s="324"/>
    </row>
    <row r="25" spans="1:9" ht="14" customHeight="1">
      <c r="B25" s="317"/>
      <c r="C25" s="318" t="s">
        <v>1030</v>
      </c>
      <c r="D25" s="353">
        <v>0</v>
      </c>
      <c r="E25" s="319"/>
      <c r="F25" s="353">
        <v>43120.893999999855</v>
      </c>
      <c r="G25" s="350"/>
      <c r="H25" s="324"/>
    </row>
    <row r="26" spans="1:9" ht="14" hidden="1" customHeight="1">
      <c r="B26" s="317"/>
      <c r="C26" s="318" t="s">
        <v>1031</v>
      </c>
      <c r="D26" s="319">
        <v>0</v>
      </c>
      <c r="E26" s="319"/>
      <c r="F26" s="353">
        <v>0</v>
      </c>
      <c r="G26" s="350"/>
      <c r="H26" s="324"/>
    </row>
    <row r="27" spans="1:9" s="29" customFormat="1" ht="14" customHeight="1" thickBot="1">
      <c r="A27" s="248"/>
      <c r="B27" s="351"/>
      <c r="C27" s="322" t="s">
        <v>762</v>
      </c>
      <c r="D27" s="109">
        <v>1232674.2919999999</v>
      </c>
      <c r="E27" s="323"/>
      <c r="F27" s="109">
        <v>1232674.2919999999</v>
      </c>
      <c r="G27" s="352"/>
      <c r="H27" s="361"/>
      <c r="I27" s="107"/>
    </row>
    <row r="28" spans="1:9" ht="15" thickTop="1">
      <c r="B28" s="317"/>
      <c r="C28" s="318"/>
      <c r="D28" s="318"/>
      <c r="E28" s="318"/>
      <c r="F28" s="318"/>
      <c r="G28" s="350">
        <f>+D10+D17+D27</f>
        <v>0</v>
      </c>
      <c r="H28" s="324"/>
      <c r="I28" s="83">
        <f>+F10+F17+F27</f>
        <v>0</v>
      </c>
    </row>
    <row r="29" spans="1:9" ht="15" thickBot="1">
      <c r="B29" s="354"/>
      <c r="C29" s="355"/>
      <c r="D29" s="355"/>
      <c r="E29" s="355"/>
      <c r="F29" s="355"/>
      <c r="G29" s="356"/>
      <c r="H29" s="324"/>
    </row>
    <row r="30" spans="1:9" ht="15" thickTop="1"/>
  </sheetData>
  <mergeCells count="2">
    <mergeCell ref="C21:F21"/>
    <mergeCell ref="C3:F3"/>
  </mergeCells>
  <phoneticPr fontId="4" type="noConversion"/>
  <pageMargins left="0.7" right="0.7" top="0.75" bottom="0.75" header="0.3" footer="0.3"/>
  <pageSetup paperSize="9" orientation="portrait" r:id="rId1"/>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6"/>
  <sheetViews>
    <sheetView showGridLines="0" zoomScaleNormal="100" zoomScaleSheetLayoutView="115" zoomScalePageLayoutView="115" workbookViewId="0">
      <selection activeCell="M19" sqref="M19"/>
    </sheetView>
  </sheetViews>
  <sheetFormatPr baseColWidth="10" defaultColWidth="11.5" defaultRowHeight="14"/>
  <cols>
    <col min="1" max="1" width="11.5" style="245"/>
    <col min="2" max="2" width="5.1640625" style="245" customWidth="1"/>
    <col min="3" max="3" width="4.5" style="98" customWidth="1"/>
    <col min="4" max="4" width="31.5" style="98" customWidth="1"/>
    <col min="5" max="5" width="16" style="98" customWidth="1"/>
    <col min="6" max="6" width="14" style="98" customWidth="1"/>
    <col min="7" max="7" width="12.83203125" style="98" customWidth="1"/>
    <col min="8" max="8" width="5.83203125" style="98" customWidth="1"/>
    <col min="9" max="9" width="11.5" style="83" hidden="1" customWidth="1"/>
    <col min="10" max="10" width="13.33203125" style="83" hidden="1" customWidth="1"/>
    <col min="11" max="11" width="13" style="83" hidden="1" customWidth="1"/>
    <col min="12" max="16384" width="11.5" style="98"/>
  </cols>
  <sheetData>
    <row r="1" spans="2:11" ht="15" thickBot="1">
      <c r="C1" s="421"/>
      <c r="D1" s="421"/>
      <c r="E1" s="421"/>
      <c r="F1" s="421"/>
      <c r="G1" s="421"/>
    </row>
    <row r="2" spans="2:11" s="245" customFormat="1" ht="15" thickTop="1">
      <c r="B2" s="346"/>
      <c r="C2" s="347"/>
      <c r="D2" s="347"/>
      <c r="E2" s="347"/>
      <c r="F2" s="347"/>
      <c r="G2" s="347"/>
      <c r="H2" s="362"/>
      <c r="I2" s="83"/>
      <c r="J2" s="83"/>
      <c r="K2" s="83"/>
    </row>
    <row r="3" spans="2:11" s="110" customFormat="1" ht="18">
      <c r="B3" s="273"/>
      <c r="C3" s="316" t="s">
        <v>1070</v>
      </c>
      <c r="D3" s="163"/>
      <c r="E3" s="163"/>
      <c r="F3" s="163"/>
      <c r="G3" s="163"/>
      <c r="H3" s="274"/>
      <c r="I3" s="114"/>
      <c r="J3" s="114"/>
      <c r="K3" s="114"/>
    </row>
    <row r="4" spans="2:11">
      <c r="B4" s="317"/>
      <c r="C4" s="318"/>
      <c r="D4" s="318"/>
      <c r="E4" s="318"/>
      <c r="F4" s="318"/>
      <c r="G4" s="318"/>
      <c r="H4" s="320"/>
    </row>
    <row r="5" spans="2:11" ht="20.25" customHeight="1">
      <c r="B5" s="317"/>
      <c r="C5" s="318"/>
      <c r="D5" s="422" t="s">
        <v>786</v>
      </c>
      <c r="E5" s="422" t="s">
        <v>300</v>
      </c>
      <c r="F5" s="422" t="s">
        <v>323</v>
      </c>
      <c r="G5" s="422"/>
      <c r="H5" s="320"/>
      <c r="I5" s="83">
        <f>+COMPARATIVO!AP164</f>
        <v>8127250806</v>
      </c>
    </row>
    <row r="6" spans="2:11" ht="20.25" customHeight="1">
      <c r="B6" s="317"/>
      <c r="C6" s="318"/>
      <c r="D6" s="422"/>
      <c r="E6" s="422"/>
      <c r="F6" s="246" t="s">
        <v>797</v>
      </c>
      <c r="G6" s="246" t="s">
        <v>798</v>
      </c>
      <c r="H6" s="320"/>
    </row>
    <row r="7" spans="2:11" ht="17.25" customHeight="1">
      <c r="B7" s="317"/>
      <c r="C7" s="318"/>
      <c r="D7" s="247" t="s">
        <v>787</v>
      </c>
      <c r="E7" s="111">
        <f>+'Nota 4'!D9+'Nota 4'!D15-'Nota 4.1'!E9-'Nota 4.1'!E10</f>
        <v>54780954.030000001</v>
      </c>
      <c r="F7" s="111"/>
      <c r="G7" s="247"/>
      <c r="H7" s="320"/>
      <c r="I7" s="83">
        <f>-'Nota 4'!D10</f>
        <v>281776.61800000002</v>
      </c>
      <c r="J7" s="118">
        <f>+E9+E10</f>
        <v>3410666.0619999999</v>
      </c>
      <c r="K7" s="118">
        <f>J7-I7</f>
        <v>3128889.4440000001</v>
      </c>
    </row>
    <row r="8" spans="2:11">
      <c r="B8" s="317"/>
      <c r="C8" s="318"/>
      <c r="D8" s="247" t="s">
        <v>788</v>
      </c>
      <c r="E8" s="111"/>
      <c r="F8" s="111"/>
      <c r="G8" s="247"/>
      <c r="H8" s="320"/>
    </row>
    <row r="9" spans="2:11">
      <c r="B9" s="317"/>
      <c r="C9" s="318"/>
      <c r="D9" s="247" t="s">
        <v>789</v>
      </c>
      <c r="E9" s="111">
        <f>675175631/1000</f>
        <v>675175.63100000005</v>
      </c>
      <c r="F9" s="111">
        <f>+I7*I9</f>
        <v>55780.513952642716</v>
      </c>
      <c r="G9" s="112">
        <f>+J9/E9</f>
        <v>8.2616302176111434E-2</v>
      </c>
      <c r="H9" s="320"/>
      <c r="I9" s="83">
        <f>+E9/J7</f>
        <v>0.19796005200347289</v>
      </c>
      <c r="J9" s="83">
        <f>+I7*I9</f>
        <v>55780.513952642716</v>
      </c>
    </row>
    <row r="10" spans="2:11">
      <c r="B10" s="317"/>
      <c r="C10" s="318"/>
      <c r="D10" s="247" t="s">
        <v>790</v>
      </c>
      <c r="E10" s="111">
        <f>2735490431/1000</f>
        <v>2735490.4309999999</v>
      </c>
      <c r="F10" s="111">
        <f>+I7*I10</f>
        <v>225996.10404735731</v>
      </c>
      <c r="G10" s="112">
        <f>+J10/E10</f>
        <v>8.2616302176111434E-2</v>
      </c>
      <c r="H10" s="320"/>
      <c r="I10" s="83">
        <f>+E10/J7</f>
        <v>0.80203994799652711</v>
      </c>
      <c r="J10" s="83">
        <f>+I7*I10</f>
        <v>225996.10404735731</v>
      </c>
    </row>
    <row r="11" spans="2:11">
      <c r="B11" s="317"/>
      <c r="C11" s="318"/>
      <c r="D11" s="247" t="s">
        <v>791</v>
      </c>
      <c r="E11" s="111">
        <f>+I5/1000</f>
        <v>8127250.8059999999</v>
      </c>
      <c r="F11" s="111">
        <f>-'Nota 4'!D17</f>
        <v>950897.674</v>
      </c>
      <c r="G11" s="112">
        <f>+F11/E11</f>
        <v>0.11700114795251466</v>
      </c>
      <c r="H11" s="320"/>
      <c r="I11" s="83">
        <f>'Nota 4'!D17</f>
        <v>-950897.674</v>
      </c>
      <c r="J11" s="83">
        <f>I11/F11</f>
        <v>-1</v>
      </c>
    </row>
    <row r="12" spans="2:11" ht="15.75" customHeight="1">
      <c r="B12" s="317"/>
      <c r="C12" s="318"/>
      <c r="D12" s="246" t="s">
        <v>792</v>
      </c>
      <c r="E12" s="113">
        <f>+'Nota 4'!D9+'Nota 4'!D15+'Nota 4'!D16</f>
        <v>66318870.898000002</v>
      </c>
      <c r="F12" s="113">
        <f>F7+F9+F10+F11</f>
        <v>1232674.2919999999</v>
      </c>
      <c r="G12" s="247"/>
      <c r="H12" s="320"/>
      <c r="I12" s="83">
        <f>+E12-'Nota 4'!D9-'Nota 4'!D15-'Nota 4'!D16</f>
        <v>0</v>
      </c>
      <c r="J12" s="83">
        <f>+F12+'Nota 4'!D10+'Nota 4'!D17</f>
        <v>0</v>
      </c>
    </row>
    <row r="13" spans="2:11">
      <c r="B13" s="317"/>
      <c r="C13" s="318"/>
      <c r="D13" s="318"/>
      <c r="E13" s="318"/>
      <c r="F13" s="318"/>
      <c r="G13" s="318"/>
      <c r="H13" s="320"/>
      <c r="J13" s="83">
        <v>2377244185</v>
      </c>
    </row>
    <row r="14" spans="2:11">
      <c r="B14" s="317"/>
      <c r="C14" s="318"/>
      <c r="D14" s="424" t="s">
        <v>793</v>
      </c>
      <c r="E14" s="424"/>
      <c r="F14" s="423"/>
      <c r="G14" s="423"/>
      <c r="H14" s="320"/>
    </row>
    <row r="15" spans="2:11">
      <c r="B15" s="317"/>
      <c r="C15" s="318"/>
      <c r="D15" s="425" t="s">
        <v>794</v>
      </c>
      <c r="E15" s="425"/>
      <c r="F15" s="423" t="s">
        <v>4735</v>
      </c>
      <c r="G15" s="423"/>
      <c r="H15" s="320"/>
    </row>
    <row r="16" spans="2:11">
      <c r="B16" s="317"/>
      <c r="C16" s="318"/>
      <c r="D16" s="425" t="s">
        <v>795</v>
      </c>
      <c r="E16" s="425"/>
      <c r="F16" s="423" t="s">
        <v>4736</v>
      </c>
      <c r="G16" s="423"/>
      <c r="H16" s="320"/>
    </row>
    <row r="17" spans="2:8">
      <c r="B17" s="317"/>
      <c r="C17" s="318"/>
      <c r="D17" s="425" t="s">
        <v>796</v>
      </c>
      <c r="E17" s="425"/>
      <c r="F17" s="423" t="s">
        <v>799</v>
      </c>
      <c r="G17" s="423"/>
      <c r="H17" s="320"/>
    </row>
    <row r="18" spans="2:8">
      <c r="B18" s="317"/>
      <c r="C18" s="318"/>
      <c r="D18" s="318"/>
      <c r="E18" s="318"/>
      <c r="F18" s="318"/>
      <c r="G18" s="318"/>
      <c r="H18" s="320"/>
    </row>
    <row r="19" spans="2:8">
      <c r="B19" s="317"/>
      <c r="C19" s="318"/>
      <c r="D19" s="318"/>
      <c r="E19" s="318"/>
      <c r="F19" s="318"/>
      <c r="G19" s="318"/>
      <c r="H19" s="320"/>
    </row>
    <row r="20" spans="2:8" ht="15" thickBot="1">
      <c r="B20" s="354"/>
      <c r="C20" s="355"/>
      <c r="D20" s="355"/>
      <c r="E20" s="355"/>
      <c r="F20" s="355"/>
      <c r="G20" s="355"/>
      <c r="H20" s="363"/>
    </row>
    <row r="21" spans="2:8" ht="15" thickTop="1"/>
    <row r="23" spans="2:8">
      <c r="C23" s="421"/>
      <c r="D23" s="421"/>
    </row>
    <row r="35" spans="3:12" ht="15" hidden="1" thickBot="1">
      <c r="D35" s="421" t="s">
        <v>922</v>
      </c>
      <c r="E35" s="421"/>
      <c r="F35" s="421"/>
      <c r="G35" s="421"/>
      <c r="H35" s="421"/>
      <c r="I35" s="421"/>
      <c r="J35" s="421"/>
    </row>
    <row r="36" spans="3:12" ht="15" hidden="1" thickBot="1"/>
    <row r="37" spans="3:12" ht="15" hidden="1" thickBot="1">
      <c r="D37" s="98" t="s">
        <v>923</v>
      </c>
      <c r="E37" s="98" t="s">
        <v>203</v>
      </c>
      <c r="F37" s="98" t="s">
        <v>924</v>
      </c>
      <c r="G37" s="98" t="s">
        <v>203</v>
      </c>
      <c r="H37" s="98" t="s">
        <v>925</v>
      </c>
      <c r="I37" s="83" t="s">
        <v>203</v>
      </c>
      <c r="J37" s="83" t="s">
        <v>926</v>
      </c>
      <c r="K37" s="83" t="s">
        <v>203</v>
      </c>
    </row>
    <row r="38" spans="3:12" ht="15" hidden="1" thickBot="1"/>
    <row r="39" spans="3:12" ht="15" hidden="1" thickBot="1">
      <c r="C39" s="98" t="s">
        <v>927</v>
      </c>
      <c r="D39" s="98">
        <v>8693313007</v>
      </c>
      <c r="F39" s="98">
        <v>15990675816</v>
      </c>
      <c r="H39" s="98">
        <v>27384818789</v>
      </c>
      <c r="J39" s="83">
        <v>52068807612</v>
      </c>
    </row>
    <row r="40" spans="3:12" ht="15" hidden="1" thickBot="1">
      <c r="L40" s="98" t="s">
        <v>434</v>
      </c>
    </row>
    <row r="41" spans="3:12" ht="15" hidden="1" thickBot="1">
      <c r="C41" s="98" t="s">
        <v>928</v>
      </c>
      <c r="D41" s="98">
        <v>391016197</v>
      </c>
      <c r="E41" s="98">
        <v>3.180940596402364</v>
      </c>
      <c r="F41" s="98">
        <v>135412595</v>
      </c>
      <c r="G41" s="98">
        <v>0.78436652684472408</v>
      </c>
      <c r="H41" s="98">
        <v>302066181</v>
      </c>
      <c r="I41" s="83">
        <v>1.0622315109032163</v>
      </c>
      <c r="J41" s="83">
        <v>828494973</v>
      </c>
    </row>
    <row r="42" spans="3:12" ht="15" hidden="1" thickBot="1">
      <c r="C42" s="98" t="s">
        <v>929</v>
      </c>
      <c r="D42" s="98">
        <v>180439514</v>
      </c>
      <c r="E42" s="98">
        <v>1.467886444810655</v>
      </c>
      <c r="F42" s="98">
        <v>144552000</v>
      </c>
      <c r="G42" s="98">
        <v>0.83730579262924965</v>
      </c>
      <c r="H42" s="98">
        <v>181753000</v>
      </c>
      <c r="I42" s="83">
        <v>0.63914392257368358</v>
      </c>
      <c r="J42" s="83">
        <v>506744516.94433618</v>
      </c>
    </row>
    <row r="43" spans="3:12" ht="15" hidden="1" thickBot="1">
      <c r="C43" s="98" t="s">
        <v>930</v>
      </c>
      <c r="D43" s="98">
        <v>586424913</v>
      </c>
      <c r="E43" s="98">
        <v>4.7706024119083343</v>
      </c>
      <c r="F43" s="98">
        <v>961403213</v>
      </c>
      <c r="G43" s="98">
        <v>5.5688505125994263</v>
      </c>
      <c r="H43" s="98">
        <v>547829133</v>
      </c>
      <c r="I43" s="83">
        <v>1.9264697747259203</v>
      </c>
      <c r="J43" s="83">
        <v>2095657259</v>
      </c>
    </row>
    <row r="44" spans="3:12" ht="15" hidden="1" thickBot="1">
      <c r="C44" s="98" t="s">
        <v>931</v>
      </c>
      <c r="D44" s="98">
        <v>2441277264</v>
      </c>
      <c r="E44" s="98">
        <v>19.859939347043699</v>
      </c>
      <c r="F44" s="98">
        <v>31900000</v>
      </c>
      <c r="G44" s="98">
        <v>0.18477817522326265</v>
      </c>
      <c r="H44" s="98">
        <v>20477000</v>
      </c>
      <c r="I44" s="83">
        <v>7.2008440589928738E-2</v>
      </c>
      <c r="J44" s="83">
        <v>2493654264</v>
      </c>
    </row>
    <row r="45" spans="3:12" ht="15" hidden="1" thickBot="1"/>
    <row r="46" spans="3:12" ht="15" hidden="1" thickBot="1">
      <c r="C46" s="98" t="s">
        <v>932</v>
      </c>
      <c r="D46" s="98">
        <v>12292470895</v>
      </c>
      <c r="E46" s="98">
        <v>100</v>
      </c>
      <c r="F46" s="98">
        <v>17263943624</v>
      </c>
      <c r="G46" s="98">
        <v>100</v>
      </c>
      <c r="H46" s="98">
        <v>28436944103</v>
      </c>
      <c r="I46" s="83">
        <v>100</v>
      </c>
      <c r="J46" s="83">
        <v>57993358622</v>
      </c>
    </row>
  </sheetData>
  <mergeCells count="14">
    <mergeCell ref="C1:G1"/>
    <mergeCell ref="D5:D6"/>
    <mergeCell ref="E5:E6"/>
    <mergeCell ref="F5:G5"/>
    <mergeCell ref="D35:J35"/>
    <mergeCell ref="C23:D23"/>
    <mergeCell ref="F14:G14"/>
    <mergeCell ref="F17:G17"/>
    <mergeCell ref="F16:G16"/>
    <mergeCell ref="F15:G15"/>
    <mergeCell ref="D14:E14"/>
    <mergeCell ref="D15:E15"/>
    <mergeCell ref="D16:E16"/>
    <mergeCell ref="D17:E17"/>
  </mergeCells>
  <phoneticPr fontId="4" type="noConversion"/>
  <pageMargins left="0.7" right="0.7" top="0.75" bottom="0.75" header="0.3" footer="0.3"/>
  <pageSetup paperSize="9"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7"/>
  <sheetViews>
    <sheetView showGridLines="0" zoomScaleNormal="100" zoomScaleSheetLayoutView="115" zoomScalePageLayoutView="150" workbookViewId="0">
      <selection activeCell="Q11" sqref="Q11"/>
    </sheetView>
  </sheetViews>
  <sheetFormatPr baseColWidth="10" defaultRowHeight="13"/>
  <cols>
    <col min="1" max="1" width="8.5" style="249" customWidth="1"/>
    <col min="2" max="2" width="3.6640625" style="249" customWidth="1"/>
    <col min="3" max="3" width="2.5" customWidth="1"/>
    <col min="4" max="4" width="39.83203125" customWidth="1"/>
    <col min="5" max="5" width="15.5" customWidth="1"/>
    <col min="6" max="6" width="3.6640625" customWidth="1"/>
    <col min="7" max="7" width="15.5" customWidth="1"/>
    <col min="8" max="8" width="16.1640625" hidden="1" customWidth="1"/>
    <col min="9" max="9" width="0" style="119" hidden="1" customWidth="1"/>
    <col min="10" max="10" width="15.5" style="119" hidden="1" customWidth="1"/>
    <col min="11" max="11" width="13.83203125" style="119" hidden="1" customWidth="1"/>
    <col min="12" max="12" width="0" hidden="1" customWidth="1"/>
    <col min="13" max="13" width="6.1640625" customWidth="1"/>
  </cols>
  <sheetData>
    <row r="1" spans="1:13" s="249" customFormat="1" ht="14" thickBot="1">
      <c r="I1" s="119"/>
      <c r="J1" s="119"/>
      <c r="K1" s="119"/>
    </row>
    <row r="2" spans="1:13" s="249" customFormat="1" ht="14" thickTop="1">
      <c r="B2" s="328"/>
      <c r="C2" s="330"/>
      <c r="D2" s="330"/>
      <c r="E2" s="330"/>
      <c r="F2" s="330"/>
      <c r="G2" s="330"/>
      <c r="H2" s="330"/>
      <c r="I2" s="364"/>
      <c r="J2" s="364"/>
      <c r="K2" s="364"/>
      <c r="L2" s="330"/>
      <c r="M2" s="331"/>
    </row>
    <row r="3" spans="1:13" ht="18">
      <c r="B3" s="332"/>
      <c r="C3" s="333"/>
      <c r="D3" s="420" t="s">
        <v>911</v>
      </c>
      <c r="E3" s="420"/>
      <c r="F3" s="420"/>
      <c r="G3" s="420"/>
      <c r="H3" s="333"/>
      <c r="I3" s="365"/>
      <c r="J3" s="365"/>
      <c r="K3" s="365"/>
      <c r="L3" s="333"/>
      <c r="M3" s="334"/>
    </row>
    <row r="4" spans="1:13" ht="16.5" customHeight="1">
      <c r="B4" s="332"/>
      <c r="C4" s="333"/>
      <c r="D4" s="318" t="s">
        <v>387</v>
      </c>
      <c r="E4" s="318"/>
      <c r="F4" s="318"/>
      <c r="G4" s="318"/>
      <c r="H4" s="333"/>
      <c r="I4" s="365"/>
      <c r="J4" s="365"/>
      <c r="K4" s="365"/>
      <c r="L4" s="333"/>
      <c r="M4" s="334"/>
    </row>
    <row r="5" spans="1:13" ht="14">
      <c r="B5" s="332"/>
      <c r="C5" s="333"/>
      <c r="D5" s="318" t="s">
        <v>763</v>
      </c>
      <c r="E5" s="318"/>
      <c r="F5" s="318"/>
      <c r="G5" s="318"/>
      <c r="H5" s="333"/>
      <c r="I5" s="365"/>
      <c r="J5" s="365"/>
      <c r="K5" s="365"/>
      <c r="L5" s="333"/>
      <c r="M5" s="334"/>
    </row>
    <row r="6" spans="1:13" ht="14">
      <c r="B6" s="332"/>
      <c r="C6" s="333"/>
      <c r="D6" s="318"/>
      <c r="E6" s="318"/>
      <c r="F6" s="318"/>
      <c r="G6" s="318"/>
      <c r="H6" s="333"/>
      <c r="I6" s="365"/>
      <c r="J6" s="365"/>
      <c r="K6" s="365"/>
      <c r="L6" s="333"/>
      <c r="M6" s="334"/>
    </row>
    <row r="7" spans="1:13" s="100" customFormat="1" ht="18" customHeight="1">
      <c r="A7" s="253"/>
      <c r="B7" s="366"/>
      <c r="C7" s="367"/>
      <c r="D7" s="322"/>
      <c r="E7" s="108" t="s">
        <v>1991</v>
      </c>
      <c r="F7" s="124"/>
      <c r="G7" s="108" t="s">
        <v>1098</v>
      </c>
      <c r="H7" s="367"/>
      <c r="I7" s="368"/>
      <c r="J7" s="368" t="s">
        <v>825</v>
      </c>
      <c r="K7" s="368"/>
      <c r="L7" s="367"/>
      <c r="M7" s="369"/>
    </row>
    <row r="8" spans="1:13" s="100" customFormat="1" ht="14">
      <c r="A8" s="253"/>
      <c r="B8" s="366"/>
      <c r="C8" s="367"/>
      <c r="D8" s="322" t="s">
        <v>754</v>
      </c>
      <c r="E8" s="322"/>
      <c r="F8" s="322"/>
      <c r="G8" s="322"/>
      <c r="H8" s="367"/>
      <c r="I8" s="368"/>
      <c r="J8" s="368"/>
      <c r="K8" s="368"/>
      <c r="L8" s="367"/>
      <c r="M8" s="369"/>
    </row>
    <row r="9" spans="1:13" ht="14" hidden="1">
      <c r="B9" s="332"/>
      <c r="C9" s="333"/>
      <c r="D9" s="318"/>
      <c r="E9" s="318"/>
      <c r="F9" s="318"/>
      <c r="G9" s="318"/>
      <c r="H9" s="333" t="e">
        <f>+BG!#REF!</f>
        <v>#REF!</v>
      </c>
      <c r="I9" s="365"/>
      <c r="J9" s="365"/>
      <c r="K9" s="365"/>
      <c r="L9" s="333"/>
      <c r="M9" s="334"/>
    </row>
    <row r="10" spans="1:13" ht="14">
      <c r="B10" s="332"/>
      <c r="C10" s="333"/>
      <c r="D10" s="318" t="s">
        <v>4737</v>
      </c>
      <c r="E10" s="319">
        <v>2536635.1910000001</v>
      </c>
      <c r="F10" s="319"/>
      <c r="G10" s="319">
        <v>0</v>
      </c>
      <c r="H10" s="333" t="e">
        <f>+BG!#REF!</f>
        <v>#REF!</v>
      </c>
      <c r="I10" s="365"/>
      <c r="J10" s="365"/>
      <c r="K10" s="365"/>
      <c r="L10" s="333"/>
      <c r="M10" s="334"/>
    </row>
    <row r="11" spans="1:13" ht="14">
      <c r="B11" s="332"/>
      <c r="C11" s="333"/>
      <c r="D11" s="318" t="s">
        <v>755</v>
      </c>
      <c r="E11" s="319">
        <v>2176401.8620000002</v>
      </c>
      <c r="F11" s="319"/>
      <c r="G11" s="319">
        <v>1870669.9580000001</v>
      </c>
      <c r="H11" s="333" t="e">
        <f>+BG!#REF!</f>
        <v>#REF!</v>
      </c>
      <c r="I11" s="365"/>
      <c r="J11" s="365"/>
      <c r="K11" s="365"/>
      <c r="L11" s="333"/>
      <c r="M11" s="334"/>
    </row>
    <row r="12" spans="1:13" ht="14">
      <c r="B12" s="332"/>
      <c r="C12" s="333"/>
      <c r="D12" s="318" t="s">
        <v>808</v>
      </c>
      <c r="E12" s="319">
        <v>1366076.344</v>
      </c>
      <c r="F12" s="319"/>
      <c r="G12" s="319">
        <v>1489547.8330000001</v>
      </c>
      <c r="H12" s="333" t="e">
        <f>+BG!#REF!</f>
        <v>#REF!</v>
      </c>
      <c r="I12" s="365"/>
      <c r="J12" s="365"/>
      <c r="K12" s="365"/>
      <c r="L12" s="333"/>
      <c r="M12" s="334"/>
    </row>
    <row r="13" spans="1:13" ht="14">
      <c r="B13" s="332"/>
      <c r="C13" s="333"/>
      <c r="D13" s="318" t="s">
        <v>804</v>
      </c>
      <c r="E13" s="319">
        <v>742963.973</v>
      </c>
      <c r="F13" s="319"/>
      <c r="G13" s="319">
        <v>390572.77100000001</v>
      </c>
      <c r="H13" s="333" t="e">
        <f>+BG!#REF!</f>
        <v>#REF!</v>
      </c>
      <c r="I13" s="365"/>
      <c r="J13" s="365"/>
      <c r="K13" s="365"/>
      <c r="L13" s="333"/>
      <c r="M13" s="334"/>
    </row>
    <row r="14" spans="1:13" ht="14">
      <c r="B14" s="332"/>
      <c r="C14" s="333"/>
      <c r="D14" s="318" t="s">
        <v>806</v>
      </c>
      <c r="E14" s="319">
        <v>553908.53599999996</v>
      </c>
      <c r="F14" s="319"/>
      <c r="G14" s="319">
        <v>110327.208</v>
      </c>
      <c r="H14" s="333" t="e">
        <f>+BG!#REF!</f>
        <v>#REF!</v>
      </c>
      <c r="I14" s="365"/>
      <c r="J14" s="365"/>
      <c r="K14" s="365"/>
      <c r="L14" s="333"/>
      <c r="M14" s="334"/>
    </row>
    <row r="15" spans="1:13" ht="14">
      <c r="B15" s="332"/>
      <c r="C15" s="333"/>
      <c r="D15" s="318" t="s">
        <v>803</v>
      </c>
      <c r="E15" s="319">
        <v>170294.01800000001</v>
      </c>
      <c r="F15" s="319"/>
      <c r="G15" s="319">
        <v>1535559.165</v>
      </c>
      <c r="H15" s="333" t="e">
        <f>+BG!#REF!</f>
        <v>#REF!</v>
      </c>
      <c r="I15" s="365"/>
      <c r="J15" s="365"/>
      <c r="K15" s="365"/>
      <c r="L15" s="333"/>
      <c r="M15" s="334"/>
    </row>
    <row r="16" spans="1:13" ht="14">
      <c r="B16" s="332"/>
      <c r="C16" s="333"/>
      <c r="D16" s="318" t="s">
        <v>807</v>
      </c>
      <c r="E16" s="319">
        <v>124668.40399999999</v>
      </c>
      <c r="F16" s="319"/>
      <c r="G16" s="319">
        <v>200182.478</v>
      </c>
      <c r="H16" s="333" t="e">
        <f>+BG!#REF!</f>
        <v>#REF!</v>
      </c>
      <c r="I16" s="365"/>
      <c r="J16" s="365"/>
      <c r="K16" s="365"/>
      <c r="L16" s="333"/>
      <c r="M16" s="334"/>
    </row>
    <row r="17" spans="1:13" ht="14">
      <c r="B17" s="332"/>
      <c r="C17" s="333"/>
      <c r="D17" s="318" t="s">
        <v>809</v>
      </c>
      <c r="E17" s="319">
        <v>31987.816999999999</v>
      </c>
      <c r="F17" s="319"/>
      <c r="G17" s="319">
        <v>31987.816999999999</v>
      </c>
      <c r="H17" s="333" t="e">
        <f>+BG!#REF!</f>
        <v>#REF!</v>
      </c>
      <c r="I17" s="365"/>
      <c r="J17" s="365"/>
      <c r="K17" s="365"/>
      <c r="L17" s="333"/>
      <c r="M17" s="334"/>
    </row>
    <row r="18" spans="1:13" s="100" customFormat="1" ht="15" thickBot="1">
      <c r="A18" s="253"/>
      <c r="B18" s="366"/>
      <c r="C18" s="367"/>
      <c r="D18" s="322" t="s">
        <v>214</v>
      </c>
      <c r="E18" s="106">
        <v>7702936.1449999996</v>
      </c>
      <c r="F18" s="323"/>
      <c r="G18" s="106">
        <v>5628847.2300000004</v>
      </c>
      <c r="H18" s="367" t="e">
        <f>SUM(H9:H17)</f>
        <v>#REF!</v>
      </c>
      <c r="I18" s="368"/>
      <c r="J18" s="370">
        <f>E18-BG!E15</f>
        <v>0.14499999955296516</v>
      </c>
      <c r="K18" s="368">
        <f>G18-BG!G15</f>
        <v>0</v>
      </c>
      <c r="L18" s="367"/>
      <c r="M18" s="369"/>
    </row>
    <row r="19" spans="1:13" ht="15" thickTop="1">
      <c r="B19" s="332"/>
      <c r="C19" s="333"/>
      <c r="D19" s="318"/>
      <c r="E19" s="319"/>
      <c r="F19" s="319"/>
      <c r="G19" s="319"/>
      <c r="H19" s="333"/>
      <c r="I19" s="365"/>
      <c r="J19" s="365"/>
      <c r="K19" s="365"/>
      <c r="L19" s="333"/>
      <c r="M19" s="334"/>
    </row>
    <row r="20" spans="1:13" s="100" customFormat="1" ht="14">
      <c r="A20" s="253"/>
      <c r="B20" s="366"/>
      <c r="C20" s="367"/>
      <c r="D20" s="322" t="s">
        <v>764</v>
      </c>
      <c r="E20" s="323"/>
      <c r="F20" s="323"/>
      <c r="G20" s="323"/>
      <c r="H20" s="367"/>
      <c r="I20" s="368"/>
      <c r="J20" s="368"/>
      <c r="K20" s="368"/>
      <c r="L20" s="367"/>
      <c r="M20" s="369"/>
    </row>
    <row r="21" spans="1:13" s="100" customFormat="1" ht="14">
      <c r="A21" s="253"/>
      <c r="B21" s="366"/>
      <c r="C21" s="367"/>
      <c r="D21" s="318" t="s">
        <v>4738</v>
      </c>
      <c r="E21" s="319">
        <v>11591879.256999999</v>
      </c>
      <c r="F21" s="323"/>
      <c r="G21" s="319">
        <v>0</v>
      </c>
      <c r="H21" s="367"/>
      <c r="I21" s="368"/>
      <c r="J21" s="368"/>
      <c r="K21" s="368"/>
      <c r="L21" s="367"/>
      <c r="M21" s="369"/>
    </row>
    <row r="22" spans="1:13" ht="14">
      <c r="B22" s="332"/>
      <c r="C22" s="333"/>
      <c r="D22" s="318" t="s">
        <v>1550</v>
      </c>
      <c r="E22" s="319">
        <v>83839.282000000007</v>
      </c>
      <c r="F22" s="319"/>
      <c r="G22" s="319">
        <v>132053.57800000001</v>
      </c>
      <c r="H22" s="333">
        <v>0</v>
      </c>
      <c r="I22" s="365"/>
      <c r="J22" s="365"/>
      <c r="K22" s="365"/>
      <c r="L22" s="333"/>
      <c r="M22" s="334"/>
    </row>
    <row r="23" spans="1:13" s="100" customFormat="1" ht="15" thickBot="1">
      <c r="A23" s="253"/>
      <c r="B23" s="366"/>
      <c r="C23" s="367"/>
      <c r="D23" s="322" t="s">
        <v>214</v>
      </c>
      <c r="E23" s="106">
        <v>11675718.538999999</v>
      </c>
      <c r="F23" s="323"/>
      <c r="G23" s="106">
        <v>132053.57800000001</v>
      </c>
      <c r="H23" s="367">
        <f>SUM(H22:H22)</f>
        <v>0</v>
      </c>
      <c r="I23" s="368"/>
      <c r="J23" s="370">
        <f>E23-BG!E22</f>
        <v>-2.4610000010579824</v>
      </c>
      <c r="K23" s="368">
        <f>G23-BG!G22</f>
        <v>0</v>
      </c>
      <c r="L23" s="367"/>
      <c r="M23" s="369"/>
    </row>
    <row r="24" spans="1:13" ht="14" thickTop="1">
      <c r="B24" s="332"/>
      <c r="C24" s="333"/>
      <c r="D24" s="333"/>
      <c r="E24" s="333"/>
      <c r="F24" s="333"/>
      <c r="G24" s="333"/>
      <c r="H24" s="333"/>
      <c r="I24" s="365"/>
      <c r="J24" s="365"/>
      <c r="K24" s="365"/>
      <c r="L24" s="333"/>
      <c r="M24" s="334"/>
    </row>
    <row r="25" spans="1:13">
      <c r="B25" s="332"/>
      <c r="C25" s="333"/>
      <c r="D25" s="333"/>
      <c r="E25" s="333"/>
      <c r="F25" s="333"/>
      <c r="G25" s="333"/>
      <c r="H25" s="333"/>
      <c r="I25" s="365"/>
      <c r="J25" s="365"/>
      <c r="K25" s="365"/>
      <c r="L25" s="333"/>
      <c r="M25" s="334"/>
    </row>
    <row r="26" spans="1:13" ht="14" thickBot="1">
      <c r="B26" s="339"/>
      <c r="C26" s="341"/>
      <c r="D26" s="341"/>
      <c r="E26" s="341"/>
      <c r="F26" s="341"/>
      <c r="G26" s="341"/>
      <c r="H26" s="341"/>
      <c r="I26" s="371"/>
      <c r="J26" s="371"/>
      <c r="K26" s="371"/>
      <c r="L26" s="341"/>
      <c r="M26" s="342"/>
    </row>
    <row r="27" spans="1:13" ht="14" thickTop="1"/>
  </sheetData>
  <sortState xmlns:xlrd2="http://schemas.microsoft.com/office/spreadsheetml/2017/richdata2" ref="A10:M17">
    <sortCondition descending="1" ref="E10:E17"/>
  </sortState>
  <mergeCells count="1">
    <mergeCell ref="D3:G3"/>
  </mergeCells>
  <phoneticPr fontId="4"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641"/>
  <sheetViews>
    <sheetView topLeftCell="A460" workbookViewId="0">
      <selection activeCell="K476" sqref="K476"/>
    </sheetView>
  </sheetViews>
  <sheetFormatPr baseColWidth="10" defaultRowHeight="13"/>
  <cols>
    <col min="1" max="1" width="6.5" customWidth="1"/>
    <col min="2" max="2" width="7.83203125" customWidth="1"/>
    <col min="3" max="3" width="6.5" customWidth="1"/>
    <col min="4" max="4" width="12.6640625" customWidth="1"/>
    <col min="5" max="5" width="7.83203125" customWidth="1"/>
    <col min="6" max="6" width="5.5" customWidth="1"/>
    <col min="7" max="7" width="10" customWidth="1"/>
    <col min="8" max="8" width="22.5" customWidth="1"/>
    <col min="9" max="9" width="34.33203125" customWidth="1"/>
    <col min="10" max="10" width="5.1640625" customWidth="1"/>
    <col min="11" max="11" width="14.33203125" bestFit="1" customWidth="1"/>
    <col min="12" max="12" width="11.6640625" bestFit="1" customWidth="1"/>
    <col min="13" max="13" width="16.6640625" customWidth="1"/>
    <col min="14" max="14" width="16.1640625" customWidth="1"/>
  </cols>
  <sheetData>
    <row r="2" spans="1:14">
      <c r="A2">
        <v>1</v>
      </c>
      <c r="B2" t="s">
        <v>1101</v>
      </c>
      <c r="C2">
        <v>1</v>
      </c>
      <c r="D2" t="s">
        <v>1102</v>
      </c>
      <c r="E2" t="s">
        <v>1103</v>
      </c>
      <c r="F2">
        <v>2</v>
      </c>
      <c r="G2" t="s">
        <v>1104</v>
      </c>
      <c r="H2" t="s">
        <v>1105</v>
      </c>
      <c r="I2" t="s">
        <v>1106</v>
      </c>
      <c r="J2">
        <v>1</v>
      </c>
      <c r="K2">
        <v>31909082</v>
      </c>
      <c r="L2">
        <v>29541204</v>
      </c>
      <c r="M2">
        <v>61450286</v>
      </c>
      <c r="N2" t="s">
        <v>1551</v>
      </c>
    </row>
    <row r="3" spans="1:14">
      <c r="A3">
        <v>1</v>
      </c>
      <c r="B3" t="s">
        <v>1101</v>
      </c>
      <c r="C3">
        <v>1</v>
      </c>
      <c r="D3" t="s">
        <v>1102</v>
      </c>
      <c r="E3" t="s">
        <v>1103</v>
      </c>
      <c r="F3">
        <v>2</v>
      </c>
      <c r="G3" t="s">
        <v>1104</v>
      </c>
      <c r="H3" t="s">
        <v>1107</v>
      </c>
      <c r="I3" t="s">
        <v>1108</v>
      </c>
      <c r="J3">
        <v>1</v>
      </c>
      <c r="K3">
        <v>111715925</v>
      </c>
      <c r="L3">
        <v>5045579</v>
      </c>
      <c r="M3">
        <v>116761504</v>
      </c>
      <c r="N3" t="s">
        <v>1551</v>
      </c>
    </row>
    <row r="4" spans="1:14">
      <c r="A4">
        <v>1</v>
      </c>
      <c r="B4" t="s">
        <v>1101</v>
      </c>
      <c r="C4">
        <v>1</v>
      </c>
      <c r="D4" t="s">
        <v>1102</v>
      </c>
      <c r="E4" t="s">
        <v>1103</v>
      </c>
      <c r="F4">
        <v>2</v>
      </c>
      <c r="G4" t="s">
        <v>1104</v>
      </c>
      <c r="H4" t="s">
        <v>1109</v>
      </c>
      <c r="I4" t="s">
        <v>1110</v>
      </c>
      <c r="J4">
        <v>1</v>
      </c>
      <c r="K4">
        <v>80454545</v>
      </c>
      <c r="L4">
        <v>1013164</v>
      </c>
      <c r="M4">
        <v>81467709</v>
      </c>
      <c r="N4" t="s">
        <v>1551</v>
      </c>
    </row>
    <row r="5" spans="1:14">
      <c r="A5">
        <v>1</v>
      </c>
      <c r="B5" t="s">
        <v>1101</v>
      </c>
      <c r="C5">
        <v>1</v>
      </c>
      <c r="D5" t="s">
        <v>1102</v>
      </c>
      <c r="E5" t="s">
        <v>1103</v>
      </c>
      <c r="F5">
        <v>2</v>
      </c>
      <c r="G5" t="s">
        <v>1104</v>
      </c>
      <c r="H5" t="s">
        <v>1111</v>
      </c>
      <c r="I5" t="s">
        <v>1112</v>
      </c>
      <c r="J5">
        <v>1</v>
      </c>
      <c r="K5">
        <v>20029091</v>
      </c>
      <c r="L5">
        <v>727273</v>
      </c>
      <c r="M5">
        <v>20756364</v>
      </c>
      <c r="N5" t="s">
        <v>1551</v>
      </c>
    </row>
    <row r="6" spans="1:14">
      <c r="A6">
        <v>1</v>
      </c>
      <c r="B6" t="s">
        <v>1101</v>
      </c>
      <c r="C6">
        <v>1</v>
      </c>
      <c r="D6" t="s">
        <v>1102</v>
      </c>
      <c r="E6" t="s">
        <v>1103</v>
      </c>
      <c r="F6">
        <v>2</v>
      </c>
      <c r="G6" t="s">
        <v>1104</v>
      </c>
      <c r="H6" t="s">
        <v>1113</v>
      </c>
      <c r="I6" t="s">
        <v>1114</v>
      </c>
      <c r="J6">
        <v>1</v>
      </c>
      <c r="K6">
        <v>59362673</v>
      </c>
      <c r="L6">
        <v>26454545</v>
      </c>
      <c r="M6">
        <v>85817218</v>
      </c>
      <c r="N6" t="s">
        <v>1551</v>
      </c>
    </row>
    <row r="7" spans="1:14">
      <c r="A7">
        <v>1</v>
      </c>
      <c r="B7" t="s">
        <v>1101</v>
      </c>
      <c r="C7">
        <v>1</v>
      </c>
      <c r="D7" t="s">
        <v>1102</v>
      </c>
      <c r="E7" t="s">
        <v>1103</v>
      </c>
      <c r="F7">
        <v>2</v>
      </c>
      <c r="G7" t="s">
        <v>1104</v>
      </c>
      <c r="H7" t="s">
        <v>1115</v>
      </c>
      <c r="I7" t="s">
        <v>1116</v>
      </c>
      <c r="J7">
        <v>1</v>
      </c>
      <c r="K7">
        <v>15454545</v>
      </c>
      <c r="L7">
        <v>16836122</v>
      </c>
      <c r="M7">
        <v>32290667</v>
      </c>
      <c r="N7" t="s">
        <v>1551</v>
      </c>
    </row>
    <row r="8" spans="1:14">
      <c r="A8">
        <v>1</v>
      </c>
      <c r="B8" t="s">
        <v>1101</v>
      </c>
      <c r="C8">
        <v>2</v>
      </c>
      <c r="D8" t="s">
        <v>1117</v>
      </c>
      <c r="E8" t="s">
        <v>1103</v>
      </c>
      <c r="F8">
        <v>1</v>
      </c>
      <c r="G8" t="s">
        <v>1104</v>
      </c>
      <c r="H8" t="s">
        <v>1118</v>
      </c>
      <c r="I8" t="s">
        <v>1119</v>
      </c>
      <c r="J8">
        <v>-1</v>
      </c>
      <c r="K8">
        <v>0</v>
      </c>
      <c r="L8">
        <v>0</v>
      </c>
      <c r="M8">
        <v>0</v>
      </c>
      <c r="N8" t="s">
        <v>1551</v>
      </c>
    </row>
    <row r="9" spans="1:14">
      <c r="A9">
        <v>2</v>
      </c>
      <c r="B9" t="s">
        <v>1120</v>
      </c>
      <c r="C9">
        <v>1</v>
      </c>
      <c r="D9" t="s">
        <v>1102</v>
      </c>
      <c r="E9" t="s">
        <v>1103</v>
      </c>
      <c r="F9">
        <v>2</v>
      </c>
      <c r="G9" t="s">
        <v>1104</v>
      </c>
      <c r="H9" t="s">
        <v>1121</v>
      </c>
      <c r="I9" t="s">
        <v>1122</v>
      </c>
      <c r="J9">
        <v>1</v>
      </c>
      <c r="K9">
        <v>70554535</v>
      </c>
      <c r="M9">
        <v>70554535</v>
      </c>
      <c r="N9" t="s">
        <v>1551</v>
      </c>
    </row>
    <row r="10" spans="1:14">
      <c r="A10">
        <v>2</v>
      </c>
      <c r="B10" t="s">
        <v>1120</v>
      </c>
      <c r="C10">
        <v>32</v>
      </c>
      <c r="D10" t="s">
        <v>1123</v>
      </c>
      <c r="E10" t="s">
        <v>1103</v>
      </c>
      <c r="F10">
        <v>2</v>
      </c>
      <c r="G10" t="s">
        <v>1104</v>
      </c>
      <c r="H10" t="s">
        <v>1124</v>
      </c>
      <c r="I10" t="s">
        <v>1125</v>
      </c>
      <c r="J10">
        <v>1</v>
      </c>
      <c r="K10">
        <v>35454545</v>
      </c>
      <c r="L10">
        <v>5517727</v>
      </c>
      <c r="M10">
        <v>40972272</v>
      </c>
      <c r="N10" t="s">
        <v>1551</v>
      </c>
    </row>
    <row r="11" spans="1:14">
      <c r="A11">
        <v>3</v>
      </c>
      <c r="B11" t="s">
        <v>1126</v>
      </c>
      <c r="C11">
        <v>1</v>
      </c>
      <c r="D11" t="s">
        <v>1102</v>
      </c>
      <c r="E11" t="s">
        <v>1103</v>
      </c>
      <c r="F11">
        <v>1</v>
      </c>
      <c r="G11" t="s">
        <v>1127</v>
      </c>
      <c r="H11" t="s">
        <v>1128</v>
      </c>
      <c r="I11" t="s">
        <v>1129</v>
      </c>
      <c r="J11">
        <v>1</v>
      </c>
      <c r="K11">
        <v>99090897</v>
      </c>
      <c r="L11">
        <v>707318</v>
      </c>
      <c r="M11">
        <v>99798215</v>
      </c>
      <c r="N11" t="s">
        <v>1508</v>
      </c>
    </row>
    <row r="12" spans="1:14">
      <c r="A12">
        <v>3</v>
      </c>
      <c r="B12" t="s">
        <v>1126</v>
      </c>
      <c r="C12">
        <v>1</v>
      </c>
      <c r="D12" t="s">
        <v>1102</v>
      </c>
      <c r="E12" t="s">
        <v>1103</v>
      </c>
      <c r="F12">
        <v>1</v>
      </c>
      <c r="G12" t="s">
        <v>1127</v>
      </c>
      <c r="H12" t="s">
        <v>1130</v>
      </c>
      <c r="I12" t="s">
        <v>1131</v>
      </c>
      <c r="J12">
        <v>1</v>
      </c>
      <c r="K12">
        <v>224288694</v>
      </c>
      <c r="M12">
        <v>224288694</v>
      </c>
      <c r="N12" t="s">
        <v>1505</v>
      </c>
    </row>
    <row r="13" spans="1:14">
      <c r="A13">
        <v>3</v>
      </c>
      <c r="B13" t="s">
        <v>1126</v>
      </c>
      <c r="C13">
        <v>1</v>
      </c>
      <c r="D13" t="s">
        <v>1102</v>
      </c>
      <c r="E13" t="s">
        <v>1103</v>
      </c>
      <c r="F13">
        <v>1</v>
      </c>
      <c r="G13" t="s">
        <v>1127</v>
      </c>
      <c r="H13" t="s">
        <v>1132</v>
      </c>
      <c r="I13" t="s">
        <v>1133</v>
      </c>
      <c r="J13">
        <v>1</v>
      </c>
      <c r="K13">
        <v>224288694</v>
      </c>
      <c r="M13">
        <v>224288694</v>
      </c>
      <c r="N13" t="s">
        <v>1505</v>
      </c>
    </row>
    <row r="14" spans="1:14">
      <c r="A14">
        <v>3</v>
      </c>
      <c r="B14" t="s">
        <v>1126</v>
      </c>
      <c r="C14">
        <v>1</v>
      </c>
      <c r="D14" t="s">
        <v>1102</v>
      </c>
      <c r="E14" t="s">
        <v>1103</v>
      </c>
      <c r="F14">
        <v>1</v>
      </c>
      <c r="G14" t="s">
        <v>1127</v>
      </c>
      <c r="H14" t="s">
        <v>1134</v>
      </c>
      <c r="I14" t="s">
        <v>1135</v>
      </c>
      <c r="J14">
        <v>1</v>
      </c>
      <c r="K14">
        <v>227711412</v>
      </c>
      <c r="M14">
        <v>227711412</v>
      </c>
      <c r="N14" t="s">
        <v>1505</v>
      </c>
    </row>
    <row r="15" spans="1:14">
      <c r="A15">
        <v>3</v>
      </c>
      <c r="B15" t="s">
        <v>1126</v>
      </c>
      <c r="C15">
        <v>1</v>
      </c>
      <c r="D15" t="s">
        <v>1102</v>
      </c>
      <c r="E15" t="s">
        <v>1103</v>
      </c>
      <c r="F15">
        <v>1</v>
      </c>
      <c r="G15" t="s">
        <v>1127</v>
      </c>
      <c r="H15" t="s">
        <v>1136</v>
      </c>
      <c r="I15" t="s">
        <v>1137</v>
      </c>
      <c r="J15">
        <v>1</v>
      </c>
      <c r="K15">
        <v>207495600</v>
      </c>
      <c r="M15">
        <v>207495600</v>
      </c>
      <c r="N15" t="s">
        <v>1505</v>
      </c>
    </row>
    <row r="16" spans="1:14">
      <c r="A16">
        <v>3</v>
      </c>
      <c r="B16" t="s">
        <v>1126</v>
      </c>
      <c r="C16">
        <v>1</v>
      </c>
      <c r="D16" t="s">
        <v>1102</v>
      </c>
      <c r="E16" t="s">
        <v>1103</v>
      </c>
      <c r="F16">
        <v>1</v>
      </c>
      <c r="G16" t="s">
        <v>1127</v>
      </c>
      <c r="H16" t="s">
        <v>1138</v>
      </c>
      <c r="I16" t="s">
        <v>1139</v>
      </c>
      <c r="J16">
        <v>1</v>
      </c>
      <c r="K16">
        <v>207495600</v>
      </c>
      <c r="L16">
        <v>2682182</v>
      </c>
      <c r="M16">
        <v>210177782</v>
      </c>
      <c r="N16" t="s">
        <v>1505</v>
      </c>
    </row>
    <row r="17" spans="1:14">
      <c r="A17">
        <v>3</v>
      </c>
      <c r="B17" t="s">
        <v>1126</v>
      </c>
      <c r="C17">
        <v>1</v>
      </c>
      <c r="D17" t="s">
        <v>1102</v>
      </c>
      <c r="E17" t="s">
        <v>1103</v>
      </c>
      <c r="F17">
        <v>1</v>
      </c>
      <c r="G17" t="s">
        <v>1127</v>
      </c>
      <c r="H17" t="s">
        <v>1140</v>
      </c>
      <c r="I17" t="s">
        <v>1141</v>
      </c>
      <c r="J17">
        <v>1</v>
      </c>
      <c r="K17">
        <v>187885320</v>
      </c>
      <c r="L17">
        <v>998795</v>
      </c>
      <c r="M17">
        <v>188884115</v>
      </c>
      <c r="N17" t="s">
        <v>1505</v>
      </c>
    </row>
    <row r="18" spans="1:14">
      <c r="A18">
        <v>3</v>
      </c>
      <c r="B18" t="s">
        <v>1126</v>
      </c>
      <c r="C18">
        <v>1</v>
      </c>
      <c r="D18" t="s">
        <v>1102</v>
      </c>
      <c r="E18" t="s">
        <v>1103</v>
      </c>
      <c r="F18">
        <v>1</v>
      </c>
      <c r="G18" t="s">
        <v>1127</v>
      </c>
      <c r="H18" t="s">
        <v>1142</v>
      </c>
      <c r="I18" t="s">
        <v>1143</v>
      </c>
      <c r="J18">
        <v>1</v>
      </c>
      <c r="K18">
        <v>187885320</v>
      </c>
      <c r="L18">
        <v>625523</v>
      </c>
      <c r="M18">
        <v>188510843</v>
      </c>
      <c r="N18" t="s">
        <v>1505</v>
      </c>
    </row>
    <row r="19" spans="1:14">
      <c r="A19">
        <v>3</v>
      </c>
      <c r="B19" t="s">
        <v>1126</v>
      </c>
      <c r="C19">
        <v>1</v>
      </c>
      <c r="D19" t="s">
        <v>1102</v>
      </c>
      <c r="E19" t="s">
        <v>1103</v>
      </c>
      <c r="F19">
        <v>1</v>
      </c>
      <c r="G19" t="s">
        <v>1127</v>
      </c>
      <c r="H19" t="s">
        <v>1144</v>
      </c>
      <c r="I19" t="s">
        <v>1145</v>
      </c>
      <c r="J19">
        <v>1</v>
      </c>
      <c r="K19">
        <v>187885320</v>
      </c>
      <c r="L19">
        <v>616023</v>
      </c>
      <c r="M19">
        <v>188501343</v>
      </c>
      <c r="N19" t="s">
        <v>1505</v>
      </c>
    </row>
    <row r="20" spans="1:14">
      <c r="A20">
        <v>3</v>
      </c>
      <c r="B20" t="s">
        <v>1126</v>
      </c>
      <c r="C20">
        <v>1</v>
      </c>
      <c r="D20" t="s">
        <v>1102</v>
      </c>
      <c r="E20" t="s">
        <v>1103</v>
      </c>
      <c r="F20">
        <v>1</v>
      </c>
      <c r="G20" t="s">
        <v>1127</v>
      </c>
      <c r="H20" t="s">
        <v>1146</v>
      </c>
      <c r="I20" t="s">
        <v>1147</v>
      </c>
      <c r="J20">
        <v>1</v>
      </c>
      <c r="K20">
        <v>187885320</v>
      </c>
      <c r="L20">
        <v>466355</v>
      </c>
      <c r="M20">
        <v>188351675</v>
      </c>
      <c r="N20" t="s">
        <v>1505</v>
      </c>
    </row>
    <row r="21" spans="1:14">
      <c r="A21">
        <v>3</v>
      </c>
      <c r="B21" t="s">
        <v>1126</v>
      </c>
      <c r="C21">
        <v>1</v>
      </c>
      <c r="D21" t="s">
        <v>1102</v>
      </c>
      <c r="E21" t="s">
        <v>1103</v>
      </c>
      <c r="F21">
        <v>1</v>
      </c>
      <c r="G21" t="s">
        <v>1127</v>
      </c>
      <c r="H21" t="s">
        <v>1148</v>
      </c>
      <c r="I21" t="s">
        <v>1147</v>
      </c>
      <c r="J21">
        <v>1</v>
      </c>
      <c r="K21">
        <v>187885320</v>
      </c>
      <c r="M21">
        <v>187885320</v>
      </c>
      <c r="N21" t="s">
        <v>1505</v>
      </c>
    </row>
    <row r="22" spans="1:14">
      <c r="A22">
        <v>3</v>
      </c>
      <c r="B22" t="s">
        <v>1126</v>
      </c>
      <c r="C22">
        <v>1</v>
      </c>
      <c r="D22" t="s">
        <v>1102</v>
      </c>
      <c r="E22" t="s">
        <v>1103</v>
      </c>
      <c r="F22">
        <v>1</v>
      </c>
      <c r="G22" t="s">
        <v>1127</v>
      </c>
      <c r="H22" t="s">
        <v>1149</v>
      </c>
      <c r="I22" t="s">
        <v>1145</v>
      </c>
      <c r="J22">
        <v>1</v>
      </c>
      <c r="K22">
        <v>187885320</v>
      </c>
      <c r="M22">
        <v>187885320</v>
      </c>
      <c r="N22" t="s">
        <v>1505</v>
      </c>
    </row>
    <row r="23" spans="1:14">
      <c r="A23">
        <v>3</v>
      </c>
      <c r="B23" t="s">
        <v>1126</v>
      </c>
      <c r="C23">
        <v>1</v>
      </c>
      <c r="D23" t="s">
        <v>1102</v>
      </c>
      <c r="E23" t="s">
        <v>1103</v>
      </c>
      <c r="F23">
        <v>1</v>
      </c>
      <c r="G23" t="s">
        <v>1127</v>
      </c>
      <c r="H23" t="s">
        <v>1150</v>
      </c>
      <c r="I23" t="s">
        <v>1151</v>
      </c>
      <c r="J23">
        <v>1</v>
      </c>
      <c r="K23">
        <v>184887150</v>
      </c>
      <c r="M23">
        <v>184887150</v>
      </c>
      <c r="N23" t="s">
        <v>1505</v>
      </c>
    </row>
    <row r="24" spans="1:14">
      <c r="A24">
        <v>3</v>
      </c>
      <c r="B24" t="s">
        <v>1126</v>
      </c>
      <c r="C24">
        <v>1</v>
      </c>
      <c r="D24" t="s">
        <v>1102</v>
      </c>
      <c r="E24" t="s">
        <v>1103</v>
      </c>
      <c r="F24">
        <v>1</v>
      </c>
      <c r="G24" t="s">
        <v>1127</v>
      </c>
      <c r="H24" t="s">
        <v>1152</v>
      </c>
      <c r="I24" t="s">
        <v>1153</v>
      </c>
      <c r="J24">
        <v>1</v>
      </c>
      <c r="K24">
        <v>204184500</v>
      </c>
      <c r="L24">
        <v>1411255</v>
      </c>
      <c r="M24">
        <v>205595755</v>
      </c>
      <c r="N24" t="s">
        <v>1505</v>
      </c>
    </row>
    <row r="25" spans="1:14">
      <c r="A25">
        <v>3</v>
      </c>
      <c r="B25" t="s">
        <v>1126</v>
      </c>
      <c r="C25">
        <v>1</v>
      </c>
      <c r="D25" t="s">
        <v>1102</v>
      </c>
      <c r="E25" t="s">
        <v>1103</v>
      </c>
      <c r="F25">
        <v>1</v>
      </c>
      <c r="G25" t="s">
        <v>1127</v>
      </c>
      <c r="H25" t="s">
        <v>1154</v>
      </c>
      <c r="I25" t="s">
        <v>1155</v>
      </c>
      <c r="J25">
        <v>1</v>
      </c>
      <c r="K25">
        <v>204184500</v>
      </c>
      <c r="M25">
        <v>204184500</v>
      </c>
      <c r="N25" t="s">
        <v>1505</v>
      </c>
    </row>
    <row r="26" spans="1:14">
      <c r="A26">
        <v>3</v>
      </c>
      <c r="B26" t="s">
        <v>1126</v>
      </c>
      <c r="C26">
        <v>1</v>
      </c>
      <c r="D26" t="s">
        <v>1102</v>
      </c>
      <c r="E26" t="s">
        <v>1103</v>
      </c>
      <c r="F26">
        <v>1</v>
      </c>
      <c r="G26" t="s">
        <v>1127</v>
      </c>
      <c r="H26" t="s">
        <v>1156</v>
      </c>
      <c r="I26" t="s">
        <v>1151</v>
      </c>
      <c r="J26">
        <v>1</v>
      </c>
      <c r="K26">
        <v>184887150</v>
      </c>
      <c r="L26">
        <v>294409</v>
      </c>
      <c r="M26">
        <v>185181559</v>
      </c>
      <c r="N26" t="s">
        <v>1505</v>
      </c>
    </row>
    <row r="27" spans="1:14">
      <c r="A27">
        <v>3</v>
      </c>
      <c r="B27" t="s">
        <v>1126</v>
      </c>
      <c r="C27">
        <v>1</v>
      </c>
      <c r="D27" t="s">
        <v>1102</v>
      </c>
      <c r="E27" t="s">
        <v>1103</v>
      </c>
      <c r="F27">
        <v>1</v>
      </c>
      <c r="G27" t="s">
        <v>1127</v>
      </c>
      <c r="H27" t="s">
        <v>1157</v>
      </c>
      <c r="I27" t="s">
        <v>1158</v>
      </c>
      <c r="J27">
        <v>1</v>
      </c>
      <c r="K27">
        <v>72301680</v>
      </c>
      <c r="L27">
        <v>5554546</v>
      </c>
      <c r="M27">
        <v>77856226</v>
      </c>
      <c r="N27" t="s">
        <v>1507</v>
      </c>
    </row>
    <row r="28" spans="1:14">
      <c r="A28">
        <v>3</v>
      </c>
      <c r="B28" t="s">
        <v>1126</v>
      </c>
      <c r="C28">
        <v>1</v>
      </c>
      <c r="D28" t="s">
        <v>1102</v>
      </c>
      <c r="E28" t="s">
        <v>1103</v>
      </c>
      <c r="F28">
        <v>1</v>
      </c>
      <c r="G28" t="s">
        <v>1127</v>
      </c>
      <c r="H28" t="s">
        <v>1159</v>
      </c>
      <c r="I28" t="s">
        <v>1160</v>
      </c>
      <c r="J28">
        <v>1</v>
      </c>
      <c r="K28">
        <v>223481850</v>
      </c>
      <c r="L28">
        <v>242886</v>
      </c>
      <c r="M28">
        <v>223724736</v>
      </c>
      <c r="N28" t="s">
        <v>1505</v>
      </c>
    </row>
    <row r="29" spans="1:14">
      <c r="A29">
        <v>3</v>
      </c>
      <c r="B29" t="s">
        <v>1126</v>
      </c>
      <c r="C29">
        <v>1</v>
      </c>
      <c r="D29" t="s">
        <v>1102</v>
      </c>
      <c r="E29" t="s">
        <v>1103</v>
      </c>
      <c r="F29">
        <v>1</v>
      </c>
      <c r="G29" t="s">
        <v>1127</v>
      </c>
      <c r="H29" t="s">
        <v>1161</v>
      </c>
      <c r="I29" t="s">
        <v>1162</v>
      </c>
      <c r="J29">
        <v>1</v>
      </c>
      <c r="K29">
        <v>151231860</v>
      </c>
      <c r="M29">
        <v>151231860</v>
      </c>
      <c r="N29" t="s">
        <v>1505</v>
      </c>
    </row>
    <row r="30" spans="1:14">
      <c r="A30">
        <v>3</v>
      </c>
      <c r="B30" t="s">
        <v>1126</v>
      </c>
      <c r="C30">
        <v>1</v>
      </c>
      <c r="D30" t="s">
        <v>1102</v>
      </c>
      <c r="E30" t="s">
        <v>1103</v>
      </c>
      <c r="F30">
        <v>1</v>
      </c>
      <c r="G30" t="s">
        <v>1127</v>
      </c>
      <c r="H30" t="s">
        <v>1163</v>
      </c>
      <c r="I30" t="s">
        <v>1162</v>
      </c>
      <c r="J30">
        <v>1</v>
      </c>
      <c r="K30">
        <v>151231860</v>
      </c>
      <c r="M30">
        <v>151231860</v>
      </c>
      <c r="N30" t="s">
        <v>1505</v>
      </c>
    </row>
    <row r="31" spans="1:14">
      <c r="A31">
        <v>3</v>
      </c>
      <c r="B31" t="s">
        <v>1126</v>
      </c>
      <c r="C31">
        <v>1</v>
      </c>
      <c r="D31" t="s">
        <v>1102</v>
      </c>
      <c r="E31" t="s">
        <v>1103</v>
      </c>
      <c r="F31">
        <v>1</v>
      </c>
      <c r="G31" t="s">
        <v>1127</v>
      </c>
      <c r="H31" t="s">
        <v>1164</v>
      </c>
      <c r="I31" t="s">
        <v>1165</v>
      </c>
      <c r="J31">
        <v>1</v>
      </c>
      <c r="K31">
        <v>192216010</v>
      </c>
      <c r="M31">
        <v>192216010</v>
      </c>
      <c r="N31" t="s">
        <v>1505</v>
      </c>
    </row>
    <row r="32" spans="1:14">
      <c r="A32">
        <v>3</v>
      </c>
      <c r="B32" t="s">
        <v>1126</v>
      </c>
      <c r="C32">
        <v>1</v>
      </c>
      <c r="D32" t="s">
        <v>1102</v>
      </c>
      <c r="E32" t="s">
        <v>1103</v>
      </c>
      <c r="F32">
        <v>1</v>
      </c>
      <c r="G32" t="s">
        <v>1127</v>
      </c>
      <c r="H32" t="s">
        <v>1166</v>
      </c>
      <c r="I32" t="s">
        <v>1165</v>
      </c>
      <c r="J32">
        <v>1</v>
      </c>
      <c r="K32">
        <v>192216010</v>
      </c>
      <c r="M32">
        <v>192216010</v>
      </c>
      <c r="N32" t="s">
        <v>1505</v>
      </c>
    </row>
    <row r="33" spans="1:14">
      <c r="A33">
        <v>3</v>
      </c>
      <c r="B33" t="s">
        <v>1126</v>
      </c>
      <c r="C33">
        <v>1</v>
      </c>
      <c r="D33" t="s">
        <v>1102</v>
      </c>
      <c r="E33" t="s">
        <v>1103</v>
      </c>
      <c r="F33">
        <v>1</v>
      </c>
      <c r="G33" t="s">
        <v>1127</v>
      </c>
      <c r="H33" t="s">
        <v>1167</v>
      </c>
      <c r="I33" t="s">
        <v>1147</v>
      </c>
      <c r="J33">
        <v>1</v>
      </c>
      <c r="K33">
        <v>192216010</v>
      </c>
      <c r="M33">
        <v>192216010</v>
      </c>
      <c r="N33" t="s">
        <v>1505</v>
      </c>
    </row>
    <row r="34" spans="1:14">
      <c r="A34">
        <v>3</v>
      </c>
      <c r="B34" t="s">
        <v>1126</v>
      </c>
      <c r="C34">
        <v>1</v>
      </c>
      <c r="D34" t="s">
        <v>1102</v>
      </c>
      <c r="E34" t="s">
        <v>1103</v>
      </c>
      <c r="F34">
        <v>1</v>
      </c>
      <c r="G34" t="s">
        <v>1127</v>
      </c>
      <c r="H34" t="s">
        <v>1168</v>
      </c>
      <c r="I34" t="s">
        <v>1151</v>
      </c>
      <c r="J34">
        <v>1</v>
      </c>
      <c r="K34">
        <v>192216010</v>
      </c>
      <c r="M34">
        <v>192216010</v>
      </c>
      <c r="N34" t="s">
        <v>1505</v>
      </c>
    </row>
    <row r="35" spans="1:14">
      <c r="A35">
        <v>3</v>
      </c>
      <c r="B35" t="s">
        <v>1126</v>
      </c>
      <c r="C35">
        <v>1</v>
      </c>
      <c r="D35" t="s">
        <v>1102</v>
      </c>
      <c r="E35" t="s">
        <v>1103</v>
      </c>
      <c r="F35">
        <v>1</v>
      </c>
      <c r="G35" t="s">
        <v>1127</v>
      </c>
      <c r="H35" t="s">
        <v>1169</v>
      </c>
      <c r="I35" t="s">
        <v>1147</v>
      </c>
      <c r="J35">
        <v>1</v>
      </c>
      <c r="K35">
        <v>192549140</v>
      </c>
      <c r="M35">
        <v>192549140</v>
      </c>
      <c r="N35" t="s">
        <v>1505</v>
      </c>
    </row>
    <row r="36" spans="1:14">
      <c r="A36">
        <v>3</v>
      </c>
      <c r="B36" t="s">
        <v>1126</v>
      </c>
      <c r="C36">
        <v>1</v>
      </c>
      <c r="D36" t="s">
        <v>1102</v>
      </c>
      <c r="E36" t="s">
        <v>1103</v>
      </c>
      <c r="F36">
        <v>1</v>
      </c>
      <c r="G36" t="s">
        <v>1127</v>
      </c>
      <c r="H36" t="s">
        <v>1170</v>
      </c>
      <c r="I36" t="s">
        <v>1165</v>
      </c>
      <c r="J36">
        <v>1</v>
      </c>
      <c r="K36">
        <v>192549140</v>
      </c>
      <c r="M36">
        <v>192549140</v>
      </c>
      <c r="N36" t="s">
        <v>1505</v>
      </c>
    </row>
    <row r="37" spans="1:14">
      <c r="A37">
        <v>3</v>
      </c>
      <c r="B37" t="s">
        <v>1126</v>
      </c>
      <c r="C37">
        <v>1</v>
      </c>
      <c r="D37" t="s">
        <v>1102</v>
      </c>
      <c r="E37" t="s">
        <v>1103</v>
      </c>
      <c r="F37">
        <v>1</v>
      </c>
      <c r="G37" t="s">
        <v>1127</v>
      </c>
      <c r="H37" t="s">
        <v>1171</v>
      </c>
      <c r="I37" t="s">
        <v>1172</v>
      </c>
      <c r="J37">
        <v>1</v>
      </c>
      <c r="K37">
        <v>171051800</v>
      </c>
      <c r="L37">
        <v>723611</v>
      </c>
      <c r="M37">
        <v>171775411</v>
      </c>
      <c r="N37" t="s">
        <v>1505</v>
      </c>
    </row>
    <row r="38" spans="1:14">
      <c r="A38">
        <v>3</v>
      </c>
      <c r="B38" t="s">
        <v>1126</v>
      </c>
      <c r="C38">
        <v>1</v>
      </c>
      <c r="D38" t="s">
        <v>1102</v>
      </c>
      <c r="E38" t="s">
        <v>1103</v>
      </c>
      <c r="F38">
        <v>1</v>
      </c>
      <c r="G38" t="s">
        <v>1127</v>
      </c>
      <c r="H38" t="s">
        <v>1173</v>
      </c>
      <c r="I38" t="s">
        <v>1174</v>
      </c>
      <c r="J38">
        <v>1</v>
      </c>
      <c r="K38">
        <v>179216970</v>
      </c>
      <c r="M38">
        <v>179216970</v>
      </c>
      <c r="N38" t="s">
        <v>1505</v>
      </c>
    </row>
    <row r="39" spans="1:14">
      <c r="A39">
        <v>3</v>
      </c>
      <c r="B39" t="s">
        <v>1126</v>
      </c>
      <c r="C39">
        <v>1</v>
      </c>
      <c r="D39" t="s">
        <v>1102</v>
      </c>
      <c r="E39" t="s">
        <v>1103</v>
      </c>
      <c r="F39">
        <v>1</v>
      </c>
      <c r="G39" t="s">
        <v>1127</v>
      </c>
      <c r="H39" t="s">
        <v>1175</v>
      </c>
      <c r="I39" t="s">
        <v>1176</v>
      </c>
      <c r="J39">
        <v>1</v>
      </c>
      <c r="K39">
        <v>171051800</v>
      </c>
      <c r="M39">
        <v>171051800</v>
      </c>
      <c r="N39" t="s">
        <v>1505</v>
      </c>
    </row>
    <row r="40" spans="1:14">
      <c r="A40">
        <v>3</v>
      </c>
      <c r="B40" t="s">
        <v>1126</v>
      </c>
      <c r="C40">
        <v>1</v>
      </c>
      <c r="D40" t="s">
        <v>1102</v>
      </c>
      <c r="E40" t="s">
        <v>1103</v>
      </c>
      <c r="F40">
        <v>1</v>
      </c>
      <c r="G40" t="s">
        <v>1127</v>
      </c>
      <c r="H40" t="s">
        <v>1177</v>
      </c>
      <c r="I40" t="s">
        <v>1178</v>
      </c>
      <c r="J40">
        <v>1</v>
      </c>
      <c r="K40">
        <v>149614560</v>
      </c>
      <c r="M40">
        <v>149614560</v>
      </c>
      <c r="N40" t="s">
        <v>1508</v>
      </c>
    </row>
    <row r="41" spans="1:14">
      <c r="A41">
        <v>3</v>
      </c>
      <c r="B41" t="s">
        <v>1126</v>
      </c>
      <c r="C41">
        <v>1</v>
      </c>
      <c r="D41" t="s">
        <v>1102</v>
      </c>
      <c r="E41" t="s">
        <v>1103</v>
      </c>
      <c r="F41">
        <v>1</v>
      </c>
      <c r="G41" t="s">
        <v>1127</v>
      </c>
      <c r="H41" t="s">
        <v>1179</v>
      </c>
      <c r="I41" t="s">
        <v>1180</v>
      </c>
      <c r="J41">
        <v>1</v>
      </c>
      <c r="K41">
        <v>245365620</v>
      </c>
      <c r="M41">
        <v>245365620</v>
      </c>
      <c r="N41" t="s">
        <v>1505</v>
      </c>
    </row>
    <row r="42" spans="1:14">
      <c r="A42">
        <v>3</v>
      </c>
      <c r="B42" t="s">
        <v>1126</v>
      </c>
      <c r="C42">
        <v>1</v>
      </c>
      <c r="D42" t="s">
        <v>1102</v>
      </c>
      <c r="E42" t="s">
        <v>1103</v>
      </c>
      <c r="F42">
        <v>1</v>
      </c>
      <c r="G42" t="s">
        <v>1127</v>
      </c>
      <c r="H42" t="s">
        <v>1181</v>
      </c>
      <c r="I42" t="s">
        <v>1182</v>
      </c>
      <c r="J42">
        <v>1</v>
      </c>
      <c r="K42">
        <v>171051800</v>
      </c>
      <c r="L42">
        <v>445334</v>
      </c>
      <c r="M42">
        <v>171497134</v>
      </c>
      <c r="N42" t="s">
        <v>1505</v>
      </c>
    </row>
    <row r="43" spans="1:14">
      <c r="A43">
        <v>3</v>
      </c>
      <c r="B43" t="s">
        <v>1126</v>
      </c>
      <c r="C43">
        <v>1</v>
      </c>
      <c r="D43" t="s">
        <v>1102</v>
      </c>
      <c r="E43" t="s">
        <v>1103</v>
      </c>
      <c r="F43">
        <v>1</v>
      </c>
      <c r="G43" t="s">
        <v>1127</v>
      </c>
      <c r="H43" t="s">
        <v>1183</v>
      </c>
      <c r="I43" t="s">
        <v>1147</v>
      </c>
      <c r="J43">
        <v>1</v>
      </c>
      <c r="K43">
        <v>195214180</v>
      </c>
      <c r="M43">
        <v>195214180</v>
      </c>
      <c r="N43" t="s">
        <v>1505</v>
      </c>
    </row>
    <row r="44" spans="1:14">
      <c r="A44">
        <v>3</v>
      </c>
      <c r="B44" t="s">
        <v>1126</v>
      </c>
      <c r="C44">
        <v>1</v>
      </c>
      <c r="D44" t="s">
        <v>1102</v>
      </c>
      <c r="E44" t="s">
        <v>1103</v>
      </c>
      <c r="F44">
        <v>1</v>
      </c>
      <c r="G44" t="s">
        <v>1127</v>
      </c>
      <c r="H44" t="s">
        <v>1184</v>
      </c>
      <c r="I44" t="s">
        <v>1185</v>
      </c>
      <c r="J44">
        <v>1</v>
      </c>
      <c r="K44">
        <v>143274960</v>
      </c>
      <c r="M44">
        <v>143274960</v>
      </c>
      <c r="N44" t="s">
        <v>1508</v>
      </c>
    </row>
    <row r="45" spans="1:14">
      <c r="A45">
        <v>3</v>
      </c>
      <c r="B45" t="s">
        <v>1126</v>
      </c>
      <c r="C45">
        <v>1</v>
      </c>
      <c r="D45" t="s">
        <v>1102</v>
      </c>
      <c r="E45" t="s">
        <v>1103</v>
      </c>
      <c r="F45">
        <v>1</v>
      </c>
      <c r="G45" t="s">
        <v>1127</v>
      </c>
      <c r="H45" t="s">
        <v>1186</v>
      </c>
      <c r="I45" t="s">
        <v>1187</v>
      </c>
      <c r="J45">
        <v>1</v>
      </c>
      <c r="K45">
        <v>149614560</v>
      </c>
      <c r="M45">
        <v>149614560</v>
      </c>
      <c r="N45" t="s">
        <v>1508</v>
      </c>
    </row>
    <row r="46" spans="1:14">
      <c r="A46">
        <v>3</v>
      </c>
      <c r="B46" t="s">
        <v>1126</v>
      </c>
      <c r="C46">
        <v>1</v>
      </c>
      <c r="D46" t="s">
        <v>1102</v>
      </c>
      <c r="E46" t="s">
        <v>1103</v>
      </c>
      <c r="F46">
        <v>1</v>
      </c>
      <c r="G46" t="s">
        <v>1127</v>
      </c>
      <c r="H46" t="s">
        <v>1188</v>
      </c>
      <c r="I46" t="s">
        <v>1189</v>
      </c>
      <c r="J46">
        <v>1</v>
      </c>
      <c r="K46">
        <v>149614560</v>
      </c>
      <c r="M46">
        <v>149614560</v>
      </c>
      <c r="N46" t="s">
        <v>1508</v>
      </c>
    </row>
    <row r="47" spans="1:14">
      <c r="A47">
        <v>3</v>
      </c>
      <c r="B47" t="s">
        <v>1126</v>
      </c>
      <c r="C47">
        <v>1</v>
      </c>
      <c r="D47" t="s">
        <v>1102</v>
      </c>
      <c r="E47" t="s">
        <v>1103</v>
      </c>
      <c r="F47">
        <v>1</v>
      </c>
      <c r="G47" t="s">
        <v>1127</v>
      </c>
      <c r="H47" t="s">
        <v>1190</v>
      </c>
      <c r="I47" t="s">
        <v>1191</v>
      </c>
      <c r="J47">
        <v>1</v>
      </c>
      <c r="K47">
        <v>136935360</v>
      </c>
      <c r="M47">
        <v>136935360</v>
      </c>
      <c r="N47" t="s">
        <v>1508</v>
      </c>
    </row>
    <row r="48" spans="1:14">
      <c r="A48">
        <v>3</v>
      </c>
      <c r="B48" t="s">
        <v>1126</v>
      </c>
      <c r="C48">
        <v>1</v>
      </c>
      <c r="D48" t="s">
        <v>1102</v>
      </c>
      <c r="E48" t="s">
        <v>1103</v>
      </c>
      <c r="F48">
        <v>1</v>
      </c>
      <c r="G48" t="s">
        <v>1127</v>
      </c>
      <c r="H48" t="s">
        <v>1192</v>
      </c>
      <c r="I48" t="s">
        <v>1193</v>
      </c>
      <c r="J48">
        <v>1</v>
      </c>
      <c r="K48">
        <v>143274960</v>
      </c>
      <c r="M48">
        <v>143274960</v>
      </c>
      <c r="N48" t="s">
        <v>1508</v>
      </c>
    </row>
    <row r="49" spans="1:14">
      <c r="A49">
        <v>3</v>
      </c>
      <c r="B49" t="s">
        <v>1126</v>
      </c>
      <c r="C49">
        <v>1</v>
      </c>
      <c r="D49" t="s">
        <v>1102</v>
      </c>
      <c r="E49" t="s">
        <v>1103</v>
      </c>
      <c r="F49">
        <v>1</v>
      </c>
      <c r="G49" t="s">
        <v>1127</v>
      </c>
      <c r="H49" t="s">
        <v>1194</v>
      </c>
      <c r="I49" t="s">
        <v>1193</v>
      </c>
      <c r="J49">
        <v>1</v>
      </c>
      <c r="K49">
        <v>143274960</v>
      </c>
      <c r="M49">
        <v>143274960</v>
      </c>
      <c r="N49" t="s">
        <v>1508</v>
      </c>
    </row>
    <row r="50" spans="1:14">
      <c r="A50">
        <v>3</v>
      </c>
      <c r="B50" t="s">
        <v>1126</v>
      </c>
      <c r="C50">
        <v>1</v>
      </c>
      <c r="D50" t="s">
        <v>1102</v>
      </c>
      <c r="E50" t="s">
        <v>1103</v>
      </c>
      <c r="F50">
        <v>1</v>
      </c>
      <c r="G50" t="s">
        <v>1127</v>
      </c>
      <c r="H50" t="s">
        <v>1195</v>
      </c>
      <c r="I50" t="s">
        <v>1193</v>
      </c>
      <c r="J50">
        <v>1</v>
      </c>
      <c r="K50">
        <v>143274960</v>
      </c>
      <c r="M50">
        <v>143274960</v>
      </c>
      <c r="N50" t="s">
        <v>1508</v>
      </c>
    </row>
    <row r="51" spans="1:14">
      <c r="A51">
        <v>3</v>
      </c>
      <c r="B51" t="s">
        <v>1126</v>
      </c>
      <c r="C51">
        <v>1</v>
      </c>
      <c r="D51" t="s">
        <v>1102</v>
      </c>
      <c r="E51" t="s">
        <v>1103</v>
      </c>
      <c r="F51">
        <v>1</v>
      </c>
      <c r="G51" t="s">
        <v>1127</v>
      </c>
      <c r="H51" t="s">
        <v>1196</v>
      </c>
      <c r="I51" t="s">
        <v>1178</v>
      </c>
      <c r="J51">
        <v>1</v>
      </c>
      <c r="K51">
        <v>149614560</v>
      </c>
      <c r="M51">
        <v>149614560</v>
      </c>
      <c r="N51" t="s">
        <v>1508</v>
      </c>
    </row>
    <row r="52" spans="1:14">
      <c r="A52">
        <v>3</v>
      </c>
      <c r="B52" t="s">
        <v>1126</v>
      </c>
      <c r="C52">
        <v>1</v>
      </c>
      <c r="D52" t="s">
        <v>1102</v>
      </c>
      <c r="E52" t="s">
        <v>1103</v>
      </c>
      <c r="F52">
        <v>1</v>
      </c>
      <c r="G52" t="s">
        <v>1127</v>
      </c>
      <c r="H52" t="s">
        <v>1197</v>
      </c>
      <c r="I52" t="s">
        <v>1198</v>
      </c>
      <c r="J52">
        <v>1</v>
      </c>
      <c r="K52">
        <v>88331760</v>
      </c>
      <c r="M52">
        <v>88331760</v>
      </c>
      <c r="N52" t="s">
        <v>1507</v>
      </c>
    </row>
    <row r="53" spans="1:14">
      <c r="A53">
        <v>3</v>
      </c>
      <c r="B53" t="s">
        <v>1126</v>
      </c>
      <c r="C53">
        <v>1</v>
      </c>
      <c r="D53" t="s">
        <v>1102</v>
      </c>
      <c r="E53" t="s">
        <v>1103</v>
      </c>
      <c r="F53">
        <v>1</v>
      </c>
      <c r="G53" t="s">
        <v>1127</v>
      </c>
      <c r="H53" t="s">
        <v>1199</v>
      </c>
      <c r="I53" t="s">
        <v>1200</v>
      </c>
      <c r="J53">
        <v>1</v>
      </c>
      <c r="K53">
        <v>62973360</v>
      </c>
      <c r="M53">
        <v>62973360</v>
      </c>
      <c r="N53" t="s">
        <v>1507</v>
      </c>
    </row>
    <row r="54" spans="1:14">
      <c r="A54">
        <v>3</v>
      </c>
      <c r="B54" t="s">
        <v>1126</v>
      </c>
      <c r="C54">
        <v>1</v>
      </c>
      <c r="D54" t="s">
        <v>1102</v>
      </c>
      <c r="E54" t="s">
        <v>1103</v>
      </c>
      <c r="F54">
        <v>1</v>
      </c>
      <c r="G54" t="s">
        <v>1127</v>
      </c>
      <c r="H54" t="s">
        <v>1201</v>
      </c>
      <c r="I54" t="s">
        <v>1202</v>
      </c>
      <c r="J54">
        <v>1</v>
      </c>
      <c r="K54">
        <v>172859760</v>
      </c>
      <c r="M54">
        <v>172859760</v>
      </c>
      <c r="N54" t="s">
        <v>1508</v>
      </c>
    </row>
    <row r="55" spans="1:14">
      <c r="A55">
        <v>3</v>
      </c>
      <c r="B55" t="s">
        <v>1126</v>
      </c>
      <c r="C55">
        <v>1</v>
      </c>
      <c r="D55" t="s">
        <v>1102</v>
      </c>
      <c r="E55" t="s">
        <v>1103</v>
      </c>
      <c r="F55">
        <v>1</v>
      </c>
      <c r="G55" t="s">
        <v>1127</v>
      </c>
      <c r="H55" t="s">
        <v>1203</v>
      </c>
      <c r="I55" t="s">
        <v>1204</v>
      </c>
      <c r="J55">
        <v>1</v>
      </c>
      <c r="K55">
        <v>172508800</v>
      </c>
      <c r="M55">
        <v>172508800</v>
      </c>
      <c r="N55" t="s">
        <v>1505</v>
      </c>
    </row>
    <row r="56" spans="1:14">
      <c r="A56">
        <v>3</v>
      </c>
      <c r="B56" t="s">
        <v>1126</v>
      </c>
      <c r="C56">
        <v>1</v>
      </c>
      <c r="D56" t="s">
        <v>1102</v>
      </c>
      <c r="E56" t="s">
        <v>1103</v>
      </c>
      <c r="F56">
        <v>1</v>
      </c>
      <c r="G56" t="s">
        <v>1127</v>
      </c>
      <c r="H56" t="s">
        <v>1205</v>
      </c>
      <c r="I56" t="s">
        <v>1172</v>
      </c>
      <c r="J56">
        <v>1</v>
      </c>
      <c r="K56">
        <v>172508800</v>
      </c>
      <c r="M56">
        <v>172508800</v>
      </c>
      <c r="N56" t="s">
        <v>1505</v>
      </c>
    </row>
    <row r="57" spans="1:14">
      <c r="A57">
        <v>3</v>
      </c>
      <c r="B57" t="s">
        <v>1126</v>
      </c>
      <c r="C57">
        <v>1</v>
      </c>
      <c r="D57" t="s">
        <v>1102</v>
      </c>
      <c r="E57" t="s">
        <v>1103</v>
      </c>
      <c r="F57">
        <v>1</v>
      </c>
      <c r="G57" t="s">
        <v>1127</v>
      </c>
      <c r="H57" t="s">
        <v>1206</v>
      </c>
      <c r="I57" t="s">
        <v>1207</v>
      </c>
      <c r="J57">
        <v>1</v>
      </c>
      <c r="K57">
        <v>172508800</v>
      </c>
      <c r="M57">
        <v>172508800</v>
      </c>
      <c r="N57" t="s">
        <v>1505</v>
      </c>
    </row>
    <row r="58" spans="1:14">
      <c r="A58">
        <v>3</v>
      </c>
      <c r="B58" t="s">
        <v>1126</v>
      </c>
      <c r="C58">
        <v>1</v>
      </c>
      <c r="D58" t="s">
        <v>1102</v>
      </c>
      <c r="E58" t="s">
        <v>1103</v>
      </c>
      <c r="F58">
        <v>1</v>
      </c>
      <c r="G58" t="s">
        <v>1127</v>
      </c>
      <c r="H58" t="s">
        <v>1208</v>
      </c>
      <c r="I58" t="s">
        <v>1209</v>
      </c>
      <c r="J58">
        <v>1</v>
      </c>
      <c r="K58">
        <v>172508800</v>
      </c>
      <c r="M58">
        <v>172508800</v>
      </c>
      <c r="N58" t="s">
        <v>1505</v>
      </c>
    </row>
    <row r="59" spans="1:14">
      <c r="A59">
        <v>3</v>
      </c>
      <c r="B59" t="s">
        <v>1126</v>
      </c>
      <c r="C59">
        <v>1</v>
      </c>
      <c r="D59" t="s">
        <v>1102</v>
      </c>
      <c r="E59" t="s">
        <v>1103</v>
      </c>
      <c r="F59">
        <v>1</v>
      </c>
      <c r="G59" t="s">
        <v>1127</v>
      </c>
      <c r="H59" t="s">
        <v>1210</v>
      </c>
      <c r="I59" t="s">
        <v>1211</v>
      </c>
      <c r="J59">
        <v>1</v>
      </c>
      <c r="K59">
        <v>172508800</v>
      </c>
      <c r="M59">
        <v>172508800</v>
      </c>
      <c r="N59" t="s">
        <v>1505</v>
      </c>
    </row>
    <row r="60" spans="1:14">
      <c r="A60">
        <v>3</v>
      </c>
      <c r="B60" t="s">
        <v>1126</v>
      </c>
      <c r="C60">
        <v>1</v>
      </c>
      <c r="D60" t="s">
        <v>1102</v>
      </c>
      <c r="E60" t="s">
        <v>1103</v>
      </c>
      <c r="F60">
        <v>1</v>
      </c>
      <c r="G60" t="s">
        <v>1127</v>
      </c>
      <c r="H60" t="s">
        <v>1212</v>
      </c>
      <c r="I60" t="s">
        <v>1213</v>
      </c>
      <c r="J60">
        <v>1</v>
      </c>
      <c r="K60">
        <v>246615360</v>
      </c>
      <c r="M60">
        <v>246615360</v>
      </c>
      <c r="N60" t="s">
        <v>1505</v>
      </c>
    </row>
    <row r="61" spans="1:14">
      <c r="A61">
        <v>3</v>
      </c>
      <c r="B61" t="s">
        <v>1126</v>
      </c>
      <c r="C61">
        <v>1</v>
      </c>
      <c r="D61" t="s">
        <v>1102</v>
      </c>
      <c r="E61" t="s">
        <v>1103</v>
      </c>
      <c r="F61">
        <v>1</v>
      </c>
      <c r="G61" t="s">
        <v>1127</v>
      </c>
      <c r="H61" t="s">
        <v>1214</v>
      </c>
      <c r="I61" t="s">
        <v>1215</v>
      </c>
      <c r="J61">
        <v>1</v>
      </c>
      <c r="K61">
        <v>246615360</v>
      </c>
      <c r="M61">
        <v>246615360</v>
      </c>
      <c r="N61" t="s">
        <v>1505</v>
      </c>
    </row>
    <row r="62" spans="1:14">
      <c r="A62">
        <v>3</v>
      </c>
      <c r="B62" t="s">
        <v>1126</v>
      </c>
      <c r="C62">
        <v>1</v>
      </c>
      <c r="D62" t="s">
        <v>1102</v>
      </c>
      <c r="E62" t="s">
        <v>1103</v>
      </c>
      <c r="F62">
        <v>1</v>
      </c>
      <c r="G62" t="s">
        <v>1127</v>
      </c>
      <c r="H62" t="s">
        <v>1216</v>
      </c>
      <c r="I62" t="s">
        <v>1160</v>
      </c>
      <c r="J62">
        <v>1</v>
      </c>
      <c r="K62">
        <v>246615360</v>
      </c>
      <c r="M62">
        <v>246615360</v>
      </c>
      <c r="N62" t="s">
        <v>1505</v>
      </c>
    </row>
    <row r="63" spans="1:14">
      <c r="A63">
        <v>3</v>
      </c>
      <c r="B63" t="s">
        <v>1126</v>
      </c>
      <c r="C63">
        <v>1</v>
      </c>
      <c r="D63" t="s">
        <v>1102</v>
      </c>
      <c r="E63" t="s">
        <v>1103</v>
      </c>
      <c r="F63">
        <v>1</v>
      </c>
      <c r="G63" t="s">
        <v>1127</v>
      </c>
      <c r="H63" t="s">
        <v>1217</v>
      </c>
      <c r="I63" t="s">
        <v>1218</v>
      </c>
      <c r="J63">
        <v>1</v>
      </c>
      <c r="K63">
        <v>172508800</v>
      </c>
      <c r="M63">
        <v>172508800</v>
      </c>
      <c r="N63" t="s">
        <v>1505</v>
      </c>
    </row>
    <row r="64" spans="1:14">
      <c r="A64">
        <v>3</v>
      </c>
      <c r="B64" t="s">
        <v>1126</v>
      </c>
      <c r="C64">
        <v>1</v>
      </c>
      <c r="D64" t="s">
        <v>1102</v>
      </c>
      <c r="E64" t="s">
        <v>1103</v>
      </c>
      <c r="F64">
        <v>1</v>
      </c>
      <c r="G64" t="s">
        <v>1127</v>
      </c>
      <c r="H64" t="s">
        <v>1219</v>
      </c>
      <c r="I64" t="s">
        <v>1218</v>
      </c>
      <c r="J64">
        <v>1</v>
      </c>
      <c r="K64">
        <v>172508800</v>
      </c>
      <c r="M64">
        <v>172508800</v>
      </c>
      <c r="N64" t="s">
        <v>1505</v>
      </c>
    </row>
    <row r="65" spans="1:14">
      <c r="A65">
        <v>3</v>
      </c>
      <c r="B65" t="s">
        <v>1126</v>
      </c>
      <c r="C65">
        <v>1</v>
      </c>
      <c r="D65" t="s">
        <v>1102</v>
      </c>
      <c r="E65" t="s">
        <v>1103</v>
      </c>
      <c r="F65">
        <v>1</v>
      </c>
      <c r="G65" t="s">
        <v>1127</v>
      </c>
      <c r="H65" t="s">
        <v>1220</v>
      </c>
      <c r="I65" t="s">
        <v>1182</v>
      </c>
      <c r="J65">
        <v>1</v>
      </c>
      <c r="K65">
        <v>176005600</v>
      </c>
      <c r="M65">
        <v>176005600</v>
      </c>
      <c r="N65" t="s">
        <v>1505</v>
      </c>
    </row>
    <row r="66" spans="1:14">
      <c r="A66">
        <v>3</v>
      </c>
      <c r="B66" t="s">
        <v>1126</v>
      </c>
      <c r="C66">
        <v>1</v>
      </c>
      <c r="D66" t="s">
        <v>1102</v>
      </c>
      <c r="E66" t="s">
        <v>1103</v>
      </c>
      <c r="F66">
        <v>1</v>
      </c>
      <c r="G66" t="s">
        <v>1127</v>
      </c>
      <c r="H66" t="s">
        <v>1221</v>
      </c>
      <c r="I66" t="s">
        <v>1222</v>
      </c>
      <c r="J66">
        <v>1</v>
      </c>
      <c r="K66">
        <v>184407240</v>
      </c>
      <c r="M66">
        <v>184407240</v>
      </c>
      <c r="N66" t="s">
        <v>1505</v>
      </c>
    </row>
    <row r="67" spans="1:14">
      <c r="A67">
        <v>3</v>
      </c>
      <c r="B67" t="s">
        <v>1126</v>
      </c>
      <c r="C67">
        <v>1</v>
      </c>
      <c r="D67" t="s">
        <v>1102</v>
      </c>
      <c r="E67" t="s">
        <v>1103</v>
      </c>
      <c r="F67">
        <v>1</v>
      </c>
      <c r="G67" t="s">
        <v>1127</v>
      </c>
      <c r="H67" t="s">
        <v>1223</v>
      </c>
      <c r="I67" t="s">
        <v>1224</v>
      </c>
      <c r="J67">
        <v>1</v>
      </c>
      <c r="K67">
        <v>146360160</v>
      </c>
      <c r="L67">
        <v>709091</v>
      </c>
      <c r="M67">
        <v>147069251</v>
      </c>
      <c r="N67" t="s">
        <v>1505</v>
      </c>
    </row>
    <row r="68" spans="1:14">
      <c r="A68">
        <v>3</v>
      </c>
      <c r="B68" t="s">
        <v>1126</v>
      </c>
      <c r="C68">
        <v>1</v>
      </c>
      <c r="D68" t="s">
        <v>1102</v>
      </c>
      <c r="E68" t="s">
        <v>1103</v>
      </c>
      <c r="F68">
        <v>1</v>
      </c>
      <c r="G68" t="s">
        <v>1127</v>
      </c>
      <c r="H68" t="s">
        <v>1225</v>
      </c>
      <c r="I68" t="s">
        <v>1160</v>
      </c>
      <c r="J68">
        <v>1</v>
      </c>
      <c r="K68">
        <v>243212680</v>
      </c>
      <c r="M68">
        <v>243212680</v>
      </c>
      <c r="N68" t="s">
        <v>1505</v>
      </c>
    </row>
    <row r="69" spans="1:14">
      <c r="A69">
        <v>3</v>
      </c>
      <c r="B69" t="s">
        <v>1126</v>
      </c>
      <c r="C69">
        <v>1</v>
      </c>
      <c r="D69" t="s">
        <v>1102</v>
      </c>
      <c r="E69" t="s">
        <v>1103</v>
      </c>
      <c r="F69">
        <v>1</v>
      </c>
      <c r="G69" t="s">
        <v>1127</v>
      </c>
      <c r="H69" t="s">
        <v>1226</v>
      </c>
      <c r="I69" t="s">
        <v>1227</v>
      </c>
      <c r="J69">
        <v>1</v>
      </c>
      <c r="K69">
        <v>243212680</v>
      </c>
      <c r="M69">
        <v>243212680</v>
      </c>
      <c r="N69" t="s">
        <v>1505</v>
      </c>
    </row>
    <row r="70" spans="1:14">
      <c r="A70">
        <v>3</v>
      </c>
      <c r="B70" t="s">
        <v>1126</v>
      </c>
      <c r="C70">
        <v>1</v>
      </c>
      <c r="D70" t="s">
        <v>1102</v>
      </c>
      <c r="E70" t="s">
        <v>1103</v>
      </c>
      <c r="F70">
        <v>1</v>
      </c>
      <c r="G70" t="s">
        <v>1127</v>
      </c>
      <c r="H70" t="s">
        <v>1228</v>
      </c>
      <c r="I70" t="s">
        <v>1160</v>
      </c>
      <c r="J70">
        <v>1</v>
      </c>
      <c r="K70">
        <v>243212680</v>
      </c>
      <c r="M70">
        <v>243212680</v>
      </c>
      <c r="N70" t="s">
        <v>1505</v>
      </c>
    </row>
    <row r="71" spans="1:14">
      <c r="A71">
        <v>3</v>
      </c>
      <c r="B71" t="s">
        <v>1126</v>
      </c>
      <c r="C71">
        <v>1</v>
      </c>
      <c r="D71" t="s">
        <v>1102</v>
      </c>
      <c r="E71" t="s">
        <v>1103</v>
      </c>
      <c r="F71">
        <v>1</v>
      </c>
      <c r="G71" t="s">
        <v>1127</v>
      </c>
      <c r="H71" t="s">
        <v>1229</v>
      </c>
      <c r="I71" t="s">
        <v>1213</v>
      </c>
      <c r="J71">
        <v>1</v>
      </c>
      <c r="K71">
        <v>243212680</v>
      </c>
      <c r="M71">
        <v>243212680</v>
      </c>
      <c r="N71" t="s">
        <v>1505</v>
      </c>
    </row>
    <row r="72" spans="1:14">
      <c r="A72">
        <v>3</v>
      </c>
      <c r="B72" t="s">
        <v>1126</v>
      </c>
      <c r="C72">
        <v>1</v>
      </c>
      <c r="D72" t="s">
        <v>1102</v>
      </c>
      <c r="E72" t="s">
        <v>1103</v>
      </c>
      <c r="F72">
        <v>1</v>
      </c>
      <c r="G72" t="s">
        <v>1127</v>
      </c>
      <c r="H72" t="s">
        <v>1230</v>
      </c>
      <c r="I72" t="s">
        <v>1180</v>
      </c>
      <c r="J72">
        <v>1</v>
      </c>
      <c r="K72">
        <v>243212680</v>
      </c>
      <c r="M72">
        <v>243212680</v>
      </c>
      <c r="N72" t="s">
        <v>1505</v>
      </c>
    </row>
    <row r="73" spans="1:14">
      <c r="A73">
        <v>3</v>
      </c>
      <c r="B73" t="s">
        <v>1126</v>
      </c>
      <c r="C73">
        <v>1</v>
      </c>
      <c r="D73" t="s">
        <v>1102</v>
      </c>
      <c r="E73" t="s">
        <v>1103</v>
      </c>
      <c r="F73">
        <v>1</v>
      </c>
      <c r="G73" t="s">
        <v>1127</v>
      </c>
      <c r="H73" t="s">
        <v>1231</v>
      </c>
      <c r="I73" t="s">
        <v>1232</v>
      </c>
      <c r="J73">
        <v>1</v>
      </c>
      <c r="K73">
        <v>209612160</v>
      </c>
      <c r="M73">
        <v>209612160</v>
      </c>
      <c r="N73" t="s">
        <v>1505</v>
      </c>
    </row>
    <row r="74" spans="1:14">
      <c r="A74">
        <v>3</v>
      </c>
      <c r="B74" t="s">
        <v>1126</v>
      </c>
      <c r="C74">
        <v>1</v>
      </c>
      <c r="D74" t="s">
        <v>1102</v>
      </c>
      <c r="E74" t="s">
        <v>1103</v>
      </c>
      <c r="F74">
        <v>1</v>
      </c>
      <c r="G74" t="s">
        <v>1127</v>
      </c>
      <c r="H74" t="s">
        <v>1233</v>
      </c>
      <c r="I74" t="s">
        <v>1211</v>
      </c>
      <c r="J74">
        <v>1</v>
      </c>
      <c r="K74">
        <v>184407240</v>
      </c>
      <c r="M74">
        <v>184407240</v>
      </c>
      <c r="N74" t="s">
        <v>1505</v>
      </c>
    </row>
    <row r="75" spans="1:14">
      <c r="A75">
        <v>3</v>
      </c>
      <c r="B75" t="s">
        <v>1126</v>
      </c>
      <c r="C75">
        <v>1</v>
      </c>
      <c r="D75" t="s">
        <v>1102</v>
      </c>
      <c r="E75" t="s">
        <v>1103</v>
      </c>
      <c r="F75">
        <v>1</v>
      </c>
      <c r="G75" t="s">
        <v>1127</v>
      </c>
      <c r="H75" t="s">
        <v>1234</v>
      </c>
      <c r="I75" t="s">
        <v>1235</v>
      </c>
      <c r="J75">
        <v>1</v>
      </c>
      <c r="K75">
        <v>184407240</v>
      </c>
      <c r="M75">
        <v>184407240</v>
      </c>
      <c r="N75" t="s">
        <v>1505</v>
      </c>
    </row>
    <row r="76" spans="1:14">
      <c r="A76">
        <v>3</v>
      </c>
      <c r="B76" t="s">
        <v>1126</v>
      </c>
      <c r="C76">
        <v>1</v>
      </c>
      <c r="D76" t="s">
        <v>1102</v>
      </c>
      <c r="E76" t="s">
        <v>1103</v>
      </c>
      <c r="F76">
        <v>1</v>
      </c>
      <c r="G76" t="s">
        <v>1127</v>
      </c>
      <c r="H76" t="s">
        <v>1236</v>
      </c>
      <c r="I76" t="s">
        <v>1237</v>
      </c>
      <c r="J76">
        <v>1</v>
      </c>
      <c r="K76">
        <v>184407240</v>
      </c>
      <c r="M76">
        <v>184407240</v>
      </c>
      <c r="N76" t="s">
        <v>1505</v>
      </c>
    </row>
    <row r="77" spans="1:14">
      <c r="A77">
        <v>3</v>
      </c>
      <c r="B77" t="s">
        <v>1126</v>
      </c>
      <c r="C77">
        <v>1</v>
      </c>
      <c r="D77" t="s">
        <v>1102</v>
      </c>
      <c r="E77" t="s">
        <v>1103</v>
      </c>
      <c r="F77">
        <v>1</v>
      </c>
      <c r="G77" t="s">
        <v>1127</v>
      </c>
      <c r="H77" t="s">
        <v>1238</v>
      </c>
      <c r="I77" t="s">
        <v>1239</v>
      </c>
      <c r="J77">
        <v>1</v>
      </c>
      <c r="K77">
        <v>184407240</v>
      </c>
      <c r="M77">
        <v>184407240</v>
      </c>
      <c r="N77" t="s">
        <v>1505</v>
      </c>
    </row>
    <row r="78" spans="1:14">
      <c r="A78">
        <v>3</v>
      </c>
      <c r="B78" t="s">
        <v>1126</v>
      </c>
      <c r="C78">
        <v>1</v>
      </c>
      <c r="D78" t="s">
        <v>1102</v>
      </c>
      <c r="E78" t="s">
        <v>1103</v>
      </c>
      <c r="F78">
        <v>1</v>
      </c>
      <c r="G78" t="s">
        <v>1127</v>
      </c>
      <c r="H78" t="s">
        <v>1240</v>
      </c>
      <c r="I78" t="s">
        <v>1239</v>
      </c>
      <c r="J78">
        <v>1</v>
      </c>
      <c r="K78">
        <v>184407240</v>
      </c>
      <c r="M78">
        <v>184407240</v>
      </c>
      <c r="N78" t="s">
        <v>1505</v>
      </c>
    </row>
    <row r="79" spans="1:14">
      <c r="A79">
        <v>3</v>
      </c>
      <c r="B79" t="s">
        <v>1126</v>
      </c>
      <c r="C79">
        <v>1</v>
      </c>
      <c r="D79" t="s">
        <v>1102</v>
      </c>
      <c r="E79" t="s">
        <v>1103</v>
      </c>
      <c r="F79">
        <v>1</v>
      </c>
      <c r="G79" t="s">
        <v>1127</v>
      </c>
      <c r="H79" t="s">
        <v>1241</v>
      </c>
      <c r="I79" t="s">
        <v>1151</v>
      </c>
      <c r="J79">
        <v>1</v>
      </c>
      <c r="K79">
        <v>201210520</v>
      </c>
      <c r="M79">
        <v>201210520</v>
      </c>
      <c r="N79" t="s">
        <v>1505</v>
      </c>
    </row>
    <row r="80" spans="1:14">
      <c r="A80">
        <v>3</v>
      </c>
      <c r="B80" t="s">
        <v>1126</v>
      </c>
      <c r="C80">
        <v>1</v>
      </c>
      <c r="D80" t="s">
        <v>1102</v>
      </c>
      <c r="E80" t="s">
        <v>1103</v>
      </c>
      <c r="F80">
        <v>1</v>
      </c>
      <c r="G80" t="s">
        <v>1127</v>
      </c>
      <c r="H80" t="s">
        <v>1242</v>
      </c>
      <c r="I80" t="s">
        <v>1243</v>
      </c>
      <c r="J80">
        <v>1</v>
      </c>
      <c r="K80">
        <v>176005600</v>
      </c>
      <c r="M80">
        <v>176005600</v>
      </c>
      <c r="N80" t="s">
        <v>1505</v>
      </c>
    </row>
    <row r="81" spans="1:14">
      <c r="A81">
        <v>3</v>
      </c>
      <c r="B81" t="s">
        <v>1126</v>
      </c>
      <c r="C81">
        <v>1</v>
      </c>
      <c r="D81" t="s">
        <v>1102</v>
      </c>
      <c r="E81" t="s">
        <v>1103</v>
      </c>
      <c r="F81">
        <v>1</v>
      </c>
      <c r="G81" t="s">
        <v>1127</v>
      </c>
      <c r="H81" t="s">
        <v>1244</v>
      </c>
      <c r="I81" t="s">
        <v>1182</v>
      </c>
      <c r="J81">
        <v>1</v>
      </c>
      <c r="K81">
        <v>176005600</v>
      </c>
      <c r="M81">
        <v>176005600</v>
      </c>
      <c r="N81" t="s">
        <v>1505</v>
      </c>
    </row>
    <row r="82" spans="1:14">
      <c r="A82">
        <v>3</v>
      </c>
      <c r="B82" t="s">
        <v>1126</v>
      </c>
      <c r="C82">
        <v>1</v>
      </c>
      <c r="D82" t="s">
        <v>1102</v>
      </c>
      <c r="E82" t="s">
        <v>1103</v>
      </c>
      <c r="F82">
        <v>1</v>
      </c>
      <c r="G82" t="s">
        <v>1127</v>
      </c>
      <c r="H82" t="s">
        <v>1245</v>
      </c>
      <c r="I82" t="s">
        <v>1246</v>
      </c>
      <c r="J82">
        <v>1</v>
      </c>
      <c r="K82">
        <v>184407240</v>
      </c>
      <c r="M82">
        <v>184407240</v>
      </c>
      <c r="N82" t="s">
        <v>1505</v>
      </c>
    </row>
    <row r="83" spans="1:14">
      <c r="A83">
        <v>3</v>
      </c>
      <c r="B83" t="s">
        <v>1126</v>
      </c>
      <c r="C83">
        <v>1</v>
      </c>
      <c r="D83" t="s">
        <v>1102</v>
      </c>
      <c r="E83" t="s">
        <v>1103</v>
      </c>
      <c r="F83">
        <v>1</v>
      </c>
      <c r="G83" t="s">
        <v>1127</v>
      </c>
      <c r="H83" t="s">
        <v>1247</v>
      </c>
      <c r="I83" t="s">
        <v>1248</v>
      </c>
      <c r="J83">
        <v>1</v>
      </c>
      <c r="K83">
        <v>176005600</v>
      </c>
      <c r="M83">
        <v>176005600</v>
      </c>
      <c r="N83" t="s">
        <v>1505</v>
      </c>
    </row>
    <row r="84" spans="1:14">
      <c r="A84">
        <v>3</v>
      </c>
      <c r="B84" t="s">
        <v>1126</v>
      </c>
      <c r="C84">
        <v>1</v>
      </c>
      <c r="D84" t="s">
        <v>1102</v>
      </c>
      <c r="E84" t="s">
        <v>1103</v>
      </c>
      <c r="F84">
        <v>1</v>
      </c>
      <c r="G84" t="s">
        <v>1127</v>
      </c>
      <c r="H84" t="s">
        <v>1249</v>
      </c>
      <c r="I84" t="s">
        <v>1176</v>
      </c>
      <c r="J84">
        <v>1</v>
      </c>
      <c r="K84">
        <v>176005600</v>
      </c>
      <c r="M84">
        <v>176005600</v>
      </c>
      <c r="N84" t="s">
        <v>1505</v>
      </c>
    </row>
    <row r="85" spans="1:14">
      <c r="A85">
        <v>3</v>
      </c>
      <c r="B85" t="s">
        <v>1126</v>
      </c>
      <c r="C85">
        <v>1</v>
      </c>
      <c r="D85" t="s">
        <v>1102</v>
      </c>
      <c r="E85" t="s">
        <v>1103</v>
      </c>
      <c r="F85">
        <v>1</v>
      </c>
      <c r="G85" t="s">
        <v>1127</v>
      </c>
      <c r="H85" t="s">
        <v>1250</v>
      </c>
      <c r="I85" t="s">
        <v>1251</v>
      </c>
      <c r="J85">
        <v>1</v>
      </c>
      <c r="K85">
        <v>176005600</v>
      </c>
      <c r="M85">
        <v>176005600</v>
      </c>
      <c r="N85" t="s">
        <v>1505</v>
      </c>
    </row>
    <row r="86" spans="1:14">
      <c r="A86">
        <v>3</v>
      </c>
      <c r="B86" t="s">
        <v>1126</v>
      </c>
      <c r="C86">
        <v>1</v>
      </c>
      <c r="D86" t="s">
        <v>1102</v>
      </c>
      <c r="E86" t="s">
        <v>1103</v>
      </c>
      <c r="F86">
        <v>1</v>
      </c>
      <c r="G86" t="s">
        <v>1127</v>
      </c>
      <c r="H86" t="s">
        <v>1252</v>
      </c>
      <c r="I86" t="s">
        <v>1243</v>
      </c>
      <c r="J86">
        <v>1</v>
      </c>
      <c r="K86">
        <v>176005600</v>
      </c>
      <c r="M86">
        <v>176005600</v>
      </c>
      <c r="N86" t="s">
        <v>1505</v>
      </c>
    </row>
    <row r="87" spans="1:14">
      <c r="A87">
        <v>3</v>
      </c>
      <c r="B87" t="s">
        <v>1126</v>
      </c>
      <c r="C87">
        <v>1</v>
      </c>
      <c r="D87" t="s">
        <v>1102</v>
      </c>
      <c r="E87" t="s">
        <v>1103</v>
      </c>
      <c r="F87">
        <v>1</v>
      </c>
      <c r="G87" t="s">
        <v>1127</v>
      </c>
      <c r="H87" t="s">
        <v>1253</v>
      </c>
      <c r="I87" t="s">
        <v>1182</v>
      </c>
      <c r="J87">
        <v>1</v>
      </c>
      <c r="K87">
        <v>176005600</v>
      </c>
      <c r="M87">
        <v>176005600</v>
      </c>
      <c r="N87" t="s">
        <v>1505</v>
      </c>
    </row>
    <row r="88" spans="1:14">
      <c r="A88">
        <v>3</v>
      </c>
      <c r="B88" t="s">
        <v>1126</v>
      </c>
      <c r="C88">
        <v>1</v>
      </c>
      <c r="D88" t="s">
        <v>1102</v>
      </c>
      <c r="E88" t="s">
        <v>1103</v>
      </c>
      <c r="F88">
        <v>1</v>
      </c>
      <c r="G88" t="s">
        <v>1127</v>
      </c>
      <c r="H88" t="s">
        <v>1254</v>
      </c>
      <c r="I88" t="s">
        <v>1182</v>
      </c>
      <c r="J88">
        <v>1</v>
      </c>
      <c r="K88">
        <v>176005600</v>
      </c>
      <c r="M88">
        <v>176005600</v>
      </c>
      <c r="N88" t="s">
        <v>1505</v>
      </c>
    </row>
    <row r="89" spans="1:14">
      <c r="A89">
        <v>3</v>
      </c>
      <c r="B89" t="s">
        <v>1126</v>
      </c>
      <c r="C89">
        <v>1</v>
      </c>
      <c r="D89" t="s">
        <v>1102</v>
      </c>
      <c r="E89" t="s">
        <v>1103</v>
      </c>
      <c r="F89">
        <v>1</v>
      </c>
      <c r="G89" t="s">
        <v>1127</v>
      </c>
      <c r="H89" t="s">
        <v>1255</v>
      </c>
      <c r="I89" t="s">
        <v>1256</v>
      </c>
      <c r="J89">
        <v>1</v>
      </c>
      <c r="K89">
        <v>68573520</v>
      </c>
      <c r="M89">
        <v>68573520</v>
      </c>
      <c r="N89" t="s">
        <v>1507</v>
      </c>
    </row>
    <row r="90" spans="1:14">
      <c r="A90">
        <v>3</v>
      </c>
      <c r="B90" t="s">
        <v>1126</v>
      </c>
      <c r="C90">
        <v>1</v>
      </c>
      <c r="D90" t="s">
        <v>1102</v>
      </c>
      <c r="E90" t="s">
        <v>1103</v>
      </c>
      <c r="F90">
        <v>1</v>
      </c>
      <c r="G90" t="s">
        <v>1127</v>
      </c>
      <c r="H90" t="s">
        <v>1257</v>
      </c>
      <c r="I90" t="s">
        <v>1256</v>
      </c>
      <c r="J90">
        <v>1</v>
      </c>
      <c r="K90">
        <v>68573520</v>
      </c>
      <c r="M90">
        <v>68573520</v>
      </c>
      <c r="N90" t="s">
        <v>1507</v>
      </c>
    </row>
    <row r="91" spans="1:14">
      <c r="A91">
        <v>3</v>
      </c>
      <c r="B91" t="s">
        <v>1126</v>
      </c>
      <c r="C91">
        <v>1</v>
      </c>
      <c r="D91" t="s">
        <v>1102</v>
      </c>
      <c r="E91" t="s">
        <v>1103</v>
      </c>
      <c r="F91">
        <v>1</v>
      </c>
      <c r="G91" t="s">
        <v>1127</v>
      </c>
      <c r="H91" t="s">
        <v>1258</v>
      </c>
      <c r="I91" t="s">
        <v>1200</v>
      </c>
      <c r="J91">
        <v>1</v>
      </c>
      <c r="K91">
        <v>67167360</v>
      </c>
      <c r="M91">
        <v>67167360</v>
      </c>
      <c r="N91" t="s">
        <v>1507</v>
      </c>
    </row>
    <row r="92" spans="1:14">
      <c r="A92">
        <v>3</v>
      </c>
      <c r="B92" t="s">
        <v>1126</v>
      </c>
      <c r="C92">
        <v>1</v>
      </c>
      <c r="D92" t="s">
        <v>1102</v>
      </c>
      <c r="E92" t="s">
        <v>1103</v>
      </c>
      <c r="F92">
        <v>1</v>
      </c>
      <c r="G92" t="s">
        <v>1127</v>
      </c>
      <c r="H92" t="s">
        <v>1259</v>
      </c>
      <c r="I92" t="s">
        <v>1260</v>
      </c>
      <c r="J92">
        <v>1</v>
      </c>
      <c r="K92">
        <v>176099040</v>
      </c>
      <c r="M92">
        <v>176099040</v>
      </c>
      <c r="N92" t="s">
        <v>1508</v>
      </c>
    </row>
    <row r="93" spans="1:14">
      <c r="A93">
        <v>3</v>
      </c>
      <c r="B93" t="s">
        <v>1126</v>
      </c>
      <c r="C93">
        <v>1</v>
      </c>
      <c r="D93" t="s">
        <v>1102</v>
      </c>
      <c r="E93" t="s">
        <v>1103</v>
      </c>
      <c r="F93">
        <v>1</v>
      </c>
      <c r="G93" t="s">
        <v>1127</v>
      </c>
      <c r="H93" t="s">
        <v>1261</v>
      </c>
      <c r="I93" t="s">
        <v>1200</v>
      </c>
      <c r="J93">
        <v>1</v>
      </c>
      <c r="K93">
        <v>62861760</v>
      </c>
      <c r="M93">
        <v>62861760</v>
      </c>
      <c r="N93" t="s">
        <v>1507</v>
      </c>
    </row>
    <row r="94" spans="1:14">
      <c r="A94">
        <v>3</v>
      </c>
      <c r="B94" t="s">
        <v>1126</v>
      </c>
      <c r="C94">
        <v>1</v>
      </c>
      <c r="D94" t="s">
        <v>1102</v>
      </c>
      <c r="E94" t="s">
        <v>1103</v>
      </c>
      <c r="F94">
        <v>1</v>
      </c>
      <c r="G94" t="s">
        <v>1127</v>
      </c>
      <c r="H94" t="s">
        <v>1262</v>
      </c>
      <c r="I94" t="s">
        <v>1200</v>
      </c>
      <c r="J94">
        <v>1</v>
      </c>
      <c r="K94">
        <v>62861760</v>
      </c>
      <c r="M94">
        <v>62861760</v>
      </c>
      <c r="N94" t="s">
        <v>1507</v>
      </c>
    </row>
    <row r="95" spans="1:14">
      <c r="A95">
        <v>3</v>
      </c>
      <c r="B95" t="s">
        <v>1126</v>
      </c>
      <c r="C95">
        <v>1</v>
      </c>
      <c r="D95" t="s">
        <v>1102</v>
      </c>
      <c r="E95" t="s">
        <v>1103</v>
      </c>
      <c r="F95">
        <v>1</v>
      </c>
      <c r="G95" t="s">
        <v>1127</v>
      </c>
      <c r="H95" t="s">
        <v>1263</v>
      </c>
      <c r="I95" t="s">
        <v>1264</v>
      </c>
      <c r="J95">
        <v>1</v>
      </c>
      <c r="K95">
        <v>385968240</v>
      </c>
      <c r="M95">
        <v>385968240</v>
      </c>
      <c r="N95" t="s">
        <v>1509</v>
      </c>
    </row>
    <row r="96" spans="1:14">
      <c r="A96">
        <v>3</v>
      </c>
      <c r="B96" t="s">
        <v>1126</v>
      </c>
      <c r="C96">
        <v>1</v>
      </c>
      <c r="D96" t="s">
        <v>1102</v>
      </c>
      <c r="E96" t="s">
        <v>1103</v>
      </c>
      <c r="F96">
        <v>1</v>
      </c>
      <c r="G96" t="s">
        <v>1127</v>
      </c>
      <c r="H96" t="s">
        <v>1265</v>
      </c>
      <c r="I96" t="s">
        <v>1151</v>
      </c>
      <c r="J96">
        <v>1</v>
      </c>
      <c r="K96">
        <v>209265120</v>
      </c>
      <c r="M96">
        <v>209265120</v>
      </c>
      <c r="N96" t="s">
        <v>1505</v>
      </c>
    </row>
    <row r="97" spans="1:14">
      <c r="A97">
        <v>3</v>
      </c>
      <c r="B97" t="s">
        <v>1126</v>
      </c>
      <c r="C97">
        <v>1</v>
      </c>
      <c r="D97" t="s">
        <v>1102</v>
      </c>
      <c r="E97" t="s">
        <v>1103</v>
      </c>
      <c r="F97">
        <v>1</v>
      </c>
      <c r="G97" t="s">
        <v>1127</v>
      </c>
      <c r="H97" t="s">
        <v>1266</v>
      </c>
      <c r="I97" t="s">
        <v>1165</v>
      </c>
      <c r="J97">
        <v>1</v>
      </c>
      <c r="K97">
        <v>209265120</v>
      </c>
      <c r="M97">
        <v>209265120</v>
      </c>
      <c r="N97" t="s">
        <v>1505</v>
      </c>
    </row>
    <row r="98" spans="1:14">
      <c r="A98">
        <v>3</v>
      </c>
      <c r="B98" t="s">
        <v>1126</v>
      </c>
      <c r="C98">
        <v>1</v>
      </c>
      <c r="D98" t="s">
        <v>1102</v>
      </c>
      <c r="E98" t="s">
        <v>1103</v>
      </c>
      <c r="F98">
        <v>1</v>
      </c>
      <c r="G98" t="s">
        <v>1127</v>
      </c>
      <c r="H98" t="s">
        <v>1267</v>
      </c>
      <c r="I98" t="s">
        <v>1268</v>
      </c>
      <c r="J98">
        <v>1</v>
      </c>
      <c r="K98">
        <v>64689840</v>
      </c>
      <c r="M98">
        <v>64689840</v>
      </c>
      <c r="N98" t="s">
        <v>1507</v>
      </c>
    </row>
    <row r="99" spans="1:14">
      <c r="A99">
        <v>3</v>
      </c>
      <c r="B99" t="s">
        <v>1126</v>
      </c>
      <c r="C99">
        <v>1</v>
      </c>
      <c r="D99" t="s">
        <v>1102</v>
      </c>
      <c r="E99" t="s">
        <v>1103</v>
      </c>
      <c r="F99">
        <v>1</v>
      </c>
      <c r="G99" t="s">
        <v>1127</v>
      </c>
      <c r="H99" t="s">
        <v>1269</v>
      </c>
      <c r="I99" t="s">
        <v>1270</v>
      </c>
      <c r="J99">
        <v>1</v>
      </c>
      <c r="K99">
        <v>146360160</v>
      </c>
      <c r="M99">
        <v>146360160</v>
      </c>
      <c r="N99" t="s">
        <v>1505</v>
      </c>
    </row>
    <row r="100" spans="1:14">
      <c r="A100">
        <v>3</v>
      </c>
      <c r="B100" t="s">
        <v>1126</v>
      </c>
      <c r="C100">
        <v>1</v>
      </c>
      <c r="D100" t="s">
        <v>1102</v>
      </c>
      <c r="E100" t="s">
        <v>1103</v>
      </c>
      <c r="F100">
        <v>1</v>
      </c>
      <c r="G100" t="s">
        <v>1127</v>
      </c>
      <c r="H100" t="s">
        <v>1271</v>
      </c>
      <c r="I100" t="s">
        <v>1224</v>
      </c>
      <c r="J100">
        <v>1</v>
      </c>
      <c r="K100">
        <v>154747890</v>
      </c>
      <c r="M100">
        <v>154747890</v>
      </c>
      <c r="N100" t="s">
        <v>1505</v>
      </c>
    </row>
    <row r="101" spans="1:14">
      <c r="A101">
        <v>3</v>
      </c>
      <c r="B101" t="s">
        <v>1126</v>
      </c>
      <c r="C101">
        <v>1</v>
      </c>
      <c r="D101" t="s">
        <v>1102</v>
      </c>
      <c r="E101" t="s">
        <v>1103</v>
      </c>
      <c r="F101">
        <v>1</v>
      </c>
      <c r="G101" t="s">
        <v>1127</v>
      </c>
      <c r="H101" t="s">
        <v>1272</v>
      </c>
      <c r="I101" t="s">
        <v>1224</v>
      </c>
      <c r="J101">
        <v>1</v>
      </c>
      <c r="K101">
        <v>154747890</v>
      </c>
      <c r="M101">
        <v>154747890</v>
      </c>
      <c r="N101" t="s">
        <v>1505</v>
      </c>
    </row>
    <row r="102" spans="1:14">
      <c r="A102">
        <v>3</v>
      </c>
      <c r="B102" t="s">
        <v>1126</v>
      </c>
      <c r="C102">
        <v>1</v>
      </c>
      <c r="D102" t="s">
        <v>1102</v>
      </c>
      <c r="E102" t="s">
        <v>1103</v>
      </c>
      <c r="F102">
        <v>1</v>
      </c>
      <c r="G102" t="s">
        <v>1127</v>
      </c>
      <c r="H102" t="s">
        <v>1273</v>
      </c>
      <c r="I102" t="s">
        <v>1224</v>
      </c>
      <c r="J102">
        <v>1</v>
      </c>
      <c r="K102">
        <v>154747890</v>
      </c>
      <c r="M102">
        <v>154747890</v>
      </c>
      <c r="N102" t="s">
        <v>1505</v>
      </c>
    </row>
    <row r="103" spans="1:14">
      <c r="A103">
        <v>3</v>
      </c>
      <c r="B103" t="s">
        <v>1126</v>
      </c>
      <c r="C103">
        <v>1</v>
      </c>
      <c r="D103" t="s">
        <v>1102</v>
      </c>
      <c r="E103" t="s">
        <v>1103</v>
      </c>
      <c r="F103">
        <v>1</v>
      </c>
      <c r="G103" t="s">
        <v>1127</v>
      </c>
      <c r="H103" t="s">
        <v>1274</v>
      </c>
      <c r="I103" t="s">
        <v>1275</v>
      </c>
      <c r="J103">
        <v>1</v>
      </c>
      <c r="K103">
        <v>167326470</v>
      </c>
      <c r="M103">
        <v>167326470</v>
      </c>
      <c r="N103" t="s">
        <v>1505</v>
      </c>
    </row>
    <row r="104" spans="1:14">
      <c r="A104">
        <v>3</v>
      </c>
      <c r="B104" t="s">
        <v>1126</v>
      </c>
      <c r="C104">
        <v>1</v>
      </c>
      <c r="D104" t="s">
        <v>1102</v>
      </c>
      <c r="E104" t="s">
        <v>1103</v>
      </c>
      <c r="F104">
        <v>1</v>
      </c>
      <c r="G104" t="s">
        <v>1127</v>
      </c>
      <c r="H104" t="s">
        <v>1276</v>
      </c>
      <c r="I104" t="s">
        <v>1176</v>
      </c>
      <c r="J104">
        <v>1</v>
      </c>
      <c r="K104">
        <v>184101930</v>
      </c>
      <c r="M104">
        <v>184101930</v>
      </c>
      <c r="N104" t="s">
        <v>1505</v>
      </c>
    </row>
    <row r="105" spans="1:14">
      <c r="A105">
        <v>3</v>
      </c>
      <c r="B105" t="s">
        <v>1126</v>
      </c>
      <c r="C105">
        <v>1</v>
      </c>
      <c r="D105" t="s">
        <v>1102</v>
      </c>
      <c r="E105" t="s">
        <v>1103</v>
      </c>
      <c r="F105">
        <v>1</v>
      </c>
      <c r="G105" t="s">
        <v>1127</v>
      </c>
      <c r="H105" t="s">
        <v>1277</v>
      </c>
      <c r="I105" t="s">
        <v>1172</v>
      </c>
      <c r="J105">
        <v>1</v>
      </c>
      <c r="K105">
        <v>184101930</v>
      </c>
      <c r="M105">
        <v>184101930</v>
      </c>
      <c r="N105" t="s">
        <v>1505</v>
      </c>
    </row>
    <row r="106" spans="1:14">
      <c r="A106">
        <v>3</v>
      </c>
      <c r="B106" t="s">
        <v>1126</v>
      </c>
      <c r="C106">
        <v>1</v>
      </c>
      <c r="D106" t="s">
        <v>1102</v>
      </c>
      <c r="E106" t="s">
        <v>1103</v>
      </c>
      <c r="F106">
        <v>1</v>
      </c>
      <c r="G106" t="s">
        <v>1127</v>
      </c>
      <c r="H106" t="s">
        <v>1278</v>
      </c>
      <c r="I106" t="s">
        <v>1279</v>
      </c>
      <c r="J106">
        <v>1</v>
      </c>
      <c r="K106">
        <v>167326470</v>
      </c>
      <c r="M106">
        <v>167326470</v>
      </c>
      <c r="N106" t="s">
        <v>1505</v>
      </c>
    </row>
    <row r="107" spans="1:14">
      <c r="A107">
        <v>3</v>
      </c>
      <c r="B107" t="s">
        <v>1126</v>
      </c>
      <c r="C107">
        <v>1</v>
      </c>
      <c r="D107" t="s">
        <v>1102</v>
      </c>
      <c r="E107" t="s">
        <v>1103</v>
      </c>
      <c r="F107">
        <v>1</v>
      </c>
      <c r="G107" t="s">
        <v>1127</v>
      </c>
      <c r="H107" t="s">
        <v>1280</v>
      </c>
      <c r="I107" t="s">
        <v>1176</v>
      </c>
      <c r="J107">
        <v>1</v>
      </c>
      <c r="K107">
        <v>184101930</v>
      </c>
      <c r="M107">
        <v>184101930</v>
      </c>
      <c r="N107" t="s">
        <v>1505</v>
      </c>
    </row>
    <row r="108" spans="1:14">
      <c r="A108">
        <v>3</v>
      </c>
      <c r="B108" t="s">
        <v>1126</v>
      </c>
      <c r="C108">
        <v>1</v>
      </c>
      <c r="D108" t="s">
        <v>1102</v>
      </c>
      <c r="E108" t="s">
        <v>1103</v>
      </c>
      <c r="F108">
        <v>1</v>
      </c>
      <c r="G108" t="s">
        <v>1127</v>
      </c>
      <c r="H108" t="s">
        <v>1281</v>
      </c>
      <c r="I108" t="s">
        <v>1218</v>
      </c>
      <c r="J108">
        <v>1</v>
      </c>
      <c r="K108">
        <v>184101930</v>
      </c>
      <c r="M108">
        <v>184101930</v>
      </c>
      <c r="N108" t="s">
        <v>1505</v>
      </c>
    </row>
    <row r="109" spans="1:14">
      <c r="A109">
        <v>3</v>
      </c>
      <c r="B109" t="s">
        <v>1126</v>
      </c>
      <c r="C109">
        <v>1</v>
      </c>
      <c r="D109" t="s">
        <v>1102</v>
      </c>
      <c r="E109" t="s">
        <v>1103</v>
      </c>
      <c r="F109">
        <v>1</v>
      </c>
      <c r="G109" t="s">
        <v>1127</v>
      </c>
      <c r="H109" t="s">
        <v>1282</v>
      </c>
      <c r="I109" t="s">
        <v>1218</v>
      </c>
      <c r="J109">
        <v>1</v>
      </c>
      <c r="K109">
        <v>184101930</v>
      </c>
      <c r="M109">
        <v>184101930</v>
      </c>
      <c r="N109" t="s">
        <v>1505</v>
      </c>
    </row>
    <row r="110" spans="1:14">
      <c r="A110">
        <v>3</v>
      </c>
      <c r="B110" t="s">
        <v>1126</v>
      </c>
      <c r="C110">
        <v>1</v>
      </c>
      <c r="D110" t="s">
        <v>1102</v>
      </c>
      <c r="E110" t="s">
        <v>1103</v>
      </c>
      <c r="F110">
        <v>1</v>
      </c>
      <c r="G110" t="s">
        <v>1127</v>
      </c>
      <c r="H110" t="s">
        <v>1283</v>
      </c>
      <c r="I110" t="s">
        <v>1218</v>
      </c>
      <c r="J110">
        <v>1</v>
      </c>
      <c r="K110">
        <v>184101930</v>
      </c>
      <c r="M110">
        <v>184101930</v>
      </c>
      <c r="N110" t="s">
        <v>1505</v>
      </c>
    </row>
    <row r="111" spans="1:14">
      <c r="A111">
        <v>3</v>
      </c>
      <c r="B111" t="s">
        <v>1126</v>
      </c>
      <c r="C111">
        <v>1</v>
      </c>
      <c r="D111" t="s">
        <v>1102</v>
      </c>
      <c r="E111" t="s">
        <v>1103</v>
      </c>
      <c r="F111">
        <v>1</v>
      </c>
      <c r="G111" t="s">
        <v>1127</v>
      </c>
      <c r="H111" t="s">
        <v>1284</v>
      </c>
      <c r="I111" t="s">
        <v>1172</v>
      </c>
      <c r="J111">
        <v>1</v>
      </c>
      <c r="K111">
        <v>184101930</v>
      </c>
      <c r="M111">
        <v>184101930</v>
      </c>
      <c r="N111" t="s">
        <v>1505</v>
      </c>
    </row>
    <row r="112" spans="1:14">
      <c r="A112">
        <v>3</v>
      </c>
      <c r="B112" t="s">
        <v>1126</v>
      </c>
      <c r="C112">
        <v>1</v>
      </c>
      <c r="D112" t="s">
        <v>1102</v>
      </c>
      <c r="E112" t="s">
        <v>1103</v>
      </c>
      <c r="F112">
        <v>1</v>
      </c>
      <c r="G112" t="s">
        <v>1127</v>
      </c>
      <c r="H112" t="s">
        <v>1285</v>
      </c>
      <c r="I112" t="s">
        <v>1172</v>
      </c>
      <c r="J112">
        <v>1</v>
      </c>
      <c r="K112">
        <v>184101930</v>
      </c>
      <c r="M112">
        <v>184101930</v>
      </c>
      <c r="N112" t="s">
        <v>1505</v>
      </c>
    </row>
    <row r="113" spans="1:14">
      <c r="A113">
        <v>3</v>
      </c>
      <c r="B113" t="s">
        <v>1126</v>
      </c>
      <c r="C113">
        <v>1</v>
      </c>
      <c r="D113" t="s">
        <v>1102</v>
      </c>
      <c r="E113" t="s">
        <v>1103</v>
      </c>
      <c r="F113">
        <v>1</v>
      </c>
      <c r="G113" t="s">
        <v>1127</v>
      </c>
      <c r="H113" t="s">
        <v>1286</v>
      </c>
      <c r="I113" t="s">
        <v>1172</v>
      </c>
      <c r="J113">
        <v>1</v>
      </c>
      <c r="K113">
        <v>184101930</v>
      </c>
      <c r="M113">
        <v>184101930</v>
      </c>
      <c r="N113" t="s">
        <v>1505</v>
      </c>
    </row>
    <row r="114" spans="1:14">
      <c r="A114">
        <v>3</v>
      </c>
      <c r="B114" t="s">
        <v>1126</v>
      </c>
      <c r="C114">
        <v>1</v>
      </c>
      <c r="D114" t="s">
        <v>1102</v>
      </c>
      <c r="E114" t="s">
        <v>1103</v>
      </c>
      <c r="F114">
        <v>1</v>
      </c>
      <c r="G114" t="s">
        <v>1127</v>
      </c>
      <c r="H114" t="s">
        <v>1287</v>
      </c>
      <c r="I114" t="s">
        <v>1172</v>
      </c>
      <c r="J114">
        <v>1</v>
      </c>
      <c r="K114">
        <v>184101930</v>
      </c>
      <c r="M114">
        <v>184101930</v>
      </c>
      <c r="N114" t="s">
        <v>1505</v>
      </c>
    </row>
    <row r="115" spans="1:14">
      <c r="A115">
        <v>3</v>
      </c>
      <c r="B115" t="s">
        <v>1126</v>
      </c>
      <c r="C115">
        <v>1</v>
      </c>
      <c r="D115" t="s">
        <v>1102</v>
      </c>
      <c r="E115" t="s">
        <v>1103</v>
      </c>
      <c r="F115">
        <v>1</v>
      </c>
      <c r="G115" t="s">
        <v>1127</v>
      </c>
      <c r="H115" t="s">
        <v>1288</v>
      </c>
      <c r="I115" t="s">
        <v>1176</v>
      </c>
      <c r="J115">
        <v>1</v>
      </c>
      <c r="K115">
        <v>184101930</v>
      </c>
      <c r="M115">
        <v>184101930</v>
      </c>
      <c r="N115" t="s">
        <v>1505</v>
      </c>
    </row>
    <row r="116" spans="1:14">
      <c r="A116">
        <v>3</v>
      </c>
      <c r="B116" t="s">
        <v>1126</v>
      </c>
      <c r="C116">
        <v>1</v>
      </c>
      <c r="D116" t="s">
        <v>1102</v>
      </c>
      <c r="E116" t="s">
        <v>1103</v>
      </c>
      <c r="F116">
        <v>1</v>
      </c>
      <c r="G116" t="s">
        <v>1127</v>
      </c>
      <c r="H116" t="s">
        <v>1289</v>
      </c>
      <c r="I116" t="s">
        <v>1147</v>
      </c>
      <c r="J116">
        <v>1</v>
      </c>
      <c r="K116">
        <v>209265120</v>
      </c>
      <c r="M116">
        <v>209265120</v>
      </c>
      <c r="N116" t="s">
        <v>1505</v>
      </c>
    </row>
    <row r="117" spans="1:14">
      <c r="A117">
        <v>3</v>
      </c>
      <c r="B117" t="s">
        <v>1126</v>
      </c>
      <c r="C117">
        <v>1</v>
      </c>
      <c r="D117" t="s">
        <v>1102</v>
      </c>
      <c r="E117" t="s">
        <v>1103</v>
      </c>
      <c r="F117">
        <v>1</v>
      </c>
      <c r="G117" t="s">
        <v>1127</v>
      </c>
      <c r="H117" t="s">
        <v>1290</v>
      </c>
      <c r="I117" t="s">
        <v>1147</v>
      </c>
      <c r="J117">
        <v>1</v>
      </c>
      <c r="K117">
        <v>209265120</v>
      </c>
      <c r="M117">
        <v>209265120</v>
      </c>
      <c r="N117" t="s">
        <v>1505</v>
      </c>
    </row>
    <row r="118" spans="1:14">
      <c r="A118">
        <v>3</v>
      </c>
      <c r="B118" t="s">
        <v>1126</v>
      </c>
      <c r="C118">
        <v>1</v>
      </c>
      <c r="D118" t="s">
        <v>1102</v>
      </c>
      <c r="E118" t="s">
        <v>1103</v>
      </c>
      <c r="F118">
        <v>1</v>
      </c>
      <c r="G118" t="s">
        <v>1127</v>
      </c>
      <c r="H118" t="s">
        <v>1291</v>
      </c>
      <c r="I118" t="s">
        <v>1147</v>
      </c>
      <c r="J118">
        <v>1</v>
      </c>
      <c r="K118">
        <v>209262949</v>
      </c>
      <c r="M118">
        <v>209262949</v>
      </c>
      <c r="N118" t="s">
        <v>1505</v>
      </c>
    </row>
    <row r="119" spans="1:14">
      <c r="A119">
        <v>3</v>
      </c>
      <c r="B119" t="s">
        <v>1126</v>
      </c>
      <c r="C119">
        <v>1</v>
      </c>
      <c r="D119" t="s">
        <v>1102</v>
      </c>
      <c r="E119" t="s">
        <v>1103</v>
      </c>
      <c r="F119">
        <v>1</v>
      </c>
      <c r="G119" t="s">
        <v>1127</v>
      </c>
      <c r="H119" t="s">
        <v>1292</v>
      </c>
      <c r="I119" t="s">
        <v>1293</v>
      </c>
      <c r="J119">
        <v>1</v>
      </c>
      <c r="K119">
        <v>90739440</v>
      </c>
      <c r="M119">
        <v>90739440</v>
      </c>
      <c r="N119" t="s">
        <v>1507</v>
      </c>
    </row>
    <row r="120" spans="1:14">
      <c r="A120">
        <v>3</v>
      </c>
      <c r="B120" t="s">
        <v>1126</v>
      </c>
      <c r="C120">
        <v>1</v>
      </c>
      <c r="D120" t="s">
        <v>1102</v>
      </c>
      <c r="E120" t="s">
        <v>1103</v>
      </c>
      <c r="F120">
        <v>1</v>
      </c>
      <c r="G120" t="s">
        <v>1127</v>
      </c>
      <c r="H120" t="s">
        <v>1294</v>
      </c>
      <c r="I120" t="s">
        <v>1293</v>
      </c>
      <c r="J120">
        <v>1</v>
      </c>
      <c r="K120">
        <v>90739440</v>
      </c>
      <c r="M120">
        <v>90739440</v>
      </c>
      <c r="N120" t="s">
        <v>1507</v>
      </c>
    </row>
    <row r="121" spans="1:14">
      <c r="A121">
        <v>3</v>
      </c>
      <c r="B121" t="s">
        <v>1126</v>
      </c>
      <c r="C121">
        <v>1</v>
      </c>
      <c r="D121" t="s">
        <v>1102</v>
      </c>
      <c r="E121" t="s">
        <v>1103</v>
      </c>
      <c r="F121">
        <v>1</v>
      </c>
      <c r="G121" t="s">
        <v>1127</v>
      </c>
      <c r="H121" t="s">
        <v>1295</v>
      </c>
      <c r="I121" t="s">
        <v>1296</v>
      </c>
      <c r="J121">
        <v>1</v>
      </c>
      <c r="K121">
        <v>90739440</v>
      </c>
      <c r="M121">
        <v>90739440</v>
      </c>
      <c r="N121" t="s">
        <v>1507</v>
      </c>
    </row>
    <row r="122" spans="1:14">
      <c r="A122">
        <v>3</v>
      </c>
      <c r="B122" t="s">
        <v>1126</v>
      </c>
      <c r="C122">
        <v>1</v>
      </c>
      <c r="D122" t="s">
        <v>1102</v>
      </c>
      <c r="E122" t="s">
        <v>1103</v>
      </c>
      <c r="F122">
        <v>1</v>
      </c>
      <c r="G122" t="s">
        <v>1127</v>
      </c>
      <c r="H122" t="s">
        <v>1297</v>
      </c>
      <c r="I122" t="s">
        <v>1296</v>
      </c>
      <c r="J122">
        <v>1</v>
      </c>
      <c r="K122">
        <v>90739440</v>
      </c>
      <c r="M122">
        <v>90739440</v>
      </c>
      <c r="N122" t="s">
        <v>1507</v>
      </c>
    </row>
    <row r="123" spans="1:14">
      <c r="A123">
        <v>3</v>
      </c>
      <c r="B123" t="s">
        <v>1126</v>
      </c>
      <c r="C123">
        <v>1</v>
      </c>
      <c r="D123" t="s">
        <v>1102</v>
      </c>
      <c r="E123" t="s">
        <v>1103</v>
      </c>
      <c r="F123">
        <v>1</v>
      </c>
      <c r="G123" t="s">
        <v>1127</v>
      </c>
      <c r="H123" t="s">
        <v>1298</v>
      </c>
      <c r="I123" t="s">
        <v>1198</v>
      </c>
      <c r="J123">
        <v>1</v>
      </c>
      <c r="K123">
        <v>90739440</v>
      </c>
      <c r="M123">
        <v>90739440</v>
      </c>
      <c r="N123" t="s">
        <v>1507</v>
      </c>
    </row>
    <row r="124" spans="1:14">
      <c r="A124">
        <v>3</v>
      </c>
      <c r="B124" t="s">
        <v>1126</v>
      </c>
      <c r="C124">
        <v>1</v>
      </c>
      <c r="D124" t="s">
        <v>1102</v>
      </c>
      <c r="E124" t="s">
        <v>1103</v>
      </c>
      <c r="F124">
        <v>1</v>
      </c>
      <c r="G124" t="s">
        <v>1127</v>
      </c>
      <c r="H124" t="s">
        <v>1299</v>
      </c>
      <c r="I124" t="s">
        <v>1296</v>
      </c>
      <c r="J124">
        <v>1</v>
      </c>
      <c r="K124">
        <v>90739440</v>
      </c>
      <c r="M124">
        <v>90739440</v>
      </c>
      <c r="N124" t="s">
        <v>1507</v>
      </c>
    </row>
    <row r="125" spans="1:14">
      <c r="A125">
        <v>3</v>
      </c>
      <c r="B125" t="s">
        <v>1126</v>
      </c>
      <c r="C125">
        <v>1</v>
      </c>
      <c r="D125" t="s">
        <v>1102</v>
      </c>
      <c r="E125" t="s">
        <v>1103</v>
      </c>
      <c r="F125">
        <v>1</v>
      </c>
      <c r="G125" t="s">
        <v>1127</v>
      </c>
      <c r="H125" t="s">
        <v>1300</v>
      </c>
      <c r="I125" t="s">
        <v>1301</v>
      </c>
      <c r="J125">
        <v>1</v>
      </c>
      <c r="K125">
        <v>90739440</v>
      </c>
      <c r="M125">
        <v>90739440</v>
      </c>
      <c r="N125" t="s">
        <v>1507</v>
      </c>
    </row>
    <row r="126" spans="1:14">
      <c r="A126">
        <v>3</v>
      </c>
      <c r="B126" t="s">
        <v>1126</v>
      </c>
      <c r="C126">
        <v>1</v>
      </c>
      <c r="D126" t="s">
        <v>1102</v>
      </c>
      <c r="E126" t="s">
        <v>1103</v>
      </c>
      <c r="F126">
        <v>1</v>
      </c>
      <c r="G126" t="s">
        <v>1127</v>
      </c>
      <c r="H126" t="s">
        <v>1302</v>
      </c>
      <c r="I126" t="s">
        <v>1198</v>
      </c>
      <c r="J126">
        <v>1</v>
      </c>
      <c r="K126">
        <v>90739440</v>
      </c>
      <c r="M126">
        <v>90739440</v>
      </c>
      <c r="N126" t="s">
        <v>1507</v>
      </c>
    </row>
    <row r="127" spans="1:14">
      <c r="A127">
        <v>3</v>
      </c>
      <c r="B127" t="s">
        <v>1126</v>
      </c>
      <c r="C127">
        <v>1</v>
      </c>
      <c r="D127" t="s">
        <v>1102</v>
      </c>
      <c r="E127" t="s">
        <v>1103</v>
      </c>
      <c r="F127">
        <v>1</v>
      </c>
      <c r="G127" t="s">
        <v>1127</v>
      </c>
      <c r="H127" t="s">
        <v>1303</v>
      </c>
      <c r="I127" t="s">
        <v>1198</v>
      </c>
      <c r="J127">
        <v>1</v>
      </c>
      <c r="K127">
        <v>90739440</v>
      </c>
      <c r="M127">
        <v>90739440</v>
      </c>
      <c r="N127" t="s">
        <v>1507</v>
      </c>
    </row>
    <row r="128" spans="1:14">
      <c r="A128">
        <v>3</v>
      </c>
      <c r="B128" t="s">
        <v>1126</v>
      </c>
      <c r="C128">
        <v>1</v>
      </c>
      <c r="D128" t="s">
        <v>1102</v>
      </c>
      <c r="E128" t="s">
        <v>1103</v>
      </c>
      <c r="F128">
        <v>1</v>
      </c>
      <c r="G128" t="s">
        <v>1127</v>
      </c>
      <c r="H128" t="s">
        <v>1304</v>
      </c>
      <c r="I128" t="s">
        <v>1305</v>
      </c>
      <c r="J128">
        <v>1</v>
      </c>
      <c r="K128">
        <v>59044675</v>
      </c>
      <c r="M128">
        <v>59044675</v>
      </c>
      <c r="N128" t="s">
        <v>1507</v>
      </c>
    </row>
    <row r="129" spans="1:14">
      <c r="A129">
        <v>3</v>
      </c>
      <c r="B129" t="s">
        <v>1126</v>
      </c>
      <c r="C129">
        <v>1</v>
      </c>
      <c r="D129" t="s">
        <v>1102</v>
      </c>
      <c r="E129" t="s">
        <v>1103</v>
      </c>
      <c r="F129">
        <v>1</v>
      </c>
      <c r="G129" t="s">
        <v>1127</v>
      </c>
      <c r="H129" t="s">
        <v>1306</v>
      </c>
      <c r="I129" t="s">
        <v>1307</v>
      </c>
      <c r="J129">
        <v>1</v>
      </c>
      <c r="K129">
        <v>184101387</v>
      </c>
      <c r="M129">
        <v>184101387</v>
      </c>
      <c r="N129" t="s">
        <v>1505</v>
      </c>
    </row>
    <row r="130" spans="1:14">
      <c r="A130">
        <v>3</v>
      </c>
      <c r="B130" t="s">
        <v>1126</v>
      </c>
      <c r="C130">
        <v>1</v>
      </c>
      <c r="D130" t="s">
        <v>1102</v>
      </c>
      <c r="E130" t="s">
        <v>1103</v>
      </c>
      <c r="F130">
        <v>1</v>
      </c>
      <c r="G130" t="s">
        <v>1127</v>
      </c>
      <c r="H130" t="s">
        <v>1308</v>
      </c>
      <c r="I130" t="s">
        <v>1307</v>
      </c>
      <c r="J130">
        <v>1</v>
      </c>
      <c r="K130">
        <v>184101387</v>
      </c>
      <c r="M130">
        <v>184101387</v>
      </c>
      <c r="N130" t="s">
        <v>1505</v>
      </c>
    </row>
    <row r="131" spans="1:14">
      <c r="A131">
        <v>3</v>
      </c>
      <c r="B131" t="s">
        <v>1126</v>
      </c>
      <c r="C131">
        <v>1</v>
      </c>
      <c r="D131" t="s">
        <v>1102</v>
      </c>
      <c r="E131" t="s">
        <v>1103</v>
      </c>
      <c r="F131">
        <v>1</v>
      </c>
      <c r="G131" t="s">
        <v>1127</v>
      </c>
      <c r="H131" t="s">
        <v>1309</v>
      </c>
      <c r="I131" t="s">
        <v>1182</v>
      </c>
      <c r="J131">
        <v>1</v>
      </c>
      <c r="K131">
        <v>184101387</v>
      </c>
      <c r="M131">
        <v>184101387</v>
      </c>
      <c r="N131" t="s">
        <v>1505</v>
      </c>
    </row>
    <row r="132" spans="1:14">
      <c r="A132">
        <v>3</v>
      </c>
      <c r="B132" t="s">
        <v>1126</v>
      </c>
      <c r="C132">
        <v>1</v>
      </c>
      <c r="D132" t="s">
        <v>1102</v>
      </c>
      <c r="E132" t="s">
        <v>1103</v>
      </c>
      <c r="F132">
        <v>1</v>
      </c>
      <c r="G132" t="s">
        <v>1127</v>
      </c>
      <c r="H132" t="s">
        <v>1310</v>
      </c>
      <c r="I132" t="s">
        <v>1182</v>
      </c>
      <c r="J132">
        <v>1</v>
      </c>
      <c r="K132">
        <v>184101387</v>
      </c>
      <c r="M132">
        <v>184101387</v>
      </c>
      <c r="N132" t="s">
        <v>1505</v>
      </c>
    </row>
    <row r="133" spans="1:14">
      <c r="A133">
        <v>3</v>
      </c>
      <c r="B133" t="s">
        <v>1126</v>
      </c>
      <c r="C133">
        <v>1</v>
      </c>
      <c r="D133" t="s">
        <v>1102</v>
      </c>
      <c r="E133" t="s">
        <v>1103</v>
      </c>
      <c r="F133">
        <v>1</v>
      </c>
      <c r="G133" t="s">
        <v>1127</v>
      </c>
      <c r="H133" t="s">
        <v>1311</v>
      </c>
      <c r="I133" t="s">
        <v>1182</v>
      </c>
      <c r="J133">
        <v>1</v>
      </c>
      <c r="K133">
        <v>184101387</v>
      </c>
      <c r="M133">
        <v>184101387</v>
      </c>
      <c r="N133" t="s">
        <v>1505</v>
      </c>
    </row>
    <row r="134" spans="1:14">
      <c r="A134">
        <v>3</v>
      </c>
      <c r="B134" t="s">
        <v>1126</v>
      </c>
      <c r="C134">
        <v>1</v>
      </c>
      <c r="D134" t="s">
        <v>1102</v>
      </c>
      <c r="E134" t="s">
        <v>1103</v>
      </c>
      <c r="F134">
        <v>1</v>
      </c>
      <c r="G134" t="s">
        <v>1127</v>
      </c>
      <c r="H134" t="s">
        <v>1312</v>
      </c>
      <c r="I134" t="s">
        <v>1182</v>
      </c>
      <c r="J134">
        <v>1</v>
      </c>
      <c r="K134">
        <v>184101387</v>
      </c>
      <c r="M134">
        <v>184101387</v>
      </c>
      <c r="N134" t="s">
        <v>1505</v>
      </c>
    </row>
    <row r="135" spans="1:14">
      <c r="A135">
        <v>3</v>
      </c>
      <c r="B135" t="s">
        <v>1126</v>
      </c>
      <c r="C135">
        <v>1</v>
      </c>
      <c r="D135" t="s">
        <v>1102</v>
      </c>
      <c r="E135" t="s">
        <v>1103</v>
      </c>
      <c r="F135">
        <v>1</v>
      </c>
      <c r="G135" t="s">
        <v>1127</v>
      </c>
      <c r="H135" t="s">
        <v>1313</v>
      </c>
      <c r="I135" t="s">
        <v>1182</v>
      </c>
      <c r="J135">
        <v>1</v>
      </c>
      <c r="K135">
        <v>184101387</v>
      </c>
      <c r="M135">
        <v>184101387</v>
      </c>
      <c r="N135" t="s">
        <v>1505</v>
      </c>
    </row>
    <row r="136" spans="1:14">
      <c r="A136">
        <v>3</v>
      </c>
      <c r="B136" t="s">
        <v>1126</v>
      </c>
      <c r="C136">
        <v>1</v>
      </c>
      <c r="D136" t="s">
        <v>1102</v>
      </c>
      <c r="E136" t="s">
        <v>1103</v>
      </c>
      <c r="F136">
        <v>1</v>
      </c>
      <c r="G136" t="s">
        <v>1127</v>
      </c>
      <c r="H136" t="s">
        <v>1314</v>
      </c>
      <c r="I136" t="s">
        <v>1172</v>
      </c>
      <c r="J136">
        <v>1</v>
      </c>
      <c r="K136">
        <v>184101387</v>
      </c>
      <c r="M136">
        <v>184101387</v>
      </c>
      <c r="N136" t="s">
        <v>1505</v>
      </c>
    </row>
    <row r="137" spans="1:14">
      <c r="A137">
        <v>3</v>
      </c>
      <c r="B137" t="s">
        <v>1126</v>
      </c>
      <c r="C137">
        <v>1</v>
      </c>
      <c r="D137" t="s">
        <v>1102</v>
      </c>
      <c r="E137" t="s">
        <v>1103</v>
      </c>
      <c r="F137">
        <v>1</v>
      </c>
      <c r="G137" t="s">
        <v>1127</v>
      </c>
      <c r="H137" t="s">
        <v>1315</v>
      </c>
      <c r="I137" t="s">
        <v>1172</v>
      </c>
      <c r="J137">
        <v>1</v>
      </c>
      <c r="K137">
        <v>184101930</v>
      </c>
      <c r="M137">
        <v>184101930</v>
      </c>
      <c r="N137" t="s">
        <v>1505</v>
      </c>
    </row>
    <row r="138" spans="1:14">
      <c r="A138">
        <v>3</v>
      </c>
      <c r="B138" t="s">
        <v>1126</v>
      </c>
      <c r="C138">
        <v>1</v>
      </c>
      <c r="D138" t="s">
        <v>1102</v>
      </c>
      <c r="E138" t="s">
        <v>1103</v>
      </c>
      <c r="F138">
        <v>1</v>
      </c>
      <c r="G138" t="s">
        <v>1127</v>
      </c>
      <c r="H138" t="s">
        <v>1316</v>
      </c>
      <c r="I138" t="s">
        <v>1317</v>
      </c>
      <c r="J138">
        <v>1</v>
      </c>
      <c r="K138">
        <v>49470120</v>
      </c>
      <c r="M138">
        <v>49470120</v>
      </c>
      <c r="N138" t="s">
        <v>1507</v>
      </c>
    </row>
    <row r="139" spans="1:14">
      <c r="A139">
        <v>3</v>
      </c>
      <c r="B139" t="s">
        <v>1126</v>
      </c>
      <c r="C139">
        <v>1</v>
      </c>
      <c r="D139" t="s">
        <v>1102</v>
      </c>
      <c r="E139" t="s">
        <v>1103</v>
      </c>
      <c r="F139">
        <v>1</v>
      </c>
      <c r="G139" t="s">
        <v>1127</v>
      </c>
      <c r="H139" t="s">
        <v>1318</v>
      </c>
      <c r="I139" t="s">
        <v>1305</v>
      </c>
      <c r="J139">
        <v>1</v>
      </c>
      <c r="K139">
        <v>59045760</v>
      </c>
      <c r="M139">
        <v>59045760</v>
      </c>
      <c r="N139" t="s">
        <v>1507</v>
      </c>
    </row>
    <row r="140" spans="1:14">
      <c r="A140">
        <v>3</v>
      </c>
      <c r="B140" t="s">
        <v>1126</v>
      </c>
      <c r="C140">
        <v>1</v>
      </c>
      <c r="D140" t="s">
        <v>1102</v>
      </c>
      <c r="E140" t="s">
        <v>1103</v>
      </c>
      <c r="F140">
        <v>1</v>
      </c>
      <c r="G140" t="s">
        <v>1127</v>
      </c>
      <c r="H140" t="s">
        <v>1319</v>
      </c>
      <c r="I140" t="s">
        <v>1200</v>
      </c>
      <c r="J140">
        <v>1</v>
      </c>
      <c r="K140">
        <v>59045760</v>
      </c>
      <c r="M140">
        <v>59045760</v>
      </c>
      <c r="N140" t="s">
        <v>1507</v>
      </c>
    </row>
    <row r="141" spans="1:14">
      <c r="A141">
        <v>3</v>
      </c>
      <c r="B141" t="s">
        <v>1126</v>
      </c>
      <c r="C141">
        <v>1</v>
      </c>
      <c r="D141" t="s">
        <v>1102</v>
      </c>
      <c r="E141" t="s">
        <v>1103</v>
      </c>
      <c r="F141">
        <v>1</v>
      </c>
      <c r="G141" t="s">
        <v>1127</v>
      </c>
      <c r="H141" t="s">
        <v>1320</v>
      </c>
      <c r="I141" t="s">
        <v>1200</v>
      </c>
      <c r="J141">
        <v>1</v>
      </c>
      <c r="K141">
        <v>59045760</v>
      </c>
      <c r="M141">
        <v>59045760</v>
      </c>
      <c r="N141" t="s">
        <v>1507</v>
      </c>
    </row>
    <row r="142" spans="1:14">
      <c r="A142">
        <v>3</v>
      </c>
      <c r="B142" t="s">
        <v>1126</v>
      </c>
      <c r="C142">
        <v>1</v>
      </c>
      <c r="D142" t="s">
        <v>1102</v>
      </c>
      <c r="E142" t="s">
        <v>1103</v>
      </c>
      <c r="F142">
        <v>1</v>
      </c>
      <c r="G142" t="s">
        <v>1127</v>
      </c>
      <c r="H142" t="s">
        <v>1321</v>
      </c>
      <c r="I142" t="s">
        <v>1200</v>
      </c>
      <c r="J142">
        <v>1</v>
      </c>
      <c r="K142">
        <v>59045760</v>
      </c>
      <c r="M142">
        <v>59045760</v>
      </c>
      <c r="N142" t="s">
        <v>1507</v>
      </c>
    </row>
    <row r="143" spans="1:14">
      <c r="A143">
        <v>3</v>
      </c>
      <c r="B143" t="s">
        <v>1126</v>
      </c>
      <c r="C143">
        <v>1</v>
      </c>
      <c r="D143" t="s">
        <v>1102</v>
      </c>
      <c r="E143" t="s">
        <v>1103</v>
      </c>
      <c r="F143">
        <v>1</v>
      </c>
      <c r="G143" t="s">
        <v>1127</v>
      </c>
      <c r="H143" t="s">
        <v>1322</v>
      </c>
      <c r="I143" t="s">
        <v>1200</v>
      </c>
      <c r="J143">
        <v>1</v>
      </c>
      <c r="K143">
        <v>59045760</v>
      </c>
      <c r="M143">
        <v>59045760</v>
      </c>
      <c r="N143" t="s">
        <v>1507</v>
      </c>
    </row>
    <row r="144" spans="1:14">
      <c r="A144">
        <v>3</v>
      </c>
      <c r="B144" t="s">
        <v>1126</v>
      </c>
      <c r="C144">
        <v>1</v>
      </c>
      <c r="D144" t="s">
        <v>1102</v>
      </c>
      <c r="E144" t="s">
        <v>1103</v>
      </c>
      <c r="F144">
        <v>1</v>
      </c>
      <c r="G144" t="s">
        <v>1127</v>
      </c>
      <c r="H144" t="s">
        <v>1323</v>
      </c>
      <c r="I144" t="s">
        <v>1200</v>
      </c>
      <c r="J144">
        <v>1</v>
      </c>
      <c r="K144">
        <v>59045760</v>
      </c>
      <c r="M144">
        <v>59045760</v>
      </c>
      <c r="N144" t="s">
        <v>1507</v>
      </c>
    </row>
    <row r="145" spans="1:14">
      <c r="A145">
        <v>3</v>
      </c>
      <c r="B145" t="s">
        <v>1126</v>
      </c>
      <c r="C145">
        <v>1</v>
      </c>
      <c r="D145" t="s">
        <v>1102</v>
      </c>
      <c r="E145" t="s">
        <v>1103</v>
      </c>
      <c r="F145">
        <v>1</v>
      </c>
      <c r="G145" t="s">
        <v>1127</v>
      </c>
      <c r="H145" t="s">
        <v>1324</v>
      </c>
      <c r="I145" t="s">
        <v>1200</v>
      </c>
      <c r="J145">
        <v>1</v>
      </c>
      <c r="K145">
        <v>59045760</v>
      </c>
      <c r="M145">
        <v>59045760</v>
      </c>
      <c r="N145" t="s">
        <v>1507</v>
      </c>
    </row>
    <row r="146" spans="1:14">
      <c r="A146">
        <v>3</v>
      </c>
      <c r="B146" t="s">
        <v>1126</v>
      </c>
      <c r="C146">
        <v>1</v>
      </c>
      <c r="D146" t="s">
        <v>1102</v>
      </c>
      <c r="E146" t="s">
        <v>1103</v>
      </c>
      <c r="F146">
        <v>1</v>
      </c>
      <c r="G146" t="s">
        <v>1127</v>
      </c>
      <c r="H146" t="s">
        <v>1325</v>
      </c>
      <c r="I146" t="s">
        <v>1200</v>
      </c>
      <c r="J146">
        <v>1</v>
      </c>
      <c r="K146">
        <v>59045760</v>
      </c>
      <c r="M146">
        <v>59045760</v>
      </c>
      <c r="N146" t="s">
        <v>1507</v>
      </c>
    </row>
    <row r="147" spans="1:14">
      <c r="A147">
        <v>3</v>
      </c>
      <c r="B147" t="s">
        <v>1126</v>
      </c>
      <c r="C147">
        <v>1</v>
      </c>
      <c r="D147" t="s">
        <v>1102</v>
      </c>
      <c r="E147" t="s">
        <v>1103</v>
      </c>
      <c r="F147">
        <v>1</v>
      </c>
      <c r="G147" t="s">
        <v>1127</v>
      </c>
      <c r="H147" t="s">
        <v>1326</v>
      </c>
      <c r="I147" t="s">
        <v>1327</v>
      </c>
      <c r="J147">
        <v>1</v>
      </c>
      <c r="K147">
        <v>59045760</v>
      </c>
      <c r="M147">
        <v>59045760</v>
      </c>
      <c r="N147" t="s">
        <v>1507</v>
      </c>
    </row>
    <row r="148" spans="1:14">
      <c r="A148">
        <v>3</v>
      </c>
      <c r="B148" t="s">
        <v>1126</v>
      </c>
      <c r="C148">
        <v>1</v>
      </c>
      <c r="D148" t="s">
        <v>1102</v>
      </c>
      <c r="E148" t="s">
        <v>1103</v>
      </c>
      <c r="F148">
        <v>1</v>
      </c>
      <c r="G148" t="s">
        <v>1127</v>
      </c>
      <c r="H148" t="s">
        <v>1328</v>
      </c>
      <c r="I148" t="s">
        <v>1256</v>
      </c>
      <c r="J148">
        <v>1</v>
      </c>
      <c r="K148">
        <v>59045760</v>
      </c>
      <c r="M148">
        <v>59045760</v>
      </c>
      <c r="N148" t="s">
        <v>1507</v>
      </c>
    </row>
    <row r="149" spans="1:14">
      <c r="A149">
        <v>3</v>
      </c>
      <c r="B149" t="s">
        <v>1126</v>
      </c>
      <c r="C149">
        <v>1</v>
      </c>
      <c r="D149" t="s">
        <v>1102</v>
      </c>
      <c r="E149" t="s">
        <v>1103</v>
      </c>
      <c r="F149">
        <v>1</v>
      </c>
      <c r="G149" t="s">
        <v>1127</v>
      </c>
      <c r="H149" t="s">
        <v>1329</v>
      </c>
      <c r="I149" t="s">
        <v>1256</v>
      </c>
      <c r="J149">
        <v>1</v>
      </c>
      <c r="K149">
        <v>59045760</v>
      </c>
      <c r="M149">
        <v>59045760</v>
      </c>
      <c r="N149" t="s">
        <v>1507</v>
      </c>
    </row>
    <row r="150" spans="1:14">
      <c r="A150">
        <v>3</v>
      </c>
      <c r="B150" t="s">
        <v>1126</v>
      </c>
      <c r="C150">
        <v>1</v>
      </c>
      <c r="D150" t="s">
        <v>1102</v>
      </c>
      <c r="E150" t="s">
        <v>1103</v>
      </c>
      <c r="F150">
        <v>1</v>
      </c>
      <c r="G150" t="s">
        <v>1127</v>
      </c>
      <c r="H150" t="s">
        <v>1330</v>
      </c>
      <c r="I150" t="s">
        <v>1256</v>
      </c>
      <c r="J150">
        <v>1</v>
      </c>
      <c r="K150">
        <v>59045760</v>
      </c>
      <c r="M150">
        <v>59045760</v>
      </c>
      <c r="N150" t="s">
        <v>1507</v>
      </c>
    </row>
    <row r="151" spans="1:14">
      <c r="A151">
        <v>3</v>
      </c>
      <c r="B151" t="s">
        <v>1126</v>
      </c>
      <c r="C151">
        <v>1</v>
      </c>
      <c r="D151" t="s">
        <v>1102</v>
      </c>
      <c r="E151" t="s">
        <v>1103</v>
      </c>
      <c r="F151">
        <v>1</v>
      </c>
      <c r="G151" t="s">
        <v>1127</v>
      </c>
      <c r="H151" t="s">
        <v>1331</v>
      </c>
      <c r="I151" t="s">
        <v>1256</v>
      </c>
      <c r="J151">
        <v>1</v>
      </c>
      <c r="K151">
        <v>59045760</v>
      </c>
      <c r="M151">
        <v>59045760</v>
      </c>
      <c r="N151" t="s">
        <v>1507</v>
      </c>
    </row>
    <row r="152" spans="1:14">
      <c r="A152">
        <v>3</v>
      </c>
      <c r="B152" t="s">
        <v>1126</v>
      </c>
      <c r="C152">
        <v>1</v>
      </c>
      <c r="D152" t="s">
        <v>1102</v>
      </c>
      <c r="E152" t="s">
        <v>1103</v>
      </c>
      <c r="F152">
        <v>1</v>
      </c>
      <c r="G152" t="s">
        <v>1127</v>
      </c>
      <c r="H152" t="s">
        <v>1332</v>
      </c>
      <c r="I152" t="s">
        <v>1256</v>
      </c>
      <c r="J152">
        <v>1</v>
      </c>
      <c r="K152">
        <v>59045760</v>
      </c>
      <c r="M152">
        <v>59045760</v>
      </c>
      <c r="N152" t="s">
        <v>1507</v>
      </c>
    </row>
    <row r="153" spans="1:14">
      <c r="A153">
        <v>3</v>
      </c>
      <c r="B153" t="s">
        <v>1126</v>
      </c>
      <c r="C153">
        <v>1</v>
      </c>
      <c r="D153" t="s">
        <v>1102</v>
      </c>
      <c r="E153" t="s">
        <v>1103</v>
      </c>
      <c r="F153">
        <v>1</v>
      </c>
      <c r="G153" t="s">
        <v>1127</v>
      </c>
      <c r="H153" t="s">
        <v>1333</v>
      </c>
      <c r="I153" t="s">
        <v>1256</v>
      </c>
      <c r="J153">
        <v>1</v>
      </c>
      <c r="K153">
        <v>59045760</v>
      </c>
      <c r="M153">
        <v>59045760</v>
      </c>
      <c r="N153" t="s">
        <v>1507</v>
      </c>
    </row>
    <row r="154" spans="1:14">
      <c r="A154">
        <v>3</v>
      </c>
      <c r="B154" t="s">
        <v>1126</v>
      </c>
      <c r="C154">
        <v>1</v>
      </c>
      <c r="D154" t="s">
        <v>1102</v>
      </c>
      <c r="E154" t="s">
        <v>1103</v>
      </c>
      <c r="F154">
        <v>1</v>
      </c>
      <c r="G154" t="s">
        <v>1127</v>
      </c>
      <c r="H154" t="s">
        <v>1334</v>
      </c>
      <c r="I154" t="s">
        <v>1256</v>
      </c>
      <c r="J154">
        <v>1</v>
      </c>
      <c r="K154">
        <v>59045760</v>
      </c>
      <c r="M154">
        <v>59045760</v>
      </c>
      <c r="N154" t="s">
        <v>1507</v>
      </c>
    </row>
    <row r="155" spans="1:14">
      <c r="A155">
        <v>3</v>
      </c>
      <c r="B155" t="s">
        <v>1126</v>
      </c>
      <c r="C155">
        <v>1</v>
      </c>
      <c r="D155" t="s">
        <v>1102</v>
      </c>
      <c r="E155" t="s">
        <v>1103</v>
      </c>
      <c r="F155">
        <v>1</v>
      </c>
      <c r="G155" t="s">
        <v>1127</v>
      </c>
      <c r="H155" t="s">
        <v>1335</v>
      </c>
      <c r="I155" t="s">
        <v>1256</v>
      </c>
      <c r="J155">
        <v>1</v>
      </c>
      <c r="K155">
        <v>64689840</v>
      </c>
      <c r="M155">
        <v>64689840</v>
      </c>
      <c r="N155" t="s">
        <v>1507</v>
      </c>
    </row>
    <row r="156" spans="1:14">
      <c r="A156">
        <v>3</v>
      </c>
      <c r="B156" t="s">
        <v>1126</v>
      </c>
      <c r="C156">
        <v>1</v>
      </c>
      <c r="D156" t="s">
        <v>1102</v>
      </c>
      <c r="E156" t="s">
        <v>1103</v>
      </c>
      <c r="F156">
        <v>1</v>
      </c>
      <c r="G156" t="s">
        <v>1127</v>
      </c>
      <c r="H156" t="s">
        <v>1336</v>
      </c>
      <c r="I156" t="s">
        <v>1200</v>
      </c>
      <c r="J156">
        <v>1</v>
      </c>
      <c r="K156">
        <v>64689840</v>
      </c>
      <c r="M156">
        <v>64689840</v>
      </c>
      <c r="N156" t="s">
        <v>1507</v>
      </c>
    </row>
    <row r="157" spans="1:14">
      <c r="A157">
        <v>3</v>
      </c>
      <c r="B157" t="s">
        <v>1126</v>
      </c>
      <c r="C157">
        <v>1</v>
      </c>
      <c r="D157" t="s">
        <v>1102</v>
      </c>
      <c r="E157" t="s">
        <v>1103</v>
      </c>
      <c r="F157">
        <v>1</v>
      </c>
      <c r="G157" t="s">
        <v>1127</v>
      </c>
      <c r="H157" t="s">
        <v>1337</v>
      </c>
      <c r="I157" t="s">
        <v>1200</v>
      </c>
      <c r="J157">
        <v>1</v>
      </c>
      <c r="K157">
        <v>64689840</v>
      </c>
      <c r="M157">
        <v>64689840</v>
      </c>
      <c r="N157" t="s">
        <v>1507</v>
      </c>
    </row>
    <row r="158" spans="1:14">
      <c r="A158">
        <v>3</v>
      </c>
      <c r="B158" t="s">
        <v>1126</v>
      </c>
      <c r="C158">
        <v>1</v>
      </c>
      <c r="D158" t="s">
        <v>1102</v>
      </c>
      <c r="E158" t="s">
        <v>1103</v>
      </c>
      <c r="F158">
        <v>1</v>
      </c>
      <c r="G158" t="s">
        <v>1127</v>
      </c>
      <c r="H158" t="s">
        <v>1338</v>
      </c>
      <c r="I158" t="s">
        <v>1256</v>
      </c>
      <c r="J158">
        <v>1</v>
      </c>
      <c r="K158">
        <v>64689840</v>
      </c>
      <c r="M158">
        <v>64689840</v>
      </c>
      <c r="N158" t="s">
        <v>1507</v>
      </c>
    </row>
    <row r="159" spans="1:14">
      <c r="A159">
        <v>3</v>
      </c>
      <c r="B159" t="s">
        <v>1126</v>
      </c>
      <c r="C159">
        <v>1</v>
      </c>
      <c r="D159" t="s">
        <v>1102</v>
      </c>
      <c r="E159" t="s">
        <v>1103</v>
      </c>
      <c r="F159">
        <v>1</v>
      </c>
      <c r="G159" t="s">
        <v>1127</v>
      </c>
      <c r="H159" t="s">
        <v>1339</v>
      </c>
      <c r="I159" t="s">
        <v>1200</v>
      </c>
      <c r="J159">
        <v>1</v>
      </c>
      <c r="K159">
        <v>64689840</v>
      </c>
      <c r="M159">
        <v>64689840</v>
      </c>
      <c r="N159" t="s">
        <v>1507</v>
      </c>
    </row>
    <row r="160" spans="1:14">
      <c r="A160">
        <v>3</v>
      </c>
      <c r="B160" t="s">
        <v>1126</v>
      </c>
      <c r="C160">
        <v>1</v>
      </c>
      <c r="D160" t="s">
        <v>1102</v>
      </c>
      <c r="E160" t="s">
        <v>1103</v>
      </c>
      <c r="F160">
        <v>2</v>
      </c>
      <c r="G160" t="s">
        <v>1104</v>
      </c>
      <c r="H160" t="s">
        <v>1340</v>
      </c>
      <c r="I160" t="s">
        <v>1341</v>
      </c>
      <c r="J160">
        <v>-1</v>
      </c>
      <c r="K160">
        <v>-181042900</v>
      </c>
      <c r="L160">
        <v>0</v>
      </c>
      <c r="M160">
        <v>-181042900</v>
      </c>
      <c r="N160" t="s">
        <v>1551</v>
      </c>
    </row>
    <row r="161" spans="1:14">
      <c r="A161">
        <v>3</v>
      </c>
      <c r="B161" t="s">
        <v>1126</v>
      </c>
      <c r="C161">
        <v>1</v>
      </c>
      <c r="D161" t="s">
        <v>1102</v>
      </c>
      <c r="E161" t="s">
        <v>1103</v>
      </c>
      <c r="F161">
        <v>2</v>
      </c>
      <c r="G161" t="s">
        <v>1104</v>
      </c>
      <c r="H161" t="s">
        <v>1342</v>
      </c>
      <c r="I161" t="s">
        <v>1343</v>
      </c>
      <c r="J161">
        <v>1</v>
      </c>
      <c r="K161">
        <v>66418182</v>
      </c>
      <c r="L161">
        <v>31279182</v>
      </c>
      <c r="M161">
        <v>97697364</v>
      </c>
      <c r="N161" t="s">
        <v>1551</v>
      </c>
    </row>
    <row r="162" spans="1:14">
      <c r="A162">
        <v>3</v>
      </c>
      <c r="B162" t="s">
        <v>1126</v>
      </c>
      <c r="C162">
        <v>1</v>
      </c>
      <c r="D162" t="s">
        <v>1102</v>
      </c>
      <c r="E162" t="s">
        <v>1103</v>
      </c>
      <c r="F162">
        <v>2</v>
      </c>
      <c r="G162" t="s">
        <v>1104</v>
      </c>
      <c r="H162" t="s">
        <v>1344</v>
      </c>
      <c r="I162" t="s">
        <v>1345</v>
      </c>
      <c r="J162">
        <v>1</v>
      </c>
      <c r="K162">
        <v>112800000</v>
      </c>
      <c r="M162">
        <v>112800000</v>
      </c>
      <c r="N162" t="s">
        <v>1551</v>
      </c>
    </row>
    <row r="163" spans="1:14">
      <c r="A163">
        <v>3</v>
      </c>
      <c r="B163" t="s">
        <v>1126</v>
      </c>
      <c r="C163">
        <v>1</v>
      </c>
      <c r="D163" t="s">
        <v>1102</v>
      </c>
      <c r="E163" t="s">
        <v>1103</v>
      </c>
      <c r="F163">
        <v>2</v>
      </c>
      <c r="G163" t="s">
        <v>1104</v>
      </c>
      <c r="H163" t="s">
        <v>1346</v>
      </c>
      <c r="I163" t="s">
        <v>1235</v>
      </c>
      <c r="J163">
        <v>1</v>
      </c>
      <c r="K163">
        <v>163636364</v>
      </c>
      <c r="L163">
        <v>15099542</v>
      </c>
      <c r="M163">
        <v>178735906</v>
      </c>
      <c r="N163" t="s">
        <v>1551</v>
      </c>
    </row>
    <row r="164" spans="1:14">
      <c r="A164">
        <v>3</v>
      </c>
      <c r="B164" t="s">
        <v>1126</v>
      </c>
      <c r="C164">
        <v>1</v>
      </c>
      <c r="D164" t="s">
        <v>1102</v>
      </c>
      <c r="E164" t="s">
        <v>1103</v>
      </c>
      <c r="F164">
        <v>2</v>
      </c>
      <c r="G164" t="s">
        <v>1104</v>
      </c>
      <c r="H164" t="s">
        <v>1347</v>
      </c>
      <c r="I164" t="s">
        <v>1348</v>
      </c>
      <c r="J164">
        <v>1</v>
      </c>
      <c r="K164">
        <v>123299171</v>
      </c>
      <c r="L164">
        <v>17203155</v>
      </c>
      <c r="M164">
        <v>140502326</v>
      </c>
      <c r="N164" t="s">
        <v>1551</v>
      </c>
    </row>
    <row r="165" spans="1:14">
      <c r="A165">
        <v>3</v>
      </c>
      <c r="B165" t="s">
        <v>1126</v>
      </c>
      <c r="C165">
        <v>1</v>
      </c>
      <c r="D165" t="s">
        <v>1102</v>
      </c>
      <c r="E165" t="s">
        <v>1103</v>
      </c>
      <c r="F165">
        <v>2</v>
      </c>
      <c r="G165" t="s">
        <v>1104</v>
      </c>
      <c r="H165" t="s">
        <v>1349</v>
      </c>
      <c r="I165" t="s">
        <v>1218</v>
      </c>
      <c r="J165">
        <v>1</v>
      </c>
      <c r="K165">
        <v>109545455</v>
      </c>
      <c r="L165">
        <v>13829090</v>
      </c>
      <c r="M165">
        <v>123374545</v>
      </c>
      <c r="N165" t="s">
        <v>1551</v>
      </c>
    </row>
    <row r="166" spans="1:14">
      <c r="A166">
        <v>3</v>
      </c>
      <c r="B166" t="s">
        <v>1126</v>
      </c>
      <c r="C166">
        <v>1</v>
      </c>
      <c r="D166" t="s">
        <v>1102</v>
      </c>
      <c r="E166" t="s">
        <v>1103</v>
      </c>
      <c r="F166">
        <v>2</v>
      </c>
      <c r="G166" t="s">
        <v>1104</v>
      </c>
      <c r="H166" t="s">
        <v>1350</v>
      </c>
      <c r="I166" t="s">
        <v>1351</v>
      </c>
      <c r="J166">
        <v>1</v>
      </c>
      <c r="K166">
        <v>36363636</v>
      </c>
      <c r="L166">
        <v>31063836</v>
      </c>
      <c r="M166">
        <v>67427472</v>
      </c>
      <c r="N166" t="s">
        <v>1551</v>
      </c>
    </row>
    <row r="167" spans="1:14">
      <c r="A167">
        <v>3</v>
      </c>
      <c r="B167" t="s">
        <v>1126</v>
      </c>
      <c r="C167">
        <v>1</v>
      </c>
      <c r="D167" t="s">
        <v>1102</v>
      </c>
      <c r="E167" t="s">
        <v>1103</v>
      </c>
      <c r="F167">
        <v>2</v>
      </c>
      <c r="G167" t="s">
        <v>1104</v>
      </c>
      <c r="H167" t="s">
        <v>1352</v>
      </c>
      <c r="I167" t="s">
        <v>1353</v>
      </c>
      <c r="J167">
        <v>1</v>
      </c>
      <c r="K167">
        <v>77272727</v>
      </c>
      <c r="L167">
        <v>11506274</v>
      </c>
      <c r="M167">
        <v>88779001</v>
      </c>
      <c r="N167" t="s">
        <v>1551</v>
      </c>
    </row>
    <row r="168" spans="1:14">
      <c r="A168">
        <v>3</v>
      </c>
      <c r="B168" t="s">
        <v>1126</v>
      </c>
      <c r="C168">
        <v>1</v>
      </c>
      <c r="D168" t="s">
        <v>1102</v>
      </c>
      <c r="E168" t="s">
        <v>1103</v>
      </c>
      <c r="F168">
        <v>2</v>
      </c>
      <c r="G168" t="s">
        <v>1104</v>
      </c>
      <c r="H168" t="s">
        <v>1354</v>
      </c>
      <c r="I168" t="s">
        <v>1172</v>
      </c>
      <c r="J168">
        <v>1</v>
      </c>
      <c r="K168">
        <v>89090909</v>
      </c>
      <c r="L168">
        <v>14168477</v>
      </c>
      <c r="M168">
        <v>103259386</v>
      </c>
      <c r="N168" t="s">
        <v>1551</v>
      </c>
    </row>
    <row r="169" spans="1:14">
      <c r="A169">
        <v>3</v>
      </c>
      <c r="B169" t="s">
        <v>1126</v>
      </c>
      <c r="C169">
        <v>1</v>
      </c>
      <c r="D169" t="s">
        <v>1102</v>
      </c>
      <c r="E169" t="s">
        <v>1103</v>
      </c>
      <c r="F169">
        <v>2</v>
      </c>
      <c r="G169" t="s">
        <v>1104</v>
      </c>
      <c r="H169" t="s">
        <v>1355</v>
      </c>
      <c r="I169" t="s">
        <v>1356</v>
      </c>
      <c r="J169">
        <v>1</v>
      </c>
      <c r="K169">
        <v>150380262</v>
      </c>
      <c r="M169">
        <v>150380262</v>
      </c>
      <c r="N169" t="s">
        <v>1551</v>
      </c>
    </row>
    <row r="170" spans="1:14">
      <c r="A170">
        <v>3</v>
      </c>
      <c r="B170" t="s">
        <v>1126</v>
      </c>
      <c r="C170">
        <v>1</v>
      </c>
      <c r="D170" t="s">
        <v>1102</v>
      </c>
      <c r="E170" t="s">
        <v>1103</v>
      </c>
      <c r="F170">
        <v>2</v>
      </c>
      <c r="G170" t="s">
        <v>1104</v>
      </c>
      <c r="H170" t="s">
        <v>1357</v>
      </c>
      <c r="I170" t="s">
        <v>1358</v>
      </c>
      <c r="J170">
        <v>1</v>
      </c>
      <c r="K170">
        <v>80000000</v>
      </c>
      <c r="L170">
        <v>2858552</v>
      </c>
      <c r="M170">
        <v>82858552</v>
      </c>
      <c r="N170" t="s">
        <v>1551</v>
      </c>
    </row>
    <row r="171" spans="1:14">
      <c r="A171">
        <v>3</v>
      </c>
      <c r="B171" t="s">
        <v>1126</v>
      </c>
      <c r="C171">
        <v>1</v>
      </c>
      <c r="D171" t="s">
        <v>1102</v>
      </c>
      <c r="E171" t="s">
        <v>1103</v>
      </c>
      <c r="F171">
        <v>2</v>
      </c>
      <c r="G171" t="s">
        <v>1104</v>
      </c>
      <c r="H171" t="s">
        <v>1359</v>
      </c>
      <c r="I171" t="s">
        <v>1360</v>
      </c>
      <c r="J171">
        <v>1</v>
      </c>
      <c r="K171">
        <v>54909096</v>
      </c>
      <c r="M171">
        <v>54909096</v>
      </c>
      <c r="N171" t="s">
        <v>1551</v>
      </c>
    </row>
    <row r="172" spans="1:14">
      <c r="A172">
        <v>3</v>
      </c>
      <c r="B172" t="s">
        <v>1126</v>
      </c>
      <c r="C172">
        <v>1</v>
      </c>
      <c r="D172" t="s">
        <v>1102</v>
      </c>
      <c r="E172" t="s">
        <v>1103</v>
      </c>
      <c r="F172">
        <v>2</v>
      </c>
      <c r="G172" t="s">
        <v>1104</v>
      </c>
      <c r="H172" t="s">
        <v>1361</v>
      </c>
      <c r="I172" t="s">
        <v>1218</v>
      </c>
      <c r="J172">
        <v>1</v>
      </c>
      <c r="K172">
        <v>92727273</v>
      </c>
      <c r="L172">
        <v>3133636</v>
      </c>
      <c r="M172">
        <v>95860909</v>
      </c>
      <c r="N172" t="s">
        <v>1551</v>
      </c>
    </row>
    <row r="173" spans="1:14">
      <c r="A173">
        <v>3</v>
      </c>
      <c r="B173" t="s">
        <v>1126</v>
      </c>
      <c r="C173">
        <v>1</v>
      </c>
      <c r="D173" t="s">
        <v>1102</v>
      </c>
      <c r="E173" t="s">
        <v>1103</v>
      </c>
      <c r="F173">
        <v>2</v>
      </c>
      <c r="G173" t="s">
        <v>1104</v>
      </c>
      <c r="H173" t="s">
        <v>1362</v>
      </c>
      <c r="I173" t="s">
        <v>1363</v>
      </c>
      <c r="J173">
        <v>1</v>
      </c>
      <c r="K173">
        <v>54454551</v>
      </c>
      <c r="L173">
        <v>15164727</v>
      </c>
      <c r="M173">
        <v>69619278</v>
      </c>
      <c r="N173" t="s">
        <v>1551</v>
      </c>
    </row>
    <row r="174" spans="1:14">
      <c r="A174">
        <v>3</v>
      </c>
      <c r="B174" t="s">
        <v>1126</v>
      </c>
      <c r="C174">
        <v>1</v>
      </c>
      <c r="D174" t="s">
        <v>1102</v>
      </c>
      <c r="E174" t="s">
        <v>1103</v>
      </c>
      <c r="F174">
        <v>2</v>
      </c>
      <c r="G174" t="s">
        <v>1104</v>
      </c>
      <c r="H174" t="s">
        <v>1364</v>
      </c>
      <c r="I174" t="s">
        <v>1172</v>
      </c>
      <c r="J174">
        <v>1</v>
      </c>
      <c r="K174">
        <v>90909091</v>
      </c>
      <c r="L174">
        <v>3454545</v>
      </c>
      <c r="M174">
        <v>94363636</v>
      </c>
      <c r="N174" t="s">
        <v>1551</v>
      </c>
    </row>
    <row r="175" spans="1:14">
      <c r="A175">
        <v>3</v>
      </c>
      <c r="B175" t="s">
        <v>1126</v>
      </c>
      <c r="C175">
        <v>1</v>
      </c>
      <c r="D175" t="s">
        <v>1102</v>
      </c>
      <c r="E175" t="s">
        <v>1103</v>
      </c>
      <c r="F175">
        <v>2</v>
      </c>
      <c r="G175" t="s">
        <v>1104</v>
      </c>
      <c r="H175" t="s">
        <v>1365</v>
      </c>
      <c r="I175" t="s">
        <v>1366</v>
      </c>
      <c r="J175">
        <v>1</v>
      </c>
      <c r="K175">
        <v>151454545</v>
      </c>
      <c r="L175">
        <v>4141636</v>
      </c>
      <c r="M175">
        <v>155596181</v>
      </c>
      <c r="N175" t="s">
        <v>1551</v>
      </c>
    </row>
    <row r="176" spans="1:14">
      <c r="A176">
        <v>3</v>
      </c>
      <c r="B176" t="s">
        <v>1126</v>
      </c>
      <c r="C176">
        <v>1</v>
      </c>
      <c r="D176" t="s">
        <v>1102</v>
      </c>
      <c r="E176" t="s">
        <v>1103</v>
      </c>
      <c r="F176">
        <v>2</v>
      </c>
      <c r="G176" t="s">
        <v>1104</v>
      </c>
      <c r="H176" t="s">
        <v>1367</v>
      </c>
      <c r="I176" t="s">
        <v>1368</v>
      </c>
      <c r="J176">
        <v>1</v>
      </c>
      <c r="K176">
        <v>59800000</v>
      </c>
      <c r="L176">
        <v>3727273</v>
      </c>
      <c r="M176">
        <v>63527273</v>
      </c>
      <c r="N176" t="s">
        <v>1551</v>
      </c>
    </row>
    <row r="177" spans="1:14">
      <c r="A177">
        <v>3</v>
      </c>
      <c r="B177" t="s">
        <v>1126</v>
      </c>
      <c r="C177">
        <v>1</v>
      </c>
      <c r="D177" t="s">
        <v>1102</v>
      </c>
      <c r="E177" t="s">
        <v>1103</v>
      </c>
      <c r="F177">
        <v>2</v>
      </c>
      <c r="G177" t="s">
        <v>1104</v>
      </c>
      <c r="H177" t="s">
        <v>1369</v>
      </c>
      <c r="I177" t="s">
        <v>1370</v>
      </c>
      <c r="J177">
        <v>1</v>
      </c>
      <c r="K177">
        <v>81818182</v>
      </c>
      <c r="M177">
        <v>81818182</v>
      </c>
      <c r="N177" t="s">
        <v>1551</v>
      </c>
    </row>
    <row r="178" spans="1:14">
      <c r="A178">
        <v>3</v>
      </c>
      <c r="B178" t="s">
        <v>1126</v>
      </c>
      <c r="C178">
        <v>1</v>
      </c>
      <c r="D178" t="s">
        <v>1102</v>
      </c>
      <c r="E178" t="s">
        <v>1103</v>
      </c>
      <c r="F178">
        <v>2</v>
      </c>
      <c r="G178" t="s">
        <v>1104</v>
      </c>
      <c r="H178" t="s">
        <v>1371</v>
      </c>
      <c r="I178" t="s">
        <v>1343</v>
      </c>
      <c r="J178">
        <v>1</v>
      </c>
      <c r="K178">
        <v>90909091</v>
      </c>
      <c r="M178">
        <v>90909091</v>
      </c>
      <c r="N178" t="s">
        <v>1551</v>
      </c>
    </row>
    <row r="179" spans="1:14">
      <c r="A179">
        <v>3</v>
      </c>
      <c r="B179" t="s">
        <v>1126</v>
      </c>
      <c r="C179">
        <v>1</v>
      </c>
      <c r="D179" t="s">
        <v>1102</v>
      </c>
      <c r="E179" t="s">
        <v>1103</v>
      </c>
      <c r="F179">
        <v>2</v>
      </c>
      <c r="G179" t="s">
        <v>1104</v>
      </c>
      <c r="H179" t="s">
        <v>1372</v>
      </c>
      <c r="I179" t="s">
        <v>1373</v>
      </c>
      <c r="J179">
        <v>1</v>
      </c>
      <c r="K179">
        <v>72727273</v>
      </c>
      <c r="M179">
        <v>72727273</v>
      </c>
      <c r="N179" t="s">
        <v>1551</v>
      </c>
    </row>
    <row r="180" spans="1:14">
      <c r="A180">
        <v>3</v>
      </c>
      <c r="B180" t="s">
        <v>1126</v>
      </c>
      <c r="C180">
        <v>1</v>
      </c>
      <c r="D180" t="s">
        <v>1102</v>
      </c>
      <c r="E180" t="s">
        <v>1103</v>
      </c>
      <c r="F180">
        <v>2</v>
      </c>
      <c r="G180" t="s">
        <v>1104</v>
      </c>
      <c r="H180" t="s">
        <v>1374</v>
      </c>
      <c r="I180" t="s">
        <v>1222</v>
      </c>
      <c r="J180">
        <v>1</v>
      </c>
      <c r="K180">
        <v>162272744</v>
      </c>
      <c r="L180">
        <v>1054546</v>
      </c>
      <c r="M180">
        <v>163327290</v>
      </c>
      <c r="N180" t="s">
        <v>1551</v>
      </c>
    </row>
    <row r="181" spans="1:14">
      <c r="A181">
        <v>3</v>
      </c>
      <c r="B181" t="s">
        <v>1126</v>
      </c>
      <c r="C181">
        <v>1</v>
      </c>
      <c r="D181" t="s">
        <v>1102</v>
      </c>
      <c r="E181" t="s">
        <v>1103</v>
      </c>
      <c r="F181">
        <v>2</v>
      </c>
      <c r="G181" t="s">
        <v>1104</v>
      </c>
      <c r="H181" t="s">
        <v>1375</v>
      </c>
      <c r="I181" t="s">
        <v>1376</v>
      </c>
      <c r="J181">
        <v>1</v>
      </c>
      <c r="K181">
        <v>70000000</v>
      </c>
      <c r="M181">
        <v>70000000</v>
      </c>
      <c r="N181" t="s">
        <v>1551</v>
      </c>
    </row>
    <row r="182" spans="1:14">
      <c r="A182">
        <v>3</v>
      </c>
      <c r="B182" t="s">
        <v>1126</v>
      </c>
      <c r="C182">
        <v>1</v>
      </c>
      <c r="D182" t="s">
        <v>1102</v>
      </c>
      <c r="E182" t="s">
        <v>1103</v>
      </c>
      <c r="F182">
        <v>2</v>
      </c>
      <c r="G182" t="s">
        <v>1104</v>
      </c>
      <c r="H182" t="s">
        <v>1377</v>
      </c>
      <c r="I182" t="s">
        <v>1378</v>
      </c>
      <c r="J182">
        <v>1</v>
      </c>
      <c r="K182">
        <v>96872749</v>
      </c>
      <c r="L182">
        <v>33991188</v>
      </c>
      <c r="M182">
        <v>130863937</v>
      </c>
      <c r="N182" t="s">
        <v>1551</v>
      </c>
    </row>
    <row r="183" spans="1:14">
      <c r="A183">
        <v>3</v>
      </c>
      <c r="B183" t="s">
        <v>1126</v>
      </c>
      <c r="C183">
        <v>1</v>
      </c>
      <c r="D183" t="s">
        <v>1102</v>
      </c>
      <c r="E183" t="s">
        <v>1103</v>
      </c>
      <c r="F183">
        <v>2</v>
      </c>
      <c r="G183" t="s">
        <v>1104</v>
      </c>
      <c r="H183" t="s">
        <v>1379</v>
      </c>
      <c r="I183" t="s">
        <v>1380</v>
      </c>
      <c r="J183">
        <v>1</v>
      </c>
      <c r="K183">
        <v>50000000</v>
      </c>
      <c r="L183">
        <v>25070756</v>
      </c>
      <c r="M183">
        <v>75070756</v>
      </c>
      <c r="N183" t="s">
        <v>1551</v>
      </c>
    </row>
    <row r="184" spans="1:14">
      <c r="A184">
        <v>3</v>
      </c>
      <c r="B184" t="s">
        <v>1126</v>
      </c>
      <c r="C184">
        <v>2</v>
      </c>
      <c r="D184" t="s">
        <v>1117</v>
      </c>
      <c r="E184" t="s">
        <v>1103</v>
      </c>
      <c r="F184">
        <v>1</v>
      </c>
      <c r="G184" t="s">
        <v>1104</v>
      </c>
      <c r="H184" t="s">
        <v>1381</v>
      </c>
      <c r="I184" t="s">
        <v>1382</v>
      </c>
      <c r="J184">
        <v>1</v>
      </c>
      <c r="K184">
        <v>18181818</v>
      </c>
      <c r="L184">
        <v>6842728</v>
      </c>
      <c r="M184">
        <v>25024546</v>
      </c>
      <c r="N184" t="s">
        <v>1551</v>
      </c>
    </row>
    <row r="185" spans="1:14">
      <c r="A185">
        <v>3</v>
      </c>
      <c r="B185" t="s">
        <v>1126</v>
      </c>
      <c r="C185">
        <v>2</v>
      </c>
      <c r="D185" t="s">
        <v>1117</v>
      </c>
      <c r="E185" t="s">
        <v>1103</v>
      </c>
      <c r="F185">
        <v>1</v>
      </c>
      <c r="G185" t="s">
        <v>1104</v>
      </c>
      <c r="H185" t="s">
        <v>1383</v>
      </c>
      <c r="I185" t="s">
        <v>1384</v>
      </c>
      <c r="J185">
        <v>1</v>
      </c>
      <c r="K185">
        <v>5045455</v>
      </c>
      <c r="M185">
        <v>5045455</v>
      </c>
      <c r="N185" t="s">
        <v>1551</v>
      </c>
    </row>
    <row r="186" spans="1:14">
      <c r="A186">
        <v>3</v>
      </c>
      <c r="B186" t="s">
        <v>1126</v>
      </c>
      <c r="C186">
        <v>2</v>
      </c>
      <c r="D186" t="s">
        <v>1117</v>
      </c>
      <c r="E186" t="s">
        <v>1103</v>
      </c>
      <c r="F186">
        <v>1</v>
      </c>
      <c r="G186" t="s">
        <v>1104</v>
      </c>
      <c r="H186" t="s">
        <v>1385</v>
      </c>
      <c r="I186" t="s">
        <v>1317</v>
      </c>
      <c r="J186">
        <v>1</v>
      </c>
      <c r="K186">
        <v>38181818</v>
      </c>
      <c r="L186">
        <v>1454545</v>
      </c>
      <c r="M186">
        <v>39636363</v>
      </c>
      <c r="N186" t="s">
        <v>1551</v>
      </c>
    </row>
    <row r="187" spans="1:14">
      <c r="A187">
        <v>3</v>
      </c>
      <c r="B187" t="s">
        <v>1126</v>
      </c>
      <c r="C187">
        <v>2</v>
      </c>
      <c r="D187" t="s">
        <v>1117</v>
      </c>
      <c r="E187" t="s">
        <v>1103</v>
      </c>
      <c r="F187">
        <v>1</v>
      </c>
      <c r="G187" t="s">
        <v>1104</v>
      </c>
      <c r="H187" t="s">
        <v>1386</v>
      </c>
      <c r="I187" t="s">
        <v>1387</v>
      </c>
      <c r="J187">
        <v>1</v>
      </c>
      <c r="K187">
        <v>13636364</v>
      </c>
      <c r="M187">
        <v>13636364</v>
      </c>
      <c r="N187" t="s">
        <v>1551</v>
      </c>
    </row>
    <row r="188" spans="1:14">
      <c r="A188">
        <v>3</v>
      </c>
      <c r="B188" t="s">
        <v>1126</v>
      </c>
      <c r="C188">
        <v>2</v>
      </c>
      <c r="D188" t="s">
        <v>1117</v>
      </c>
      <c r="E188" t="s">
        <v>1103</v>
      </c>
      <c r="F188">
        <v>1</v>
      </c>
      <c r="G188" t="s">
        <v>1104</v>
      </c>
      <c r="H188" t="s">
        <v>1388</v>
      </c>
      <c r="I188" t="s">
        <v>1389</v>
      </c>
      <c r="J188">
        <v>1</v>
      </c>
      <c r="K188">
        <v>45454545</v>
      </c>
      <c r="M188">
        <v>45454545</v>
      </c>
      <c r="N188" t="s">
        <v>1551</v>
      </c>
    </row>
    <row r="189" spans="1:14">
      <c r="A189">
        <v>3</v>
      </c>
      <c r="B189" t="s">
        <v>1126</v>
      </c>
      <c r="C189">
        <v>2</v>
      </c>
      <c r="D189" t="s">
        <v>1117</v>
      </c>
      <c r="E189" t="s">
        <v>1103</v>
      </c>
      <c r="F189">
        <v>1</v>
      </c>
      <c r="G189" t="s">
        <v>1104</v>
      </c>
      <c r="H189" t="s">
        <v>1390</v>
      </c>
      <c r="I189" t="s">
        <v>1391</v>
      </c>
      <c r="J189">
        <v>1</v>
      </c>
      <c r="K189">
        <v>16309075</v>
      </c>
      <c r="M189">
        <v>16309075</v>
      </c>
      <c r="N189" t="s">
        <v>1551</v>
      </c>
    </row>
    <row r="190" spans="1:14">
      <c r="A190">
        <v>3</v>
      </c>
      <c r="B190" t="s">
        <v>1126</v>
      </c>
      <c r="C190">
        <v>2</v>
      </c>
      <c r="D190" t="s">
        <v>1117</v>
      </c>
      <c r="E190" t="s">
        <v>1103</v>
      </c>
      <c r="F190">
        <v>1</v>
      </c>
      <c r="G190" t="s">
        <v>1104</v>
      </c>
      <c r="H190" t="s">
        <v>1392</v>
      </c>
      <c r="I190" t="s">
        <v>1393</v>
      </c>
      <c r="J190">
        <v>1</v>
      </c>
      <c r="K190">
        <v>55000000</v>
      </c>
      <c r="L190">
        <v>109091</v>
      </c>
      <c r="M190">
        <v>55109091</v>
      </c>
      <c r="N190" t="s">
        <v>1551</v>
      </c>
    </row>
    <row r="191" spans="1:14">
      <c r="A191">
        <v>3</v>
      </c>
      <c r="B191" t="s">
        <v>1126</v>
      </c>
      <c r="C191">
        <v>2</v>
      </c>
      <c r="D191" t="s">
        <v>1117</v>
      </c>
      <c r="E191" t="s">
        <v>1103</v>
      </c>
      <c r="F191">
        <v>2</v>
      </c>
      <c r="G191" t="s">
        <v>1127</v>
      </c>
      <c r="H191" t="s">
        <v>1394</v>
      </c>
      <c r="I191" t="s">
        <v>1395</v>
      </c>
      <c r="J191">
        <v>1</v>
      </c>
      <c r="K191">
        <v>129410127</v>
      </c>
      <c r="M191">
        <v>129410127</v>
      </c>
      <c r="N191" t="s">
        <v>1508</v>
      </c>
    </row>
    <row r="192" spans="1:14">
      <c r="A192">
        <v>3</v>
      </c>
      <c r="B192" t="s">
        <v>1126</v>
      </c>
      <c r="C192">
        <v>2</v>
      </c>
      <c r="D192" t="s">
        <v>1117</v>
      </c>
      <c r="E192" t="s">
        <v>1103</v>
      </c>
      <c r="F192">
        <v>2</v>
      </c>
      <c r="G192" t="s">
        <v>1127</v>
      </c>
      <c r="H192" t="s">
        <v>1396</v>
      </c>
      <c r="I192" t="s">
        <v>1397</v>
      </c>
      <c r="J192">
        <v>1</v>
      </c>
      <c r="K192">
        <v>67654080</v>
      </c>
      <c r="M192">
        <v>67654080</v>
      </c>
      <c r="N192" t="s">
        <v>1507</v>
      </c>
    </row>
    <row r="193" spans="1:14">
      <c r="A193">
        <v>3</v>
      </c>
      <c r="B193" t="s">
        <v>1126</v>
      </c>
      <c r="C193">
        <v>2</v>
      </c>
      <c r="D193" t="s">
        <v>1117</v>
      </c>
      <c r="E193" t="s">
        <v>1103</v>
      </c>
      <c r="F193">
        <v>2</v>
      </c>
      <c r="G193" t="s">
        <v>1127</v>
      </c>
      <c r="H193" t="s">
        <v>1398</v>
      </c>
      <c r="I193" t="s">
        <v>1399</v>
      </c>
      <c r="J193">
        <v>1</v>
      </c>
      <c r="K193">
        <v>74458800</v>
      </c>
      <c r="M193">
        <v>74458800</v>
      </c>
      <c r="N193" t="s">
        <v>1507</v>
      </c>
    </row>
    <row r="194" spans="1:14">
      <c r="A194">
        <v>3</v>
      </c>
      <c r="B194" t="s">
        <v>1126</v>
      </c>
      <c r="C194">
        <v>2</v>
      </c>
      <c r="D194" t="s">
        <v>1117</v>
      </c>
      <c r="E194" t="s">
        <v>1103</v>
      </c>
      <c r="F194">
        <v>2</v>
      </c>
      <c r="G194" t="s">
        <v>1127</v>
      </c>
      <c r="H194" t="s">
        <v>1400</v>
      </c>
      <c r="I194" t="s">
        <v>1401</v>
      </c>
      <c r="J194">
        <v>1</v>
      </c>
      <c r="K194">
        <v>70209360</v>
      </c>
      <c r="M194">
        <v>70209360</v>
      </c>
      <c r="N194" t="s">
        <v>1507</v>
      </c>
    </row>
    <row r="195" spans="1:14">
      <c r="A195">
        <v>3</v>
      </c>
      <c r="B195" t="s">
        <v>1126</v>
      </c>
      <c r="C195">
        <v>2</v>
      </c>
      <c r="D195" t="s">
        <v>1117</v>
      </c>
      <c r="E195" t="s">
        <v>1103</v>
      </c>
      <c r="F195">
        <v>2</v>
      </c>
      <c r="G195" t="s">
        <v>1127</v>
      </c>
      <c r="H195" t="s">
        <v>1402</v>
      </c>
      <c r="I195" t="s">
        <v>1403</v>
      </c>
      <c r="J195">
        <v>1</v>
      </c>
      <c r="K195">
        <v>70209360</v>
      </c>
      <c r="M195">
        <v>70209360</v>
      </c>
      <c r="N195" t="s">
        <v>1507</v>
      </c>
    </row>
    <row r="196" spans="1:14">
      <c r="A196">
        <v>3</v>
      </c>
      <c r="B196" t="s">
        <v>1126</v>
      </c>
      <c r="C196">
        <v>2</v>
      </c>
      <c r="D196" t="s">
        <v>1117</v>
      </c>
      <c r="E196" t="s">
        <v>1103</v>
      </c>
      <c r="F196">
        <v>2</v>
      </c>
      <c r="G196" t="s">
        <v>1127</v>
      </c>
      <c r="H196" t="s">
        <v>1404</v>
      </c>
      <c r="I196" t="s">
        <v>1317</v>
      </c>
      <c r="J196">
        <v>1</v>
      </c>
      <c r="K196">
        <v>47173000</v>
      </c>
      <c r="L196">
        <v>318182</v>
      </c>
      <c r="M196">
        <v>47491182</v>
      </c>
      <c r="N196" t="s">
        <v>1507</v>
      </c>
    </row>
    <row r="197" spans="1:14">
      <c r="A197">
        <v>3</v>
      </c>
      <c r="B197" t="s">
        <v>1126</v>
      </c>
      <c r="C197">
        <v>2</v>
      </c>
      <c r="D197" t="s">
        <v>1117</v>
      </c>
      <c r="E197" t="s">
        <v>1103</v>
      </c>
      <c r="F197">
        <v>2</v>
      </c>
      <c r="G197" t="s">
        <v>1127</v>
      </c>
      <c r="H197" t="s">
        <v>1405</v>
      </c>
      <c r="I197" t="s">
        <v>1406</v>
      </c>
      <c r="J197">
        <v>1</v>
      </c>
      <c r="K197">
        <v>70331040</v>
      </c>
      <c r="M197">
        <v>70331040</v>
      </c>
      <c r="N197" t="s">
        <v>1507</v>
      </c>
    </row>
    <row r="198" spans="1:14">
      <c r="A198">
        <v>3</v>
      </c>
      <c r="B198" t="s">
        <v>1126</v>
      </c>
      <c r="C198">
        <v>2</v>
      </c>
      <c r="D198" t="s">
        <v>1117</v>
      </c>
      <c r="E198" t="s">
        <v>1103</v>
      </c>
      <c r="F198">
        <v>2</v>
      </c>
      <c r="G198" t="s">
        <v>1127</v>
      </c>
      <c r="H198" t="s">
        <v>1407</v>
      </c>
      <c r="I198" t="s">
        <v>1408</v>
      </c>
      <c r="J198">
        <v>1</v>
      </c>
      <c r="K198">
        <v>70331040</v>
      </c>
      <c r="M198">
        <v>70331040</v>
      </c>
      <c r="N198" t="s">
        <v>1507</v>
      </c>
    </row>
    <row r="199" spans="1:14">
      <c r="A199">
        <v>3</v>
      </c>
      <c r="B199" t="s">
        <v>1126</v>
      </c>
      <c r="C199">
        <v>2</v>
      </c>
      <c r="D199" t="s">
        <v>1117</v>
      </c>
      <c r="E199" t="s">
        <v>1103</v>
      </c>
      <c r="F199">
        <v>2</v>
      </c>
      <c r="G199" t="s">
        <v>1127</v>
      </c>
      <c r="H199" t="s">
        <v>1409</v>
      </c>
      <c r="I199" t="s">
        <v>1410</v>
      </c>
      <c r="J199">
        <v>1</v>
      </c>
      <c r="K199">
        <v>71426160</v>
      </c>
      <c r="M199">
        <v>71426160</v>
      </c>
      <c r="N199" t="s">
        <v>1507</v>
      </c>
    </row>
    <row r="200" spans="1:14">
      <c r="A200">
        <v>3</v>
      </c>
      <c r="B200" t="s">
        <v>1126</v>
      </c>
      <c r="C200">
        <v>2</v>
      </c>
      <c r="D200" t="s">
        <v>1117</v>
      </c>
      <c r="E200" t="s">
        <v>1103</v>
      </c>
      <c r="F200">
        <v>2</v>
      </c>
      <c r="G200" t="s">
        <v>1127</v>
      </c>
      <c r="H200" t="s">
        <v>1411</v>
      </c>
      <c r="I200" t="s">
        <v>1412</v>
      </c>
      <c r="J200">
        <v>1</v>
      </c>
      <c r="K200">
        <v>78188400</v>
      </c>
      <c r="M200">
        <v>78188400</v>
      </c>
      <c r="N200" t="s">
        <v>1507</v>
      </c>
    </row>
    <row r="201" spans="1:14">
      <c r="A201">
        <v>3</v>
      </c>
      <c r="B201" t="s">
        <v>1126</v>
      </c>
      <c r="C201">
        <v>2</v>
      </c>
      <c r="D201" t="s">
        <v>1117</v>
      </c>
      <c r="E201" t="s">
        <v>1103</v>
      </c>
      <c r="F201">
        <v>2</v>
      </c>
      <c r="G201" t="s">
        <v>1127</v>
      </c>
      <c r="H201" t="s">
        <v>1413</v>
      </c>
      <c r="I201" t="s">
        <v>1414</v>
      </c>
      <c r="J201">
        <v>1</v>
      </c>
      <c r="K201">
        <v>79653600</v>
      </c>
      <c r="M201">
        <v>79653600</v>
      </c>
      <c r="N201" t="s">
        <v>1507</v>
      </c>
    </row>
    <row r="202" spans="1:14">
      <c r="A202">
        <v>3</v>
      </c>
      <c r="B202" t="s">
        <v>1126</v>
      </c>
      <c r="C202">
        <v>2</v>
      </c>
      <c r="D202" t="s">
        <v>1117</v>
      </c>
      <c r="E202" t="s">
        <v>1103</v>
      </c>
      <c r="F202">
        <v>2</v>
      </c>
      <c r="G202" t="s">
        <v>1127</v>
      </c>
      <c r="H202" t="s">
        <v>1415</v>
      </c>
      <c r="I202" t="s">
        <v>1416</v>
      </c>
      <c r="J202">
        <v>1</v>
      </c>
      <c r="K202">
        <v>64689840</v>
      </c>
      <c r="M202">
        <v>64689840</v>
      </c>
      <c r="N202" t="s">
        <v>1507</v>
      </c>
    </row>
    <row r="203" spans="1:14">
      <c r="A203">
        <v>3</v>
      </c>
      <c r="B203" t="s">
        <v>1126</v>
      </c>
      <c r="C203">
        <v>2</v>
      </c>
      <c r="D203" t="s">
        <v>1117</v>
      </c>
      <c r="E203" t="s">
        <v>1103</v>
      </c>
      <c r="F203">
        <v>2</v>
      </c>
      <c r="G203" t="s">
        <v>1127</v>
      </c>
      <c r="H203" t="s">
        <v>1417</v>
      </c>
      <c r="I203" t="s">
        <v>1418</v>
      </c>
      <c r="J203">
        <v>1</v>
      </c>
      <c r="K203">
        <v>64689840</v>
      </c>
      <c r="M203">
        <v>64689840</v>
      </c>
      <c r="N203" t="s">
        <v>1507</v>
      </c>
    </row>
    <row r="204" spans="1:14">
      <c r="A204">
        <v>3</v>
      </c>
      <c r="B204" t="s">
        <v>1126</v>
      </c>
      <c r="C204">
        <v>2</v>
      </c>
      <c r="D204" t="s">
        <v>1117</v>
      </c>
      <c r="E204" t="s">
        <v>1103</v>
      </c>
      <c r="F204">
        <v>2</v>
      </c>
      <c r="G204" t="s">
        <v>1127</v>
      </c>
      <c r="H204" t="s">
        <v>1419</v>
      </c>
      <c r="I204" t="s">
        <v>1420</v>
      </c>
      <c r="J204">
        <v>1</v>
      </c>
      <c r="K204">
        <v>49467949</v>
      </c>
      <c r="M204">
        <v>49467949</v>
      </c>
      <c r="N204" t="s">
        <v>1507</v>
      </c>
    </row>
    <row r="205" spans="1:14">
      <c r="A205">
        <v>3</v>
      </c>
      <c r="B205" t="s">
        <v>1126</v>
      </c>
      <c r="C205">
        <v>2</v>
      </c>
      <c r="D205" t="s">
        <v>1117</v>
      </c>
      <c r="E205" t="s">
        <v>1103</v>
      </c>
      <c r="F205">
        <v>2</v>
      </c>
      <c r="G205" t="s">
        <v>1127</v>
      </c>
      <c r="H205" t="s">
        <v>1421</v>
      </c>
      <c r="I205" t="s">
        <v>1422</v>
      </c>
      <c r="J205">
        <v>1</v>
      </c>
      <c r="K205">
        <v>64689840</v>
      </c>
      <c r="M205">
        <v>64689840</v>
      </c>
      <c r="N205" t="s">
        <v>1507</v>
      </c>
    </row>
    <row r="206" spans="1:14">
      <c r="A206">
        <v>3</v>
      </c>
      <c r="B206" t="s">
        <v>1126</v>
      </c>
      <c r="C206">
        <v>2</v>
      </c>
      <c r="D206" t="s">
        <v>1117</v>
      </c>
      <c r="E206" t="s">
        <v>1103</v>
      </c>
      <c r="F206">
        <v>2</v>
      </c>
      <c r="G206" t="s">
        <v>1127</v>
      </c>
      <c r="H206" t="s">
        <v>1423</v>
      </c>
      <c r="I206" t="s">
        <v>1424</v>
      </c>
      <c r="J206">
        <v>1</v>
      </c>
      <c r="K206">
        <v>49470120</v>
      </c>
      <c r="M206">
        <v>49470120</v>
      </c>
      <c r="N206" t="s">
        <v>1507</v>
      </c>
    </row>
    <row r="207" spans="1:14">
      <c r="A207">
        <v>3</v>
      </c>
      <c r="B207" t="s">
        <v>1126</v>
      </c>
      <c r="C207">
        <v>2</v>
      </c>
      <c r="D207" t="s">
        <v>1117</v>
      </c>
      <c r="E207" t="s">
        <v>1103</v>
      </c>
      <c r="F207">
        <v>2</v>
      </c>
      <c r="G207" t="s">
        <v>1127</v>
      </c>
      <c r="H207" t="s">
        <v>1425</v>
      </c>
      <c r="I207" t="s">
        <v>1424</v>
      </c>
      <c r="J207">
        <v>1</v>
      </c>
      <c r="K207">
        <v>49470120</v>
      </c>
      <c r="M207">
        <v>49470120</v>
      </c>
      <c r="N207" t="s">
        <v>1507</v>
      </c>
    </row>
    <row r="208" spans="1:14">
      <c r="A208">
        <v>3</v>
      </c>
      <c r="B208" t="s">
        <v>1126</v>
      </c>
      <c r="C208">
        <v>2</v>
      </c>
      <c r="D208" t="s">
        <v>1117</v>
      </c>
      <c r="E208" t="s">
        <v>1103</v>
      </c>
      <c r="F208">
        <v>2</v>
      </c>
      <c r="G208" t="s">
        <v>1127</v>
      </c>
      <c r="H208" t="s">
        <v>1426</v>
      </c>
      <c r="I208" t="s">
        <v>1317</v>
      </c>
      <c r="J208">
        <v>1</v>
      </c>
      <c r="K208">
        <v>49470120</v>
      </c>
      <c r="M208">
        <v>49470120</v>
      </c>
      <c r="N208" t="s">
        <v>1507</v>
      </c>
    </row>
    <row r="209" spans="1:14">
      <c r="A209">
        <v>3</v>
      </c>
      <c r="B209" t="s">
        <v>1126</v>
      </c>
      <c r="C209">
        <v>2</v>
      </c>
      <c r="D209" t="s">
        <v>1117</v>
      </c>
      <c r="E209" t="s">
        <v>1103</v>
      </c>
      <c r="F209">
        <v>2</v>
      </c>
      <c r="G209" t="s">
        <v>1127</v>
      </c>
      <c r="H209" t="s">
        <v>1427</v>
      </c>
      <c r="I209" t="s">
        <v>1317</v>
      </c>
      <c r="J209">
        <v>1</v>
      </c>
      <c r="K209">
        <v>49470120</v>
      </c>
      <c r="M209">
        <v>49470120</v>
      </c>
      <c r="N209" t="s">
        <v>1507</v>
      </c>
    </row>
    <row r="210" spans="1:14">
      <c r="A210">
        <v>3</v>
      </c>
      <c r="B210" t="s">
        <v>1126</v>
      </c>
      <c r="C210">
        <v>2</v>
      </c>
      <c r="D210" t="s">
        <v>1117</v>
      </c>
      <c r="E210" t="s">
        <v>1103</v>
      </c>
      <c r="F210">
        <v>2</v>
      </c>
      <c r="G210" t="s">
        <v>1127</v>
      </c>
      <c r="H210" t="s">
        <v>1428</v>
      </c>
      <c r="I210" t="s">
        <v>1317</v>
      </c>
      <c r="J210">
        <v>1</v>
      </c>
      <c r="K210">
        <v>49470120</v>
      </c>
      <c r="M210">
        <v>49470120</v>
      </c>
      <c r="N210" t="s">
        <v>1507</v>
      </c>
    </row>
    <row r="211" spans="1:14">
      <c r="A211">
        <v>3</v>
      </c>
      <c r="B211" t="s">
        <v>1126</v>
      </c>
      <c r="C211">
        <v>2</v>
      </c>
      <c r="D211" t="s">
        <v>1117</v>
      </c>
      <c r="E211" t="s">
        <v>1103</v>
      </c>
      <c r="F211">
        <v>2</v>
      </c>
      <c r="G211" t="s">
        <v>1127</v>
      </c>
      <c r="H211" t="s">
        <v>1429</v>
      </c>
      <c r="I211" t="s">
        <v>1430</v>
      </c>
      <c r="J211">
        <v>1</v>
      </c>
      <c r="K211">
        <v>49470120</v>
      </c>
      <c r="M211">
        <v>49470120</v>
      </c>
      <c r="N211" t="s">
        <v>1507</v>
      </c>
    </row>
    <row r="212" spans="1:14">
      <c r="A212">
        <v>3</v>
      </c>
      <c r="B212" t="s">
        <v>1126</v>
      </c>
      <c r="C212">
        <v>2</v>
      </c>
      <c r="D212" t="s">
        <v>1117</v>
      </c>
      <c r="E212" t="s">
        <v>1103</v>
      </c>
      <c r="F212">
        <v>2</v>
      </c>
      <c r="G212" t="s">
        <v>1127</v>
      </c>
      <c r="H212" t="s">
        <v>1431</v>
      </c>
      <c r="I212" t="s">
        <v>1420</v>
      </c>
      <c r="J212">
        <v>1</v>
      </c>
      <c r="K212">
        <v>49470120</v>
      </c>
      <c r="M212">
        <v>49470120</v>
      </c>
      <c r="N212" t="s">
        <v>1507</v>
      </c>
    </row>
    <row r="213" spans="1:14">
      <c r="A213">
        <v>3</v>
      </c>
      <c r="B213" t="s">
        <v>1126</v>
      </c>
      <c r="C213">
        <v>2</v>
      </c>
      <c r="D213" t="s">
        <v>1117</v>
      </c>
      <c r="E213" t="s">
        <v>1103</v>
      </c>
      <c r="F213">
        <v>2</v>
      </c>
      <c r="G213" t="s">
        <v>1127</v>
      </c>
      <c r="H213" t="s">
        <v>1432</v>
      </c>
      <c r="I213" t="s">
        <v>1420</v>
      </c>
      <c r="J213">
        <v>1</v>
      </c>
      <c r="K213">
        <v>49470120</v>
      </c>
      <c r="M213">
        <v>49470120</v>
      </c>
      <c r="N213" t="s">
        <v>1507</v>
      </c>
    </row>
    <row r="214" spans="1:14">
      <c r="A214">
        <v>3</v>
      </c>
      <c r="B214" t="s">
        <v>1126</v>
      </c>
      <c r="C214">
        <v>2</v>
      </c>
      <c r="D214" t="s">
        <v>1117</v>
      </c>
      <c r="E214" t="s">
        <v>1103</v>
      </c>
      <c r="F214">
        <v>2</v>
      </c>
      <c r="G214" t="s">
        <v>1127</v>
      </c>
      <c r="H214" t="s">
        <v>1433</v>
      </c>
      <c r="I214" t="s">
        <v>1434</v>
      </c>
      <c r="J214">
        <v>1</v>
      </c>
      <c r="K214">
        <v>80319600</v>
      </c>
      <c r="M214">
        <v>80319600</v>
      </c>
      <c r="N214" t="s">
        <v>1507</v>
      </c>
    </row>
    <row r="215" spans="1:14">
      <c r="A215">
        <v>3</v>
      </c>
      <c r="B215" t="s">
        <v>1126</v>
      </c>
      <c r="C215">
        <v>2</v>
      </c>
      <c r="D215" t="s">
        <v>1117</v>
      </c>
      <c r="E215" t="s">
        <v>1103</v>
      </c>
      <c r="F215">
        <v>2</v>
      </c>
      <c r="G215" t="s">
        <v>1127</v>
      </c>
      <c r="H215" t="s">
        <v>1435</v>
      </c>
      <c r="I215" t="s">
        <v>1436</v>
      </c>
      <c r="J215">
        <v>1</v>
      </c>
      <c r="K215">
        <v>80319600</v>
      </c>
      <c r="M215">
        <v>80319600</v>
      </c>
      <c r="N215" t="s">
        <v>1507</v>
      </c>
    </row>
    <row r="216" spans="1:14">
      <c r="A216">
        <v>3</v>
      </c>
      <c r="B216" t="s">
        <v>1126</v>
      </c>
      <c r="C216">
        <v>2</v>
      </c>
      <c r="D216" t="s">
        <v>1117</v>
      </c>
      <c r="E216" t="s">
        <v>1103</v>
      </c>
      <c r="F216">
        <v>2</v>
      </c>
      <c r="G216" t="s">
        <v>1127</v>
      </c>
      <c r="H216" t="s">
        <v>1437</v>
      </c>
      <c r="I216" t="s">
        <v>1438</v>
      </c>
      <c r="J216">
        <v>1</v>
      </c>
      <c r="K216">
        <v>73373040</v>
      </c>
      <c r="M216">
        <v>73373040</v>
      </c>
      <c r="N216" t="s">
        <v>1507</v>
      </c>
    </row>
    <row r="217" spans="1:14">
      <c r="A217">
        <v>3</v>
      </c>
      <c r="B217" t="s">
        <v>1126</v>
      </c>
      <c r="C217">
        <v>2</v>
      </c>
      <c r="D217" t="s">
        <v>1117</v>
      </c>
      <c r="E217" t="s">
        <v>1103</v>
      </c>
      <c r="F217">
        <v>2</v>
      </c>
      <c r="G217" t="s">
        <v>1127</v>
      </c>
      <c r="H217" t="s">
        <v>1439</v>
      </c>
      <c r="I217" t="s">
        <v>1440</v>
      </c>
      <c r="J217">
        <v>1</v>
      </c>
      <c r="K217">
        <v>73373040</v>
      </c>
      <c r="M217">
        <v>73373040</v>
      </c>
      <c r="N217" t="s">
        <v>1507</v>
      </c>
    </row>
    <row r="218" spans="1:14">
      <c r="A218">
        <v>3</v>
      </c>
      <c r="B218" t="s">
        <v>1126</v>
      </c>
      <c r="C218">
        <v>2</v>
      </c>
      <c r="D218" t="s">
        <v>1117</v>
      </c>
      <c r="E218" t="s">
        <v>1103</v>
      </c>
      <c r="F218">
        <v>2</v>
      </c>
      <c r="G218" t="s">
        <v>1127</v>
      </c>
      <c r="H218" t="s">
        <v>1441</v>
      </c>
      <c r="I218" t="s">
        <v>1442</v>
      </c>
      <c r="J218">
        <v>1</v>
      </c>
      <c r="K218">
        <v>73373040</v>
      </c>
      <c r="M218">
        <v>73373040</v>
      </c>
      <c r="N218" t="s">
        <v>1507</v>
      </c>
    </row>
    <row r="219" spans="1:14">
      <c r="A219">
        <v>3</v>
      </c>
      <c r="B219" t="s">
        <v>1126</v>
      </c>
      <c r="C219">
        <v>2</v>
      </c>
      <c r="D219" t="s">
        <v>1117</v>
      </c>
      <c r="E219" t="s">
        <v>1103</v>
      </c>
      <c r="F219">
        <v>2</v>
      </c>
      <c r="G219" t="s">
        <v>1127</v>
      </c>
      <c r="H219" t="s">
        <v>1443</v>
      </c>
      <c r="I219" t="s">
        <v>1444</v>
      </c>
      <c r="J219">
        <v>1</v>
      </c>
      <c r="K219">
        <v>64689840</v>
      </c>
      <c r="M219">
        <v>64689840</v>
      </c>
      <c r="N219" t="s">
        <v>1507</v>
      </c>
    </row>
    <row r="220" spans="1:14">
      <c r="A220">
        <v>3</v>
      </c>
      <c r="B220" t="s">
        <v>1126</v>
      </c>
      <c r="C220">
        <v>2</v>
      </c>
      <c r="D220" t="s">
        <v>1117</v>
      </c>
      <c r="E220" t="s">
        <v>1103</v>
      </c>
      <c r="F220">
        <v>2</v>
      </c>
      <c r="G220" t="s">
        <v>1127</v>
      </c>
      <c r="H220" t="s">
        <v>1445</v>
      </c>
      <c r="I220" t="s">
        <v>1418</v>
      </c>
      <c r="J220">
        <v>1</v>
      </c>
      <c r="K220">
        <v>64689840</v>
      </c>
      <c r="M220">
        <v>64689840</v>
      </c>
      <c r="N220" t="s">
        <v>1507</v>
      </c>
    </row>
    <row r="221" spans="1:14">
      <c r="A221">
        <v>3</v>
      </c>
      <c r="B221" t="s">
        <v>1126</v>
      </c>
      <c r="C221">
        <v>2</v>
      </c>
      <c r="D221" t="s">
        <v>1117</v>
      </c>
      <c r="E221" t="s">
        <v>1103</v>
      </c>
      <c r="F221">
        <v>2</v>
      </c>
      <c r="G221" t="s">
        <v>1127</v>
      </c>
      <c r="H221" t="s">
        <v>1446</v>
      </c>
      <c r="I221" t="s">
        <v>1416</v>
      </c>
      <c r="J221">
        <v>1</v>
      </c>
      <c r="K221">
        <v>64689840</v>
      </c>
      <c r="M221">
        <v>64689840</v>
      </c>
      <c r="N221" t="s">
        <v>1507</v>
      </c>
    </row>
    <row r="222" spans="1:14">
      <c r="A222">
        <v>6</v>
      </c>
      <c r="B222" t="s">
        <v>1447</v>
      </c>
      <c r="C222">
        <v>2</v>
      </c>
      <c r="D222" t="s">
        <v>1117</v>
      </c>
      <c r="E222" t="s">
        <v>1103</v>
      </c>
      <c r="F222">
        <v>1</v>
      </c>
      <c r="G222" t="s">
        <v>1104</v>
      </c>
      <c r="H222" t="s">
        <v>1448</v>
      </c>
      <c r="I222" t="s">
        <v>1449</v>
      </c>
      <c r="J222">
        <v>1</v>
      </c>
      <c r="K222">
        <v>15454545</v>
      </c>
      <c r="L222">
        <v>2136363</v>
      </c>
      <c r="M222">
        <v>17590908</v>
      </c>
      <c r="N222" t="s">
        <v>1551</v>
      </c>
    </row>
    <row r="223" spans="1:14">
      <c r="A223">
        <v>7</v>
      </c>
      <c r="B223" t="s">
        <v>1450</v>
      </c>
      <c r="C223">
        <v>1</v>
      </c>
      <c r="D223" t="s">
        <v>1102</v>
      </c>
      <c r="E223" t="s">
        <v>1103</v>
      </c>
      <c r="F223">
        <v>2</v>
      </c>
      <c r="G223" t="s">
        <v>1104</v>
      </c>
      <c r="H223" t="s">
        <v>1451</v>
      </c>
      <c r="I223" t="s">
        <v>1452</v>
      </c>
      <c r="J223">
        <v>1</v>
      </c>
      <c r="K223">
        <v>23636364</v>
      </c>
      <c r="L223">
        <v>5065455</v>
      </c>
      <c r="M223">
        <v>28701819</v>
      </c>
      <c r="N223" t="s">
        <v>1551</v>
      </c>
    </row>
    <row r="224" spans="1:14">
      <c r="A224">
        <v>7</v>
      </c>
      <c r="B224" t="s">
        <v>1450</v>
      </c>
      <c r="C224">
        <v>1</v>
      </c>
      <c r="D224" t="s">
        <v>1102</v>
      </c>
      <c r="E224" t="s">
        <v>1103</v>
      </c>
      <c r="F224">
        <v>2</v>
      </c>
      <c r="G224" t="s">
        <v>1104</v>
      </c>
      <c r="H224" t="s">
        <v>1453</v>
      </c>
      <c r="I224" t="s">
        <v>1454</v>
      </c>
      <c r="J224">
        <v>1</v>
      </c>
      <c r="K224">
        <v>21636342</v>
      </c>
      <c r="M224">
        <v>21636342</v>
      </c>
      <c r="N224" t="s">
        <v>1551</v>
      </c>
    </row>
    <row r="225" spans="1:14">
      <c r="A225">
        <v>7</v>
      </c>
      <c r="B225" t="s">
        <v>1450</v>
      </c>
      <c r="C225">
        <v>1</v>
      </c>
      <c r="D225" t="s">
        <v>1102</v>
      </c>
      <c r="E225" t="s">
        <v>1103</v>
      </c>
      <c r="F225">
        <v>2</v>
      </c>
      <c r="G225" t="s">
        <v>1104</v>
      </c>
      <c r="H225" t="s">
        <v>1455</v>
      </c>
      <c r="I225" t="s">
        <v>1456</v>
      </c>
      <c r="J225">
        <v>1</v>
      </c>
      <c r="K225">
        <v>30272727</v>
      </c>
      <c r="L225">
        <v>10923528</v>
      </c>
      <c r="M225">
        <v>41196255</v>
      </c>
      <c r="N225" t="s">
        <v>1551</v>
      </c>
    </row>
    <row r="226" spans="1:14">
      <c r="A226">
        <v>9</v>
      </c>
      <c r="B226" t="s">
        <v>1457</v>
      </c>
      <c r="C226">
        <v>1</v>
      </c>
      <c r="D226" t="s">
        <v>1102</v>
      </c>
      <c r="E226" t="s">
        <v>1103</v>
      </c>
      <c r="F226">
        <v>1</v>
      </c>
      <c r="G226" t="s">
        <v>1127</v>
      </c>
      <c r="H226" t="s">
        <v>1458</v>
      </c>
      <c r="I226" t="s">
        <v>1459</v>
      </c>
      <c r="J226">
        <v>1</v>
      </c>
      <c r="K226">
        <v>154187253</v>
      </c>
      <c r="M226">
        <v>154187253</v>
      </c>
      <c r="N226" t="s">
        <v>1510</v>
      </c>
    </row>
    <row r="227" spans="1:14">
      <c r="A227">
        <v>9</v>
      </c>
      <c r="B227" t="s">
        <v>1457</v>
      </c>
      <c r="C227">
        <v>1</v>
      </c>
      <c r="D227" t="s">
        <v>1102</v>
      </c>
      <c r="E227" t="s">
        <v>1103</v>
      </c>
      <c r="F227">
        <v>1</v>
      </c>
      <c r="G227" t="s">
        <v>1127</v>
      </c>
      <c r="H227" t="s">
        <v>1460</v>
      </c>
      <c r="I227" t="s">
        <v>1461</v>
      </c>
      <c r="J227">
        <v>1</v>
      </c>
      <c r="K227">
        <v>143563662</v>
      </c>
      <c r="M227">
        <v>143563662</v>
      </c>
      <c r="N227" t="s">
        <v>1510</v>
      </c>
    </row>
    <row r="228" spans="1:14">
      <c r="A228">
        <v>9</v>
      </c>
      <c r="B228" t="s">
        <v>1457</v>
      </c>
      <c r="C228">
        <v>1</v>
      </c>
      <c r="D228" t="s">
        <v>1102</v>
      </c>
      <c r="E228" t="s">
        <v>1103</v>
      </c>
      <c r="F228">
        <v>1</v>
      </c>
      <c r="G228" t="s">
        <v>1127</v>
      </c>
      <c r="H228" t="s">
        <v>1462</v>
      </c>
      <c r="I228" t="s">
        <v>1463</v>
      </c>
      <c r="J228">
        <v>1</v>
      </c>
      <c r="K228">
        <v>110236338</v>
      </c>
      <c r="M228">
        <v>110236338</v>
      </c>
      <c r="N228" t="s">
        <v>1510</v>
      </c>
    </row>
    <row r="229" spans="1:14">
      <c r="A229">
        <v>9</v>
      </c>
      <c r="B229" t="s">
        <v>1457</v>
      </c>
      <c r="C229">
        <v>1</v>
      </c>
      <c r="D229" t="s">
        <v>1102</v>
      </c>
      <c r="E229" t="s">
        <v>1103</v>
      </c>
      <c r="F229">
        <v>2</v>
      </c>
      <c r="G229" t="s">
        <v>1104</v>
      </c>
      <c r="H229" t="s">
        <v>1464</v>
      </c>
      <c r="I229" t="s">
        <v>1461</v>
      </c>
      <c r="J229">
        <v>1</v>
      </c>
      <c r="K229">
        <v>38284081</v>
      </c>
      <c r="L229">
        <v>5695174</v>
      </c>
      <c r="M229">
        <v>43979255</v>
      </c>
      <c r="N229" t="s">
        <v>1551</v>
      </c>
    </row>
    <row r="230" spans="1:14">
      <c r="A230">
        <v>9</v>
      </c>
      <c r="B230" t="s">
        <v>1457</v>
      </c>
      <c r="C230">
        <v>1</v>
      </c>
      <c r="D230" t="s">
        <v>1102</v>
      </c>
      <c r="E230" t="s">
        <v>1103</v>
      </c>
      <c r="F230">
        <v>2</v>
      </c>
      <c r="G230" t="s">
        <v>1104</v>
      </c>
      <c r="H230" t="s">
        <v>1465</v>
      </c>
      <c r="I230" t="s">
        <v>1466</v>
      </c>
      <c r="J230">
        <v>1</v>
      </c>
      <c r="K230">
        <v>39275106</v>
      </c>
      <c r="L230">
        <v>6058400</v>
      </c>
      <c r="M230">
        <v>45333506</v>
      </c>
      <c r="N230" t="s">
        <v>1551</v>
      </c>
    </row>
    <row r="231" spans="1:14">
      <c r="A231">
        <v>9</v>
      </c>
      <c r="B231" t="s">
        <v>1457</v>
      </c>
      <c r="C231">
        <v>1</v>
      </c>
      <c r="D231" t="s">
        <v>1102</v>
      </c>
      <c r="E231" t="s">
        <v>1103</v>
      </c>
      <c r="F231">
        <v>2</v>
      </c>
      <c r="G231" t="s">
        <v>1104</v>
      </c>
      <c r="H231" t="s">
        <v>1467</v>
      </c>
      <c r="I231" t="s">
        <v>1468</v>
      </c>
      <c r="J231">
        <v>-1</v>
      </c>
      <c r="K231">
        <v>-60863636</v>
      </c>
      <c r="L231">
        <v>0</v>
      </c>
      <c r="M231">
        <v>-60863636</v>
      </c>
      <c r="N231" t="s">
        <v>1551</v>
      </c>
    </row>
    <row r="232" spans="1:14">
      <c r="A232">
        <v>9</v>
      </c>
      <c r="B232" t="s">
        <v>1457</v>
      </c>
      <c r="C232">
        <v>2</v>
      </c>
      <c r="D232" t="s">
        <v>1117</v>
      </c>
      <c r="E232" t="s">
        <v>1103</v>
      </c>
      <c r="F232">
        <v>1</v>
      </c>
      <c r="G232" t="s">
        <v>1104</v>
      </c>
      <c r="H232" t="s">
        <v>1469</v>
      </c>
      <c r="I232" t="s">
        <v>1470</v>
      </c>
      <c r="J232">
        <v>-1</v>
      </c>
      <c r="K232">
        <v>-70672717</v>
      </c>
      <c r="L232">
        <v>0</v>
      </c>
      <c r="M232">
        <v>-70672717</v>
      </c>
      <c r="N232" t="s">
        <v>1551</v>
      </c>
    </row>
    <row r="233" spans="1:14">
      <c r="A233">
        <v>9</v>
      </c>
      <c r="B233" t="s">
        <v>1457</v>
      </c>
      <c r="C233">
        <v>2</v>
      </c>
      <c r="D233" t="s">
        <v>1117</v>
      </c>
      <c r="E233" t="s">
        <v>1103</v>
      </c>
      <c r="F233">
        <v>2</v>
      </c>
      <c r="G233" t="s">
        <v>1127</v>
      </c>
      <c r="H233" t="s">
        <v>1471</v>
      </c>
      <c r="I233" t="s">
        <v>1470</v>
      </c>
      <c r="J233">
        <v>1</v>
      </c>
      <c r="K233">
        <v>83850000</v>
      </c>
      <c r="M233">
        <v>83850000</v>
      </c>
      <c r="N233" t="s">
        <v>1510</v>
      </c>
    </row>
    <row r="234" spans="1:14">
      <c r="A234">
        <v>9</v>
      </c>
      <c r="B234" t="s">
        <v>1457</v>
      </c>
      <c r="C234">
        <v>2</v>
      </c>
      <c r="D234" t="s">
        <v>1117</v>
      </c>
      <c r="E234" t="s">
        <v>1103</v>
      </c>
      <c r="F234">
        <v>2</v>
      </c>
      <c r="G234" t="s">
        <v>1127</v>
      </c>
      <c r="H234" t="s">
        <v>1472</v>
      </c>
      <c r="I234" t="s">
        <v>1473</v>
      </c>
      <c r="J234">
        <v>1</v>
      </c>
      <c r="K234">
        <v>90300000</v>
      </c>
      <c r="M234">
        <v>90300000</v>
      </c>
      <c r="N234" t="s">
        <v>1510</v>
      </c>
    </row>
    <row r="235" spans="1:14">
      <c r="A235">
        <v>9</v>
      </c>
      <c r="B235" t="s">
        <v>1457</v>
      </c>
      <c r="C235">
        <v>8</v>
      </c>
      <c r="D235" t="s">
        <v>1474</v>
      </c>
      <c r="E235" t="s">
        <v>1103</v>
      </c>
      <c r="F235">
        <v>1</v>
      </c>
      <c r="G235" t="s">
        <v>1127</v>
      </c>
      <c r="H235" t="s">
        <v>1475</v>
      </c>
      <c r="I235" t="s">
        <v>1476</v>
      </c>
      <c r="J235">
        <v>1</v>
      </c>
      <c r="K235">
        <v>98509113</v>
      </c>
      <c r="M235">
        <v>98509113</v>
      </c>
      <c r="N235" t="s">
        <v>1510</v>
      </c>
    </row>
    <row r="236" spans="1:14">
      <c r="A236">
        <v>10</v>
      </c>
      <c r="B236" t="s">
        <v>1477</v>
      </c>
      <c r="C236">
        <v>1</v>
      </c>
      <c r="D236" t="s">
        <v>1102</v>
      </c>
      <c r="E236" t="s">
        <v>1103</v>
      </c>
      <c r="F236">
        <v>2</v>
      </c>
      <c r="G236" t="s">
        <v>1104</v>
      </c>
      <c r="H236" t="s">
        <v>1478</v>
      </c>
      <c r="I236" t="s">
        <v>1479</v>
      </c>
      <c r="J236">
        <v>1</v>
      </c>
      <c r="K236">
        <v>27272727</v>
      </c>
      <c r="M236">
        <v>27272727</v>
      </c>
      <c r="N236" t="s">
        <v>1551</v>
      </c>
    </row>
    <row r="237" spans="1:14">
      <c r="A237">
        <v>10</v>
      </c>
      <c r="B237" t="s">
        <v>1477</v>
      </c>
      <c r="C237">
        <v>1</v>
      </c>
      <c r="D237" t="s">
        <v>1102</v>
      </c>
      <c r="E237" t="s">
        <v>1103</v>
      </c>
      <c r="F237">
        <v>2</v>
      </c>
      <c r="G237" t="s">
        <v>1104</v>
      </c>
      <c r="H237" t="s">
        <v>1480</v>
      </c>
      <c r="I237" t="s">
        <v>1481</v>
      </c>
      <c r="J237">
        <v>1</v>
      </c>
      <c r="K237">
        <v>65350900</v>
      </c>
      <c r="L237">
        <v>1000000</v>
      </c>
      <c r="M237">
        <v>66350900</v>
      </c>
      <c r="N237" t="s">
        <v>1551</v>
      </c>
    </row>
    <row r="238" spans="1:14">
      <c r="A238">
        <v>11</v>
      </c>
      <c r="B238" t="s">
        <v>1482</v>
      </c>
      <c r="C238">
        <v>5</v>
      </c>
      <c r="D238" t="s">
        <v>1483</v>
      </c>
      <c r="E238" t="s">
        <v>1103</v>
      </c>
      <c r="F238">
        <v>1</v>
      </c>
      <c r="G238" t="s">
        <v>1127</v>
      </c>
      <c r="H238" t="s">
        <v>1484</v>
      </c>
      <c r="I238" t="s">
        <v>1485</v>
      </c>
      <c r="J238">
        <v>1</v>
      </c>
      <c r="K238">
        <v>6307510</v>
      </c>
      <c r="M238">
        <v>6307510</v>
      </c>
      <c r="N238" t="s">
        <v>1551</v>
      </c>
    </row>
    <row r="239" spans="1:14">
      <c r="A239">
        <v>12</v>
      </c>
      <c r="B239" t="s">
        <v>1486</v>
      </c>
      <c r="C239">
        <v>2</v>
      </c>
      <c r="D239" t="s">
        <v>1117</v>
      </c>
      <c r="E239" t="s">
        <v>1103</v>
      </c>
      <c r="F239">
        <v>1</v>
      </c>
      <c r="G239" t="s">
        <v>1104</v>
      </c>
      <c r="H239" t="s">
        <v>1487</v>
      </c>
      <c r="I239" t="s">
        <v>1488</v>
      </c>
      <c r="J239">
        <v>-1</v>
      </c>
      <c r="K239">
        <v>0</v>
      </c>
      <c r="L239">
        <v>0</v>
      </c>
      <c r="M239">
        <v>0</v>
      </c>
      <c r="N239" t="s">
        <v>1551</v>
      </c>
    </row>
    <row r="240" spans="1:14">
      <c r="A240">
        <v>19</v>
      </c>
      <c r="B240" t="s">
        <v>1489</v>
      </c>
      <c r="C240">
        <v>1</v>
      </c>
      <c r="D240" t="s">
        <v>1102</v>
      </c>
      <c r="E240" t="s">
        <v>1103</v>
      </c>
      <c r="F240">
        <v>2</v>
      </c>
      <c r="G240" t="s">
        <v>1104</v>
      </c>
      <c r="H240" t="s">
        <v>1490</v>
      </c>
      <c r="I240" t="s">
        <v>1491</v>
      </c>
      <c r="J240">
        <v>1</v>
      </c>
      <c r="K240">
        <v>156272743</v>
      </c>
      <c r="L240">
        <v>5021818</v>
      </c>
      <c r="M240">
        <v>161294561</v>
      </c>
      <c r="N240" t="s">
        <v>1551</v>
      </c>
    </row>
    <row r="241" spans="1:14">
      <c r="A241">
        <v>25</v>
      </c>
      <c r="B241" t="s">
        <v>1492</v>
      </c>
      <c r="C241">
        <v>1</v>
      </c>
      <c r="D241" t="s">
        <v>1102</v>
      </c>
      <c r="E241" t="s">
        <v>1103</v>
      </c>
      <c r="F241">
        <v>2</v>
      </c>
      <c r="G241" t="s">
        <v>1104</v>
      </c>
      <c r="H241" t="s">
        <v>1493</v>
      </c>
      <c r="I241" t="s">
        <v>1494</v>
      </c>
      <c r="J241">
        <v>1</v>
      </c>
      <c r="K241">
        <v>16254529</v>
      </c>
      <c r="M241">
        <v>16254529</v>
      </c>
      <c r="N241" t="s">
        <v>1551</v>
      </c>
    </row>
    <row r="242" spans="1:14">
      <c r="A242">
        <v>35</v>
      </c>
      <c r="B242" t="s">
        <v>1495</v>
      </c>
      <c r="C242">
        <v>1</v>
      </c>
      <c r="D242" t="s">
        <v>1102</v>
      </c>
      <c r="E242" t="s">
        <v>1103</v>
      </c>
      <c r="F242">
        <v>2</v>
      </c>
      <c r="G242" t="s">
        <v>1104</v>
      </c>
      <c r="H242" t="s">
        <v>1496</v>
      </c>
      <c r="I242" t="s">
        <v>1497</v>
      </c>
      <c r="J242">
        <v>1</v>
      </c>
      <c r="K242">
        <v>40000000</v>
      </c>
      <c r="M242">
        <v>40000000</v>
      </c>
      <c r="N242" t="s">
        <v>1551</v>
      </c>
    </row>
    <row r="243" spans="1:14">
      <c r="A243">
        <v>1001</v>
      </c>
      <c r="B243" t="s">
        <v>1498</v>
      </c>
      <c r="C243">
        <v>8</v>
      </c>
      <c r="D243" t="s">
        <v>1474</v>
      </c>
      <c r="E243" t="s">
        <v>1103</v>
      </c>
      <c r="F243">
        <v>2</v>
      </c>
      <c r="G243" t="s">
        <v>1104</v>
      </c>
      <c r="H243" t="s">
        <v>1499</v>
      </c>
      <c r="I243" t="s">
        <v>1500</v>
      </c>
      <c r="J243">
        <v>1</v>
      </c>
      <c r="K243">
        <v>140613663</v>
      </c>
      <c r="L243">
        <v>1590909</v>
      </c>
      <c r="M243">
        <v>142204572</v>
      </c>
      <c r="N243" t="s">
        <v>1551</v>
      </c>
    </row>
    <row r="244" spans="1:14">
      <c r="A244">
        <v>1019</v>
      </c>
      <c r="B244" t="s">
        <v>1501</v>
      </c>
      <c r="C244">
        <v>30</v>
      </c>
      <c r="D244" t="s">
        <v>1502</v>
      </c>
      <c r="E244" t="s">
        <v>1103</v>
      </c>
      <c r="F244">
        <v>2</v>
      </c>
      <c r="G244" t="s">
        <v>1104</v>
      </c>
      <c r="H244" t="s">
        <v>1503</v>
      </c>
      <c r="I244" t="s">
        <v>1504</v>
      </c>
      <c r="J244">
        <v>1</v>
      </c>
      <c r="K244">
        <v>954610752</v>
      </c>
      <c r="L244">
        <v>239191092</v>
      </c>
      <c r="M244">
        <v>1193801844</v>
      </c>
      <c r="N244" t="s">
        <v>1551</v>
      </c>
    </row>
    <row r="245" spans="1:14">
      <c r="K245">
        <v>29773847442</v>
      </c>
      <c r="M245">
        <f>SUM(M2:M244)</f>
        <v>30386614084</v>
      </c>
    </row>
    <row r="246" spans="1:14">
      <c r="K246">
        <v>29773847442</v>
      </c>
      <c r="M246">
        <v>30479451071</v>
      </c>
    </row>
    <row r="247" spans="1:14">
      <c r="K247">
        <v>0</v>
      </c>
      <c r="M247">
        <f>+M246-M245</f>
        <v>92836987</v>
      </c>
      <c r="N247" t="s">
        <v>1551</v>
      </c>
    </row>
    <row r="249" spans="1:14">
      <c r="A249" t="s">
        <v>1718</v>
      </c>
    </row>
    <row r="250" spans="1:14">
      <c r="A250">
        <v>1</v>
      </c>
      <c r="B250" t="s">
        <v>1102</v>
      </c>
      <c r="C250">
        <v>1</v>
      </c>
      <c r="D250" t="s">
        <v>1102</v>
      </c>
      <c r="E250" t="s">
        <v>1103</v>
      </c>
      <c r="F250">
        <v>2</v>
      </c>
      <c r="G250" t="s">
        <v>1104</v>
      </c>
      <c r="H250" t="s">
        <v>1105</v>
      </c>
      <c r="I250" t="s">
        <v>1106</v>
      </c>
      <c r="J250">
        <v>1</v>
      </c>
      <c r="K250">
        <v>31909082</v>
      </c>
      <c r="L250">
        <v>29541204</v>
      </c>
      <c r="M250">
        <v>61450286</v>
      </c>
      <c r="N250" t="s">
        <v>1551</v>
      </c>
    </row>
    <row r="251" spans="1:14">
      <c r="A251">
        <v>1</v>
      </c>
      <c r="B251" t="s">
        <v>1102</v>
      </c>
      <c r="C251">
        <v>1</v>
      </c>
      <c r="D251" t="s">
        <v>1102</v>
      </c>
      <c r="E251" t="s">
        <v>1103</v>
      </c>
      <c r="F251">
        <v>2</v>
      </c>
      <c r="G251" t="s">
        <v>1104</v>
      </c>
      <c r="H251" t="s">
        <v>1107</v>
      </c>
      <c r="I251" t="s">
        <v>1108</v>
      </c>
      <c r="J251">
        <v>1</v>
      </c>
      <c r="K251">
        <v>111715925</v>
      </c>
      <c r="L251">
        <v>5045579</v>
      </c>
      <c r="M251">
        <v>116761504</v>
      </c>
      <c r="N251" t="s">
        <v>1551</v>
      </c>
    </row>
    <row r="252" spans="1:14">
      <c r="A252">
        <v>1</v>
      </c>
      <c r="B252" t="s">
        <v>1102</v>
      </c>
      <c r="C252">
        <v>1</v>
      </c>
      <c r="D252" t="s">
        <v>1102</v>
      </c>
      <c r="E252" t="s">
        <v>1103</v>
      </c>
      <c r="F252">
        <v>2</v>
      </c>
      <c r="G252" t="s">
        <v>1104</v>
      </c>
      <c r="H252" t="s">
        <v>1109</v>
      </c>
      <c r="I252" t="s">
        <v>1110</v>
      </c>
      <c r="J252">
        <v>1</v>
      </c>
      <c r="K252">
        <v>80454545</v>
      </c>
      <c r="L252">
        <v>1013164</v>
      </c>
      <c r="M252">
        <v>81467709</v>
      </c>
      <c r="N252" t="s">
        <v>1551</v>
      </c>
    </row>
    <row r="253" spans="1:14">
      <c r="A253">
        <v>1</v>
      </c>
      <c r="B253" t="s">
        <v>1102</v>
      </c>
      <c r="C253">
        <v>1</v>
      </c>
      <c r="D253" t="s">
        <v>1102</v>
      </c>
      <c r="E253" t="s">
        <v>1103</v>
      </c>
      <c r="F253">
        <v>2</v>
      </c>
      <c r="G253" t="s">
        <v>1104</v>
      </c>
      <c r="H253" t="s">
        <v>1111</v>
      </c>
      <c r="I253" t="s">
        <v>1112</v>
      </c>
      <c r="J253">
        <v>1</v>
      </c>
      <c r="K253">
        <v>20029091</v>
      </c>
      <c r="L253">
        <v>727273</v>
      </c>
      <c r="M253">
        <v>20756364</v>
      </c>
      <c r="N253" t="s">
        <v>1551</v>
      </c>
    </row>
    <row r="254" spans="1:14">
      <c r="A254">
        <v>1</v>
      </c>
      <c r="B254" t="s">
        <v>1102</v>
      </c>
      <c r="C254">
        <v>1</v>
      </c>
      <c r="D254" t="s">
        <v>1102</v>
      </c>
      <c r="E254" t="s">
        <v>1103</v>
      </c>
      <c r="F254">
        <v>2</v>
      </c>
      <c r="G254" t="s">
        <v>1104</v>
      </c>
      <c r="H254" t="s">
        <v>1648</v>
      </c>
      <c r="I254" t="s">
        <v>1649</v>
      </c>
      <c r="J254">
        <v>1</v>
      </c>
      <c r="K254">
        <v>93636364</v>
      </c>
      <c r="L254">
        <v>8093818</v>
      </c>
      <c r="M254">
        <v>101730182</v>
      </c>
      <c r="N254" t="s">
        <v>1551</v>
      </c>
    </row>
    <row r="255" spans="1:14">
      <c r="A255">
        <v>1</v>
      </c>
      <c r="B255" t="s">
        <v>1102</v>
      </c>
      <c r="C255">
        <v>1</v>
      </c>
      <c r="D255" t="s">
        <v>1102</v>
      </c>
      <c r="E255" t="s">
        <v>1103</v>
      </c>
      <c r="F255">
        <v>2</v>
      </c>
      <c r="G255" t="s">
        <v>1104</v>
      </c>
      <c r="H255" t="s">
        <v>1719</v>
      </c>
      <c r="I255" t="s">
        <v>1720</v>
      </c>
      <c r="J255">
        <v>1</v>
      </c>
      <c r="K255">
        <v>61700000</v>
      </c>
      <c r="L255">
        <v>2181818</v>
      </c>
      <c r="M255">
        <v>63881818</v>
      </c>
      <c r="N255" t="s">
        <v>1551</v>
      </c>
    </row>
    <row r="256" spans="1:14">
      <c r="A256">
        <v>1</v>
      </c>
      <c r="B256" t="s">
        <v>1102</v>
      </c>
      <c r="C256">
        <v>1</v>
      </c>
      <c r="D256" t="s">
        <v>1102</v>
      </c>
      <c r="E256" t="s">
        <v>1103</v>
      </c>
      <c r="F256">
        <v>2</v>
      </c>
      <c r="G256" t="s">
        <v>1104</v>
      </c>
      <c r="H256" t="s">
        <v>1721</v>
      </c>
      <c r="I256" t="s">
        <v>1722</v>
      </c>
      <c r="J256">
        <v>1</v>
      </c>
      <c r="K256">
        <v>67309091</v>
      </c>
      <c r="L256">
        <v>5646191</v>
      </c>
      <c r="M256">
        <v>72955282</v>
      </c>
      <c r="N256" t="s">
        <v>1551</v>
      </c>
    </row>
    <row r="257" spans="1:14">
      <c r="A257">
        <v>1</v>
      </c>
      <c r="B257" t="s">
        <v>1102</v>
      </c>
      <c r="C257">
        <v>1</v>
      </c>
      <c r="D257" t="s">
        <v>1102</v>
      </c>
      <c r="E257" t="s">
        <v>1103</v>
      </c>
      <c r="F257">
        <v>2</v>
      </c>
      <c r="G257" t="s">
        <v>1104</v>
      </c>
      <c r="H257" t="s">
        <v>1723</v>
      </c>
      <c r="I257" t="s">
        <v>1724</v>
      </c>
      <c r="J257">
        <v>1</v>
      </c>
      <c r="K257">
        <v>29090909</v>
      </c>
      <c r="M257">
        <v>29090909</v>
      </c>
      <c r="N257" t="s">
        <v>1551</v>
      </c>
    </row>
    <row r="258" spans="1:14">
      <c r="A258">
        <v>1</v>
      </c>
      <c r="B258" t="s">
        <v>1102</v>
      </c>
      <c r="C258">
        <v>1</v>
      </c>
      <c r="D258" t="s">
        <v>1102</v>
      </c>
      <c r="E258" t="s">
        <v>1103</v>
      </c>
      <c r="F258">
        <v>2</v>
      </c>
      <c r="G258" t="s">
        <v>1104</v>
      </c>
      <c r="H258" t="s">
        <v>1725</v>
      </c>
      <c r="I258" t="s">
        <v>1726</v>
      </c>
      <c r="J258">
        <v>1</v>
      </c>
      <c r="K258">
        <v>58363642</v>
      </c>
      <c r="M258">
        <v>58363642</v>
      </c>
      <c r="N258" t="s">
        <v>1551</v>
      </c>
    </row>
    <row r="259" spans="1:14">
      <c r="A259">
        <v>2</v>
      </c>
      <c r="B259" t="s">
        <v>1117</v>
      </c>
      <c r="C259">
        <v>2</v>
      </c>
      <c r="D259" t="s">
        <v>1117</v>
      </c>
      <c r="E259" t="s">
        <v>1103</v>
      </c>
      <c r="F259">
        <v>1</v>
      </c>
      <c r="G259" t="s">
        <v>1104</v>
      </c>
      <c r="H259" t="s">
        <v>1118</v>
      </c>
      <c r="I259" t="s">
        <v>1119</v>
      </c>
      <c r="J259">
        <v>-1</v>
      </c>
      <c r="K259">
        <v>0</v>
      </c>
      <c r="L259">
        <v>0</v>
      </c>
      <c r="M259">
        <v>0</v>
      </c>
      <c r="N259" t="s">
        <v>1551</v>
      </c>
    </row>
    <row r="260" spans="1:14">
      <c r="A260">
        <v>1</v>
      </c>
      <c r="B260" t="s">
        <v>1102</v>
      </c>
      <c r="C260">
        <v>1</v>
      </c>
      <c r="D260" t="s">
        <v>1102</v>
      </c>
      <c r="E260" t="s">
        <v>1103</v>
      </c>
      <c r="F260">
        <v>2</v>
      </c>
      <c r="G260" t="s">
        <v>1104</v>
      </c>
      <c r="H260" t="s">
        <v>1727</v>
      </c>
      <c r="I260" t="s">
        <v>1728</v>
      </c>
      <c r="J260">
        <v>1</v>
      </c>
      <c r="K260">
        <v>89752722</v>
      </c>
      <c r="L260">
        <v>6425227</v>
      </c>
      <c r="M260">
        <v>96177949</v>
      </c>
      <c r="N260" t="s">
        <v>1551</v>
      </c>
    </row>
    <row r="261" spans="1:14">
      <c r="A261">
        <v>1</v>
      </c>
      <c r="B261" t="s">
        <v>1102</v>
      </c>
      <c r="C261">
        <v>1</v>
      </c>
      <c r="D261" t="s">
        <v>1102</v>
      </c>
      <c r="E261" t="s">
        <v>1103</v>
      </c>
      <c r="F261">
        <v>2</v>
      </c>
      <c r="G261" t="s">
        <v>1104</v>
      </c>
      <c r="H261" t="s">
        <v>1729</v>
      </c>
      <c r="I261" t="s">
        <v>1730</v>
      </c>
      <c r="J261">
        <v>1</v>
      </c>
      <c r="K261">
        <v>127963631</v>
      </c>
      <c r="L261">
        <v>2001500</v>
      </c>
      <c r="M261">
        <v>129965131</v>
      </c>
      <c r="N261" t="s">
        <v>1551</v>
      </c>
    </row>
    <row r="262" spans="1:14">
      <c r="A262">
        <v>1</v>
      </c>
      <c r="B262" t="s">
        <v>1102</v>
      </c>
      <c r="C262">
        <v>1</v>
      </c>
      <c r="D262" t="s">
        <v>1102</v>
      </c>
      <c r="E262" t="s">
        <v>1103</v>
      </c>
      <c r="F262">
        <v>2</v>
      </c>
      <c r="G262" t="s">
        <v>1104</v>
      </c>
      <c r="H262" t="s">
        <v>1731</v>
      </c>
      <c r="I262" t="s">
        <v>1732</v>
      </c>
      <c r="J262">
        <v>1</v>
      </c>
      <c r="K262">
        <v>144090892</v>
      </c>
      <c r="M262">
        <v>144090892</v>
      </c>
      <c r="N262" t="s">
        <v>1551</v>
      </c>
    </row>
    <row r="263" spans="1:14">
      <c r="A263">
        <v>32</v>
      </c>
      <c r="B263" t="s">
        <v>1123</v>
      </c>
      <c r="C263">
        <v>32</v>
      </c>
      <c r="D263" t="s">
        <v>1123</v>
      </c>
      <c r="E263" t="s">
        <v>1103</v>
      </c>
      <c r="F263">
        <v>2</v>
      </c>
      <c r="G263" t="s">
        <v>1104</v>
      </c>
      <c r="H263" t="s">
        <v>1650</v>
      </c>
      <c r="I263" t="s">
        <v>1125</v>
      </c>
      <c r="J263">
        <v>1</v>
      </c>
      <c r="K263">
        <v>60961953</v>
      </c>
      <c r="L263">
        <v>2434091</v>
      </c>
      <c r="M263">
        <v>63396044</v>
      </c>
      <c r="N263" t="s">
        <v>1551</v>
      </c>
    </row>
    <row r="264" spans="1:14">
      <c r="A264">
        <v>1</v>
      </c>
      <c r="B264" t="s">
        <v>1102</v>
      </c>
      <c r="C264">
        <v>1</v>
      </c>
      <c r="D264" t="s">
        <v>1102</v>
      </c>
      <c r="E264" t="s">
        <v>1103</v>
      </c>
      <c r="F264">
        <v>1</v>
      </c>
      <c r="G264" t="s">
        <v>1127</v>
      </c>
      <c r="H264" t="s">
        <v>1128</v>
      </c>
      <c r="I264" t="s">
        <v>1129</v>
      </c>
      <c r="J264">
        <v>1</v>
      </c>
      <c r="K264">
        <v>99090897</v>
      </c>
      <c r="L264">
        <v>707318</v>
      </c>
      <c r="M264">
        <v>99798215</v>
      </c>
      <c r="N264" t="s">
        <v>1508</v>
      </c>
    </row>
    <row r="265" spans="1:14">
      <c r="A265">
        <v>1</v>
      </c>
      <c r="B265" t="s">
        <v>1102</v>
      </c>
      <c r="C265">
        <v>1</v>
      </c>
      <c r="D265" t="s">
        <v>1102</v>
      </c>
      <c r="E265" t="s">
        <v>1103</v>
      </c>
      <c r="F265">
        <v>1</v>
      </c>
      <c r="G265" t="s">
        <v>1127</v>
      </c>
      <c r="H265" t="s">
        <v>1130</v>
      </c>
      <c r="I265" t="s">
        <v>1131</v>
      </c>
      <c r="J265">
        <v>1</v>
      </c>
      <c r="K265">
        <v>224288694</v>
      </c>
      <c r="M265">
        <v>224288694</v>
      </c>
      <c r="N265" t="s">
        <v>1505</v>
      </c>
    </row>
    <row r="266" spans="1:14">
      <c r="A266">
        <v>1</v>
      </c>
      <c r="B266" t="s">
        <v>1102</v>
      </c>
      <c r="C266">
        <v>1</v>
      </c>
      <c r="D266" t="s">
        <v>1102</v>
      </c>
      <c r="E266" t="s">
        <v>1103</v>
      </c>
      <c r="F266">
        <v>1</v>
      </c>
      <c r="G266" t="s">
        <v>1127</v>
      </c>
      <c r="H266" t="s">
        <v>1138</v>
      </c>
      <c r="I266" t="s">
        <v>1651</v>
      </c>
      <c r="J266">
        <v>1</v>
      </c>
      <c r="K266">
        <v>207495600</v>
      </c>
      <c r="L266">
        <v>2682182</v>
      </c>
      <c r="M266">
        <v>210177782</v>
      </c>
      <c r="N266" t="s">
        <v>1505</v>
      </c>
    </row>
    <row r="267" spans="1:14">
      <c r="A267">
        <v>1</v>
      </c>
      <c r="B267" t="s">
        <v>1102</v>
      </c>
      <c r="C267">
        <v>1</v>
      </c>
      <c r="D267" t="s">
        <v>1102</v>
      </c>
      <c r="E267" t="s">
        <v>1103</v>
      </c>
      <c r="F267">
        <v>1</v>
      </c>
      <c r="G267" t="s">
        <v>1127</v>
      </c>
      <c r="H267" t="s">
        <v>1144</v>
      </c>
      <c r="I267" t="s">
        <v>1145</v>
      </c>
      <c r="J267">
        <v>1</v>
      </c>
      <c r="K267">
        <v>187885320</v>
      </c>
      <c r="L267">
        <v>2294805</v>
      </c>
      <c r="M267">
        <v>190180125</v>
      </c>
      <c r="N267" t="s">
        <v>1505</v>
      </c>
    </row>
    <row r="268" spans="1:14">
      <c r="A268">
        <v>1</v>
      </c>
      <c r="B268" t="s">
        <v>1102</v>
      </c>
      <c r="C268">
        <v>1</v>
      </c>
      <c r="D268" t="s">
        <v>1102</v>
      </c>
      <c r="E268" t="s">
        <v>1103</v>
      </c>
      <c r="F268">
        <v>1</v>
      </c>
      <c r="G268" t="s">
        <v>1127</v>
      </c>
      <c r="H268" t="s">
        <v>1156</v>
      </c>
      <c r="I268" t="s">
        <v>1151</v>
      </c>
      <c r="J268">
        <v>1</v>
      </c>
      <c r="K268">
        <v>184887150</v>
      </c>
      <c r="L268">
        <v>294409</v>
      </c>
      <c r="M268">
        <v>185181559</v>
      </c>
      <c r="N268" t="s">
        <v>1505</v>
      </c>
    </row>
    <row r="269" spans="1:14">
      <c r="A269">
        <v>1</v>
      </c>
      <c r="B269" t="s">
        <v>1102</v>
      </c>
      <c r="C269">
        <v>1</v>
      </c>
      <c r="D269" t="s">
        <v>1102</v>
      </c>
      <c r="E269" t="s">
        <v>1103</v>
      </c>
      <c r="F269">
        <v>1</v>
      </c>
      <c r="G269" t="s">
        <v>1127</v>
      </c>
      <c r="H269" t="s">
        <v>1167</v>
      </c>
      <c r="I269" t="s">
        <v>1147</v>
      </c>
      <c r="J269">
        <v>1</v>
      </c>
      <c r="K269">
        <v>192216010</v>
      </c>
      <c r="M269">
        <v>192216010</v>
      </c>
      <c r="N269" t="s">
        <v>1505</v>
      </c>
    </row>
    <row r="270" spans="1:14">
      <c r="A270">
        <v>1</v>
      </c>
      <c r="B270" t="s">
        <v>1102</v>
      </c>
      <c r="C270">
        <v>1</v>
      </c>
      <c r="D270" t="s">
        <v>1102</v>
      </c>
      <c r="E270" t="s">
        <v>1103</v>
      </c>
      <c r="F270">
        <v>1</v>
      </c>
      <c r="G270" t="s">
        <v>1127</v>
      </c>
      <c r="H270" t="s">
        <v>1168</v>
      </c>
      <c r="I270" t="s">
        <v>1151</v>
      </c>
      <c r="J270">
        <v>1</v>
      </c>
      <c r="K270">
        <v>192216010</v>
      </c>
      <c r="M270">
        <v>192216010</v>
      </c>
      <c r="N270" t="s">
        <v>1505</v>
      </c>
    </row>
    <row r="271" spans="1:14">
      <c r="A271">
        <v>1</v>
      </c>
      <c r="B271" t="s">
        <v>1102</v>
      </c>
      <c r="C271">
        <v>1</v>
      </c>
      <c r="D271" t="s">
        <v>1102</v>
      </c>
      <c r="E271" t="s">
        <v>1103</v>
      </c>
      <c r="F271">
        <v>1</v>
      </c>
      <c r="G271" t="s">
        <v>1127</v>
      </c>
      <c r="H271" t="s">
        <v>1169</v>
      </c>
      <c r="I271" t="s">
        <v>1147</v>
      </c>
      <c r="J271">
        <v>1</v>
      </c>
      <c r="K271">
        <v>192549140</v>
      </c>
      <c r="M271">
        <v>192549140</v>
      </c>
      <c r="N271" t="s">
        <v>1505</v>
      </c>
    </row>
    <row r="272" spans="1:14">
      <c r="A272">
        <v>1</v>
      </c>
      <c r="B272" t="s">
        <v>1102</v>
      </c>
      <c r="C272">
        <v>1</v>
      </c>
      <c r="D272" t="s">
        <v>1102</v>
      </c>
      <c r="E272" t="s">
        <v>1103</v>
      </c>
      <c r="F272">
        <v>1</v>
      </c>
      <c r="G272" t="s">
        <v>1127</v>
      </c>
      <c r="H272" t="s">
        <v>1181</v>
      </c>
      <c r="I272" t="s">
        <v>1182</v>
      </c>
      <c r="J272">
        <v>1</v>
      </c>
      <c r="K272">
        <v>171051800</v>
      </c>
      <c r="L272">
        <v>445334</v>
      </c>
      <c r="M272">
        <v>171497134</v>
      </c>
      <c r="N272" t="s">
        <v>1505</v>
      </c>
    </row>
    <row r="273" spans="1:14">
      <c r="A273">
        <v>1</v>
      </c>
      <c r="B273" t="s">
        <v>1102</v>
      </c>
      <c r="C273">
        <v>1</v>
      </c>
      <c r="D273" t="s">
        <v>1102</v>
      </c>
      <c r="E273" t="s">
        <v>1103</v>
      </c>
      <c r="F273">
        <v>1</v>
      </c>
      <c r="G273" t="s">
        <v>1127</v>
      </c>
      <c r="H273" t="s">
        <v>1196</v>
      </c>
      <c r="I273" t="s">
        <v>1178</v>
      </c>
      <c r="J273">
        <v>1</v>
      </c>
      <c r="K273">
        <v>149614560</v>
      </c>
      <c r="M273">
        <v>149614560</v>
      </c>
      <c r="N273" t="s">
        <v>1508</v>
      </c>
    </row>
    <row r="274" spans="1:14">
      <c r="A274">
        <v>1</v>
      </c>
      <c r="B274" t="s">
        <v>1102</v>
      </c>
      <c r="C274">
        <v>1</v>
      </c>
      <c r="D274" t="s">
        <v>1102</v>
      </c>
      <c r="E274" t="s">
        <v>1103</v>
      </c>
      <c r="F274">
        <v>1</v>
      </c>
      <c r="G274" t="s">
        <v>1127</v>
      </c>
      <c r="H274" t="s">
        <v>1197</v>
      </c>
      <c r="I274" t="s">
        <v>1198</v>
      </c>
      <c r="J274">
        <v>1</v>
      </c>
      <c r="K274">
        <v>88331760</v>
      </c>
      <c r="M274">
        <v>88331760</v>
      </c>
      <c r="N274" t="s">
        <v>1507</v>
      </c>
    </row>
    <row r="275" spans="1:14">
      <c r="A275">
        <v>1</v>
      </c>
      <c r="B275" t="s">
        <v>1102</v>
      </c>
      <c r="C275">
        <v>1</v>
      </c>
      <c r="D275" t="s">
        <v>1102</v>
      </c>
      <c r="E275" t="s">
        <v>1103</v>
      </c>
      <c r="F275">
        <v>1</v>
      </c>
      <c r="G275" t="s">
        <v>1127</v>
      </c>
      <c r="H275" t="s">
        <v>1199</v>
      </c>
      <c r="I275" t="s">
        <v>1200</v>
      </c>
      <c r="J275">
        <v>1</v>
      </c>
      <c r="K275">
        <v>62973360</v>
      </c>
      <c r="M275">
        <v>62973360</v>
      </c>
      <c r="N275" t="s">
        <v>1507</v>
      </c>
    </row>
    <row r="276" spans="1:14">
      <c r="A276">
        <v>1</v>
      </c>
      <c r="B276" t="s">
        <v>1102</v>
      </c>
      <c r="C276">
        <v>1</v>
      </c>
      <c r="D276" t="s">
        <v>1102</v>
      </c>
      <c r="E276" t="s">
        <v>1103</v>
      </c>
      <c r="F276">
        <v>1</v>
      </c>
      <c r="G276" t="s">
        <v>1127</v>
      </c>
      <c r="H276" t="s">
        <v>1208</v>
      </c>
      <c r="I276" t="s">
        <v>1209</v>
      </c>
      <c r="J276">
        <v>1</v>
      </c>
      <c r="K276">
        <v>172508800</v>
      </c>
      <c r="M276">
        <v>172508800</v>
      </c>
      <c r="N276" t="s">
        <v>1505</v>
      </c>
    </row>
    <row r="277" spans="1:14">
      <c r="A277">
        <v>1</v>
      </c>
      <c r="B277" t="s">
        <v>1102</v>
      </c>
      <c r="C277">
        <v>1</v>
      </c>
      <c r="D277" t="s">
        <v>1102</v>
      </c>
      <c r="E277" t="s">
        <v>1103</v>
      </c>
      <c r="F277">
        <v>1</v>
      </c>
      <c r="G277" t="s">
        <v>1127</v>
      </c>
      <c r="H277" t="s">
        <v>1214</v>
      </c>
      <c r="I277" t="s">
        <v>1215</v>
      </c>
      <c r="J277">
        <v>1</v>
      </c>
      <c r="K277">
        <v>246615360</v>
      </c>
      <c r="M277">
        <v>246615360</v>
      </c>
      <c r="N277" t="s">
        <v>1505</v>
      </c>
    </row>
    <row r="278" spans="1:14">
      <c r="A278">
        <v>1</v>
      </c>
      <c r="B278" t="s">
        <v>1102</v>
      </c>
      <c r="C278">
        <v>1</v>
      </c>
      <c r="D278" t="s">
        <v>1102</v>
      </c>
      <c r="E278" t="s">
        <v>1103</v>
      </c>
      <c r="F278">
        <v>1</v>
      </c>
      <c r="G278" t="s">
        <v>1127</v>
      </c>
      <c r="H278" t="s">
        <v>1216</v>
      </c>
      <c r="I278" t="s">
        <v>1160</v>
      </c>
      <c r="J278">
        <v>1</v>
      </c>
      <c r="K278">
        <v>246615360</v>
      </c>
      <c r="M278">
        <v>246615360</v>
      </c>
      <c r="N278" t="s">
        <v>1505</v>
      </c>
    </row>
    <row r="279" spans="1:14">
      <c r="A279">
        <v>1</v>
      </c>
      <c r="B279" t="s">
        <v>1102</v>
      </c>
      <c r="C279">
        <v>1</v>
      </c>
      <c r="D279" t="s">
        <v>1102</v>
      </c>
      <c r="E279" t="s">
        <v>1103</v>
      </c>
      <c r="F279">
        <v>1</v>
      </c>
      <c r="G279" t="s">
        <v>1127</v>
      </c>
      <c r="H279" t="s">
        <v>1217</v>
      </c>
      <c r="I279" t="s">
        <v>1218</v>
      </c>
      <c r="J279">
        <v>1</v>
      </c>
      <c r="K279">
        <v>172508800</v>
      </c>
      <c r="M279">
        <v>172508800</v>
      </c>
      <c r="N279" t="s">
        <v>1505</v>
      </c>
    </row>
    <row r="280" spans="1:14">
      <c r="A280">
        <v>1</v>
      </c>
      <c r="B280" t="s">
        <v>1102</v>
      </c>
      <c r="C280">
        <v>1</v>
      </c>
      <c r="D280" t="s">
        <v>1102</v>
      </c>
      <c r="E280" t="s">
        <v>1103</v>
      </c>
      <c r="F280">
        <v>1</v>
      </c>
      <c r="G280" t="s">
        <v>1127</v>
      </c>
      <c r="H280" t="s">
        <v>1219</v>
      </c>
      <c r="I280" t="s">
        <v>1218</v>
      </c>
      <c r="J280">
        <v>1</v>
      </c>
      <c r="K280">
        <v>172508800</v>
      </c>
      <c r="M280">
        <v>172508800</v>
      </c>
      <c r="N280" t="s">
        <v>1505</v>
      </c>
    </row>
    <row r="281" spans="1:14">
      <c r="A281">
        <v>1</v>
      </c>
      <c r="B281" t="s">
        <v>1102</v>
      </c>
      <c r="C281">
        <v>1</v>
      </c>
      <c r="D281" t="s">
        <v>1102</v>
      </c>
      <c r="E281" t="s">
        <v>1103</v>
      </c>
      <c r="F281">
        <v>1</v>
      </c>
      <c r="G281" t="s">
        <v>1127</v>
      </c>
      <c r="H281" t="s">
        <v>1225</v>
      </c>
      <c r="I281" t="s">
        <v>1160</v>
      </c>
      <c r="J281">
        <v>1</v>
      </c>
      <c r="K281">
        <v>243212680</v>
      </c>
      <c r="M281">
        <v>243212680</v>
      </c>
      <c r="N281" t="s">
        <v>1505</v>
      </c>
    </row>
    <row r="282" spans="1:14">
      <c r="A282">
        <v>1</v>
      </c>
      <c r="B282" t="s">
        <v>1102</v>
      </c>
      <c r="C282">
        <v>1</v>
      </c>
      <c r="D282" t="s">
        <v>1102</v>
      </c>
      <c r="E282" t="s">
        <v>1103</v>
      </c>
      <c r="F282">
        <v>1</v>
      </c>
      <c r="G282" t="s">
        <v>1127</v>
      </c>
      <c r="H282" t="s">
        <v>1226</v>
      </c>
      <c r="I282" t="s">
        <v>1227</v>
      </c>
      <c r="J282">
        <v>1</v>
      </c>
      <c r="K282">
        <v>243212680</v>
      </c>
      <c r="L282">
        <v>318182</v>
      </c>
      <c r="M282">
        <v>243530862</v>
      </c>
      <c r="N282" t="s">
        <v>1505</v>
      </c>
    </row>
    <row r="283" spans="1:14">
      <c r="A283">
        <v>1</v>
      </c>
      <c r="B283" t="s">
        <v>1102</v>
      </c>
      <c r="C283">
        <v>1</v>
      </c>
      <c r="D283" t="s">
        <v>1102</v>
      </c>
      <c r="E283" t="s">
        <v>1103</v>
      </c>
      <c r="F283">
        <v>1</v>
      </c>
      <c r="G283" t="s">
        <v>1127</v>
      </c>
      <c r="H283" t="s">
        <v>1228</v>
      </c>
      <c r="I283" t="s">
        <v>1160</v>
      </c>
      <c r="J283">
        <v>1</v>
      </c>
      <c r="K283">
        <v>243212680</v>
      </c>
      <c r="M283">
        <v>243212680</v>
      </c>
      <c r="N283" t="s">
        <v>1505</v>
      </c>
    </row>
    <row r="284" spans="1:14">
      <c r="A284">
        <v>1</v>
      </c>
      <c r="B284" t="s">
        <v>1102</v>
      </c>
      <c r="C284">
        <v>1</v>
      </c>
      <c r="D284" t="s">
        <v>1102</v>
      </c>
      <c r="E284" t="s">
        <v>1103</v>
      </c>
      <c r="F284">
        <v>1</v>
      </c>
      <c r="G284" t="s">
        <v>1127</v>
      </c>
      <c r="H284" t="s">
        <v>1229</v>
      </c>
      <c r="I284" t="s">
        <v>1213</v>
      </c>
      <c r="J284">
        <v>1</v>
      </c>
      <c r="K284">
        <v>243212680</v>
      </c>
      <c r="M284">
        <v>243212680</v>
      </c>
      <c r="N284" t="s">
        <v>1505</v>
      </c>
    </row>
    <row r="285" spans="1:14">
      <c r="A285">
        <v>1</v>
      </c>
      <c r="B285" t="s">
        <v>1102</v>
      </c>
      <c r="C285">
        <v>1</v>
      </c>
      <c r="D285" t="s">
        <v>1102</v>
      </c>
      <c r="E285" t="s">
        <v>1103</v>
      </c>
      <c r="F285">
        <v>1</v>
      </c>
      <c r="G285" t="s">
        <v>1127</v>
      </c>
      <c r="H285" t="s">
        <v>1233</v>
      </c>
      <c r="I285" t="s">
        <v>1211</v>
      </c>
      <c r="J285">
        <v>1</v>
      </c>
      <c r="K285">
        <v>184407240</v>
      </c>
      <c r="M285">
        <v>184407240</v>
      </c>
      <c r="N285" t="s">
        <v>1505</v>
      </c>
    </row>
    <row r="286" spans="1:14">
      <c r="A286">
        <v>1</v>
      </c>
      <c r="B286" t="s">
        <v>1102</v>
      </c>
      <c r="C286">
        <v>1</v>
      </c>
      <c r="D286" t="s">
        <v>1102</v>
      </c>
      <c r="E286" t="s">
        <v>1103</v>
      </c>
      <c r="F286">
        <v>1</v>
      </c>
      <c r="G286" t="s">
        <v>1127</v>
      </c>
      <c r="H286" t="s">
        <v>1236</v>
      </c>
      <c r="I286" t="s">
        <v>1237</v>
      </c>
      <c r="J286">
        <v>1</v>
      </c>
      <c r="K286">
        <v>184407240</v>
      </c>
      <c r="M286">
        <v>184407240</v>
      </c>
      <c r="N286" t="s">
        <v>1505</v>
      </c>
    </row>
    <row r="287" spans="1:14">
      <c r="A287">
        <v>1</v>
      </c>
      <c r="B287" t="s">
        <v>1102</v>
      </c>
      <c r="C287">
        <v>1</v>
      </c>
      <c r="D287" t="s">
        <v>1102</v>
      </c>
      <c r="E287" t="s">
        <v>1103</v>
      </c>
      <c r="F287">
        <v>1</v>
      </c>
      <c r="G287" t="s">
        <v>1127</v>
      </c>
      <c r="H287" t="s">
        <v>1238</v>
      </c>
      <c r="I287" t="s">
        <v>1239</v>
      </c>
      <c r="J287">
        <v>1</v>
      </c>
      <c r="K287">
        <v>184407240</v>
      </c>
      <c r="M287">
        <v>184407240</v>
      </c>
      <c r="N287" t="s">
        <v>1505</v>
      </c>
    </row>
    <row r="288" spans="1:14">
      <c r="A288">
        <v>1</v>
      </c>
      <c r="B288" t="s">
        <v>1102</v>
      </c>
      <c r="C288">
        <v>1</v>
      </c>
      <c r="D288" t="s">
        <v>1102</v>
      </c>
      <c r="E288" t="s">
        <v>1103</v>
      </c>
      <c r="F288">
        <v>1</v>
      </c>
      <c r="G288" t="s">
        <v>1127</v>
      </c>
      <c r="H288" t="s">
        <v>1240</v>
      </c>
      <c r="I288" t="s">
        <v>1239</v>
      </c>
      <c r="J288">
        <v>1</v>
      </c>
      <c r="K288">
        <v>184407240</v>
      </c>
      <c r="M288">
        <v>184407240</v>
      </c>
      <c r="N288" t="s">
        <v>1505</v>
      </c>
    </row>
    <row r="289" spans="1:14">
      <c r="A289">
        <v>1</v>
      </c>
      <c r="B289" t="s">
        <v>1102</v>
      </c>
      <c r="C289">
        <v>1</v>
      </c>
      <c r="D289" t="s">
        <v>1102</v>
      </c>
      <c r="E289" t="s">
        <v>1103</v>
      </c>
      <c r="F289">
        <v>1</v>
      </c>
      <c r="G289" t="s">
        <v>1127</v>
      </c>
      <c r="H289" t="s">
        <v>1242</v>
      </c>
      <c r="I289" t="s">
        <v>1176</v>
      </c>
      <c r="J289">
        <v>1</v>
      </c>
      <c r="K289">
        <v>176005600</v>
      </c>
      <c r="M289">
        <v>176005600</v>
      </c>
      <c r="N289" t="s">
        <v>1505</v>
      </c>
    </row>
    <row r="290" spans="1:14">
      <c r="A290">
        <v>1</v>
      </c>
      <c r="B290" t="s">
        <v>1102</v>
      </c>
      <c r="C290">
        <v>1</v>
      </c>
      <c r="D290" t="s">
        <v>1102</v>
      </c>
      <c r="E290" t="s">
        <v>1103</v>
      </c>
      <c r="F290">
        <v>1</v>
      </c>
      <c r="G290" t="s">
        <v>1127</v>
      </c>
      <c r="H290" t="s">
        <v>1245</v>
      </c>
      <c r="I290" t="s">
        <v>1246</v>
      </c>
      <c r="J290">
        <v>1</v>
      </c>
      <c r="K290">
        <v>184407240</v>
      </c>
      <c r="M290">
        <v>184407240</v>
      </c>
      <c r="N290" t="s">
        <v>1505</v>
      </c>
    </row>
    <row r="291" spans="1:14">
      <c r="A291">
        <v>1</v>
      </c>
      <c r="B291" t="s">
        <v>1102</v>
      </c>
      <c r="C291">
        <v>1</v>
      </c>
      <c r="D291" t="s">
        <v>1102</v>
      </c>
      <c r="E291" t="s">
        <v>1103</v>
      </c>
      <c r="F291">
        <v>1</v>
      </c>
      <c r="G291" t="s">
        <v>1127</v>
      </c>
      <c r="H291" t="s">
        <v>1247</v>
      </c>
      <c r="I291" t="s">
        <v>1248</v>
      </c>
      <c r="J291">
        <v>1</v>
      </c>
      <c r="K291">
        <v>176005600</v>
      </c>
      <c r="M291">
        <v>176005600</v>
      </c>
      <c r="N291" t="s">
        <v>1505</v>
      </c>
    </row>
    <row r="292" spans="1:14">
      <c r="A292">
        <v>1</v>
      </c>
      <c r="B292" t="s">
        <v>1102</v>
      </c>
      <c r="C292">
        <v>1</v>
      </c>
      <c r="D292" t="s">
        <v>1102</v>
      </c>
      <c r="E292" t="s">
        <v>1103</v>
      </c>
      <c r="F292">
        <v>1</v>
      </c>
      <c r="G292" t="s">
        <v>1127</v>
      </c>
      <c r="H292" t="s">
        <v>1253</v>
      </c>
      <c r="I292" t="s">
        <v>1182</v>
      </c>
      <c r="J292">
        <v>1</v>
      </c>
      <c r="K292">
        <v>176005600</v>
      </c>
      <c r="M292">
        <v>176005600</v>
      </c>
      <c r="N292" t="s">
        <v>1505</v>
      </c>
    </row>
    <row r="293" spans="1:14">
      <c r="A293">
        <v>1</v>
      </c>
      <c r="B293" t="s">
        <v>1102</v>
      </c>
      <c r="C293">
        <v>1</v>
      </c>
      <c r="D293" t="s">
        <v>1102</v>
      </c>
      <c r="E293" t="s">
        <v>1103</v>
      </c>
      <c r="F293">
        <v>1</v>
      </c>
      <c r="G293" t="s">
        <v>1127</v>
      </c>
      <c r="H293" t="s">
        <v>1254</v>
      </c>
      <c r="I293" t="s">
        <v>1182</v>
      </c>
      <c r="J293">
        <v>1</v>
      </c>
      <c r="K293">
        <v>176005600</v>
      </c>
      <c r="L293">
        <v>1148640</v>
      </c>
      <c r="M293">
        <v>177154240</v>
      </c>
      <c r="N293" t="s">
        <v>1505</v>
      </c>
    </row>
    <row r="294" spans="1:14">
      <c r="A294">
        <v>1</v>
      </c>
      <c r="B294" t="s">
        <v>1102</v>
      </c>
      <c r="C294">
        <v>1</v>
      </c>
      <c r="D294" t="s">
        <v>1102</v>
      </c>
      <c r="E294" t="s">
        <v>1103</v>
      </c>
      <c r="F294">
        <v>1</v>
      </c>
      <c r="G294" t="s">
        <v>1127</v>
      </c>
      <c r="H294" t="s">
        <v>1255</v>
      </c>
      <c r="I294" t="s">
        <v>1256</v>
      </c>
      <c r="J294">
        <v>1</v>
      </c>
      <c r="K294">
        <v>68573520</v>
      </c>
      <c r="M294">
        <v>68573520</v>
      </c>
      <c r="N294" t="s">
        <v>1507</v>
      </c>
    </row>
    <row r="295" spans="1:14">
      <c r="A295">
        <v>1</v>
      </c>
      <c r="B295" t="s">
        <v>1102</v>
      </c>
      <c r="C295">
        <v>1</v>
      </c>
      <c r="D295" t="s">
        <v>1102</v>
      </c>
      <c r="E295" t="s">
        <v>1103</v>
      </c>
      <c r="F295">
        <v>1</v>
      </c>
      <c r="G295" t="s">
        <v>1127</v>
      </c>
      <c r="H295" t="s">
        <v>1257</v>
      </c>
      <c r="I295" t="s">
        <v>1256</v>
      </c>
      <c r="J295">
        <v>1</v>
      </c>
      <c r="K295">
        <v>68573520</v>
      </c>
      <c r="M295">
        <v>68573520</v>
      </c>
      <c r="N295" t="s">
        <v>1507</v>
      </c>
    </row>
    <row r="296" spans="1:14">
      <c r="A296">
        <v>1</v>
      </c>
      <c r="B296" t="s">
        <v>1102</v>
      </c>
      <c r="C296">
        <v>1</v>
      </c>
      <c r="D296" t="s">
        <v>1102</v>
      </c>
      <c r="E296" t="s">
        <v>1103</v>
      </c>
      <c r="F296">
        <v>1</v>
      </c>
      <c r="G296" t="s">
        <v>1127</v>
      </c>
      <c r="H296" t="s">
        <v>1258</v>
      </c>
      <c r="I296" t="s">
        <v>1200</v>
      </c>
      <c r="J296">
        <v>1</v>
      </c>
      <c r="K296">
        <v>67167360</v>
      </c>
      <c r="M296">
        <v>67167360</v>
      </c>
      <c r="N296" t="s">
        <v>1507</v>
      </c>
    </row>
    <row r="297" spans="1:14">
      <c r="A297">
        <v>1</v>
      </c>
      <c r="B297" t="s">
        <v>1102</v>
      </c>
      <c r="C297">
        <v>1</v>
      </c>
      <c r="D297" t="s">
        <v>1102</v>
      </c>
      <c r="E297" t="s">
        <v>1103</v>
      </c>
      <c r="F297">
        <v>1</v>
      </c>
      <c r="G297" t="s">
        <v>1127</v>
      </c>
      <c r="H297" t="s">
        <v>1261</v>
      </c>
      <c r="I297" t="s">
        <v>1200</v>
      </c>
      <c r="J297">
        <v>1</v>
      </c>
      <c r="K297">
        <v>62861760</v>
      </c>
      <c r="M297">
        <v>62861760</v>
      </c>
      <c r="N297" t="s">
        <v>1507</v>
      </c>
    </row>
    <row r="298" spans="1:14">
      <c r="A298">
        <v>1</v>
      </c>
      <c r="B298" t="s">
        <v>1102</v>
      </c>
      <c r="C298">
        <v>1</v>
      </c>
      <c r="D298" t="s">
        <v>1102</v>
      </c>
      <c r="E298" t="s">
        <v>1103</v>
      </c>
      <c r="F298">
        <v>1</v>
      </c>
      <c r="G298" t="s">
        <v>1127</v>
      </c>
      <c r="H298" t="s">
        <v>1266</v>
      </c>
      <c r="I298" t="s">
        <v>1165</v>
      </c>
      <c r="J298">
        <v>1</v>
      </c>
      <c r="K298">
        <v>209265120</v>
      </c>
      <c r="L298">
        <v>531818</v>
      </c>
      <c r="M298">
        <v>209796938</v>
      </c>
      <c r="N298" t="s">
        <v>1505</v>
      </c>
    </row>
    <row r="299" spans="1:14">
      <c r="A299">
        <v>1</v>
      </c>
      <c r="B299" t="s">
        <v>1102</v>
      </c>
      <c r="C299">
        <v>1</v>
      </c>
      <c r="D299" t="s">
        <v>1102</v>
      </c>
      <c r="E299" t="s">
        <v>1103</v>
      </c>
      <c r="F299">
        <v>1</v>
      </c>
      <c r="G299" t="s">
        <v>1127</v>
      </c>
      <c r="H299" t="s">
        <v>1271</v>
      </c>
      <c r="I299" t="s">
        <v>1224</v>
      </c>
      <c r="J299">
        <v>1</v>
      </c>
      <c r="K299">
        <v>154747890</v>
      </c>
      <c r="M299">
        <v>154747890</v>
      </c>
      <c r="N299" t="s">
        <v>1505</v>
      </c>
    </row>
    <row r="300" spans="1:14">
      <c r="A300">
        <v>1</v>
      </c>
      <c r="B300" t="s">
        <v>1102</v>
      </c>
      <c r="C300">
        <v>1</v>
      </c>
      <c r="D300" t="s">
        <v>1102</v>
      </c>
      <c r="E300" t="s">
        <v>1103</v>
      </c>
      <c r="F300">
        <v>1</v>
      </c>
      <c r="G300" t="s">
        <v>1127</v>
      </c>
      <c r="H300" t="s">
        <v>1276</v>
      </c>
      <c r="I300" t="s">
        <v>1176</v>
      </c>
      <c r="J300">
        <v>1</v>
      </c>
      <c r="K300">
        <v>184101930</v>
      </c>
      <c r="M300">
        <v>184101930</v>
      </c>
      <c r="N300" t="s">
        <v>1505</v>
      </c>
    </row>
    <row r="301" spans="1:14">
      <c r="A301">
        <v>1</v>
      </c>
      <c r="B301" t="s">
        <v>1102</v>
      </c>
      <c r="C301">
        <v>1</v>
      </c>
      <c r="D301" t="s">
        <v>1102</v>
      </c>
      <c r="E301" t="s">
        <v>1103</v>
      </c>
      <c r="F301">
        <v>1</v>
      </c>
      <c r="G301" t="s">
        <v>1127</v>
      </c>
      <c r="H301" t="s">
        <v>1289</v>
      </c>
      <c r="I301" t="s">
        <v>1147</v>
      </c>
      <c r="J301">
        <v>1</v>
      </c>
      <c r="K301">
        <v>209265120</v>
      </c>
      <c r="M301">
        <v>209265120</v>
      </c>
      <c r="N301" t="s">
        <v>1505</v>
      </c>
    </row>
    <row r="302" spans="1:14">
      <c r="A302">
        <v>1</v>
      </c>
      <c r="B302" t="s">
        <v>1102</v>
      </c>
      <c r="C302">
        <v>1</v>
      </c>
      <c r="D302" t="s">
        <v>1102</v>
      </c>
      <c r="E302" t="s">
        <v>1103</v>
      </c>
      <c r="F302">
        <v>1</v>
      </c>
      <c r="G302" t="s">
        <v>1127</v>
      </c>
      <c r="H302" t="s">
        <v>1306</v>
      </c>
      <c r="I302" t="s">
        <v>1307</v>
      </c>
      <c r="J302">
        <v>1</v>
      </c>
      <c r="K302">
        <v>184101387</v>
      </c>
      <c r="M302">
        <v>184101387</v>
      </c>
      <c r="N302" t="s">
        <v>1505</v>
      </c>
    </row>
    <row r="303" spans="1:14">
      <c r="A303">
        <v>1</v>
      </c>
      <c r="B303" t="s">
        <v>1102</v>
      </c>
      <c r="C303">
        <v>1</v>
      </c>
      <c r="D303" t="s">
        <v>1102</v>
      </c>
      <c r="E303" t="s">
        <v>1103</v>
      </c>
      <c r="F303">
        <v>1</v>
      </c>
      <c r="G303" t="s">
        <v>1127</v>
      </c>
      <c r="H303" t="s">
        <v>1313</v>
      </c>
      <c r="I303" t="s">
        <v>1182</v>
      </c>
      <c r="J303">
        <v>1</v>
      </c>
      <c r="K303">
        <v>184101387</v>
      </c>
      <c r="M303">
        <v>184101387</v>
      </c>
      <c r="N303" t="s">
        <v>1505</v>
      </c>
    </row>
    <row r="304" spans="1:14">
      <c r="A304">
        <v>1</v>
      </c>
      <c r="B304" t="s">
        <v>1102</v>
      </c>
      <c r="C304">
        <v>1</v>
      </c>
      <c r="D304" t="s">
        <v>1102</v>
      </c>
      <c r="E304" t="s">
        <v>1103</v>
      </c>
      <c r="F304">
        <v>1</v>
      </c>
      <c r="G304" t="s">
        <v>1127</v>
      </c>
      <c r="H304" t="s">
        <v>1318</v>
      </c>
      <c r="I304" t="s">
        <v>1305</v>
      </c>
      <c r="J304">
        <v>1</v>
      </c>
      <c r="K304">
        <v>59045760</v>
      </c>
      <c r="M304">
        <v>59045760</v>
      </c>
      <c r="N304" t="s">
        <v>1507</v>
      </c>
    </row>
    <row r="305" spans="1:14">
      <c r="A305">
        <v>1</v>
      </c>
      <c r="B305" t="s">
        <v>1102</v>
      </c>
      <c r="C305">
        <v>1</v>
      </c>
      <c r="D305" t="s">
        <v>1102</v>
      </c>
      <c r="E305" t="s">
        <v>1103</v>
      </c>
      <c r="F305">
        <v>1</v>
      </c>
      <c r="G305" t="s">
        <v>1127</v>
      </c>
      <c r="H305" t="s">
        <v>1328</v>
      </c>
      <c r="I305" t="s">
        <v>1256</v>
      </c>
      <c r="J305">
        <v>1</v>
      </c>
      <c r="K305">
        <v>59045760</v>
      </c>
      <c r="M305">
        <v>59045760</v>
      </c>
      <c r="N305" t="s">
        <v>1507</v>
      </c>
    </row>
    <row r="306" spans="1:14">
      <c r="A306">
        <v>1</v>
      </c>
      <c r="B306" t="s">
        <v>1102</v>
      </c>
      <c r="C306">
        <v>1</v>
      </c>
      <c r="D306" t="s">
        <v>1102</v>
      </c>
      <c r="E306" t="s">
        <v>1103</v>
      </c>
      <c r="F306">
        <v>1</v>
      </c>
      <c r="G306" t="s">
        <v>1127</v>
      </c>
      <c r="H306" t="s">
        <v>1329</v>
      </c>
      <c r="I306" t="s">
        <v>1256</v>
      </c>
      <c r="J306">
        <v>1</v>
      </c>
      <c r="K306">
        <v>59045760</v>
      </c>
      <c r="M306">
        <v>59045760</v>
      </c>
      <c r="N306" t="s">
        <v>1507</v>
      </c>
    </row>
    <row r="307" spans="1:14">
      <c r="A307">
        <v>1</v>
      </c>
      <c r="B307" t="s">
        <v>1102</v>
      </c>
      <c r="C307">
        <v>1</v>
      </c>
      <c r="D307" t="s">
        <v>1102</v>
      </c>
      <c r="E307" t="s">
        <v>1103</v>
      </c>
      <c r="F307">
        <v>1</v>
      </c>
      <c r="G307" t="s">
        <v>1127</v>
      </c>
      <c r="H307" t="s">
        <v>1333</v>
      </c>
      <c r="I307" t="s">
        <v>1733</v>
      </c>
      <c r="J307">
        <v>1</v>
      </c>
      <c r="K307">
        <v>59045760</v>
      </c>
      <c r="M307">
        <v>59045760</v>
      </c>
      <c r="N307" t="s">
        <v>1507</v>
      </c>
    </row>
    <row r="308" spans="1:14">
      <c r="A308">
        <v>1</v>
      </c>
      <c r="B308" t="s">
        <v>1102</v>
      </c>
      <c r="C308">
        <v>1</v>
      </c>
      <c r="D308" t="s">
        <v>1102</v>
      </c>
      <c r="E308" t="s">
        <v>1103</v>
      </c>
      <c r="F308">
        <v>1</v>
      </c>
      <c r="G308" t="s">
        <v>1127</v>
      </c>
      <c r="H308" t="s">
        <v>1337</v>
      </c>
      <c r="I308" t="s">
        <v>1200</v>
      </c>
      <c r="J308">
        <v>1</v>
      </c>
      <c r="K308">
        <v>64689840</v>
      </c>
      <c r="M308">
        <v>64689840</v>
      </c>
      <c r="N308" t="s">
        <v>1507</v>
      </c>
    </row>
    <row r="309" spans="1:14">
      <c r="A309">
        <v>1</v>
      </c>
      <c r="B309" t="s">
        <v>1102</v>
      </c>
      <c r="C309">
        <v>1</v>
      </c>
      <c r="D309" t="s">
        <v>1102</v>
      </c>
      <c r="E309" t="s">
        <v>1103</v>
      </c>
      <c r="F309">
        <v>1</v>
      </c>
      <c r="G309" t="s">
        <v>1127</v>
      </c>
      <c r="H309" t="s">
        <v>1590</v>
      </c>
      <c r="I309" t="s">
        <v>1652</v>
      </c>
      <c r="J309">
        <v>1</v>
      </c>
      <c r="K309">
        <v>182578716</v>
      </c>
      <c r="M309">
        <v>182578716</v>
      </c>
      <c r="N309" t="s">
        <v>1508</v>
      </c>
    </row>
    <row r="310" spans="1:14">
      <c r="A310">
        <v>1</v>
      </c>
      <c r="B310" t="s">
        <v>1102</v>
      </c>
      <c r="C310">
        <v>1</v>
      </c>
      <c r="D310" t="s">
        <v>1102</v>
      </c>
      <c r="E310" t="s">
        <v>1103</v>
      </c>
      <c r="F310">
        <v>1</v>
      </c>
      <c r="G310" t="s">
        <v>1127</v>
      </c>
      <c r="H310" t="s">
        <v>1591</v>
      </c>
      <c r="I310" t="s">
        <v>1592</v>
      </c>
      <c r="J310">
        <v>1</v>
      </c>
      <c r="K310">
        <v>182578716</v>
      </c>
      <c r="M310">
        <v>182578716</v>
      </c>
      <c r="N310" t="s">
        <v>1508</v>
      </c>
    </row>
    <row r="311" spans="1:14">
      <c r="A311">
        <v>1</v>
      </c>
      <c r="B311" t="s">
        <v>1102</v>
      </c>
      <c r="C311">
        <v>1</v>
      </c>
      <c r="D311" t="s">
        <v>1102</v>
      </c>
      <c r="E311" t="s">
        <v>1103</v>
      </c>
      <c r="F311">
        <v>1</v>
      </c>
      <c r="G311" t="s">
        <v>1127</v>
      </c>
      <c r="H311" t="s">
        <v>1653</v>
      </c>
      <c r="I311" t="s">
        <v>1654</v>
      </c>
      <c r="J311">
        <v>1</v>
      </c>
      <c r="K311">
        <v>169488599</v>
      </c>
      <c r="M311">
        <v>169488599</v>
      </c>
      <c r="N311" t="s">
        <v>1505</v>
      </c>
    </row>
    <row r="312" spans="1:14">
      <c r="A312">
        <v>1</v>
      </c>
      <c r="B312" t="s">
        <v>1102</v>
      </c>
      <c r="C312">
        <v>1</v>
      </c>
      <c r="D312" t="s">
        <v>1102</v>
      </c>
      <c r="E312" t="s">
        <v>1103</v>
      </c>
      <c r="F312">
        <v>1</v>
      </c>
      <c r="G312" t="s">
        <v>1127</v>
      </c>
      <c r="H312" t="s">
        <v>1655</v>
      </c>
      <c r="I312" t="s">
        <v>1145</v>
      </c>
      <c r="J312">
        <v>1</v>
      </c>
      <c r="K312">
        <v>237282899</v>
      </c>
      <c r="M312">
        <v>237282899</v>
      </c>
      <c r="N312" t="s">
        <v>1505</v>
      </c>
    </row>
    <row r="313" spans="1:14">
      <c r="A313">
        <v>1</v>
      </c>
      <c r="B313" t="s">
        <v>1102</v>
      </c>
      <c r="C313">
        <v>1</v>
      </c>
      <c r="D313" t="s">
        <v>1102</v>
      </c>
      <c r="E313" t="s">
        <v>1103</v>
      </c>
      <c r="F313">
        <v>1</v>
      </c>
      <c r="G313" t="s">
        <v>1127</v>
      </c>
      <c r="H313" t="s">
        <v>1734</v>
      </c>
      <c r="I313" t="s">
        <v>1213</v>
      </c>
      <c r="J313">
        <v>1</v>
      </c>
      <c r="K313">
        <v>287061462</v>
      </c>
      <c r="M313">
        <v>287061462</v>
      </c>
      <c r="N313" t="s">
        <v>1505</v>
      </c>
    </row>
    <row r="314" spans="1:14">
      <c r="A314">
        <v>1</v>
      </c>
      <c r="B314" t="s">
        <v>1102</v>
      </c>
      <c r="C314">
        <v>1</v>
      </c>
      <c r="D314" t="s">
        <v>1102</v>
      </c>
      <c r="E314" t="s">
        <v>1103</v>
      </c>
      <c r="F314">
        <v>1</v>
      </c>
      <c r="G314" t="s">
        <v>1127</v>
      </c>
      <c r="H314" t="s">
        <v>1656</v>
      </c>
      <c r="I314" t="s">
        <v>1735</v>
      </c>
      <c r="J314">
        <v>1</v>
      </c>
      <c r="K314">
        <v>285707399</v>
      </c>
      <c r="M314">
        <v>285707399</v>
      </c>
      <c r="N314" t="s">
        <v>1505</v>
      </c>
    </row>
    <row r="315" spans="1:14">
      <c r="A315">
        <v>1</v>
      </c>
      <c r="B315" t="s">
        <v>1102</v>
      </c>
      <c r="C315">
        <v>1</v>
      </c>
      <c r="D315" t="s">
        <v>1102</v>
      </c>
      <c r="E315" t="s">
        <v>1103</v>
      </c>
      <c r="F315">
        <v>1</v>
      </c>
      <c r="G315" t="s">
        <v>1127</v>
      </c>
      <c r="H315" t="s">
        <v>1657</v>
      </c>
      <c r="I315" t="s">
        <v>1227</v>
      </c>
      <c r="J315">
        <v>1</v>
      </c>
      <c r="K315">
        <v>285707399</v>
      </c>
      <c r="M315">
        <v>285707399</v>
      </c>
      <c r="N315" t="s">
        <v>1505</v>
      </c>
    </row>
    <row r="316" spans="1:14">
      <c r="A316">
        <v>1</v>
      </c>
      <c r="B316" t="s">
        <v>1102</v>
      </c>
      <c r="C316">
        <v>1</v>
      </c>
      <c r="D316" t="s">
        <v>1102</v>
      </c>
      <c r="E316" t="s">
        <v>1103</v>
      </c>
      <c r="F316">
        <v>1</v>
      </c>
      <c r="G316" t="s">
        <v>1127</v>
      </c>
      <c r="H316" t="s">
        <v>1658</v>
      </c>
      <c r="I316" t="s">
        <v>1147</v>
      </c>
      <c r="J316">
        <v>1</v>
      </c>
      <c r="K316">
        <v>237282899</v>
      </c>
      <c r="M316">
        <v>237282899</v>
      </c>
      <c r="N316" t="s">
        <v>1505</v>
      </c>
    </row>
    <row r="317" spans="1:14">
      <c r="A317">
        <v>1</v>
      </c>
      <c r="B317" t="s">
        <v>1102</v>
      </c>
      <c r="C317">
        <v>1</v>
      </c>
      <c r="D317" t="s">
        <v>1102</v>
      </c>
      <c r="E317" t="s">
        <v>1103</v>
      </c>
      <c r="F317">
        <v>1</v>
      </c>
      <c r="G317" t="s">
        <v>1127</v>
      </c>
      <c r="H317" t="s">
        <v>1659</v>
      </c>
      <c r="I317" t="s">
        <v>1147</v>
      </c>
      <c r="J317">
        <v>1</v>
      </c>
      <c r="K317">
        <v>237282899</v>
      </c>
      <c r="M317">
        <v>237282899</v>
      </c>
      <c r="N317" t="s">
        <v>1505</v>
      </c>
    </row>
    <row r="318" spans="1:14">
      <c r="A318">
        <v>1</v>
      </c>
      <c r="B318" t="s">
        <v>1102</v>
      </c>
      <c r="C318">
        <v>1</v>
      </c>
      <c r="D318" t="s">
        <v>1102</v>
      </c>
      <c r="E318" t="s">
        <v>1103</v>
      </c>
      <c r="F318">
        <v>1</v>
      </c>
      <c r="G318" t="s">
        <v>1127</v>
      </c>
      <c r="H318" t="s">
        <v>1660</v>
      </c>
      <c r="I318" t="s">
        <v>1147</v>
      </c>
      <c r="J318">
        <v>1</v>
      </c>
      <c r="K318">
        <v>237282899</v>
      </c>
      <c r="M318">
        <v>237282899</v>
      </c>
      <c r="N318" t="s">
        <v>1505</v>
      </c>
    </row>
    <row r="319" spans="1:14">
      <c r="A319">
        <v>1</v>
      </c>
      <c r="B319" t="s">
        <v>1102</v>
      </c>
      <c r="C319">
        <v>1</v>
      </c>
      <c r="D319" t="s">
        <v>1102</v>
      </c>
      <c r="E319" t="s">
        <v>1103</v>
      </c>
      <c r="F319">
        <v>1</v>
      </c>
      <c r="G319" t="s">
        <v>1127</v>
      </c>
      <c r="H319" t="s">
        <v>1661</v>
      </c>
      <c r="I319" t="s">
        <v>1224</v>
      </c>
      <c r="J319">
        <v>1</v>
      </c>
      <c r="K319">
        <v>168273641</v>
      </c>
      <c r="M319">
        <v>168273641</v>
      </c>
      <c r="N319" t="s">
        <v>1505</v>
      </c>
    </row>
    <row r="320" spans="1:14">
      <c r="A320">
        <v>1</v>
      </c>
      <c r="B320" t="s">
        <v>1102</v>
      </c>
      <c r="C320">
        <v>1</v>
      </c>
      <c r="D320" t="s">
        <v>1102</v>
      </c>
      <c r="E320" t="s">
        <v>1103</v>
      </c>
      <c r="F320">
        <v>1</v>
      </c>
      <c r="G320" t="s">
        <v>1127</v>
      </c>
      <c r="H320" t="s">
        <v>1662</v>
      </c>
      <c r="I320" t="s">
        <v>1224</v>
      </c>
      <c r="J320">
        <v>1</v>
      </c>
      <c r="K320">
        <v>168273641</v>
      </c>
      <c r="M320">
        <v>168273641</v>
      </c>
      <c r="N320" t="s">
        <v>1505</v>
      </c>
    </row>
    <row r="321" spans="1:14">
      <c r="A321">
        <v>1</v>
      </c>
      <c r="B321" t="s">
        <v>1102</v>
      </c>
      <c r="C321">
        <v>1</v>
      </c>
      <c r="D321" t="s">
        <v>1102</v>
      </c>
      <c r="E321" t="s">
        <v>1103</v>
      </c>
      <c r="F321">
        <v>1</v>
      </c>
      <c r="G321" t="s">
        <v>1127</v>
      </c>
      <c r="H321" t="s">
        <v>1736</v>
      </c>
      <c r="I321" t="s">
        <v>1737</v>
      </c>
      <c r="J321">
        <v>1</v>
      </c>
      <c r="K321">
        <v>117177489</v>
      </c>
      <c r="M321">
        <v>117177489</v>
      </c>
      <c r="N321" t="s">
        <v>1507</v>
      </c>
    </row>
    <row r="322" spans="1:14">
      <c r="A322">
        <v>1</v>
      </c>
      <c r="B322" t="s">
        <v>1102</v>
      </c>
      <c r="C322">
        <v>1</v>
      </c>
      <c r="D322" t="s">
        <v>1102</v>
      </c>
      <c r="E322" t="s">
        <v>1103</v>
      </c>
      <c r="F322">
        <v>1</v>
      </c>
      <c r="G322" t="s">
        <v>1127</v>
      </c>
      <c r="H322" t="s">
        <v>1738</v>
      </c>
      <c r="I322" t="s">
        <v>1172</v>
      </c>
      <c r="J322">
        <v>1</v>
      </c>
      <c r="K322">
        <v>183972769</v>
      </c>
      <c r="M322">
        <v>183972769</v>
      </c>
      <c r="N322" t="s">
        <v>1505</v>
      </c>
    </row>
    <row r="323" spans="1:14">
      <c r="A323">
        <v>1</v>
      </c>
      <c r="B323" t="s">
        <v>1102</v>
      </c>
      <c r="C323">
        <v>1</v>
      </c>
      <c r="D323" t="s">
        <v>1102</v>
      </c>
      <c r="E323" t="s">
        <v>1103</v>
      </c>
      <c r="F323">
        <v>1</v>
      </c>
      <c r="G323" t="s">
        <v>1127</v>
      </c>
      <c r="H323" t="s">
        <v>1739</v>
      </c>
      <c r="I323" t="s">
        <v>1740</v>
      </c>
      <c r="J323">
        <v>1</v>
      </c>
      <c r="K323">
        <v>74368800</v>
      </c>
      <c r="L323">
        <v>109091</v>
      </c>
      <c r="M323">
        <v>74477891</v>
      </c>
      <c r="N323" t="s">
        <v>1507</v>
      </c>
    </row>
    <row r="324" spans="1:14">
      <c r="A324">
        <v>1</v>
      </c>
      <c r="B324" t="s">
        <v>1102</v>
      </c>
      <c r="C324">
        <v>1</v>
      </c>
      <c r="D324" t="s">
        <v>1102</v>
      </c>
      <c r="E324" t="s">
        <v>1103</v>
      </c>
      <c r="F324">
        <v>1</v>
      </c>
      <c r="G324" t="s">
        <v>1127</v>
      </c>
      <c r="H324" t="s">
        <v>1741</v>
      </c>
      <c r="I324" t="s">
        <v>1176</v>
      </c>
      <c r="J324">
        <v>1</v>
      </c>
      <c r="K324">
        <v>183972769</v>
      </c>
      <c r="M324">
        <v>183972769</v>
      </c>
      <c r="N324" t="s">
        <v>1505</v>
      </c>
    </row>
    <row r="325" spans="1:14">
      <c r="A325">
        <v>1</v>
      </c>
      <c r="B325" t="s">
        <v>1102</v>
      </c>
      <c r="C325">
        <v>1</v>
      </c>
      <c r="D325" t="s">
        <v>1102</v>
      </c>
      <c r="E325" t="s">
        <v>1103</v>
      </c>
      <c r="F325">
        <v>1</v>
      </c>
      <c r="G325" t="s">
        <v>1127</v>
      </c>
      <c r="H325" t="s">
        <v>1742</v>
      </c>
      <c r="I325" t="s">
        <v>1743</v>
      </c>
      <c r="J325">
        <v>1</v>
      </c>
      <c r="K325">
        <v>148288007</v>
      </c>
      <c r="M325">
        <v>148288007</v>
      </c>
      <c r="N325" t="s">
        <v>1507</v>
      </c>
    </row>
    <row r="326" spans="1:14">
      <c r="A326">
        <v>1</v>
      </c>
      <c r="B326" t="s">
        <v>1102</v>
      </c>
      <c r="C326">
        <v>1</v>
      </c>
      <c r="D326" t="s">
        <v>1102</v>
      </c>
      <c r="E326" t="s">
        <v>1103</v>
      </c>
      <c r="F326">
        <v>1</v>
      </c>
      <c r="G326" t="s">
        <v>1127</v>
      </c>
      <c r="H326" t="s">
        <v>1744</v>
      </c>
      <c r="I326" t="s">
        <v>1595</v>
      </c>
      <c r="J326">
        <v>1</v>
      </c>
      <c r="K326">
        <v>157289569</v>
      </c>
      <c r="L326">
        <v>109091</v>
      </c>
      <c r="M326">
        <v>157398660</v>
      </c>
      <c r="N326" t="s">
        <v>1505</v>
      </c>
    </row>
    <row r="327" spans="1:14">
      <c r="A327">
        <v>1</v>
      </c>
      <c r="B327" t="s">
        <v>1102</v>
      </c>
      <c r="C327">
        <v>1</v>
      </c>
      <c r="D327" t="s">
        <v>1102</v>
      </c>
      <c r="E327" t="s">
        <v>1103</v>
      </c>
      <c r="F327">
        <v>1</v>
      </c>
      <c r="G327" t="s">
        <v>1127</v>
      </c>
      <c r="H327" t="s">
        <v>1745</v>
      </c>
      <c r="I327" t="s">
        <v>1595</v>
      </c>
      <c r="J327">
        <v>1</v>
      </c>
      <c r="K327">
        <v>157289569</v>
      </c>
      <c r="M327">
        <v>157289569</v>
      </c>
      <c r="N327" t="s">
        <v>1505</v>
      </c>
    </row>
    <row r="328" spans="1:14">
      <c r="A328">
        <v>1</v>
      </c>
      <c r="B328" t="s">
        <v>1102</v>
      </c>
      <c r="C328">
        <v>1</v>
      </c>
      <c r="D328" t="s">
        <v>1102</v>
      </c>
      <c r="E328" t="s">
        <v>1103</v>
      </c>
      <c r="F328">
        <v>1</v>
      </c>
      <c r="G328" t="s">
        <v>1127</v>
      </c>
      <c r="H328" t="s">
        <v>1746</v>
      </c>
      <c r="I328" t="s">
        <v>1595</v>
      </c>
      <c r="J328">
        <v>1</v>
      </c>
      <c r="K328">
        <v>157289569</v>
      </c>
      <c r="M328">
        <v>157289569</v>
      </c>
      <c r="N328" t="s">
        <v>1505</v>
      </c>
    </row>
    <row r="329" spans="1:14">
      <c r="A329">
        <v>1</v>
      </c>
      <c r="B329" t="s">
        <v>1102</v>
      </c>
      <c r="C329">
        <v>1</v>
      </c>
      <c r="D329" t="s">
        <v>1102</v>
      </c>
      <c r="E329" t="s">
        <v>1103</v>
      </c>
      <c r="F329">
        <v>1</v>
      </c>
      <c r="G329" t="s">
        <v>1127</v>
      </c>
      <c r="H329" t="s">
        <v>1747</v>
      </c>
      <c r="I329" t="s">
        <v>1595</v>
      </c>
      <c r="J329">
        <v>1</v>
      </c>
      <c r="K329">
        <v>157289569</v>
      </c>
      <c r="M329">
        <v>157289569</v>
      </c>
      <c r="N329" t="s">
        <v>1505</v>
      </c>
    </row>
    <row r="330" spans="1:14">
      <c r="A330">
        <v>1</v>
      </c>
      <c r="B330" t="s">
        <v>1102</v>
      </c>
      <c r="C330">
        <v>1</v>
      </c>
      <c r="D330" t="s">
        <v>1102</v>
      </c>
      <c r="E330" t="s">
        <v>1103</v>
      </c>
      <c r="F330">
        <v>1</v>
      </c>
      <c r="G330" t="s">
        <v>1127</v>
      </c>
      <c r="H330" t="s">
        <v>1748</v>
      </c>
      <c r="I330" t="s">
        <v>1176</v>
      </c>
      <c r="J330">
        <v>1</v>
      </c>
      <c r="K330">
        <v>183972769</v>
      </c>
      <c r="M330">
        <v>183972769</v>
      </c>
      <c r="N330" t="s">
        <v>1505</v>
      </c>
    </row>
    <row r="331" spans="1:14">
      <c r="A331">
        <v>1</v>
      </c>
      <c r="B331" t="s">
        <v>1102</v>
      </c>
      <c r="C331">
        <v>1</v>
      </c>
      <c r="D331" t="s">
        <v>1102</v>
      </c>
      <c r="E331" t="s">
        <v>1103</v>
      </c>
      <c r="F331">
        <v>1</v>
      </c>
      <c r="G331" t="s">
        <v>1127</v>
      </c>
      <c r="H331" t="s">
        <v>1749</v>
      </c>
      <c r="I331" t="s">
        <v>1182</v>
      </c>
      <c r="J331">
        <v>1</v>
      </c>
      <c r="K331">
        <v>183972769</v>
      </c>
      <c r="M331">
        <v>183972769</v>
      </c>
      <c r="N331" t="s">
        <v>1505</v>
      </c>
    </row>
    <row r="332" spans="1:14">
      <c r="A332">
        <v>1</v>
      </c>
      <c r="B332" t="s">
        <v>1102</v>
      </c>
      <c r="C332">
        <v>1</v>
      </c>
      <c r="D332" t="s">
        <v>1102</v>
      </c>
      <c r="E332" t="s">
        <v>1103</v>
      </c>
      <c r="F332">
        <v>1</v>
      </c>
      <c r="G332" t="s">
        <v>1127</v>
      </c>
      <c r="H332" t="s">
        <v>1750</v>
      </c>
      <c r="I332" t="s">
        <v>1176</v>
      </c>
      <c r="J332">
        <v>1</v>
      </c>
      <c r="K332">
        <v>183972769</v>
      </c>
      <c r="M332">
        <v>183972769</v>
      </c>
      <c r="N332" t="s">
        <v>1505</v>
      </c>
    </row>
    <row r="333" spans="1:14">
      <c r="A333">
        <v>1</v>
      </c>
      <c r="B333" t="s">
        <v>1102</v>
      </c>
      <c r="C333">
        <v>1</v>
      </c>
      <c r="D333" t="s">
        <v>1102</v>
      </c>
      <c r="E333" t="s">
        <v>1103</v>
      </c>
      <c r="F333">
        <v>1</v>
      </c>
      <c r="G333" t="s">
        <v>1127</v>
      </c>
      <c r="H333" t="s">
        <v>1751</v>
      </c>
      <c r="I333" t="s">
        <v>1218</v>
      </c>
      <c r="J333">
        <v>1</v>
      </c>
      <c r="K333">
        <v>183972769</v>
      </c>
      <c r="L333">
        <v>109091</v>
      </c>
      <c r="M333">
        <v>184081860</v>
      </c>
      <c r="N333" t="s">
        <v>1505</v>
      </c>
    </row>
    <row r="334" spans="1:14">
      <c r="A334">
        <v>1</v>
      </c>
      <c r="B334" t="s">
        <v>1102</v>
      </c>
      <c r="C334">
        <v>1</v>
      </c>
      <c r="D334" t="s">
        <v>1102</v>
      </c>
      <c r="E334" t="s">
        <v>1103</v>
      </c>
      <c r="F334">
        <v>1</v>
      </c>
      <c r="G334" t="s">
        <v>1127</v>
      </c>
      <c r="H334" t="s">
        <v>1752</v>
      </c>
      <c r="I334" t="s">
        <v>1307</v>
      </c>
      <c r="J334">
        <v>1</v>
      </c>
      <c r="K334">
        <v>183972769</v>
      </c>
      <c r="M334">
        <v>183972769</v>
      </c>
      <c r="N334" t="s">
        <v>1505</v>
      </c>
    </row>
    <row r="335" spans="1:14">
      <c r="A335">
        <v>1</v>
      </c>
      <c r="B335" t="s">
        <v>1102</v>
      </c>
      <c r="C335">
        <v>1</v>
      </c>
      <c r="D335" t="s">
        <v>1102</v>
      </c>
      <c r="E335" t="s">
        <v>1103</v>
      </c>
      <c r="F335">
        <v>1</v>
      </c>
      <c r="G335" t="s">
        <v>1127</v>
      </c>
      <c r="H335" t="s">
        <v>1753</v>
      </c>
      <c r="I335" t="s">
        <v>1307</v>
      </c>
      <c r="J335">
        <v>1</v>
      </c>
      <c r="K335">
        <v>183972769</v>
      </c>
      <c r="M335">
        <v>183972769</v>
      </c>
      <c r="N335" t="s">
        <v>1505</v>
      </c>
    </row>
    <row r="336" spans="1:14">
      <c r="A336">
        <v>1</v>
      </c>
      <c r="B336" t="s">
        <v>1102</v>
      </c>
      <c r="C336">
        <v>1</v>
      </c>
      <c r="D336" t="s">
        <v>1102</v>
      </c>
      <c r="E336" t="s">
        <v>1103</v>
      </c>
      <c r="F336">
        <v>1</v>
      </c>
      <c r="G336" t="s">
        <v>1127</v>
      </c>
      <c r="H336" t="s">
        <v>1754</v>
      </c>
      <c r="I336" t="s">
        <v>1182</v>
      </c>
      <c r="J336">
        <v>1</v>
      </c>
      <c r="K336">
        <v>183972769</v>
      </c>
      <c r="M336">
        <v>183972769</v>
      </c>
      <c r="N336" t="s">
        <v>1505</v>
      </c>
    </row>
    <row r="337" spans="1:14">
      <c r="A337">
        <v>1</v>
      </c>
      <c r="B337" t="s">
        <v>1102</v>
      </c>
      <c r="C337">
        <v>1</v>
      </c>
      <c r="D337" t="s">
        <v>1102</v>
      </c>
      <c r="E337" t="s">
        <v>1103</v>
      </c>
      <c r="F337">
        <v>1</v>
      </c>
      <c r="G337" t="s">
        <v>1127</v>
      </c>
      <c r="H337" t="s">
        <v>1755</v>
      </c>
      <c r="I337" t="s">
        <v>1182</v>
      </c>
      <c r="J337">
        <v>1</v>
      </c>
      <c r="K337">
        <v>183972769</v>
      </c>
      <c r="M337">
        <v>183972769</v>
      </c>
      <c r="N337" t="s">
        <v>1505</v>
      </c>
    </row>
    <row r="338" spans="1:14">
      <c r="A338">
        <v>1</v>
      </c>
      <c r="B338" t="s">
        <v>1102</v>
      </c>
      <c r="C338">
        <v>1</v>
      </c>
      <c r="D338" t="s">
        <v>1102</v>
      </c>
      <c r="E338" t="s">
        <v>1103</v>
      </c>
      <c r="F338">
        <v>1</v>
      </c>
      <c r="G338" t="s">
        <v>1127</v>
      </c>
      <c r="H338" t="s">
        <v>1756</v>
      </c>
      <c r="I338" t="s">
        <v>1182</v>
      </c>
      <c r="J338">
        <v>1</v>
      </c>
      <c r="K338">
        <v>183972769</v>
      </c>
      <c r="M338">
        <v>183972769</v>
      </c>
      <c r="N338" t="s">
        <v>1505</v>
      </c>
    </row>
    <row r="339" spans="1:14">
      <c r="A339">
        <v>1</v>
      </c>
      <c r="B339" t="s">
        <v>1102</v>
      </c>
      <c r="C339">
        <v>1</v>
      </c>
      <c r="D339" t="s">
        <v>1102</v>
      </c>
      <c r="E339" t="s">
        <v>1103</v>
      </c>
      <c r="F339">
        <v>1</v>
      </c>
      <c r="G339" t="s">
        <v>1127</v>
      </c>
      <c r="H339" t="s">
        <v>1757</v>
      </c>
      <c r="I339" t="s">
        <v>1172</v>
      </c>
      <c r="J339">
        <v>1</v>
      </c>
      <c r="K339">
        <v>183972769</v>
      </c>
      <c r="L339">
        <v>109091</v>
      </c>
      <c r="M339">
        <v>184081860</v>
      </c>
      <c r="N339" t="s">
        <v>1505</v>
      </c>
    </row>
    <row r="340" spans="1:14">
      <c r="A340">
        <v>1</v>
      </c>
      <c r="B340" t="s">
        <v>1102</v>
      </c>
      <c r="C340">
        <v>1</v>
      </c>
      <c r="D340" t="s">
        <v>1102</v>
      </c>
      <c r="E340" t="s">
        <v>1103</v>
      </c>
      <c r="F340">
        <v>1</v>
      </c>
      <c r="G340" t="s">
        <v>1127</v>
      </c>
      <c r="H340" t="s">
        <v>1758</v>
      </c>
      <c r="I340" t="s">
        <v>1172</v>
      </c>
      <c r="J340">
        <v>1</v>
      </c>
      <c r="K340">
        <v>183972769</v>
      </c>
      <c r="M340">
        <v>183972769</v>
      </c>
      <c r="N340" t="s">
        <v>1505</v>
      </c>
    </row>
    <row r="341" spans="1:14">
      <c r="A341">
        <v>1</v>
      </c>
      <c r="B341" t="s">
        <v>1102</v>
      </c>
      <c r="C341">
        <v>1</v>
      </c>
      <c r="D341" t="s">
        <v>1102</v>
      </c>
      <c r="E341" t="s">
        <v>1103</v>
      </c>
      <c r="F341">
        <v>1</v>
      </c>
      <c r="G341" t="s">
        <v>1127</v>
      </c>
      <c r="H341" t="s">
        <v>1759</v>
      </c>
      <c r="I341" t="s">
        <v>1172</v>
      </c>
      <c r="J341">
        <v>1</v>
      </c>
      <c r="K341">
        <v>183972769</v>
      </c>
      <c r="M341">
        <v>183972769</v>
      </c>
      <c r="N341" t="s">
        <v>1505</v>
      </c>
    </row>
    <row r="342" spans="1:14">
      <c r="A342">
        <v>1</v>
      </c>
      <c r="B342" t="s">
        <v>1102</v>
      </c>
      <c r="C342">
        <v>1</v>
      </c>
      <c r="D342" t="s">
        <v>1102</v>
      </c>
      <c r="E342" t="s">
        <v>1103</v>
      </c>
      <c r="F342">
        <v>1</v>
      </c>
      <c r="G342" t="s">
        <v>1127</v>
      </c>
      <c r="H342" t="s">
        <v>1760</v>
      </c>
      <c r="I342" t="s">
        <v>1172</v>
      </c>
      <c r="J342">
        <v>1</v>
      </c>
      <c r="K342">
        <v>183972769</v>
      </c>
      <c r="M342">
        <v>183972769</v>
      </c>
      <c r="N342" t="s">
        <v>1505</v>
      </c>
    </row>
    <row r="343" spans="1:14">
      <c r="A343">
        <v>1</v>
      </c>
      <c r="B343" t="s">
        <v>1102</v>
      </c>
      <c r="C343">
        <v>1</v>
      </c>
      <c r="D343" t="s">
        <v>1102</v>
      </c>
      <c r="E343" t="s">
        <v>1103</v>
      </c>
      <c r="F343">
        <v>1</v>
      </c>
      <c r="G343" t="s">
        <v>1127</v>
      </c>
      <c r="H343" t="s">
        <v>1761</v>
      </c>
      <c r="I343" t="s">
        <v>1172</v>
      </c>
      <c r="J343">
        <v>1</v>
      </c>
      <c r="K343">
        <v>183972769</v>
      </c>
      <c r="M343">
        <v>183972769</v>
      </c>
      <c r="N343" t="s">
        <v>1505</v>
      </c>
    </row>
    <row r="344" spans="1:14">
      <c r="A344">
        <v>1</v>
      </c>
      <c r="B344" t="s">
        <v>1102</v>
      </c>
      <c r="C344">
        <v>1</v>
      </c>
      <c r="D344" t="s">
        <v>1102</v>
      </c>
      <c r="E344" t="s">
        <v>1103</v>
      </c>
      <c r="F344">
        <v>1</v>
      </c>
      <c r="G344" t="s">
        <v>1127</v>
      </c>
      <c r="H344" t="s">
        <v>1762</v>
      </c>
      <c r="I344" t="s">
        <v>1172</v>
      </c>
      <c r="J344">
        <v>1</v>
      </c>
      <c r="K344">
        <v>183972769</v>
      </c>
      <c r="L344">
        <v>109091</v>
      </c>
      <c r="M344">
        <v>184081860</v>
      </c>
      <c r="N344" t="s">
        <v>1505</v>
      </c>
    </row>
    <row r="345" spans="1:14">
      <c r="A345">
        <v>1</v>
      </c>
      <c r="B345" t="s">
        <v>1102</v>
      </c>
      <c r="C345">
        <v>1</v>
      </c>
      <c r="D345" t="s">
        <v>1102</v>
      </c>
      <c r="E345" t="s">
        <v>1103</v>
      </c>
      <c r="F345">
        <v>1</v>
      </c>
      <c r="G345" t="s">
        <v>1127</v>
      </c>
      <c r="H345" t="s">
        <v>1763</v>
      </c>
      <c r="I345" t="s">
        <v>1172</v>
      </c>
      <c r="J345">
        <v>1</v>
      </c>
      <c r="K345">
        <v>183972769</v>
      </c>
      <c r="M345">
        <v>183972769</v>
      </c>
      <c r="N345" t="s">
        <v>1505</v>
      </c>
    </row>
    <row r="346" spans="1:14">
      <c r="A346">
        <v>1</v>
      </c>
      <c r="B346" t="s">
        <v>1102</v>
      </c>
      <c r="C346">
        <v>1</v>
      </c>
      <c r="D346" t="s">
        <v>1102</v>
      </c>
      <c r="E346" t="s">
        <v>1103</v>
      </c>
      <c r="F346">
        <v>1</v>
      </c>
      <c r="G346" t="s">
        <v>1127</v>
      </c>
      <c r="H346" t="s">
        <v>1764</v>
      </c>
      <c r="I346" t="s">
        <v>1172</v>
      </c>
      <c r="J346">
        <v>1</v>
      </c>
      <c r="K346">
        <v>183972769</v>
      </c>
      <c r="L346">
        <v>109091</v>
      </c>
      <c r="M346">
        <v>184081860</v>
      </c>
      <c r="N346" t="s">
        <v>1505</v>
      </c>
    </row>
    <row r="347" spans="1:14">
      <c r="A347">
        <v>1</v>
      </c>
      <c r="B347" t="s">
        <v>1102</v>
      </c>
      <c r="C347">
        <v>1</v>
      </c>
      <c r="D347" t="s">
        <v>1102</v>
      </c>
      <c r="E347" t="s">
        <v>1103</v>
      </c>
      <c r="F347">
        <v>1</v>
      </c>
      <c r="G347" t="s">
        <v>1127</v>
      </c>
      <c r="H347" t="s">
        <v>1765</v>
      </c>
      <c r="I347" t="s">
        <v>1766</v>
      </c>
      <c r="J347">
        <v>1</v>
      </c>
      <c r="K347">
        <v>148288007</v>
      </c>
      <c r="M347">
        <v>148288007</v>
      </c>
      <c r="N347" t="s">
        <v>1507</v>
      </c>
    </row>
    <row r="348" spans="1:14">
      <c r="A348">
        <v>1</v>
      </c>
      <c r="B348" t="s">
        <v>1102</v>
      </c>
      <c r="C348">
        <v>1</v>
      </c>
      <c r="D348" t="s">
        <v>1102</v>
      </c>
      <c r="E348" t="s">
        <v>1103</v>
      </c>
      <c r="F348">
        <v>1</v>
      </c>
      <c r="G348" t="s">
        <v>1127</v>
      </c>
      <c r="H348" t="s">
        <v>1767</v>
      </c>
      <c r="I348" t="s">
        <v>1768</v>
      </c>
      <c r="J348">
        <v>1</v>
      </c>
      <c r="K348">
        <v>161809607</v>
      </c>
      <c r="L348">
        <v>318182</v>
      </c>
      <c r="M348">
        <v>162127789</v>
      </c>
      <c r="N348" t="s">
        <v>1507</v>
      </c>
    </row>
    <row r="349" spans="1:14">
      <c r="A349">
        <v>1</v>
      </c>
      <c r="B349" t="s">
        <v>1102</v>
      </c>
      <c r="C349">
        <v>1</v>
      </c>
      <c r="D349" t="s">
        <v>1102</v>
      </c>
      <c r="E349" t="s">
        <v>1103</v>
      </c>
      <c r="F349">
        <v>1</v>
      </c>
      <c r="G349" t="s">
        <v>1127</v>
      </c>
      <c r="H349" t="s">
        <v>1769</v>
      </c>
      <c r="I349" t="s">
        <v>1770</v>
      </c>
      <c r="J349">
        <v>1</v>
      </c>
      <c r="K349">
        <v>157289569</v>
      </c>
      <c r="M349">
        <v>157289569</v>
      </c>
      <c r="N349" t="s">
        <v>1505</v>
      </c>
    </row>
    <row r="350" spans="1:14">
      <c r="A350">
        <v>1</v>
      </c>
      <c r="B350" t="s">
        <v>1102</v>
      </c>
      <c r="C350">
        <v>1</v>
      </c>
      <c r="D350" t="s">
        <v>1102</v>
      </c>
      <c r="E350" t="s">
        <v>1103</v>
      </c>
      <c r="F350">
        <v>1</v>
      </c>
      <c r="G350" t="s">
        <v>1127</v>
      </c>
      <c r="H350" t="s">
        <v>1771</v>
      </c>
      <c r="I350" t="s">
        <v>1182</v>
      </c>
      <c r="J350">
        <v>1</v>
      </c>
      <c r="K350">
        <v>183972769</v>
      </c>
      <c r="M350">
        <v>183972769</v>
      </c>
      <c r="N350" t="s">
        <v>1505</v>
      </c>
    </row>
    <row r="351" spans="1:14">
      <c r="A351">
        <v>1</v>
      </c>
      <c r="B351" t="s">
        <v>1102</v>
      </c>
      <c r="C351">
        <v>1</v>
      </c>
      <c r="D351" t="s">
        <v>1102</v>
      </c>
      <c r="E351" t="s">
        <v>1103</v>
      </c>
      <c r="F351">
        <v>1</v>
      </c>
      <c r="G351" t="s">
        <v>1127</v>
      </c>
      <c r="H351" t="s">
        <v>1772</v>
      </c>
      <c r="I351" t="s">
        <v>1176</v>
      </c>
      <c r="J351">
        <v>1</v>
      </c>
      <c r="K351">
        <v>183972769</v>
      </c>
      <c r="M351">
        <v>183972769</v>
      </c>
      <c r="N351" t="s">
        <v>1505</v>
      </c>
    </row>
    <row r="352" spans="1:14">
      <c r="A352">
        <v>1</v>
      </c>
      <c r="B352" t="s">
        <v>1102</v>
      </c>
      <c r="C352">
        <v>1</v>
      </c>
      <c r="D352" t="s">
        <v>1102</v>
      </c>
      <c r="E352" t="s">
        <v>1103</v>
      </c>
      <c r="F352">
        <v>1</v>
      </c>
      <c r="G352" t="s">
        <v>1127</v>
      </c>
      <c r="H352" t="s">
        <v>1773</v>
      </c>
      <c r="I352" t="s">
        <v>1774</v>
      </c>
      <c r="J352">
        <v>1</v>
      </c>
      <c r="K352">
        <v>76172807</v>
      </c>
      <c r="M352">
        <v>76172807</v>
      </c>
      <c r="N352" t="s">
        <v>1507</v>
      </c>
    </row>
    <row r="353" spans="1:14">
      <c r="A353">
        <v>1</v>
      </c>
      <c r="B353" t="s">
        <v>1102</v>
      </c>
      <c r="C353">
        <v>1</v>
      </c>
      <c r="D353" t="s">
        <v>1102</v>
      </c>
      <c r="E353" t="s">
        <v>1103</v>
      </c>
      <c r="F353">
        <v>1</v>
      </c>
      <c r="G353" t="s">
        <v>1127</v>
      </c>
      <c r="H353" t="s">
        <v>1775</v>
      </c>
      <c r="I353" t="s">
        <v>1776</v>
      </c>
      <c r="J353">
        <v>1</v>
      </c>
      <c r="K353">
        <v>139273607</v>
      </c>
      <c r="M353">
        <v>139273607</v>
      </c>
      <c r="N353" t="s">
        <v>1507</v>
      </c>
    </row>
    <row r="354" spans="1:14">
      <c r="A354">
        <v>1</v>
      </c>
      <c r="B354" t="s">
        <v>1102</v>
      </c>
      <c r="C354">
        <v>1</v>
      </c>
      <c r="D354" t="s">
        <v>1102</v>
      </c>
      <c r="E354" t="s">
        <v>1103</v>
      </c>
      <c r="F354">
        <v>1</v>
      </c>
      <c r="G354" t="s">
        <v>1127</v>
      </c>
      <c r="H354" t="s">
        <v>1777</v>
      </c>
      <c r="I354" t="s">
        <v>1778</v>
      </c>
      <c r="J354">
        <v>1</v>
      </c>
      <c r="K354">
        <v>139273607</v>
      </c>
      <c r="M354">
        <v>139273607</v>
      </c>
      <c r="N354" t="s">
        <v>1507</v>
      </c>
    </row>
    <row r="355" spans="1:14">
      <c r="A355">
        <v>1</v>
      </c>
      <c r="B355" t="s">
        <v>1102</v>
      </c>
      <c r="C355">
        <v>1</v>
      </c>
      <c r="D355" t="s">
        <v>1102</v>
      </c>
      <c r="E355" t="s">
        <v>1103</v>
      </c>
      <c r="F355">
        <v>1</v>
      </c>
      <c r="G355" t="s">
        <v>1127</v>
      </c>
      <c r="H355" t="s">
        <v>1779</v>
      </c>
      <c r="I355" t="s">
        <v>1780</v>
      </c>
      <c r="J355">
        <v>1</v>
      </c>
      <c r="K355">
        <v>139273607</v>
      </c>
      <c r="M355">
        <v>139273607</v>
      </c>
      <c r="N355" t="s">
        <v>1507</v>
      </c>
    </row>
    <row r="356" spans="1:14">
      <c r="A356">
        <v>1</v>
      </c>
      <c r="B356" t="s">
        <v>1102</v>
      </c>
      <c r="C356">
        <v>1</v>
      </c>
      <c r="D356" t="s">
        <v>1102</v>
      </c>
      <c r="E356" t="s">
        <v>1103</v>
      </c>
      <c r="F356">
        <v>1</v>
      </c>
      <c r="G356" t="s">
        <v>1127</v>
      </c>
      <c r="H356" t="s">
        <v>1781</v>
      </c>
      <c r="I356" t="s">
        <v>1782</v>
      </c>
      <c r="J356">
        <v>1</v>
      </c>
      <c r="K356">
        <v>139273607</v>
      </c>
      <c r="M356">
        <v>139273607</v>
      </c>
      <c r="N356" t="s">
        <v>1507</v>
      </c>
    </row>
    <row r="357" spans="1:14">
      <c r="A357">
        <v>1</v>
      </c>
      <c r="B357" t="s">
        <v>1102</v>
      </c>
      <c r="C357">
        <v>1</v>
      </c>
      <c r="D357" t="s">
        <v>1102</v>
      </c>
      <c r="E357" t="s">
        <v>1103</v>
      </c>
      <c r="F357">
        <v>1</v>
      </c>
      <c r="G357" t="s">
        <v>1127</v>
      </c>
      <c r="H357" t="s">
        <v>1783</v>
      </c>
      <c r="I357" t="s">
        <v>1784</v>
      </c>
      <c r="J357">
        <v>1</v>
      </c>
      <c r="K357">
        <v>161809607</v>
      </c>
      <c r="M357">
        <v>161809607</v>
      </c>
      <c r="N357" t="s">
        <v>1507</v>
      </c>
    </row>
    <row r="358" spans="1:14">
      <c r="A358">
        <v>1</v>
      </c>
      <c r="B358" t="s">
        <v>1102</v>
      </c>
      <c r="C358">
        <v>1</v>
      </c>
      <c r="D358" t="s">
        <v>1102</v>
      </c>
      <c r="E358" t="s">
        <v>1103</v>
      </c>
      <c r="F358">
        <v>1</v>
      </c>
      <c r="G358" t="s">
        <v>1127</v>
      </c>
      <c r="H358" t="s">
        <v>1785</v>
      </c>
      <c r="I358" t="s">
        <v>1786</v>
      </c>
      <c r="J358">
        <v>1</v>
      </c>
      <c r="K358">
        <v>161809607</v>
      </c>
      <c r="M358">
        <v>161809607</v>
      </c>
      <c r="N358" t="s">
        <v>1507</v>
      </c>
    </row>
    <row r="359" spans="1:14">
      <c r="A359">
        <v>1</v>
      </c>
      <c r="B359" t="s">
        <v>1102</v>
      </c>
      <c r="C359">
        <v>1</v>
      </c>
      <c r="D359" t="s">
        <v>1102</v>
      </c>
      <c r="E359" t="s">
        <v>1103</v>
      </c>
      <c r="F359">
        <v>1</v>
      </c>
      <c r="G359" t="s">
        <v>1127</v>
      </c>
      <c r="H359" t="s">
        <v>1787</v>
      </c>
      <c r="I359" t="s">
        <v>1788</v>
      </c>
      <c r="J359">
        <v>1</v>
      </c>
      <c r="K359">
        <v>161809607</v>
      </c>
      <c r="M359">
        <v>161809607</v>
      </c>
      <c r="N359" t="s">
        <v>1507</v>
      </c>
    </row>
    <row r="360" spans="1:14">
      <c r="A360">
        <v>1</v>
      </c>
      <c r="B360" t="s">
        <v>1102</v>
      </c>
      <c r="C360">
        <v>1</v>
      </c>
      <c r="D360" t="s">
        <v>1102</v>
      </c>
      <c r="E360" t="s">
        <v>1103</v>
      </c>
      <c r="F360">
        <v>1</v>
      </c>
      <c r="G360" t="s">
        <v>1127</v>
      </c>
      <c r="H360" t="s">
        <v>1789</v>
      </c>
      <c r="I360" t="s">
        <v>1790</v>
      </c>
      <c r="J360">
        <v>1</v>
      </c>
      <c r="K360">
        <v>186496000</v>
      </c>
      <c r="M360">
        <v>186496000</v>
      </c>
      <c r="N360" t="s">
        <v>1505</v>
      </c>
    </row>
    <row r="361" spans="1:14">
      <c r="A361">
        <v>1</v>
      </c>
      <c r="B361" t="s">
        <v>1102</v>
      </c>
      <c r="C361">
        <v>1</v>
      </c>
      <c r="D361" t="s">
        <v>1102</v>
      </c>
      <c r="E361" t="s">
        <v>1103</v>
      </c>
      <c r="F361">
        <v>1</v>
      </c>
      <c r="G361" t="s">
        <v>1127</v>
      </c>
      <c r="H361" t="s">
        <v>1791</v>
      </c>
      <c r="I361" t="s">
        <v>1792</v>
      </c>
      <c r="J361">
        <v>1</v>
      </c>
      <c r="K361">
        <v>124731079</v>
      </c>
      <c r="M361">
        <v>124731079</v>
      </c>
      <c r="N361" t="s">
        <v>1507</v>
      </c>
    </row>
    <row r="362" spans="1:14">
      <c r="A362">
        <v>1</v>
      </c>
      <c r="B362" t="s">
        <v>1102</v>
      </c>
      <c r="C362">
        <v>1</v>
      </c>
      <c r="D362" t="s">
        <v>1102</v>
      </c>
      <c r="E362" t="s">
        <v>1103</v>
      </c>
      <c r="F362">
        <v>2</v>
      </c>
      <c r="G362" t="s">
        <v>1104</v>
      </c>
      <c r="H362" t="s">
        <v>1342</v>
      </c>
      <c r="I362" t="s">
        <v>1343</v>
      </c>
      <c r="J362">
        <v>1</v>
      </c>
      <c r="K362">
        <v>66418182</v>
      </c>
      <c r="L362">
        <v>38496455</v>
      </c>
      <c r="M362">
        <v>104914637</v>
      </c>
      <c r="N362" t="s">
        <v>1551</v>
      </c>
    </row>
    <row r="363" spans="1:14">
      <c r="A363">
        <v>1</v>
      </c>
      <c r="B363" t="s">
        <v>1102</v>
      </c>
      <c r="C363">
        <v>1</v>
      </c>
      <c r="D363" t="s">
        <v>1102</v>
      </c>
      <c r="E363" t="s">
        <v>1103</v>
      </c>
      <c r="F363">
        <v>2</v>
      </c>
      <c r="G363" t="s">
        <v>1104</v>
      </c>
      <c r="H363" t="s">
        <v>1344</v>
      </c>
      <c r="I363" t="s">
        <v>1345</v>
      </c>
      <c r="J363">
        <v>1</v>
      </c>
      <c r="K363">
        <v>112800000</v>
      </c>
      <c r="M363">
        <v>112800000</v>
      </c>
      <c r="N363" t="s">
        <v>1551</v>
      </c>
    </row>
    <row r="364" spans="1:14">
      <c r="A364">
        <v>1</v>
      </c>
      <c r="B364" t="s">
        <v>1102</v>
      </c>
      <c r="C364">
        <v>1</v>
      </c>
      <c r="D364" t="s">
        <v>1102</v>
      </c>
      <c r="E364" t="s">
        <v>1103</v>
      </c>
      <c r="F364">
        <v>2</v>
      </c>
      <c r="G364" t="s">
        <v>1104</v>
      </c>
      <c r="H364" t="s">
        <v>1347</v>
      </c>
      <c r="I364" t="s">
        <v>1348</v>
      </c>
      <c r="J364">
        <v>1</v>
      </c>
      <c r="K364">
        <v>123299171</v>
      </c>
      <c r="L364">
        <v>27396791</v>
      </c>
      <c r="M364">
        <v>150695962</v>
      </c>
      <c r="N364" t="s">
        <v>1551</v>
      </c>
    </row>
    <row r="365" spans="1:14">
      <c r="A365">
        <v>1</v>
      </c>
      <c r="B365" t="s">
        <v>1102</v>
      </c>
      <c r="C365">
        <v>1</v>
      </c>
      <c r="D365" t="s">
        <v>1102</v>
      </c>
      <c r="E365" t="s">
        <v>1103</v>
      </c>
      <c r="F365">
        <v>2</v>
      </c>
      <c r="G365" t="s">
        <v>1104</v>
      </c>
      <c r="H365" t="s">
        <v>1593</v>
      </c>
      <c r="I365" t="s">
        <v>1594</v>
      </c>
      <c r="J365">
        <v>1</v>
      </c>
      <c r="K365">
        <v>50000000</v>
      </c>
      <c r="L365">
        <v>2658722</v>
      </c>
      <c r="M365">
        <v>52658722</v>
      </c>
      <c r="N365" t="s">
        <v>1551</v>
      </c>
    </row>
    <row r="366" spans="1:14">
      <c r="A366">
        <v>1</v>
      </c>
      <c r="B366" t="s">
        <v>1102</v>
      </c>
      <c r="C366">
        <v>1</v>
      </c>
      <c r="D366" t="s">
        <v>1102</v>
      </c>
      <c r="E366" t="s">
        <v>1103</v>
      </c>
      <c r="F366">
        <v>2</v>
      </c>
      <c r="G366" t="s">
        <v>1104</v>
      </c>
      <c r="H366" t="s">
        <v>1357</v>
      </c>
      <c r="I366" t="s">
        <v>1358</v>
      </c>
      <c r="J366">
        <v>1</v>
      </c>
      <c r="K366">
        <v>80000000</v>
      </c>
      <c r="L366">
        <v>15002033</v>
      </c>
      <c r="M366">
        <v>95002033</v>
      </c>
      <c r="N366" t="s">
        <v>1551</v>
      </c>
    </row>
    <row r="367" spans="1:14">
      <c r="A367">
        <v>1</v>
      </c>
      <c r="B367" t="s">
        <v>1102</v>
      </c>
      <c r="C367">
        <v>1</v>
      </c>
      <c r="D367" t="s">
        <v>1102</v>
      </c>
      <c r="E367" t="s">
        <v>1103</v>
      </c>
      <c r="F367">
        <v>2</v>
      </c>
      <c r="G367" t="s">
        <v>1104</v>
      </c>
      <c r="H367" t="s">
        <v>1362</v>
      </c>
      <c r="I367" t="s">
        <v>1363</v>
      </c>
      <c r="J367">
        <v>1</v>
      </c>
      <c r="K367">
        <v>54454551</v>
      </c>
      <c r="L367">
        <v>19242455</v>
      </c>
      <c r="M367">
        <v>73697006</v>
      </c>
      <c r="N367" t="s">
        <v>1551</v>
      </c>
    </row>
    <row r="368" spans="1:14">
      <c r="A368">
        <v>1</v>
      </c>
      <c r="B368" t="s">
        <v>1102</v>
      </c>
      <c r="C368">
        <v>1</v>
      </c>
      <c r="D368" t="s">
        <v>1102</v>
      </c>
      <c r="E368" t="s">
        <v>1103</v>
      </c>
      <c r="F368">
        <v>2</v>
      </c>
      <c r="G368" t="s">
        <v>1104</v>
      </c>
      <c r="H368" t="s">
        <v>1364</v>
      </c>
      <c r="I368" t="s">
        <v>1172</v>
      </c>
      <c r="J368">
        <v>1</v>
      </c>
      <c r="K368">
        <v>90909091</v>
      </c>
      <c r="L368">
        <v>25273908</v>
      </c>
      <c r="M368">
        <v>116182999</v>
      </c>
      <c r="N368" t="s">
        <v>1551</v>
      </c>
    </row>
    <row r="369" spans="1:14">
      <c r="A369">
        <v>1</v>
      </c>
      <c r="B369" t="s">
        <v>1102</v>
      </c>
      <c r="C369">
        <v>1</v>
      </c>
      <c r="D369" t="s">
        <v>1102</v>
      </c>
      <c r="E369" t="s">
        <v>1103</v>
      </c>
      <c r="F369">
        <v>2</v>
      </c>
      <c r="G369" t="s">
        <v>1104</v>
      </c>
      <c r="H369" t="s">
        <v>1596</v>
      </c>
      <c r="I369" t="s">
        <v>1597</v>
      </c>
      <c r="J369">
        <v>1</v>
      </c>
      <c r="K369">
        <v>63636364</v>
      </c>
      <c r="L369">
        <v>10229454</v>
      </c>
      <c r="M369">
        <v>73865818</v>
      </c>
      <c r="N369" t="s">
        <v>1551</v>
      </c>
    </row>
    <row r="370" spans="1:14">
      <c r="A370">
        <v>1</v>
      </c>
      <c r="B370" t="s">
        <v>1102</v>
      </c>
      <c r="C370">
        <v>1</v>
      </c>
      <c r="D370" t="s">
        <v>1102</v>
      </c>
      <c r="E370" t="s">
        <v>1103</v>
      </c>
      <c r="F370">
        <v>2</v>
      </c>
      <c r="G370" t="s">
        <v>1104</v>
      </c>
      <c r="H370" t="s">
        <v>1598</v>
      </c>
      <c r="I370" t="s">
        <v>1172</v>
      </c>
      <c r="J370">
        <v>1</v>
      </c>
      <c r="K370">
        <v>94736392</v>
      </c>
      <c r="L370">
        <v>12068182</v>
      </c>
      <c r="M370">
        <v>106804574</v>
      </c>
      <c r="N370" t="s">
        <v>1551</v>
      </c>
    </row>
    <row r="371" spans="1:14">
      <c r="A371">
        <v>1</v>
      </c>
      <c r="B371" t="s">
        <v>1102</v>
      </c>
      <c r="C371">
        <v>1</v>
      </c>
      <c r="D371" t="s">
        <v>1102</v>
      </c>
      <c r="E371" t="s">
        <v>1103</v>
      </c>
      <c r="F371">
        <v>2</v>
      </c>
      <c r="G371" t="s">
        <v>1104</v>
      </c>
      <c r="H371" t="s">
        <v>1663</v>
      </c>
      <c r="I371" t="s">
        <v>1595</v>
      </c>
      <c r="J371">
        <v>1</v>
      </c>
      <c r="K371">
        <v>54545455</v>
      </c>
      <c r="L371">
        <v>18136363</v>
      </c>
      <c r="M371">
        <v>72681818</v>
      </c>
      <c r="N371" t="s">
        <v>1551</v>
      </c>
    </row>
    <row r="372" spans="1:14">
      <c r="A372">
        <v>1</v>
      </c>
      <c r="B372" t="s">
        <v>1102</v>
      </c>
      <c r="C372">
        <v>1</v>
      </c>
      <c r="D372" t="s">
        <v>1102</v>
      </c>
      <c r="E372" t="s">
        <v>1103</v>
      </c>
      <c r="F372">
        <v>2</v>
      </c>
      <c r="G372" t="s">
        <v>1104</v>
      </c>
      <c r="H372" t="s">
        <v>1664</v>
      </c>
      <c r="I372" t="s">
        <v>1665</v>
      </c>
      <c r="J372">
        <v>1</v>
      </c>
      <c r="K372">
        <v>33935000</v>
      </c>
      <c r="M372">
        <v>33935000</v>
      </c>
      <c r="N372" t="s">
        <v>1551</v>
      </c>
    </row>
    <row r="373" spans="1:14">
      <c r="A373">
        <v>1</v>
      </c>
      <c r="B373" t="s">
        <v>1102</v>
      </c>
      <c r="C373">
        <v>1</v>
      </c>
      <c r="D373" t="s">
        <v>1102</v>
      </c>
      <c r="E373" t="s">
        <v>1103</v>
      </c>
      <c r="F373">
        <v>2</v>
      </c>
      <c r="G373" t="s">
        <v>1104</v>
      </c>
      <c r="H373" t="s">
        <v>1666</v>
      </c>
      <c r="I373" t="s">
        <v>1667</v>
      </c>
      <c r="J373">
        <v>1</v>
      </c>
      <c r="K373">
        <v>121227279</v>
      </c>
      <c r="L373">
        <v>5660908</v>
      </c>
      <c r="M373">
        <v>126888187</v>
      </c>
      <c r="N373" t="s">
        <v>1551</v>
      </c>
    </row>
    <row r="374" spans="1:14">
      <c r="A374">
        <v>1</v>
      </c>
      <c r="B374" t="s">
        <v>1102</v>
      </c>
      <c r="C374">
        <v>1</v>
      </c>
      <c r="D374" t="s">
        <v>1102</v>
      </c>
      <c r="E374" t="s">
        <v>1103</v>
      </c>
      <c r="F374">
        <v>2</v>
      </c>
      <c r="G374" t="s">
        <v>1104</v>
      </c>
      <c r="H374" t="s">
        <v>1668</v>
      </c>
      <c r="I374" t="s">
        <v>1373</v>
      </c>
      <c r="J374">
        <v>1</v>
      </c>
      <c r="K374">
        <v>127800000</v>
      </c>
      <c r="L374">
        <v>3090909</v>
      </c>
      <c r="M374">
        <v>130890909</v>
      </c>
      <c r="N374" t="s">
        <v>1551</v>
      </c>
    </row>
    <row r="375" spans="1:14">
      <c r="A375">
        <v>1</v>
      </c>
      <c r="B375" t="s">
        <v>1102</v>
      </c>
      <c r="C375">
        <v>1</v>
      </c>
      <c r="D375" t="s">
        <v>1102</v>
      </c>
      <c r="E375" t="s">
        <v>1103</v>
      </c>
      <c r="F375">
        <v>2</v>
      </c>
      <c r="G375" t="s">
        <v>1104</v>
      </c>
      <c r="H375" t="s">
        <v>1669</v>
      </c>
      <c r="I375" t="s">
        <v>1511</v>
      </c>
      <c r="J375">
        <v>1</v>
      </c>
      <c r="K375">
        <v>59090909</v>
      </c>
      <c r="L375">
        <v>18836911</v>
      </c>
      <c r="M375">
        <v>77927820</v>
      </c>
      <c r="N375" t="s">
        <v>1551</v>
      </c>
    </row>
    <row r="376" spans="1:14">
      <c r="A376">
        <v>1</v>
      </c>
      <c r="B376" t="s">
        <v>1102</v>
      </c>
      <c r="C376">
        <v>1</v>
      </c>
      <c r="D376" t="s">
        <v>1102</v>
      </c>
      <c r="E376" t="s">
        <v>1103</v>
      </c>
      <c r="F376">
        <v>2</v>
      </c>
      <c r="G376" t="s">
        <v>1104</v>
      </c>
      <c r="H376" t="s">
        <v>1670</v>
      </c>
      <c r="I376" t="s">
        <v>1172</v>
      </c>
      <c r="J376">
        <v>1</v>
      </c>
      <c r="K376">
        <v>100000000</v>
      </c>
      <c r="L376">
        <v>13848182</v>
      </c>
      <c r="M376">
        <v>113848182</v>
      </c>
      <c r="N376" t="s">
        <v>1551</v>
      </c>
    </row>
    <row r="377" spans="1:14">
      <c r="A377">
        <v>1</v>
      </c>
      <c r="B377" t="s">
        <v>1102</v>
      </c>
      <c r="C377">
        <v>1</v>
      </c>
      <c r="D377" t="s">
        <v>1102</v>
      </c>
      <c r="E377" t="s">
        <v>1103</v>
      </c>
      <c r="F377">
        <v>2</v>
      </c>
      <c r="G377" t="s">
        <v>1104</v>
      </c>
      <c r="H377" t="s">
        <v>1671</v>
      </c>
      <c r="I377" t="s">
        <v>1672</v>
      </c>
      <c r="J377">
        <v>1</v>
      </c>
      <c r="K377">
        <v>96077879</v>
      </c>
      <c r="M377">
        <v>96077879</v>
      </c>
      <c r="N377" t="s">
        <v>1551</v>
      </c>
    </row>
    <row r="378" spans="1:14">
      <c r="A378">
        <v>1</v>
      </c>
      <c r="B378" t="s">
        <v>1102</v>
      </c>
      <c r="C378">
        <v>1</v>
      </c>
      <c r="D378" t="s">
        <v>1102</v>
      </c>
      <c r="E378" t="s">
        <v>1103</v>
      </c>
      <c r="F378">
        <v>2</v>
      </c>
      <c r="G378" t="s">
        <v>1104</v>
      </c>
      <c r="H378" t="s">
        <v>1673</v>
      </c>
      <c r="I378" t="s">
        <v>1341</v>
      </c>
      <c r="J378">
        <v>1</v>
      </c>
      <c r="K378">
        <v>118154522</v>
      </c>
      <c r="L378">
        <v>7602727</v>
      </c>
      <c r="M378">
        <v>125757249</v>
      </c>
      <c r="N378" t="s">
        <v>1551</v>
      </c>
    </row>
    <row r="379" spans="1:14">
      <c r="A379">
        <v>1</v>
      </c>
      <c r="B379" t="s">
        <v>1102</v>
      </c>
      <c r="C379">
        <v>1</v>
      </c>
      <c r="D379" t="s">
        <v>1102</v>
      </c>
      <c r="E379" t="s">
        <v>1103</v>
      </c>
      <c r="F379">
        <v>2</v>
      </c>
      <c r="G379" t="s">
        <v>1104</v>
      </c>
      <c r="H379" t="s">
        <v>1674</v>
      </c>
      <c r="I379" t="s">
        <v>1675</v>
      </c>
      <c r="J379">
        <v>1</v>
      </c>
      <c r="K379">
        <v>68945449</v>
      </c>
      <c r="L379">
        <v>227273</v>
      </c>
      <c r="M379">
        <v>69172722</v>
      </c>
      <c r="N379" t="s">
        <v>1551</v>
      </c>
    </row>
    <row r="380" spans="1:14">
      <c r="A380">
        <v>1</v>
      </c>
      <c r="B380" t="s">
        <v>1102</v>
      </c>
      <c r="C380">
        <v>1</v>
      </c>
      <c r="D380" t="s">
        <v>1102</v>
      </c>
      <c r="E380" t="s">
        <v>1103</v>
      </c>
      <c r="F380">
        <v>2</v>
      </c>
      <c r="G380" t="s">
        <v>1104</v>
      </c>
      <c r="H380" t="s">
        <v>1676</v>
      </c>
      <c r="I380" t="s">
        <v>1147</v>
      </c>
      <c r="J380">
        <v>1</v>
      </c>
      <c r="K380">
        <v>257272727</v>
      </c>
      <c r="M380">
        <v>257272727</v>
      </c>
      <c r="N380" t="s">
        <v>1551</v>
      </c>
    </row>
    <row r="381" spans="1:14">
      <c r="A381">
        <v>1</v>
      </c>
      <c r="B381" t="s">
        <v>1102</v>
      </c>
      <c r="C381">
        <v>1</v>
      </c>
      <c r="D381" t="s">
        <v>1102</v>
      </c>
      <c r="E381" t="s">
        <v>1103</v>
      </c>
      <c r="F381">
        <v>2</v>
      </c>
      <c r="G381" t="s">
        <v>1104</v>
      </c>
      <c r="H381" t="s">
        <v>1677</v>
      </c>
      <c r="I381" t="s">
        <v>1224</v>
      </c>
      <c r="J381">
        <v>1</v>
      </c>
      <c r="K381">
        <v>27002165</v>
      </c>
      <c r="M381">
        <v>27002165</v>
      </c>
      <c r="N381" t="s">
        <v>1551</v>
      </c>
    </row>
    <row r="382" spans="1:14">
      <c r="A382">
        <v>1</v>
      </c>
      <c r="B382" t="s">
        <v>1102</v>
      </c>
      <c r="C382">
        <v>1</v>
      </c>
      <c r="D382" t="s">
        <v>1102</v>
      </c>
      <c r="E382" t="s">
        <v>1103</v>
      </c>
      <c r="F382">
        <v>2</v>
      </c>
      <c r="G382" t="s">
        <v>1104</v>
      </c>
      <c r="H382" t="s">
        <v>1678</v>
      </c>
      <c r="I382" t="s">
        <v>1222</v>
      </c>
      <c r="J382">
        <v>1</v>
      </c>
      <c r="K382">
        <v>119127278</v>
      </c>
      <c r="L382">
        <v>1772727</v>
      </c>
      <c r="M382">
        <v>120900005</v>
      </c>
      <c r="N382" t="s">
        <v>1551</v>
      </c>
    </row>
    <row r="383" spans="1:14">
      <c r="A383">
        <v>1</v>
      </c>
      <c r="B383" t="s">
        <v>1102</v>
      </c>
      <c r="C383">
        <v>1</v>
      </c>
      <c r="D383" t="s">
        <v>1102</v>
      </c>
      <c r="E383" t="s">
        <v>1103</v>
      </c>
      <c r="F383">
        <v>2</v>
      </c>
      <c r="G383" t="s">
        <v>1104</v>
      </c>
      <c r="H383" t="s">
        <v>1679</v>
      </c>
      <c r="I383" t="s">
        <v>1307</v>
      </c>
      <c r="J383">
        <v>1</v>
      </c>
      <c r="K383">
        <v>100000000</v>
      </c>
      <c r="L383">
        <v>409091</v>
      </c>
      <c r="M383">
        <v>100409091</v>
      </c>
      <c r="N383" t="s">
        <v>1551</v>
      </c>
    </row>
    <row r="384" spans="1:14">
      <c r="A384">
        <v>1</v>
      </c>
      <c r="B384" t="s">
        <v>1102</v>
      </c>
      <c r="C384">
        <v>1</v>
      </c>
      <c r="D384" t="s">
        <v>1102</v>
      </c>
      <c r="E384" t="s">
        <v>1103</v>
      </c>
      <c r="F384">
        <v>2</v>
      </c>
      <c r="G384" t="s">
        <v>1104</v>
      </c>
      <c r="H384" t="s">
        <v>1793</v>
      </c>
      <c r="I384" t="s">
        <v>1151</v>
      </c>
      <c r="J384">
        <v>1</v>
      </c>
      <c r="K384">
        <v>180945455</v>
      </c>
      <c r="L384">
        <v>6277194</v>
      </c>
      <c r="M384">
        <v>187222649</v>
      </c>
      <c r="N384" t="s">
        <v>1551</v>
      </c>
    </row>
    <row r="385" spans="1:14">
      <c r="A385">
        <v>1</v>
      </c>
      <c r="B385" t="s">
        <v>1102</v>
      </c>
      <c r="C385">
        <v>1</v>
      </c>
      <c r="D385" t="s">
        <v>1102</v>
      </c>
      <c r="E385" t="s">
        <v>1103</v>
      </c>
      <c r="F385">
        <v>2</v>
      </c>
      <c r="G385" t="s">
        <v>1104</v>
      </c>
      <c r="H385" t="s">
        <v>1794</v>
      </c>
      <c r="I385" t="s">
        <v>1172</v>
      </c>
      <c r="J385">
        <v>-1</v>
      </c>
      <c r="K385">
        <v>0</v>
      </c>
      <c r="L385">
        <v>0</v>
      </c>
      <c r="M385">
        <v>0</v>
      </c>
      <c r="N385" t="s">
        <v>1551</v>
      </c>
    </row>
    <row r="386" spans="1:14">
      <c r="A386">
        <v>1</v>
      </c>
      <c r="B386" t="s">
        <v>1102</v>
      </c>
      <c r="C386">
        <v>1</v>
      </c>
      <c r="D386" t="s">
        <v>1102</v>
      </c>
      <c r="E386" t="s">
        <v>1103</v>
      </c>
      <c r="F386">
        <v>2</v>
      </c>
      <c r="G386" t="s">
        <v>1104</v>
      </c>
      <c r="H386" t="s">
        <v>1795</v>
      </c>
      <c r="I386" t="s">
        <v>1796</v>
      </c>
      <c r="J386">
        <v>1</v>
      </c>
      <c r="K386">
        <v>71145444</v>
      </c>
      <c r="L386">
        <v>4936363</v>
      </c>
      <c r="M386">
        <v>76081807</v>
      </c>
      <c r="N386" t="s">
        <v>1551</v>
      </c>
    </row>
    <row r="387" spans="1:14">
      <c r="A387">
        <v>1</v>
      </c>
      <c r="B387" t="s">
        <v>1102</v>
      </c>
      <c r="C387">
        <v>1</v>
      </c>
      <c r="D387" t="s">
        <v>1102</v>
      </c>
      <c r="E387" t="s">
        <v>1103</v>
      </c>
      <c r="F387">
        <v>2</v>
      </c>
      <c r="G387" t="s">
        <v>1104</v>
      </c>
      <c r="H387" t="s">
        <v>1797</v>
      </c>
      <c r="I387" t="s">
        <v>1798</v>
      </c>
      <c r="J387">
        <v>1</v>
      </c>
      <c r="K387">
        <v>21890887</v>
      </c>
      <c r="M387">
        <v>21890887</v>
      </c>
      <c r="N387" t="s">
        <v>1551</v>
      </c>
    </row>
    <row r="388" spans="1:14">
      <c r="A388">
        <v>1</v>
      </c>
      <c r="B388" t="s">
        <v>1102</v>
      </c>
      <c r="C388">
        <v>1</v>
      </c>
      <c r="D388" t="s">
        <v>1102</v>
      </c>
      <c r="E388" t="s">
        <v>1103</v>
      </c>
      <c r="F388">
        <v>2</v>
      </c>
      <c r="G388" t="s">
        <v>1104</v>
      </c>
      <c r="H388" t="s">
        <v>1799</v>
      </c>
      <c r="I388" t="s">
        <v>1800</v>
      </c>
      <c r="J388">
        <v>1</v>
      </c>
      <c r="K388">
        <v>35000000</v>
      </c>
      <c r="L388">
        <v>6275000</v>
      </c>
      <c r="M388">
        <v>41275000</v>
      </c>
      <c r="N388" t="s">
        <v>1551</v>
      </c>
    </row>
    <row r="389" spans="1:14">
      <c r="A389">
        <v>1</v>
      </c>
      <c r="B389" t="s">
        <v>1102</v>
      </c>
      <c r="C389">
        <v>1</v>
      </c>
      <c r="D389" t="s">
        <v>1102</v>
      </c>
      <c r="E389" t="s">
        <v>1103</v>
      </c>
      <c r="F389">
        <v>2</v>
      </c>
      <c r="G389" t="s">
        <v>1104</v>
      </c>
      <c r="H389" t="s">
        <v>1801</v>
      </c>
      <c r="I389" t="s">
        <v>1176</v>
      </c>
      <c r="J389">
        <v>1</v>
      </c>
      <c r="K389">
        <v>99000022</v>
      </c>
      <c r="L389">
        <v>3090909</v>
      </c>
      <c r="M389">
        <v>102090931</v>
      </c>
      <c r="N389" t="s">
        <v>1551</v>
      </c>
    </row>
    <row r="390" spans="1:14">
      <c r="A390">
        <v>1</v>
      </c>
      <c r="B390" t="s">
        <v>1102</v>
      </c>
      <c r="C390">
        <v>1</v>
      </c>
      <c r="D390" t="s">
        <v>1102</v>
      </c>
      <c r="E390" t="s">
        <v>1103</v>
      </c>
      <c r="F390">
        <v>2</v>
      </c>
      <c r="G390" t="s">
        <v>1104</v>
      </c>
      <c r="H390" t="s">
        <v>1802</v>
      </c>
      <c r="I390" t="s">
        <v>1803</v>
      </c>
      <c r="J390">
        <v>1</v>
      </c>
      <c r="K390">
        <v>68836358</v>
      </c>
      <c r="L390">
        <v>9263638</v>
      </c>
      <c r="M390">
        <v>78099996</v>
      </c>
      <c r="N390" t="s">
        <v>1551</v>
      </c>
    </row>
    <row r="391" spans="1:14">
      <c r="A391">
        <v>1</v>
      </c>
      <c r="B391" t="s">
        <v>1102</v>
      </c>
      <c r="C391">
        <v>1</v>
      </c>
      <c r="D391" t="s">
        <v>1102</v>
      </c>
      <c r="E391" t="s">
        <v>1103</v>
      </c>
      <c r="F391">
        <v>2</v>
      </c>
      <c r="G391" t="s">
        <v>1104</v>
      </c>
      <c r="H391" t="s">
        <v>1804</v>
      </c>
      <c r="I391" t="s">
        <v>1805</v>
      </c>
      <c r="J391">
        <v>1</v>
      </c>
      <c r="K391">
        <v>230545455</v>
      </c>
      <c r="L391">
        <v>4796291</v>
      </c>
      <c r="M391">
        <v>235341746</v>
      </c>
      <c r="N391" t="s">
        <v>1551</v>
      </c>
    </row>
    <row r="392" spans="1:14">
      <c r="A392">
        <v>1</v>
      </c>
      <c r="B392" t="s">
        <v>1102</v>
      </c>
      <c r="C392">
        <v>1</v>
      </c>
      <c r="D392" t="s">
        <v>1102</v>
      </c>
      <c r="E392" t="s">
        <v>1103</v>
      </c>
      <c r="F392">
        <v>2</v>
      </c>
      <c r="G392" t="s">
        <v>1104</v>
      </c>
      <c r="H392" t="s">
        <v>1806</v>
      </c>
      <c r="I392" t="s">
        <v>1246</v>
      </c>
      <c r="J392">
        <v>1</v>
      </c>
      <c r="K392">
        <v>120080000</v>
      </c>
      <c r="M392">
        <v>120080000</v>
      </c>
      <c r="N392" t="s">
        <v>1551</v>
      </c>
    </row>
    <row r="393" spans="1:14">
      <c r="A393">
        <v>1</v>
      </c>
      <c r="B393" t="s">
        <v>1102</v>
      </c>
      <c r="C393">
        <v>1</v>
      </c>
      <c r="D393" t="s">
        <v>1102</v>
      </c>
      <c r="E393" t="s">
        <v>1103</v>
      </c>
      <c r="F393">
        <v>2</v>
      </c>
      <c r="G393" t="s">
        <v>1104</v>
      </c>
      <c r="H393" t="s">
        <v>1807</v>
      </c>
      <c r="I393" t="s">
        <v>1808</v>
      </c>
      <c r="J393">
        <v>1</v>
      </c>
      <c r="K393">
        <v>54409091</v>
      </c>
      <c r="M393">
        <v>54409091</v>
      </c>
      <c r="N393" t="s">
        <v>1551</v>
      </c>
    </row>
    <row r="394" spans="1:14">
      <c r="A394">
        <v>1</v>
      </c>
      <c r="B394" t="s">
        <v>1102</v>
      </c>
      <c r="C394">
        <v>1</v>
      </c>
      <c r="D394" t="s">
        <v>1102</v>
      </c>
      <c r="E394" t="s">
        <v>1103</v>
      </c>
      <c r="F394">
        <v>2</v>
      </c>
      <c r="G394" t="s">
        <v>1104</v>
      </c>
      <c r="H394" t="s">
        <v>1809</v>
      </c>
      <c r="I394" t="s">
        <v>1145</v>
      </c>
      <c r="J394">
        <v>1</v>
      </c>
      <c r="K394">
        <v>188181818</v>
      </c>
      <c r="M394">
        <v>188181818</v>
      </c>
      <c r="N394" t="s">
        <v>1551</v>
      </c>
    </row>
    <row r="395" spans="1:14">
      <c r="A395">
        <v>1</v>
      </c>
      <c r="B395" t="s">
        <v>1102</v>
      </c>
      <c r="C395">
        <v>1</v>
      </c>
      <c r="D395" t="s">
        <v>1102</v>
      </c>
      <c r="E395" t="s">
        <v>1103</v>
      </c>
      <c r="F395">
        <v>2</v>
      </c>
      <c r="G395" t="s">
        <v>1104</v>
      </c>
      <c r="H395" t="s">
        <v>1810</v>
      </c>
      <c r="I395" t="s">
        <v>1200</v>
      </c>
      <c r="J395">
        <v>-1</v>
      </c>
      <c r="K395">
        <v>0</v>
      </c>
      <c r="L395">
        <v>0</v>
      </c>
      <c r="M395">
        <v>0</v>
      </c>
      <c r="N395" t="s">
        <v>1551</v>
      </c>
    </row>
    <row r="396" spans="1:14">
      <c r="A396">
        <v>1</v>
      </c>
      <c r="B396" t="s">
        <v>1102</v>
      </c>
      <c r="C396">
        <v>1</v>
      </c>
      <c r="D396" t="s">
        <v>1102</v>
      </c>
      <c r="E396" t="s">
        <v>1103</v>
      </c>
      <c r="F396">
        <v>2</v>
      </c>
      <c r="G396" t="s">
        <v>1104</v>
      </c>
      <c r="H396" t="s">
        <v>1811</v>
      </c>
      <c r="I396" t="s">
        <v>1812</v>
      </c>
      <c r="J396">
        <v>1</v>
      </c>
      <c r="K396">
        <v>128200000</v>
      </c>
      <c r="M396">
        <v>128200000</v>
      </c>
      <c r="N396" t="s">
        <v>1551</v>
      </c>
    </row>
    <row r="397" spans="1:14">
      <c r="A397">
        <v>1</v>
      </c>
      <c r="B397" t="s">
        <v>1102</v>
      </c>
      <c r="C397">
        <v>1</v>
      </c>
      <c r="D397" t="s">
        <v>1102</v>
      </c>
      <c r="E397" t="s">
        <v>1103</v>
      </c>
      <c r="F397">
        <v>2</v>
      </c>
      <c r="G397" t="s">
        <v>1104</v>
      </c>
      <c r="H397" t="s">
        <v>1813</v>
      </c>
      <c r="I397" t="s">
        <v>1814</v>
      </c>
      <c r="J397">
        <v>1</v>
      </c>
      <c r="K397">
        <v>64100000</v>
      </c>
      <c r="L397">
        <v>2156818</v>
      </c>
      <c r="M397">
        <v>66256818</v>
      </c>
      <c r="N397" t="s">
        <v>1551</v>
      </c>
    </row>
    <row r="398" spans="1:14">
      <c r="A398">
        <v>1</v>
      </c>
      <c r="B398" t="s">
        <v>1102</v>
      </c>
      <c r="C398">
        <v>1</v>
      </c>
      <c r="D398" t="s">
        <v>1102</v>
      </c>
      <c r="E398" t="s">
        <v>1103</v>
      </c>
      <c r="F398">
        <v>2</v>
      </c>
      <c r="G398" t="s">
        <v>1104</v>
      </c>
      <c r="H398" t="s">
        <v>1815</v>
      </c>
      <c r="I398" t="s">
        <v>1816</v>
      </c>
      <c r="J398">
        <v>1</v>
      </c>
      <c r="K398">
        <v>70036358</v>
      </c>
      <c r="M398">
        <v>70036358</v>
      </c>
      <c r="N398" t="s">
        <v>1551</v>
      </c>
    </row>
    <row r="399" spans="1:14">
      <c r="A399">
        <v>1</v>
      </c>
      <c r="B399" t="s">
        <v>1102</v>
      </c>
      <c r="C399">
        <v>1</v>
      </c>
      <c r="D399" t="s">
        <v>1102</v>
      </c>
      <c r="E399" t="s">
        <v>1103</v>
      </c>
      <c r="F399">
        <v>2</v>
      </c>
      <c r="G399" t="s">
        <v>1104</v>
      </c>
      <c r="H399" t="s">
        <v>1817</v>
      </c>
      <c r="I399" t="s">
        <v>1818</v>
      </c>
      <c r="J399">
        <v>1</v>
      </c>
      <c r="K399">
        <v>93381789</v>
      </c>
      <c r="L399">
        <v>3409090</v>
      </c>
      <c r="M399">
        <v>96790879</v>
      </c>
      <c r="N399" t="s">
        <v>1551</v>
      </c>
    </row>
    <row r="400" spans="1:14">
      <c r="A400">
        <v>1</v>
      </c>
      <c r="B400" t="s">
        <v>1102</v>
      </c>
      <c r="C400">
        <v>1</v>
      </c>
      <c r="D400" t="s">
        <v>1102</v>
      </c>
      <c r="E400" t="s">
        <v>1103</v>
      </c>
      <c r="F400">
        <v>2</v>
      </c>
      <c r="G400" t="s">
        <v>1104</v>
      </c>
      <c r="H400" t="s">
        <v>1819</v>
      </c>
      <c r="I400" t="s">
        <v>1820</v>
      </c>
      <c r="J400">
        <v>1</v>
      </c>
      <c r="K400">
        <v>46545455</v>
      </c>
      <c r="M400">
        <v>46545455</v>
      </c>
      <c r="N400" t="s">
        <v>1551</v>
      </c>
    </row>
    <row r="401" spans="1:14">
      <c r="A401">
        <v>1</v>
      </c>
      <c r="B401" t="s">
        <v>1102</v>
      </c>
      <c r="C401">
        <v>1</v>
      </c>
      <c r="D401" t="s">
        <v>1102</v>
      </c>
      <c r="E401" t="s">
        <v>1103</v>
      </c>
      <c r="F401">
        <v>2</v>
      </c>
      <c r="G401" t="s">
        <v>1104</v>
      </c>
      <c r="H401" t="s">
        <v>1821</v>
      </c>
      <c r="I401" t="s">
        <v>1172</v>
      </c>
      <c r="J401">
        <v>1</v>
      </c>
      <c r="K401">
        <v>50000000</v>
      </c>
      <c r="M401">
        <v>50000000</v>
      </c>
      <c r="N401" t="s">
        <v>1551</v>
      </c>
    </row>
    <row r="402" spans="1:14">
      <c r="A402">
        <v>2</v>
      </c>
      <c r="B402" t="s">
        <v>1117</v>
      </c>
      <c r="C402">
        <v>2</v>
      </c>
      <c r="D402" t="s">
        <v>1117</v>
      </c>
      <c r="E402" t="s">
        <v>1103</v>
      </c>
      <c r="F402">
        <v>1</v>
      </c>
      <c r="G402" t="s">
        <v>1104</v>
      </c>
      <c r="H402" t="s">
        <v>1383</v>
      </c>
      <c r="I402" t="s">
        <v>1384</v>
      </c>
      <c r="J402">
        <v>1</v>
      </c>
      <c r="K402">
        <v>5045455</v>
      </c>
      <c r="M402">
        <v>5045455</v>
      </c>
      <c r="N402" t="s">
        <v>1551</v>
      </c>
    </row>
    <row r="403" spans="1:14">
      <c r="A403">
        <v>2</v>
      </c>
      <c r="B403" t="s">
        <v>1117</v>
      </c>
      <c r="C403">
        <v>2</v>
      </c>
      <c r="D403" t="s">
        <v>1117</v>
      </c>
      <c r="E403" t="s">
        <v>1103</v>
      </c>
      <c r="F403">
        <v>1</v>
      </c>
      <c r="G403" t="s">
        <v>1104</v>
      </c>
      <c r="H403" t="s">
        <v>1385</v>
      </c>
      <c r="I403" t="s">
        <v>1317</v>
      </c>
      <c r="J403">
        <v>1</v>
      </c>
      <c r="K403">
        <v>38181818</v>
      </c>
      <c r="L403">
        <v>1454545</v>
      </c>
      <c r="M403">
        <v>39636363</v>
      </c>
      <c r="N403" t="s">
        <v>1551</v>
      </c>
    </row>
    <row r="404" spans="1:14">
      <c r="A404">
        <v>2</v>
      </c>
      <c r="B404" t="s">
        <v>1117</v>
      </c>
      <c r="C404">
        <v>2</v>
      </c>
      <c r="D404" t="s">
        <v>1117</v>
      </c>
      <c r="E404" t="s">
        <v>1103</v>
      </c>
      <c r="F404">
        <v>1</v>
      </c>
      <c r="G404" t="s">
        <v>1104</v>
      </c>
      <c r="H404" t="s">
        <v>1388</v>
      </c>
      <c r="I404" t="s">
        <v>1680</v>
      </c>
      <c r="J404">
        <v>1</v>
      </c>
      <c r="K404">
        <v>45454545</v>
      </c>
      <c r="L404">
        <v>2745456</v>
      </c>
      <c r="M404">
        <v>48200001</v>
      </c>
      <c r="N404" t="s">
        <v>1551</v>
      </c>
    </row>
    <row r="405" spans="1:14">
      <c r="A405">
        <v>2</v>
      </c>
      <c r="B405" t="s">
        <v>1117</v>
      </c>
      <c r="C405">
        <v>2</v>
      </c>
      <c r="D405" t="s">
        <v>1117</v>
      </c>
      <c r="E405" t="s">
        <v>1103</v>
      </c>
      <c r="F405">
        <v>1</v>
      </c>
      <c r="G405" t="s">
        <v>1104</v>
      </c>
      <c r="H405" t="s">
        <v>1390</v>
      </c>
      <c r="I405" t="s">
        <v>1391</v>
      </c>
      <c r="J405">
        <v>1</v>
      </c>
      <c r="K405">
        <v>16309075</v>
      </c>
      <c r="M405">
        <v>16309075</v>
      </c>
      <c r="N405" t="s">
        <v>1551</v>
      </c>
    </row>
    <row r="406" spans="1:14">
      <c r="A406">
        <v>2</v>
      </c>
      <c r="B406" t="s">
        <v>1117</v>
      </c>
      <c r="C406">
        <v>2</v>
      </c>
      <c r="D406" t="s">
        <v>1117</v>
      </c>
      <c r="E406" t="s">
        <v>1103</v>
      </c>
      <c r="F406">
        <v>1</v>
      </c>
      <c r="G406" t="s">
        <v>1104</v>
      </c>
      <c r="H406" t="s">
        <v>1681</v>
      </c>
      <c r="I406" t="s">
        <v>1682</v>
      </c>
      <c r="J406">
        <v>1</v>
      </c>
      <c r="K406">
        <v>52609103</v>
      </c>
      <c r="L406">
        <v>1976637</v>
      </c>
      <c r="M406">
        <v>54585740</v>
      </c>
      <c r="N406" t="s">
        <v>1551</v>
      </c>
    </row>
    <row r="407" spans="1:14">
      <c r="A407">
        <v>2</v>
      </c>
      <c r="B407" t="s">
        <v>1117</v>
      </c>
      <c r="C407">
        <v>2</v>
      </c>
      <c r="D407" t="s">
        <v>1117</v>
      </c>
      <c r="E407" t="s">
        <v>1103</v>
      </c>
      <c r="F407">
        <v>1</v>
      </c>
      <c r="G407" t="s">
        <v>1104</v>
      </c>
      <c r="H407" t="s">
        <v>1822</v>
      </c>
      <c r="I407" t="s">
        <v>1823</v>
      </c>
      <c r="J407">
        <v>1</v>
      </c>
      <c r="K407">
        <v>30000000</v>
      </c>
      <c r="M407">
        <v>30000000</v>
      </c>
      <c r="N407" t="s">
        <v>1551</v>
      </c>
    </row>
    <row r="408" spans="1:14">
      <c r="A408">
        <v>2</v>
      </c>
      <c r="B408" t="s">
        <v>1117</v>
      </c>
      <c r="C408">
        <v>2</v>
      </c>
      <c r="D408" t="s">
        <v>1117</v>
      </c>
      <c r="E408" t="s">
        <v>1103</v>
      </c>
      <c r="F408">
        <v>1</v>
      </c>
      <c r="G408" t="s">
        <v>1104</v>
      </c>
      <c r="H408" t="s">
        <v>1824</v>
      </c>
      <c r="I408" t="s">
        <v>1825</v>
      </c>
      <c r="J408">
        <v>1</v>
      </c>
      <c r="K408">
        <v>43854545</v>
      </c>
      <c r="M408">
        <v>43854545</v>
      </c>
      <c r="N408" t="s">
        <v>1551</v>
      </c>
    </row>
    <row r="409" spans="1:14">
      <c r="A409">
        <v>2</v>
      </c>
      <c r="B409" t="s">
        <v>1117</v>
      </c>
      <c r="C409">
        <v>2</v>
      </c>
      <c r="D409" t="s">
        <v>1117</v>
      </c>
      <c r="E409" t="s">
        <v>1103</v>
      </c>
      <c r="F409">
        <v>1</v>
      </c>
      <c r="G409" t="s">
        <v>1104</v>
      </c>
      <c r="H409" t="s">
        <v>1392</v>
      </c>
      <c r="I409" t="s">
        <v>1393</v>
      </c>
      <c r="J409">
        <v>1</v>
      </c>
      <c r="K409">
        <v>55000000</v>
      </c>
      <c r="L409">
        <v>109091</v>
      </c>
      <c r="M409">
        <v>55109091</v>
      </c>
      <c r="N409" t="s">
        <v>1551</v>
      </c>
    </row>
    <row r="410" spans="1:14">
      <c r="A410">
        <v>2</v>
      </c>
      <c r="B410" t="s">
        <v>1117</v>
      </c>
      <c r="C410">
        <v>2</v>
      </c>
      <c r="D410" t="s">
        <v>1117</v>
      </c>
      <c r="E410" t="s">
        <v>1103</v>
      </c>
      <c r="F410">
        <v>2</v>
      </c>
      <c r="G410" t="s">
        <v>1127</v>
      </c>
      <c r="H410" t="s">
        <v>1394</v>
      </c>
      <c r="I410" t="s">
        <v>1395</v>
      </c>
      <c r="J410">
        <v>1</v>
      </c>
      <c r="K410">
        <v>129410127</v>
      </c>
      <c r="M410">
        <v>129410127</v>
      </c>
      <c r="N410" t="s">
        <v>1508</v>
      </c>
    </row>
    <row r="411" spans="1:14">
      <c r="A411">
        <v>2</v>
      </c>
      <c r="B411" t="s">
        <v>1117</v>
      </c>
      <c r="C411">
        <v>2</v>
      </c>
      <c r="D411" t="s">
        <v>1117</v>
      </c>
      <c r="E411" t="s">
        <v>1103</v>
      </c>
      <c r="F411">
        <v>2</v>
      </c>
      <c r="G411" t="s">
        <v>1127</v>
      </c>
      <c r="H411" t="s">
        <v>1407</v>
      </c>
      <c r="I411" t="s">
        <v>1826</v>
      </c>
      <c r="J411">
        <v>1</v>
      </c>
      <c r="K411">
        <v>70331040</v>
      </c>
      <c r="M411">
        <v>70331040</v>
      </c>
      <c r="N411" t="s">
        <v>1507</v>
      </c>
    </row>
    <row r="412" spans="1:14">
      <c r="A412">
        <v>2</v>
      </c>
      <c r="B412" t="s">
        <v>1117</v>
      </c>
      <c r="C412">
        <v>2</v>
      </c>
      <c r="D412" t="s">
        <v>1117</v>
      </c>
      <c r="E412" t="s">
        <v>1103</v>
      </c>
      <c r="F412">
        <v>2</v>
      </c>
      <c r="G412" t="s">
        <v>1127</v>
      </c>
      <c r="H412" t="s">
        <v>1417</v>
      </c>
      <c r="I412" t="s">
        <v>1418</v>
      </c>
      <c r="J412">
        <v>1</v>
      </c>
      <c r="K412">
        <v>64689840</v>
      </c>
      <c r="M412">
        <v>64689840</v>
      </c>
      <c r="N412" t="s">
        <v>1507</v>
      </c>
    </row>
    <row r="413" spans="1:14">
      <c r="A413">
        <v>2</v>
      </c>
      <c r="B413" t="s">
        <v>1117</v>
      </c>
      <c r="C413">
        <v>2</v>
      </c>
      <c r="D413" t="s">
        <v>1117</v>
      </c>
      <c r="E413" t="s">
        <v>1103</v>
      </c>
      <c r="F413">
        <v>2</v>
      </c>
      <c r="G413" t="s">
        <v>1127</v>
      </c>
      <c r="H413" t="s">
        <v>1433</v>
      </c>
      <c r="I413" t="s">
        <v>1827</v>
      </c>
      <c r="J413">
        <v>1</v>
      </c>
      <c r="K413">
        <v>80319600</v>
      </c>
      <c r="M413">
        <v>80319600</v>
      </c>
      <c r="N413" t="s">
        <v>1507</v>
      </c>
    </row>
    <row r="414" spans="1:14">
      <c r="A414">
        <v>2</v>
      </c>
      <c r="B414" t="s">
        <v>1117</v>
      </c>
      <c r="C414">
        <v>2</v>
      </c>
      <c r="D414" t="s">
        <v>1117</v>
      </c>
      <c r="E414" t="s">
        <v>1103</v>
      </c>
      <c r="F414">
        <v>2</v>
      </c>
      <c r="G414" t="s">
        <v>1127</v>
      </c>
      <c r="H414" t="s">
        <v>1439</v>
      </c>
      <c r="I414" t="s">
        <v>1828</v>
      </c>
      <c r="J414">
        <v>1</v>
      </c>
      <c r="K414">
        <v>73373040</v>
      </c>
      <c r="M414">
        <v>73373040</v>
      </c>
      <c r="N414" t="s">
        <v>1507</v>
      </c>
    </row>
    <row r="415" spans="1:14">
      <c r="A415">
        <v>2</v>
      </c>
      <c r="B415" t="s">
        <v>1117</v>
      </c>
      <c r="C415">
        <v>2</v>
      </c>
      <c r="D415" t="s">
        <v>1117</v>
      </c>
      <c r="E415" t="s">
        <v>1103</v>
      </c>
      <c r="F415">
        <v>2</v>
      </c>
      <c r="G415" t="s">
        <v>1127</v>
      </c>
      <c r="H415" t="s">
        <v>1599</v>
      </c>
      <c r="I415" t="s">
        <v>1829</v>
      </c>
      <c r="J415">
        <v>1</v>
      </c>
      <c r="K415">
        <v>91069200</v>
      </c>
      <c r="M415">
        <v>91069200</v>
      </c>
      <c r="N415" t="s">
        <v>1507</v>
      </c>
    </row>
    <row r="416" spans="1:14">
      <c r="A416">
        <v>2</v>
      </c>
      <c r="B416" t="s">
        <v>1117</v>
      </c>
      <c r="C416">
        <v>2</v>
      </c>
      <c r="D416" t="s">
        <v>1117</v>
      </c>
      <c r="E416" t="s">
        <v>1103</v>
      </c>
      <c r="F416">
        <v>2</v>
      </c>
      <c r="G416" t="s">
        <v>1127</v>
      </c>
      <c r="H416" t="s">
        <v>1600</v>
      </c>
      <c r="I416" t="s">
        <v>1830</v>
      </c>
      <c r="J416">
        <v>1</v>
      </c>
      <c r="K416">
        <v>91069200</v>
      </c>
      <c r="M416">
        <v>91069200</v>
      </c>
      <c r="N416" t="s">
        <v>1507</v>
      </c>
    </row>
    <row r="417" spans="1:14">
      <c r="A417">
        <v>2</v>
      </c>
      <c r="B417" t="s">
        <v>1117</v>
      </c>
      <c r="C417">
        <v>2</v>
      </c>
      <c r="D417" t="s">
        <v>1117</v>
      </c>
      <c r="E417" t="s">
        <v>1103</v>
      </c>
      <c r="F417">
        <v>2</v>
      </c>
      <c r="G417" t="s">
        <v>1127</v>
      </c>
      <c r="H417" t="s">
        <v>1601</v>
      </c>
      <c r="I417" t="s">
        <v>1830</v>
      </c>
      <c r="J417">
        <v>1</v>
      </c>
      <c r="K417">
        <v>91069200</v>
      </c>
      <c r="M417">
        <v>91069200</v>
      </c>
      <c r="N417" t="s">
        <v>1507</v>
      </c>
    </row>
    <row r="418" spans="1:14">
      <c r="A418">
        <v>2</v>
      </c>
      <c r="B418" t="s">
        <v>1117</v>
      </c>
      <c r="C418">
        <v>2</v>
      </c>
      <c r="D418" t="s">
        <v>1117</v>
      </c>
      <c r="E418" t="s">
        <v>1103</v>
      </c>
      <c r="F418">
        <v>2</v>
      </c>
      <c r="G418" t="s">
        <v>1127</v>
      </c>
      <c r="H418" t="s">
        <v>1602</v>
      </c>
      <c r="I418" t="s">
        <v>1831</v>
      </c>
      <c r="J418">
        <v>1</v>
      </c>
      <c r="K418">
        <v>83962471</v>
      </c>
      <c r="M418">
        <v>83962471</v>
      </c>
      <c r="N418" t="s">
        <v>1507</v>
      </c>
    </row>
    <row r="419" spans="1:14">
      <c r="A419">
        <v>2</v>
      </c>
      <c r="B419" t="s">
        <v>1117</v>
      </c>
      <c r="C419">
        <v>2</v>
      </c>
      <c r="D419" t="s">
        <v>1117</v>
      </c>
      <c r="E419" t="s">
        <v>1103</v>
      </c>
      <c r="F419">
        <v>2</v>
      </c>
      <c r="G419" t="s">
        <v>1127</v>
      </c>
      <c r="H419" t="s">
        <v>1683</v>
      </c>
      <c r="I419" t="s">
        <v>1832</v>
      </c>
      <c r="J419">
        <v>1</v>
      </c>
      <c r="K419">
        <v>84315600</v>
      </c>
      <c r="L419">
        <v>318182</v>
      </c>
      <c r="M419">
        <v>84633782</v>
      </c>
      <c r="N419" t="s">
        <v>1507</v>
      </c>
    </row>
    <row r="420" spans="1:14">
      <c r="A420">
        <v>2</v>
      </c>
      <c r="B420" t="s">
        <v>1117</v>
      </c>
      <c r="C420">
        <v>2</v>
      </c>
      <c r="D420" t="s">
        <v>1117</v>
      </c>
      <c r="E420" t="s">
        <v>1103</v>
      </c>
      <c r="F420">
        <v>2</v>
      </c>
      <c r="G420" t="s">
        <v>1127</v>
      </c>
      <c r="H420" t="s">
        <v>1684</v>
      </c>
      <c r="I420" t="s">
        <v>1833</v>
      </c>
      <c r="J420">
        <v>1</v>
      </c>
      <c r="K420">
        <v>93599680</v>
      </c>
      <c r="M420">
        <v>93599680</v>
      </c>
      <c r="N420" t="s">
        <v>1507</v>
      </c>
    </row>
    <row r="421" spans="1:14">
      <c r="A421">
        <v>2</v>
      </c>
      <c r="B421" t="s">
        <v>1117</v>
      </c>
      <c r="C421">
        <v>2</v>
      </c>
      <c r="D421" t="s">
        <v>1117</v>
      </c>
      <c r="E421" t="s">
        <v>1103</v>
      </c>
      <c r="F421">
        <v>2</v>
      </c>
      <c r="G421" t="s">
        <v>1127</v>
      </c>
      <c r="H421" t="s">
        <v>1685</v>
      </c>
      <c r="I421" t="s">
        <v>1834</v>
      </c>
      <c r="J421">
        <v>1</v>
      </c>
      <c r="K421">
        <v>93900643</v>
      </c>
      <c r="M421">
        <v>93900643</v>
      </c>
      <c r="N421" t="s">
        <v>1507</v>
      </c>
    </row>
    <row r="422" spans="1:14">
      <c r="A422">
        <v>2</v>
      </c>
      <c r="B422" t="s">
        <v>1117</v>
      </c>
      <c r="C422">
        <v>2</v>
      </c>
      <c r="D422" t="s">
        <v>1117</v>
      </c>
      <c r="E422" t="s">
        <v>1103</v>
      </c>
      <c r="F422">
        <v>2</v>
      </c>
      <c r="G422" t="s">
        <v>1127</v>
      </c>
      <c r="H422" t="s">
        <v>1687</v>
      </c>
      <c r="I422" t="s">
        <v>1686</v>
      </c>
      <c r="J422">
        <v>1</v>
      </c>
      <c r="K422">
        <v>93900643</v>
      </c>
      <c r="M422">
        <v>93900643</v>
      </c>
      <c r="N422" t="s">
        <v>1507</v>
      </c>
    </row>
    <row r="423" spans="1:14">
      <c r="A423">
        <v>2</v>
      </c>
      <c r="B423" t="s">
        <v>1117</v>
      </c>
      <c r="C423">
        <v>2</v>
      </c>
      <c r="D423" t="s">
        <v>1117</v>
      </c>
      <c r="E423" t="s">
        <v>1103</v>
      </c>
      <c r="F423">
        <v>2</v>
      </c>
      <c r="G423" t="s">
        <v>1127</v>
      </c>
      <c r="H423" t="s">
        <v>1835</v>
      </c>
      <c r="I423" t="s">
        <v>1836</v>
      </c>
      <c r="J423">
        <v>1</v>
      </c>
      <c r="K423">
        <v>85187207</v>
      </c>
      <c r="M423">
        <v>85187207</v>
      </c>
      <c r="N423" t="s">
        <v>1507</v>
      </c>
    </row>
    <row r="424" spans="1:14">
      <c r="A424">
        <v>2</v>
      </c>
      <c r="B424" t="s">
        <v>1117</v>
      </c>
      <c r="C424">
        <v>2</v>
      </c>
      <c r="D424" t="s">
        <v>1117</v>
      </c>
      <c r="E424" t="s">
        <v>1103</v>
      </c>
      <c r="F424">
        <v>2</v>
      </c>
      <c r="G424" t="s">
        <v>1127</v>
      </c>
      <c r="H424" t="s">
        <v>1837</v>
      </c>
      <c r="I424" t="s">
        <v>1838</v>
      </c>
      <c r="J424">
        <v>1</v>
      </c>
      <c r="K424">
        <v>98708807</v>
      </c>
      <c r="M424">
        <v>98708807</v>
      </c>
      <c r="N424" t="s">
        <v>1507</v>
      </c>
    </row>
    <row r="425" spans="1:14">
      <c r="A425">
        <v>2</v>
      </c>
      <c r="B425" t="s">
        <v>1117</v>
      </c>
      <c r="C425">
        <v>2</v>
      </c>
      <c r="D425" t="s">
        <v>1117</v>
      </c>
      <c r="E425" t="s">
        <v>1103</v>
      </c>
      <c r="F425">
        <v>2</v>
      </c>
      <c r="G425" t="s">
        <v>1127</v>
      </c>
      <c r="H425" t="s">
        <v>1839</v>
      </c>
      <c r="I425" t="s">
        <v>1840</v>
      </c>
      <c r="J425">
        <v>1</v>
      </c>
      <c r="K425">
        <v>76172807</v>
      </c>
      <c r="M425">
        <v>76172807</v>
      </c>
      <c r="N425" t="s">
        <v>1507</v>
      </c>
    </row>
    <row r="426" spans="1:14">
      <c r="A426">
        <v>2</v>
      </c>
      <c r="B426" t="s">
        <v>1117</v>
      </c>
      <c r="C426">
        <v>2</v>
      </c>
      <c r="D426" t="s">
        <v>1117</v>
      </c>
      <c r="E426" t="s">
        <v>1103</v>
      </c>
      <c r="F426">
        <v>2</v>
      </c>
      <c r="G426" t="s">
        <v>1127</v>
      </c>
      <c r="H426" t="s">
        <v>1841</v>
      </c>
      <c r="I426" t="s">
        <v>1840</v>
      </c>
      <c r="J426">
        <v>1</v>
      </c>
      <c r="K426">
        <v>76172807</v>
      </c>
      <c r="M426">
        <v>76172807</v>
      </c>
      <c r="N426" t="s">
        <v>1507</v>
      </c>
    </row>
    <row r="427" spans="1:14">
      <c r="A427">
        <v>2</v>
      </c>
      <c r="B427" t="s">
        <v>1117</v>
      </c>
      <c r="C427">
        <v>2</v>
      </c>
      <c r="D427" t="s">
        <v>1117</v>
      </c>
      <c r="E427" t="s">
        <v>1103</v>
      </c>
      <c r="F427">
        <v>2</v>
      </c>
      <c r="G427" t="s">
        <v>1127</v>
      </c>
      <c r="H427" t="s">
        <v>1842</v>
      </c>
      <c r="I427" t="s">
        <v>1843</v>
      </c>
      <c r="J427">
        <v>1</v>
      </c>
      <c r="K427">
        <v>76172807</v>
      </c>
      <c r="M427">
        <v>76172807</v>
      </c>
      <c r="N427" t="s">
        <v>1507</v>
      </c>
    </row>
    <row r="428" spans="1:14">
      <c r="A428">
        <v>2</v>
      </c>
      <c r="B428" t="s">
        <v>1117</v>
      </c>
      <c r="C428">
        <v>2</v>
      </c>
      <c r="D428" t="s">
        <v>1117</v>
      </c>
      <c r="E428" t="s">
        <v>1103</v>
      </c>
      <c r="F428">
        <v>2</v>
      </c>
      <c r="G428" t="s">
        <v>1127</v>
      </c>
      <c r="H428" t="s">
        <v>1844</v>
      </c>
      <c r="I428" t="s">
        <v>1843</v>
      </c>
      <c r="J428">
        <v>1</v>
      </c>
      <c r="K428">
        <v>76172807</v>
      </c>
      <c r="M428">
        <v>76172807</v>
      </c>
      <c r="N428" t="s">
        <v>1507</v>
      </c>
    </row>
    <row r="429" spans="1:14">
      <c r="A429">
        <v>2</v>
      </c>
      <c r="B429" t="s">
        <v>1117</v>
      </c>
      <c r="C429">
        <v>2</v>
      </c>
      <c r="D429" t="s">
        <v>1117</v>
      </c>
      <c r="E429" t="s">
        <v>1103</v>
      </c>
      <c r="F429">
        <v>2</v>
      </c>
      <c r="G429" t="s">
        <v>1127</v>
      </c>
      <c r="H429" t="s">
        <v>1845</v>
      </c>
      <c r="I429" t="s">
        <v>1774</v>
      </c>
      <c r="J429">
        <v>1</v>
      </c>
      <c r="K429">
        <v>76172807</v>
      </c>
      <c r="M429">
        <v>76172807</v>
      </c>
      <c r="N429" t="s">
        <v>1507</v>
      </c>
    </row>
    <row r="430" spans="1:14">
      <c r="A430">
        <v>2</v>
      </c>
      <c r="B430" t="s">
        <v>1117</v>
      </c>
      <c r="C430">
        <v>2</v>
      </c>
      <c r="D430" t="s">
        <v>1117</v>
      </c>
      <c r="E430" t="s">
        <v>1103</v>
      </c>
      <c r="F430">
        <v>2</v>
      </c>
      <c r="G430" t="s">
        <v>1127</v>
      </c>
      <c r="H430" t="s">
        <v>1846</v>
      </c>
      <c r="I430" t="s">
        <v>1847</v>
      </c>
      <c r="J430">
        <v>1</v>
      </c>
      <c r="K430">
        <v>76172807</v>
      </c>
      <c r="M430">
        <v>76172807</v>
      </c>
      <c r="N430" t="s">
        <v>1507</v>
      </c>
    </row>
    <row r="431" spans="1:14">
      <c r="A431">
        <v>2</v>
      </c>
      <c r="B431" t="s">
        <v>1117</v>
      </c>
      <c r="C431">
        <v>2</v>
      </c>
      <c r="D431" t="s">
        <v>1117</v>
      </c>
      <c r="E431" t="s">
        <v>1103</v>
      </c>
      <c r="F431">
        <v>2</v>
      </c>
      <c r="G431" t="s">
        <v>1127</v>
      </c>
      <c r="H431" t="s">
        <v>1848</v>
      </c>
      <c r="I431" t="s">
        <v>1847</v>
      </c>
      <c r="J431">
        <v>1</v>
      </c>
      <c r="K431">
        <v>76172807</v>
      </c>
      <c r="M431">
        <v>76172807</v>
      </c>
      <c r="N431" t="s">
        <v>1507</v>
      </c>
    </row>
    <row r="432" spans="1:14">
      <c r="A432">
        <v>2</v>
      </c>
      <c r="B432" t="s">
        <v>1117</v>
      </c>
      <c r="C432">
        <v>2</v>
      </c>
      <c r="D432" t="s">
        <v>1117</v>
      </c>
      <c r="E432" t="s">
        <v>1103</v>
      </c>
      <c r="F432">
        <v>2</v>
      </c>
      <c r="G432" t="s">
        <v>1127</v>
      </c>
      <c r="H432" t="s">
        <v>1849</v>
      </c>
      <c r="I432" t="s">
        <v>1850</v>
      </c>
      <c r="J432">
        <v>1</v>
      </c>
      <c r="K432">
        <v>76172807</v>
      </c>
      <c r="M432">
        <v>76172807</v>
      </c>
      <c r="N432" t="s">
        <v>1507</v>
      </c>
    </row>
    <row r="433" spans="1:14">
      <c r="A433">
        <v>2</v>
      </c>
      <c r="B433" t="s">
        <v>1117</v>
      </c>
      <c r="C433">
        <v>2</v>
      </c>
      <c r="D433" t="s">
        <v>1117</v>
      </c>
      <c r="E433" t="s">
        <v>1103</v>
      </c>
      <c r="F433">
        <v>2</v>
      </c>
      <c r="G433" t="s">
        <v>1127</v>
      </c>
      <c r="H433" t="s">
        <v>1851</v>
      </c>
      <c r="I433" t="s">
        <v>1850</v>
      </c>
      <c r="J433">
        <v>1</v>
      </c>
      <c r="K433">
        <v>76172807</v>
      </c>
      <c r="M433">
        <v>76172807</v>
      </c>
      <c r="N433" t="s">
        <v>1507</v>
      </c>
    </row>
    <row r="434" spans="1:14">
      <c r="A434">
        <v>2</v>
      </c>
      <c r="B434" t="s">
        <v>1117</v>
      </c>
      <c r="C434">
        <v>2</v>
      </c>
      <c r="D434" t="s">
        <v>1117</v>
      </c>
      <c r="E434" t="s">
        <v>1103</v>
      </c>
      <c r="F434">
        <v>2</v>
      </c>
      <c r="G434" t="s">
        <v>1127</v>
      </c>
      <c r="H434" t="s">
        <v>1852</v>
      </c>
      <c r="I434" t="s">
        <v>1418</v>
      </c>
      <c r="J434">
        <v>1</v>
      </c>
      <c r="K434">
        <v>80680007</v>
      </c>
      <c r="M434">
        <v>80680007</v>
      </c>
      <c r="N434" t="s">
        <v>1507</v>
      </c>
    </row>
    <row r="435" spans="1:14">
      <c r="A435">
        <v>2</v>
      </c>
      <c r="B435" t="s">
        <v>1117</v>
      </c>
      <c r="C435">
        <v>2</v>
      </c>
      <c r="D435" t="s">
        <v>1117</v>
      </c>
      <c r="E435" t="s">
        <v>1103</v>
      </c>
      <c r="F435">
        <v>2</v>
      </c>
      <c r="G435" t="s">
        <v>1127</v>
      </c>
      <c r="H435" t="s">
        <v>1853</v>
      </c>
      <c r="I435" t="s">
        <v>1418</v>
      </c>
      <c r="J435">
        <v>1</v>
      </c>
      <c r="K435">
        <v>80680007</v>
      </c>
      <c r="M435">
        <v>80680007</v>
      </c>
      <c r="N435" t="s">
        <v>1507</v>
      </c>
    </row>
    <row r="436" spans="1:14">
      <c r="A436">
        <v>2</v>
      </c>
      <c r="B436" t="s">
        <v>1117</v>
      </c>
      <c r="C436">
        <v>2</v>
      </c>
      <c r="D436" t="s">
        <v>1117</v>
      </c>
      <c r="E436" t="s">
        <v>1103</v>
      </c>
      <c r="F436">
        <v>2</v>
      </c>
      <c r="G436" t="s">
        <v>1127</v>
      </c>
      <c r="H436" t="s">
        <v>1854</v>
      </c>
      <c r="I436" t="s">
        <v>1418</v>
      </c>
      <c r="J436">
        <v>1</v>
      </c>
      <c r="K436">
        <v>80680007</v>
      </c>
      <c r="M436">
        <v>80680007</v>
      </c>
      <c r="N436" t="s">
        <v>1507</v>
      </c>
    </row>
    <row r="437" spans="1:14">
      <c r="A437">
        <v>2</v>
      </c>
      <c r="B437" t="s">
        <v>1117</v>
      </c>
      <c r="C437">
        <v>2</v>
      </c>
      <c r="D437" t="s">
        <v>1117</v>
      </c>
      <c r="E437" t="s">
        <v>1103</v>
      </c>
      <c r="F437">
        <v>2</v>
      </c>
      <c r="G437" t="s">
        <v>1127</v>
      </c>
      <c r="H437" t="s">
        <v>1855</v>
      </c>
      <c r="I437" t="s">
        <v>1831</v>
      </c>
      <c r="J437">
        <v>1</v>
      </c>
      <c r="K437">
        <v>92094862</v>
      </c>
      <c r="M437">
        <v>92094862</v>
      </c>
      <c r="N437" t="s">
        <v>1507</v>
      </c>
    </row>
    <row r="438" spans="1:14">
      <c r="A438">
        <v>2</v>
      </c>
      <c r="B438" t="s">
        <v>1117</v>
      </c>
      <c r="C438">
        <v>2</v>
      </c>
      <c r="D438" t="s">
        <v>1117</v>
      </c>
      <c r="E438" t="s">
        <v>1103</v>
      </c>
      <c r="F438">
        <v>2</v>
      </c>
      <c r="G438" t="s">
        <v>1127</v>
      </c>
      <c r="H438" t="s">
        <v>1856</v>
      </c>
      <c r="I438" t="s">
        <v>1857</v>
      </c>
      <c r="J438">
        <v>1</v>
      </c>
      <c r="K438">
        <v>82484352</v>
      </c>
      <c r="M438">
        <v>82484352</v>
      </c>
      <c r="N438" t="s">
        <v>1507</v>
      </c>
    </row>
    <row r="439" spans="1:14">
      <c r="A439">
        <v>2</v>
      </c>
      <c r="B439" t="s">
        <v>1117</v>
      </c>
      <c r="C439">
        <v>2</v>
      </c>
      <c r="D439" t="s">
        <v>1117</v>
      </c>
      <c r="E439" t="s">
        <v>1103</v>
      </c>
      <c r="F439">
        <v>2</v>
      </c>
      <c r="G439" t="s">
        <v>1127</v>
      </c>
      <c r="H439" t="s">
        <v>1858</v>
      </c>
      <c r="I439" t="s">
        <v>1859</v>
      </c>
      <c r="J439">
        <v>1</v>
      </c>
      <c r="K439">
        <v>52667369</v>
      </c>
      <c r="M439">
        <v>52667369</v>
      </c>
      <c r="N439" t="s">
        <v>1507</v>
      </c>
    </row>
    <row r="440" spans="1:14">
      <c r="A440">
        <v>2</v>
      </c>
      <c r="B440" t="s">
        <v>1117</v>
      </c>
      <c r="C440">
        <v>2</v>
      </c>
      <c r="D440" t="s">
        <v>1117</v>
      </c>
      <c r="E440" t="s">
        <v>1103</v>
      </c>
      <c r="F440">
        <v>2</v>
      </c>
      <c r="G440" t="s">
        <v>1127</v>
      </c>
      <c r="H440" t="s">
        <v>1860</v>
      </c>
      <c r="I440" t="s">
        <v>1859</v>
      </c>
      <c r="J440">
        <v>1</v>
      </c>
      <c r="K440">
        <v>52667369</v>
      </c>
      <c r="M440">
        <v>52667369</v>
      </c>
      <c r="N440" t="s">
        <v>1507</v>
      </c>
    </row>
    <row r="441" spans="1:14">
      <c r="A441">
        <v>2</v>
      </c>
      <c r="B441" t="s">
        <v>1117</v>
      </c>
      <c r="C441">
        <v>2</v>
      </c>
      <c r="D441" t="s">
        <v>1117</v>
      </c>
      <c r="E441" t="s">
        <v>1103</v>
      </c>
      <c r="F441">
        <v>2</v>
      </c>
      <c r="G441" t="s">
        <v>1127</v>
      </c>
      <c r="H441" t="s">
        <v>1861</v>
      </c>
      <c r="I441" t="s">
        <v>1862</v>
      </c>
      <c r="J441">
        <v>1</v>
      </c>
      <c r="K441">
        <v>52667369</v>
      </c>
      <c r="M441">
        <v>52667369</v>
      </c>
      <c r="N441" t="s">
        <v>1507</v>
      </c>
    </row>
    <row r="442" spans="1:14">
      <c r="A442">
        <v>2</v>
      </c>
      <c r="B442" t="s">
        <v>1117</v>
      </c>
      <c r="C442">
        <v>2</v>
      </c>
      <c r="D442" t="s">
        <v>1117</v>
      </c>
      <c r="E442" t="s">
        <v>1103</v>
      </c>
      <c r="F442">
        <v>2</v>
      </c>
      <c r="G442" t="s">
        <v>1127</v>
      </c>
      <c r="H442" t="s">
        <v>1863</v>
      </c>
      <c r="I442" t="s">
        <v>1862</v>
      </c>
      <c r="J442">
        <v>1</v>
      </c>
      <c r="K442">
        <v>52667369</v>
      </c>
      <c r="M442">
        <v>52667369</v>
      </c>
      <c r="N442" t="s">
        <v>1507</v>
      </c>
    </row>
    <row r="443" spans="1:14">
      <c r="A443">
        <v>1</v>
      </c>
      <c r="B443" t="s">
        <v>1102</v>
      </c>
      <c r="C443">
        <v>1</v>
      </c>
      <c r="D443" t="s">
        <v>1102</v>
      </c>
      <c r="E443" t="s">
        <v>1103</v>
      </c>
      <c r="F443">
        <v>2</v>
      </c>
      <c r="G443" t="s">
        <v>1104</v>
      </c>
      <c r="H443" t="s">
        <v>1451</v>
      </c>
      <c r="I443" t="s">
        <v>1452</v>
      </c>
      <c r="J443">
        <v>1</v>
      </c>
      <c r="K443">
        <v>23636364</v>
      </c>
      <c r="L443">
        <v>17876364</v>
      </c>
      <c r="M443">
        <v>41512728</v>
      </c>
      <c r="N443" t="s">
        <v>1551</v>
      </c>
    </row>
    <row r="444" spans="1:14">
      <c r="A444">
        <v>2</v>
      </c>
      <c r="B444" t="s">
        <v>1117</v>
      </c>
      <c r="C444">
        <v>2</v>
      </c>
      <c r="D444" t="s">
        <v>1117</v>
      </c>
      <c r="E444" t="s">
        <v>1103</v>
      </c>
      <c r="F444">
        <v>1</v>
      </c>
      <c r="G444" t="s">
        <v>1104</v>
      </c>
      <c r="H444" t="s">
        <v>1688</v>
      </c>
      <c r="I444" t="s">
        <v>1689</v>
      </c>
      <c r="J444">
        <v>1</v>
      </c>
      <c r="K444">
        <v>17209091</v>
      </c>
      <c r="M444">
        <v>17209091</v>
      </c>
      <c r="N444" t="s">
        <v>1551</v>
      </c>
    </row>
    <row r="445" spans="1:14">
      <c r="A445">
        <v>2</v>
      </c>
      <c r="B445" t="s">
        <v>1117</v>
      </c>
      <c r="C445">
        <v>2</v>
      </c>
      <c r="D445" t="s">
        <v>1117</v>
      </c>
      <c r="E445" t="s">
        <v>1103</v>
      </c>
      <c r="F445">
        <v>1</v>
      </c>
      <c r="G445" t="s">
        <v>1104</v>
      </c>
      <c r="H445" t="s">
        <v>1603</v>
      </c>
      <c r="I445" t="s">
        <v>1604</v>
      </c>
      <c r="J445">
        <v>1</v>
      </c>
      <c r="K445">
        <v>33000000</v>
      </c>
      <c r="M445">
        <v>33000000</v>
      </c>
      <c r="N445" t="s">
        <v>1551</v>
      </c>
    </row>
    <row r="446" spans="1:14">
      <c r="A446">
        <v>32</v>
      </c>
      <c r="B446" t="s">
        <v>1123</v>
      </c>
      <c r="C446">
        <v>32</v>
      </c>
      <c r="D446" t="s">
        <v>1123</v>
      </c>
      <c r="E446" t="s">
        <v>1103</v>
      </c>
      <c r="F446">
        <v>2</v>
      </c>
      <c r="G446" t="s">
        <v>1104</v>
      </c>
      <c r="H446" t="s">
        <v>1864</v>
      </c>
      <c r="I446" t="s">
        <v>1865</v>
      </c>
      <c r="J446">
        <v>1</v>
      </c>
      <c r="K446">
        <v>40909091</v>
      </c>
      <c r="L446">
        <v>1151813</v>
      </c>
      <c r="M446">
        <v>42060904</v>
      </c>
      <c r="N446" t="s">
        <v>1551</v>
      </c>
    </row>
    <row r="447" spans="1:14">
      <c r="A447">
        <v>1</v>
      </c>
      <c r="B447" t="s">
        <v>1102</v>
      </c>
      <c r="C447">
        <v>1</v>
      </c>
      <c r="D447" t="s">
        <v>1102</v>
      </c>
      <c r="E447" t="s">
        <v>1103</v>
      </c>
      <c r="F447">
        <v>1</v>
      </c>
      <c r="G447" t="s">
        <v>1127</v>
      </c>
      <c r="H447" t="s">
        <v>1458</v>
      </c>
      <c r="I447" t="s">
        <v>1459</v>
      </c>
      <c r="J447">
        <v>1</v>
      </c>
      <c r="K447">
        <v>154187253</v>
      </c>
      <c r="M447">
        <v>154187253</v>
      </c>
      <c r="N447" t="s">
        <v>1510</v>
      </c>
    </row>
    <row r="448" spans="1:14">
      <c r="A448">
        <v>1</v>
      </c>
      <c r="B448" t="s">
        <v>1102</v>
      </c>
      <c r="C448">
        <v>1</v>
      </c>
      <c r="D448" t="s">
        <v>1102</v>
      </c>
      <c r="E448" t="s">
        <v>1103</v>
      </c>
      <c r="F448">
        <v>2</v>
      </c>
      <c r="G448" t="s">
        <v>1104</v>
      </c>
      <c r="H448" t="s">
        <v>1690</v>
      </c>
      <c r="I448" t="s">
        <v>1691</v>
      </c>
      <c r="J448">
        <v>1</v>
      </c>
      <c r="K448">
        <v>40909091</v>
      </c>
      <c r="L448">
        <v>9798918</v>
      </c>
      <c r="M448">
        <v>50708009</v>
      </c>
      <c r="N448" t="s">
        <v>1551</v>
      </c>
    </row>
    <row r="449" spans="1:14">
      <c r="A449">
        <v>1</v>
      </c>
      <c r="B449" t="s">
        <v>1102</v>
      </c>
      <c r="C449">
        <v>1</v>
      </c>
      <c r="D449" t="s">
        <v>1102</v>
      </c>
      <c r="E449" t="s">
        <v>1103</v>
      </c>
      <c r="F449">
        <v>2</v>
      </c>
      <c r="G449" t="s">
        <v>1104</v>
      </c>
      <c r="H449" t="s">
        <v>1866</v>
      </c>
      <c r="I449" t="s">
        <v>1867</v>
      </c>
      <c r="J449">
        <v>1</v>
      </c>
      <c r="K449">
        <v>84545455</v>
      </c>
      <c r="L449">
        <v>760432</v>
      </c>
      <c r="M449">
        <v>85305887</v>
      </c>
      <c r="N449" t="s">
        <v>1551</v>
      </c>
    </row>
    <row r="450" spans="1:14">
      <c r="A450">
        <v>2</v>
      </c>
      <c r="B450" t="s">
        <v>1117</v>
      </c>
      <c r="C450">
        <v>2</v>
      </c>
      <c r="D450" t="s">
        <v>1117</v>
      </c>
      <c r="E450" t="s">
        <v>1103</v>
      </c>
      <c r="F450">
        <v>2</v>
      </c>
      <c r="G450" t="s">
        <v>1127</v>
      </c>
      <c r="H450" t="s">
        <v>1471</v>
      </c>
      <c r="I450" t="s">
        <v>1470</v>
      </c>
      <c r="J450">
        <v>1</v>
      </c>
      <c r="K450">
        <v>83850000</v>
      </c>
      <c r="M450">
        <v>83850000</v>
      </c>
      <c r="N450" t="s">
        <v>1510</v>
      </c>
    </row>
    <row r="451" spans="1:14">
      <c r="A451">
        <v>2</v>
      </c>
      <c r="B451" t="s">
        <v>1117</v>
      </c>
      <c r="C451">
        <v>2</v>
      </c>
      <c r="D451" t="s">
        <v>1117</v>
      </c>
      <c r="E451" t="s">
        <v>1103</v>
      </c>
      <c r="F451">
        <v>2</v>
      </c>
      <c r="G451" t="s">
        <v>1127</v>
      </c>
      <c r="H451" t="s">
        <v>1472</v>
      </c>
      <c r="I451" t="s">
        <v>1473</v>
      </c>
      <c r="J451">
        <v>1</v>
      </c>
      <c r="K451">
        <v>90300000</v>
      </c>
      <c r="M451">
        <v>90300000</v>
      </c>
      <c r="N451" t="s">
        <v>1510</v>
      </c>
    </row>
    <row r="452" spans="1:14">
      <c r="A452">
        <v>8</v>
      </c>
      <c r="B452" t="s">
        <v>1474</v>
      </c>
      <c r="C452">
        <v>8</v>
      </c>
      <c r="D452" t="s">
        <v>1474</v>
      </c>
      <c r="E452" t="s">
        <v>1103</v>
      </c>
      <c r="F452">
        <v>1</v>
      </c>
      <c r="G452" t="s">
        <v>1127</v>
      </c>
      <c r="H452" t="s">
        <v>1475</v>
      </c>
      <c r="I452" t="s">
        <v>1476</v>
      </c>
      <c r="J452">
        <v>1</v>
      </c>
      <c r="K452">
        <v>98509113</v>
      </c>
      <c r="M452">
        <v>98509113</v>
      </c>
      <c r="N452" t="s">
        <v>1510</v>
      </c>
    </row>
    <row r="453" spans="1:14">
      <c r="A453">
        <v>1</v>
      </c>
      <c r="B453" t="s">
        <v>1102</v>
      </c>
      <c r="C453">
        <v>1</v>
      </c>
      <c r="D453" t="s">
        <v>1102</v>
      </c>
      <c r="E453" t="s">
        <v>1103</v>
      </c>
      <c r="F453">
        <v>1</v>
      </c>
      <c r="G453" t="s">
        <v>1127</v>
      </c>
      <c r="H453" t="s">
        <v>1692</v>
      </c>
      <c r="I453" t="s">
        <v>1693</v>
      </c>
      <c r="J453">
        <v>1</v>
      </c>
      <c r="K453">
        <v>204545438</v>
      </c>
      <c r="M453">
        <v>204545438</v>
      </c>
      <c r="N453" t="s">
        <v>1551</v>
      </c>
    </row>
    <row r="454" spans="1:14">
      <c r="A454">
        <v>1</v>
      </c>
      <c r="B454" t="s">
        <v>1102</v>
      </c>
      <c r="C454">
        <v>1</v>
      </c>
      <c r="D454" t="s">
        <v>1102</v>
      </c>
      <c r="E454" t="s">
        <v>1103</v>
      </c>
      <c r="F454">
        <v>1</v>
      </c>
      <c r="G454" t="s">
        <v>1127</v>
      </c>
      <c r="H454" t="s">
        <v>1694</v>
      </c>
      <c r="I454" t="s">
        <v>1695</v>
      </c>
      <c r="J454">
        <v>1</v>
      </c>
      <c r="K454">
        <v>130681813</v>
      </c>
      <c r="M454">
        <v>130681813</v>
      </c>
      <c r="N454" t="s">
        <v>1551</v>
      </c>
    </row>
    <row r="455" spans="1:14">
      <c r="A455">
        <v>1</v>
      </c>
      <c r="B455" t="s">
        <v>1102</v>
      </c>
      <c r="C455">
        <v>1</v>
      </c>
      <c r="D455" t="s">
        <v>1102</v>
      </c>
      <c r="E455" t="s">
        <v>1103</v>
      </c>
      <c r="F455">
        <v>1</v>
      </c>
      <c r="G455" t="s">
        <v>1127</v>
      </c>
      <c r="H455" t="s">
        <v>1696</v>
      </c>
      <c r="I455" t="s">
        <v>1697</v>
      </c>
      <c r="J455">
        <v>1</v>
      </c>
      <c r="K455">
        <v>130681813</v>
      </c>
      <c r="M455">
        <v>130681813</v>
      </c>
      <c r="N455" t="s">
        <v>1551</v>
      </c>
    </row>
    <row r="456" spans="1:14">
      <c r="A456">
        <v>1</v>
      </c>
      <c r="B456" t="s">
        <v>1102</v>
      </c>
      <c r="C456">
        <v>1</v>
      </c>
      <c r="D456" t="s">
        <v>1102</v>
      </c>
      <c r="E456" t="s">
        <v>1103</v>
      </c>
      <c r="F456">
        <v>2</v>
      </c>
      <c r="G456" t="s">
        <v>1104</v>
      </c>
      <c r="H456" t="s">
        <v>1698</v>
      </c>
      <c r="I456" t="s">
        <v>1699</v>
      </c>
      <c r="J456">
        <v>1</v>
      </c>
      <c r="K456">
        <v>39581841</v>
      </c>
      <c r="M456">
        <v>39581841</v>
      </c>
      <c r="N456" t="s">
        <v>1551</v>
      </c>
    </row>
    <row r="457" spans="1:14">
      <c r="A457">
        <v>5</v>
      </c>
      <c r="B457" t="s">
        <v>1483</v>
      </c>
      <c r="C457">
        <v>5</v>
      </c>
      <c r="D457" t="s">
        <v>1483</v>
      </c>
      <c r="E457" t="s">
        <v>1103</v>
      </c>
      <c r="F457">
        <v>1</v>
      </c>
      <c r="G457" t="s">
        <v>1127</v>
      </c>
      <c r="H457" t="s">
        <v>1484</v>
      </c>
      <c r="I457" t="s">
        <v>1485</v>
      </c>
      <c r="J457">
        <v>1</v>
      </c>
      <c r="K457">
        <v>6307510</v>
      </c>
      <c r="M457">
        <v>6307510</v>
      </c>
      <c r="N457" t="s">
        <v>1551</v>
      </c>
    </row>
    <row r="458" spans="1:14">
      <c r="A458">
        <v>2</v>
      </c>
      <c r="B458" t="s">
        <v>1117</v>
      </c>
      <c r="C458">
        <v>2</v>
      </c>
      <c r="D458" t="s">
        <v>1117</v>
      </c>
      <c r="E458" t="s">
        <v>1103</v>
      </c>
      <c r="F458">
        <v>1</v>
      </c>
      <c r="G458" t="s">
        <v>1104</v>
      </c>
      <c r="H458" t="s">
        <v>1487</v>
      </c>
      <c r="I458" t="s">
        <v>1488</v>
      </c>
      <c r="J458">
        <v>-1</v>
      </c>
      <c r="K458">
        <v>0</v>
      </c>
      <c r="L458">
        <v>0</v>
      </c>
      <c r="M458">
        <v>0</v>
      </c>
      <c r="N458" t="s">
        <v>1551</v>
      </c>
    </row>
    <row r="459" spans="1:14">
      <c r="A459">
        <v>1</v>
      </c>
      <c r="B459" t="s">
        <v>1102</v>
      </c>
      <c r="C459">
        <v>1</v>
      </c>
      <c r="D459" t="s">
        <v>1102</v>
      </c>
      <c r="E459" t="s">
        <v>1103</v>
      </c>
      <c r="F459">
        <v>2</v>
      </c>
      <c r="G459" t="s">
        <v>1104</v>
      </c>
      <c r="H459" t="s">
        <v>1605</v>
      </c>
      <c r="I459" t="s">
        <v>1606</v>
      </c>
      <c r="J459">
        <v>1</v>
      </c>
      <c r="K459">
        <v>71617080</v>
      </c>
      <c r="L459">
        <v>10275224</v>
      </c>
      <c r="M459">
        <v>81892304</v>
      </c>
      <c r="N459" t="s">
        <v>1551</v>
      </c>
    </row>
    <row r="460" spans="1:14">
      <c r="A460">
        <v>32</v>
      </c>
      <c r="B460" t="s">
        <v>1123</v>
      </c>
      <c r="C460">
        <v>32</v>
      </c>
      <c r="D460" t="s">
        <v>1123</v>
      </c>
      <c r="E460" t="s">
        <v>1103</v>
      </c>
      <c r="F460">
        <v>2</v>
      </c>
      <c r="G460" t="s">
        <v>1104</v>
      </c>
      <c r="H460" t="s">
        <v>1868</v>
      </c>
      <c r="I460" t="s">
        <v>1869</v>
      </c>
      <c r="J460">
        <v>1</v>
      </c>
      <c r="K460">
        <v>183615258</v>
      </c>
      <c r="M460">
        <v>183615258</v>
      </c>
      <c r="N460" t="s">
        <v>1551</v>
      </c>
    </row>
    <row r="461" spans="1:14">
      <c r="A461">
        <v>2</v>
      </c>
      <c r="B461" t="s">
        <v>1117</v>
      </c>
      <c r="C461">
        <v>2</v>
      </c>
      <c r="D461" t="s">
        <v>1117</v>
      </c>
      <c r="E461" t="s">
        <v>1103</v>
      </c>
      <c r="F461">
        <v>1</v>
      </c>
      <c r="G461" t="s">
        <v>1104</v>
      </c>
      <c r="H461" t="s">
        <v>1870</v>
      </c>
      <c r="I461" t="s">
        <v>1871</v>
      </c>
      <c r="J461">
        <v>1</v>
      </c>
      <c r="K461">
        <v>9090909</v>
      </c>
      <c r="M461">
        <v>9090909</v>
      </c>
      <c r="N461" t="s">
        <v>1551</v>
      </c>
    </row>
    <row r="462" spans="1:14">
      <c r="A462">
        <v>1</v>
      </c>
      <c r="B462" t="s">
        <v>1102</v>
      </c>
      <c r="C462">
        <v>1</v>
      </c>
      <c r="D462" t="s">
        <v>1102</v>
      </c>
      <c r="E462" t="s">
        <v>1103</v>
      </c>
      <c r="F462">
        <v>2</v>
      </c>
      <c r="G462" t="s">
        <v>1104</v>
      </c>
      <c r="H462" t="s">
        <v>1872</v>
      </c>
      <c r="I462" t="s">
        <v>1873</v>
      </c>
      <c r="J462">
        <v>1</v>
      </c>
      <c r="K462">
        <v>51709102</v>
      </c>
      <c r="M462">
        <v>51709102</v>
      </c>
      <c r="N462" t="s">
        <v>1551</v>
      </c>
    </row>
    <row r="463" spans="1:14">
      <c r="A463">
        <v>1</v>
      </c>
      <c r="B463" t="s">
        <v>1102</v>
      </c>
      <c r="C463">
        <v>1</v>
      </c>
      <c r="D463" t="s">
        <v>1102</v>
      </c>
      <c r="E463" t="s">
        <v>1103</v>
      </c>
      <c r="F463">
        <v>2</v>
      </c>
      <c r="G463" t="s">
        <v>1104</v>
      </c>
      <c r="H463" t="s">
        <v>1496</v>
      </c>
      <c r="I463" t="s">
        <v>1497</v>
      </c>
      <c r="J463">
        <v>1</v>
      </c>
      <c r="K463">
        <v>40000000</v>
      </c>
      <c r="M463">
        <v>40000000</v>
      </c>
      <c r="N463" t="s">
        <v>1551</v>
      </c>
    </row>
    <row r="464" spans="1:14">
      <c r="A464">
        <v>8</v>
      </c>
      <c r="B464" t="s">
        <v>1474</v>
      </c>
      <c r="C464">
        <v>8</v>
      </c>
      <c r="D464" t="s">
        <v>1474</v>
      </c>
      <c r="E464" t="s">
        <v>1103</v>
      </c>
      <c r="F464">
        <v>2</v>
      </c>
      <c r="G464" t="s">
        <v>1104</v>
      </c>
      <c r="H464" t="s">
        <v>1499</v>
      </c>
      <c r="I464" t="s">
        <v>1500</v>
      </c>
      <c r="J464">
        <v>1</v>
      </c>
      <c r="K464">
        <v>140613663</v>
      </c>
      <c r="L464">
        <v>1590909</v>
      </c>
      <c r="M464">
        <v>142204572</v>
      </c>
      <c r="N464" t="s">
        <v>1551</v>
      </c>
    </row>
    <row r="465" spans="1:14">
      <c r="A465">
        <v>30</v>
      </c>
      <c r="B465" t="s">
        <v>1502</v>
      </c>
      <c r="C465">
        <v>30</v>
      </c>
      <c r="D465" t="s">
        <v>1502</v>
      </c>
      <c r="E465" t="s">
        <v>1103</v>
      </c>
      <c r="F465">
        <v>2</v>
      </c>
      <c r="G465" t="s">
        <v>1104</v>
      </c>
      <c r="H465" t="s">
        <v>1503</v>
      </c>
      <c r="I465" t="s">
        <v>1504</v>
      </c>
      <c r="J465">
        <v>1</v>
      </c>
      <c r="K465">
        <v>954610752</v>
      </c>
      <c r="L465">
        <v>258481092</v>
      </c>
      <c r="M465">
        <v>1213091844</v>
      </c>
      <c r="N465" t="s">
        <v>1551</v>
      </c>
    </row>
    <row r="466" spans="1:14">
      <c r="K466">
        <f>SUM(K250:K465)</f>
        <v>26737454666</v>
      </c>
      <c r="L466">
        <f>SUM(L250:L465)</f>
        <v>639202338</v>
      </c>
      <c r="M466">
        <f>SUM(M250:M465)</f>
        <v>27376657004</v>
      </c>
    </row>
    <row r="467" spans="1:14">
      <c r="M467">
        <v>27449367929</v>
      </c>
    </row>
    <row r="468" spans="1:14">
      <c r="M468">
        <f>+M467-M466</f>
        <v>72710925</v>
      </c>
      <c r="N468" t="s">
        <v>1551</v>
      </c>
    </row>
    <row r="469" spans="1:14">
      <c r="A469" t="s">
        <v>1990</v>
      </c>
    </row>
    <row r="471" spans="1:14">
      <c r="A471">
        <v>1</v>
      </c>
      <c r="B471" t="s">
        <v>1101</v>
      </c>
      <c r="D471" t="s">
        <v>1102</v>
      </c>
      <c r="F471">
        <v>2</v>
      </c>
      <c r="G471" t="s">
        <v>1104</v>
      </c>
      <c r="H471" t="s">
        <v>1107</v>
      </c>
      <c r="I471" t="s">
        <v>1108</v>
      </c>
      <c r="J471">
        <v>1</v>
      </c>
      <c r="K471">
        <v>111715925</v>
      </c>
      <c r="L471">
        <v>5045579</v>
      </c>
      <c r="M471">
        <v>116761504</v>
      </c>
      <c r="N471" t="s">
        <v>1551</v>
      </c>
    </row>
    <row r="472" spans="1:14">
      <c r="A472">
        <v>1</v>
      </c>
      <c r="B472" t="s">
        <v>1101</v>
      </c>
      <c r="D472" t="s">
        <v>1102</v>
      </c>
      <c r="F472">
        <v>2</v>
      </c>
      <c r="G472" t="s">
        <v>1104</v>
      </c>
      <c r="H472" t="s">
        <v>1109</v>
      </c>
      <c r="I472" t="s">
        <v>1110</v>
      </c>
      <c r="J472">
        <v>1</v>
      </c>
      <c r="K472">
        <v>80454545</v>
      </c>
      <c r="L472">
        <v>3694982</v>
      </c>
      <c r="M472">
        <v>84149527</v>
      </c>
      <c r="N472" t="s">
        <v>1551</v>
      </c>
    </row>
    <row r="473" spans="1:14">
      <c r="A473">
        <v>1</v>
      </c>
      <c r="B473" t="s">
        <v>1101</v>
      </c>
      <c r="D473" t="s">
        <v>1102</v>
      </c>
      <c r="F473">
        <v>2</v>
      </c>
      <c r="G473" t="s">
        <v>1104</v>
      </c>
      <c r="H473" t="s">
        <v>1111</v>
      </c>
      <c r="I473" t="s">
        <v>1112</v>
      </c>
      <c r="J473">
        <v>1</v>
      </c>
      <c r="K473">
        <v>20029091</v>
      </c>
      <c r="L473">
        <v>727273</v>
      </c>
      <c r="M473">
        <v>20756364</v>
      </c>
      <c r="N473" t="s">
        <v>1551</v>
      </c>
    </row>
    <row r="474" spans="1:14">
      <c r="A474">
        <v>1</v>
      </c>
      <c r="B474" t="s">
        <v>1101</v>
      </c>
      <c r="D474" t="s">
        <v>1102</v>
      </c>
      <c r="F474">
        <v>2</v>
      </c>
      <c r="G474" t="s">
        <v>1104</v>
      </c>
      <c r="H474" t="s">
        <v>1894</v>
      </c>
      <c r="I474" t="s">
        <v>1895</v>
      </c>
      <c r="J474">
        <v>1</v>
      </c>
      <c r="K474">
        <v>67327273</v>
      </c>
      <c r="L474">
        <v>3463636</v>
      </c>
      <c r="M474">
        <v>70790909</v>
      </c>
      <c r="N474" t="s">
        <v>1551</v>
      </c>
    </row>
    <row r="475" spans="1:14">
      <c r="A475">
        <v>1</v>
      </c>
      <c r="B475" t="s">
        <v>1101</v>
      </c>
      <c r="D475" t="s">
        <v>1102</v>
      </c>
      <c r="F475">
        <v>2</v>
      </c>
      <c r="G475" t="s">
        <v>1104</v>
      </c>
      <c r="H475" t="s">
        <v>1723</v>
      </c>
      <c r="I475" t="s">
        <v>1724</v>
      </c>
      <c r="J475">
        <v>1</v>
      </c>
      <c r="K475">
        <v>29090909</v>
      </c>
      <c r="L475">
        <v>6147272</v>
      </c>
      <c r="M475">
        <v>35238181</v>
      </c>
      <c r="N475" t="s">
        <v>1551</v>
      </c>
    </row>
    <row r="476" spans="1:14">
      <c r="A476">
        <v>1</v>
      </c>
      <c r="B476" t="s">
        <v>1101</v>
      </c>
      <c r="D476" t="s">
        <v>1102</v>
      </c>
      <c r="F476">
        <v>2</v>
      </c>
      <c r="G476" t="s">
        <v>1104</v>
      </c>
      <c r="H476" t="s">
        <v>1725</v>
      </c>
      <c r="I476" t="s">
        <v>1726</v>
      </c>
      <c r="J476">
        <v>1</v>
      </c>
      <c r="K476">
        <v>58363642</v>
      </c>
      <c r="L476">
        <v>9773364</v>
      </c>
      <c r="M476">
        <v>68137006</v>
      </c>
      <c r="N476" t="s">
        <v>1551</v>
      </c>
    </row>
    <row r="477" spans="1:14">
      <c r="A477">
        <v>1</v>
      </c>
      <c r="B477" t="s">
        <v>1101</v>
      </c>
      <c r="D477" t="s">
        <v>1102</v>
      </c>
      <c r="F477">
        <v>2</v>
      </c>
      <c r="G477" t="s">
        <v>1104</v>
      </c>
      <c r="H477" t="s">
        <v>1896</v>
      </c>
      <c r="I477" t="s">
        <v>1897</v>
      </c>
      <c r="J477">
        <v>1</v>
      </c>
      <c r="K477">
        <v>81788000</v>
      </c>
      <c r="M477">
        <v>81788000</v>
      </c>
      <c r="N477" t="s">
        <v>1551</v>
      </c>
    </row>
    <row r="478" spans="1:14">
      <c r="A478">
        <v>1</v>
      </c>
      <c r="B478" t="s">
        <v>1101</v>
      </c>
      <c r="D478" t="s">
        <v>1117</v>
      </c>
      <c r="F478">
        <v>1</v>
      </c>
      <c r="G478" t="s">
        <v>1104</v>
      </c>
      <c r="H478" t="s">
        <v>1118</v>
      </c>
      <c r="I478" t="s">
        <v>1119</v>
      </c>
      <c r="J478">
        <v>-1</v>
      </c>
      <c r="K478">
        <v>0</v>
      </c>
      <c r="L478">
        <v>0</v>
      </c>
      <c r="M478">
        <v>0</v>
      </c>
      <c r="N478" t="s">
        <v>1551</v>
      </c>
    </row>
    <row r="479" spans="1:14">
      <c r="A479">
        <v>2</v>
      </c>
      <c r="B479" t="s">
        <v>1120</v>
      </c>
      <c r="D479" t="s">
        <v>1102</v>
      </c>
      <c r="F479">
        <v>2</v>
      </c>
      <c r="G479" t="s">
        <v>1104</v>
      </c>
      <c r="H479" t="s">
        <v>1727</v>
      </c>
      <c r="I479" t="s">
        <v>1728</v>
      </c>
      <c r="J479">
        <v>1</v>
      </c>
      <c r="K479">
        <v>89752722</v>
      </c>
      <c r="L479">
        <v>9334318</v>
      </c>
      <c r="M479">
        <v>99087040</v>
      </c>
      <c r="N479" t="s">
        <v>1551</v>
      </c>
    </row>
    <row r="480" spans="1:14">
      <c r="A480">
        <v>2</v>
      </c>
      <c r="B480" t="s">
        <v>1120</v>
      </c>
      <c r="D480" t="s">
        <v>1117</v>
      </c>
      <c r="F480">
        <v>1</v>
      </c>
      <c r="G480" t="s">
        <v>1104</v>
      </c>
      <c r="H480" t="s">
        <v>1898</v>
      </c>
      <c r="I480" t="s">
        <v>1899</v>
      </c>
      <c r="J480">
        <v>1</v>
      </c>
      <c r="K480">
        <v>58545460</v>
      </c>
      <c r="L480">
        <v>1818182</v>
      </c>
      <c r="M480">
        <v>60363642</v>
      </c>
      <c r="N480" t="s">
        <v>1551</v>
      </c>
    </row>
    <row r="481" spans="1:14">
      <c r="A481">
        <v>2</v>
      </c>
      <c r="B481" t="s">
        <v>1120</v>
      </c>
      <c r="D481" t="s">
        <v>1123</v>
      </c>
      <c r="F481">
        <v>2</v>
      </c>
      <c r="G481" t="s">
        <v>1104</v>
      </c>
      <c r="H481" t="s">
        <v>1650</v>
      </c>
      <c r="I481" t="s">
        <v>1125</v>
      </c>
      <c r="J481">
        <v>1</v>
      </c>
      <c r="K481">
        <v>60961953</v>
      </c>
      <c r="L481">
        <v>2434091</v>
      </c>
      <c r="M481">
        <v>63396044</v>
      </c>
      <c r="N481" t="s">
        <v>1551</v>
      </c>
    </row>
    <row r="482" spans="1:14">
      <c r="A482">
        <v>3</v>
      </c>
      <c r="B482" t="s">
        <v>1126</v>
      </c>
      <c r="D482" t="s">
        <v>1102</v>
      </c>
      <c r="F482">
        <v>1</v>
      </c>
      <c r="G482" t="s">
        <v>1127</v>
      </c>
      <c r="H482" t="s">
        <v>1128</v>
      </c>
      <c r="I482" t="s">
        <v>1129</v>
      </c>
      <c r="J482">
        <v>1</v>
      </c>
      <c r="K482">
        <v>99090897</v>
      </c>
      <c r="L482">
        <v>707318</v>
      </c>
      <c r="M482">
        <v>99798215</v>
      </c>
      <c r="N482" t="s">
        <v>1508</v>
      </c>
    </row>
    <row r="483" spans="1:14">
      <c r="A483">
        <v>3</v>
      </c>
      <c r="B483" t="s">
        <v>1126</v>
      </c>
      <c r="D483" t="s">
        <v>1102</v>
      </c>
      <c r="F483">
        <v>1</v>
      </c>
      <c r="G483" t="s">
        <v>1127</v>
      </c>
      <c r="H483" t="s">
        <v>1144</v>
      </c>
      <c r="I483" t="s">
        <v>1145</v>
      </c>
      <c r="J483">
        <v>1</v>
      </c>
      <c r="K483">
        <v>187885320</v>
      </c>
      <c r="L483">
        <v>2294805</v>
      </c>
      <c r="M483">
        <v>190180125</v>
      </c>
      <c r="N483" t="s">
        <v>1505</v>
      </c>
    </row>
    <row r="484" spans="1:14">
      <c r="A484">
        <v>3</v>
      </c>
      <c r="B484" t="s">
        <v>1126</v>
      </c>
      <c r="D484" t="s">
        <v>1102</v>
      </c>
      <c r="F484">
        <v>1</v>
      </c>
      <c r="G484" t="s">
        <v>1127</v>
      </c>
      <c r="H484" t="s">
        <v>1156</v>
      </c>
      <c r="I484" t="s">
        <v>1151</v>
      </c>
      <c r="J484">
        <v>1</v>
      </c>
      <c r="K484">
        <v>184887150</v>
      </c>
      <c r="L484">
        <v>294409</v>
      </c>
      <c r="M484">
        <v>185181559</v>
      </c>
      <c r="N484" t="s">
        <v>1505</v>
      </c>
    </row>
    <row r="485" spans="1:14">
      <c r="A485">
        <v>3</v>
      </c>
      <c r="B485" t="s">
        <v>1126</v>
      </c>
      <c r="D485" t="s">
        <v>1102</v>
      </c>
      <c r="F485">
        <v>1</v>
      </c>
      <c r="G485" t="s">
        <v>1127</v>
      </c>
      <c r="H485" t="s">
        <v>1167</v>
      </c>
      <c r="I485" t="s">
        <v>1147</v>
      </c>
      <c r="J485">
        <v>1</v>
      </c>
      <c r="K485">
        <v>192216010</v>
      </c>
      <c r="M485">
        <v>192216010</v>
      </c>
      <c r="N485" t="s">
        <v>1505</v>
      </c>
    </row>
    <row r="486" spans="1:14">
      <c r="A486">
        <v>3</v>
      </c>
      <c r="B486" t="s">
        <v>1126</v>
      </c>
      <c r="D486" t="s">
        <v>1102</v>
      </c>
      <c r="F486">
        <v>1</v>
      </c>
      <c r="G486" t="s">
        <v>1127</v>
      </c>
      <c r="H486" t="s">
        <v>1168</v>
      </c>
      <c r="I486" t="s">
        <v>1151</v>
      </c>
      <c r="J486">
        <v>1</v>
      </c>
      <c r="K486">
        <v>192216010</v>
      </c>
      <c r="L486">
        <v>172727</v>
      </c>
      <c r="M486">
        <v>192388737</v>
      </c>
      <c r="N486" t="s">
        <v>1505</v>
      </c>
    </row>
    <row r="487" spans="1:14">
      <c r="A487">
        <v>3</v>
      </c>
      <c r="B487" t="s">
        <v>1126</v>
      </c>
      <c r="D487" t="s">
        <v>1102</v>
      </c>
      <c r="F487">
        <v>1</v>
      </c>
      <c r="G487" t="s">
        <v>1127</v>
      </c>
      <c r="H487" t="s">
        <v>1169</v>
      </c>
      <c r="I487" t="s">
        <v>1147</v>
      </c>
      <c r="J487">
        <v>1</v>
      </c>
      <c r="K487">
        <v>192549140</v>
      </c>
      <c r="M487">
        <v>192549140</v>
      </c>
      <c r="N487" t="s">
        <v>1505</v>
      </c>
    </row>
    <row r="488" spans="1:14">
      <c r="A488">
        <v>3</v>
      </c>
      <c r="B488" t="s">
        <v>1126</v>
      </c>
      <c r="D488" t="s">
        <v>1102</v>
      </c>
      <c r="F488">
        <v>1</v>
      </c>
      <c r="G488" t="s">
        <v>1127</v>
      </c>
      <c r="H488" t="s">
        <v>1196</v>
      </c>
      <c r="I488" t="s">
        <v>1178</v>
      </c>
      <c r="J488">
        <v>1</v>
      </c>
      <c r="K488">
        <v>149614560</v>
      </c>
      <c r="M488">
        <v>149614560</v>
      </c>
      <c r="N488" t="s">
        <v>1508</v>
      </c>
    </row>
    <row r="489" spans="1:14">
      <c r="A489">
        <v>3</v>
      </c>
      <c r="B489" t="s">
        <v>1126</v>
      </c>
      <c r="D489" t="s">
        <v>1102</v>
      </c>
      <c r="F489">
        <v>1</v>
      </c>
      <c r="G489" t="s">
        <v>1127</v>
      </c>
      <c r="H489" t="s">
        <v>1197</v>
      </c>
      <c r="I489" t="s">
        <v>1198</v>
      </c>
      <c r="J489">
        <v>1</v>
      </c>
      <c r="K489">
        <v>88331760</v>
      </c>
      <c r="M489">
        <v>88331760</v>
      </c>
      <c r="N489" t="s">
        <v>1507</v>
      </c>
    </row>
    <row r="490" spans="1:14">
      <c r="A490">
        <v>3</v>
      </c>
      <c r="B490" t="s">
        <v>1126</v>
      </c>
      <c r="D490" t="s">
        <v>1102</v>
      </c>
      <c r="F490">
        <v>1</v>
      </c>
      <c r="G490" t="s">
        <v>1127</v>
      </c>
      <c r="H490" t="s">
        <v>1208</v>
      </c>
      <c r="I490" t="s">
        <v>1209</v>
      </c>
      <c r="J490">
        <v>1</v>
      </c>
      <c r="K490">
        <v>172508800</v>
      </c>
      <c r="M490">
        <v>172508800</v>
      </c>
      <c r="N490" t="s">
        <v>1505</v>
      </c>
    </row>
    <row r="491" spans="1:14">
      <c r="A491">
        <v>3</v>
      </c>
      <c r="B491" t="s">
        <v>1126</v>
      </c>
      <c r="D491" t="s">
        <v>1102</v>
      </c>
      <c r="F491">
        <v>1</v>
      </c>
      <c r="G491" t="s">
        <v>1127</v>
      </c>
      <c r="H491" t="s">
        <v>1216</v>
      </c>
      <c r="I491" t="s">
        <v>1160</v>
      </c>
      <c r="J491">
        <v>1</v>
      </c>
      <c r="K491">
        <v>246615360</v>
      </c>
      <c r="M491">
        <v>246615360</v>
      </c>
      <c r="N491" t="s">
        <v>1505</v>
      </c>
    </row>
    <row r="492" spans="1:14">
      <c r="A492">
        <v>3</v>
      </c>
      <c r="B492" t="s">
        <v>1126</v>
      </c>
      <c r="D492" t="s">
        <v>1102</v>
      </c>
      <c r="F492">
        <v>1</v>
      </c>
      <c r="G492" t="s">
        <v>1127</v>
      </c>
      <c r="H492" t="s">
        <v>1225</v>
      </c>
      <c r="I492" t="s">
        <v>1160</v>
      </c>
      <c r="J492">
        <v>1</v>
      </c>
      <c r="K492">
        <v>243212680</v>
      </c>
      <c r="M492">
        <v>243212680</v>
      </c>
      <c r="N492" t="s">
        <v>1505</v>
      </c>
    </row>
    <row r="493" spans="1:14">
      <c r="A493">
        <v>3</v>
      </c>
      <c r="B493" t="s">
        <v>1126</v>
      </c>
      <c r="D493" t="s">
        <v>1102</v>
      </c>
      <c r="F493">
        <v>1</v>
      </c>
      <c r="G493" t="s">
        <v>1127</v>
      </c>
      <c r="H493" t="s">
        <v>1226</v>
      </c>
      <c r="I493" t="s">
        <v>1227</v>
      </c>
      <c r="J493">
        <v>1</v>
      </c>
      <c r="K493">
        <v>243212680</v>
      </c>
      <c r="L493">
        <v>318182</v>
      </c>
      <c r="M493">
        <v>243530862</v>
      </c>
      <c r="N493" t="s">
        <v>1505</v>
      </c>
    </row>
    <row r="494" spans="1:14">
      <c r="A494">
        <v>3</v>
      </c>
      <c r="B494" t="s">
        <v>1126</v>
      </c>
      <c r="D494" t="s">
        <v>1102</v>
      </c>
      <c r="F494">
        <v>1</v>
      </c>
      <c r="G494" t="s">
        <v>1127</v>
      </c>
      <c r="H494" t="s">
        <v>1236</v>
      </c>
      <c r="I494" t="s">
        <v>1211</v>
      </c>
      <c r="J494">
        <v>1</v>
      </c>
      <c r="K494">
        <v>184407240</v>
      </c>
      <c r="M494">
        <v>184407240</v>
      </c>
      <c r="N494" t="s">
        <v>1505</v>
      </c>
    </row>
    <row r="495" spans="1:14">
      <c r="A495">
        <v>3</v>
      </c>
      <c r="B495" t="s">
        <v>1126</v>
      </c>
      <c r="D495" t="s">
        <v>1102</v>
      </c>
      <c r="F495">
        <v>1</v>
      </c>
      <c r="G495" t="s">
        <v>1127</v>
      </c>
      <c r="H495" t="s">
        <v>1240</v>
      </c>
      <c r="I495" t="s">
        <v>1222</v>
      </c>
      <c r="J495">
        <v>1</v>
      </c>
      <c r="K495">
        <v>184407240</v>
      </c>
      <c r="M495">
        <v>184407240</v>
      </c>
      <c r="N495" t="s">
        <v>1505</v>
      </c>
    </row>
    <row r="496" spans="1:14">
      <c r="A496">
        <v>3</v>
      </c>
      <c r="B496" t="s">
        <v>1126</v>
      </c>
      <c r="D496" t="s">
        <v>1102</v>
      </c>
      <c r="F496">
        <v>1</v>
      </c>
      <c r="G496" t="s">
        <v>1127</v>
      </c>
      <c r="H496" t="s">
        <v>1247</v>
      </c>
      <c r="I496" t="s">
        <v>1176</v>
      </c>
      <c r="J496">
        <v>1</v>
      </c>
      <c r="K496">
        <v>176005600</v>
      </c>
      <c r="M496">
        <v>176005600</v>
      </c>
      <c r="N496" t="s">
        <v>1505</v>
      </c>
    </row>
    <row r="497" spans="1:14">
      <c r="A497">
        <v>3</v>
      </c>
      <c r="B497" t="s">
        <v>1126</v>
      </c>
      <c r="D497" t="s">
        <v>1102</v>
      </c>
      <c r="F497">
        <v>1</v>
      </c>
      <c r="G497" t="s">
        <v>1127</v>
      </c>
      <c r="H497" t="s">
        <v>1253</v>
      </c>
      <c r="I497" t="s">
        <v>1182</v>
      </c>
      <c r="J497">
        <v>1</v>
      </c>
      <c r="K497">
        <v>176005600</v>
      </c>
      <c r="M497">
        <v>176005600</v>
      </c>
      <c r="N497" t="s">
        <v>1505</v>
      </c>
    </row>
    <row r="498" spans="1:14">
      <c r="A498">
        <v>3</v>
      </c>
      <c r="B498" t="s">
        <v>1126</v>
      </c>
      <c r="D498" t="s">
        <v>1102</v>
      </c>
      <c r="F498">
        <v>1</v>
      </c>
      <c r="G498" t="s">
        <v>1127</v>
      </c>
      <c r="H498" t="s">
        <v>1257</v>
      </c>
      <c r="I498" t="s">
        <v>1900</v>
      </c>
      <c r="J498">
        <v>1</v>
      </c>
      <c r="K498">
        <v>68573520</v>
      </c>
      <c r="M498">
        <v>68573520</v>
      </c>
      <c r="N498" t="s">
        <v>1507</v>
      </c>
    </row>
    <row r="499" spans="1:14">
      <c r="A499">
        <v>3</v>
      </c>
      <c r="B499" t="s">
        <v>1126</v>
      </c>
      <c r="D499" t="s">
        <v>1102</v>
      </c>
      <c r="F499">
        <v>1</v>
      </c>
      <c r="G499" t="s">
        <v>1127</v>
      </c>
      <c r="H499" t="s">
        <v>1258</v>
      </c>
      <c r="I499" t="s">
        <v>1901</v>
      </c>
      <c r="J499">
        <v>1</v>
      </c>
      <c r="K499">
        <v>67167360</v>
      </c>
      <c r="M499">
        <v>67167360</v>
      </c>
      <c r="N499" t="s">
        <v>1507</v>
      </c>
    </row>
    <row r="500" spans="1:14">
      <c r="A500">
        <v>3</v>
      </c>
      <c r="B500" t="s">
        <v>1126</v>
      </c>
      <c r="D500" t="s">
        <v>1102</v>
      </c>
      <c r="F500">
        <v>1</v>
      </c>
      <c r="G500" t="s">
        <v>1127</v>
      </c>
      <c r="H500" t="s">
        <v>1261</v>
      </c>
      <c r="I500" t="s">
        <v>1902</v>
      </c>
      <c r="J500">
        <v>1</v>
      </c>
      <c r="K500">
        <v>62861760</v>
      </c>
      <c r="M500">
        <v>62861760</v>
      </c>
      <c r="N500" t="s">
        <v>1507</v>
      </c>
    </row>
    <row r="501" spans="1:14">
      <c r="A501">
        <v>3</v>
      </c>
      <c r="B501" t="s">
        <v>1126</v>
      </c>
      <c r="D501" t="s">
        <v>1102</v>
      </c>
      <c r="F501">
        <v>1</v>
      </c>
      <c r="G501" t="s">
        <v>1127</v>
      </c>
      <c r="H501" t="s">
        <v>1271</v>
      </c>
      <c r="I501" t="s">
        <v>1903</v>
      </c>
      <c r="J501">
        <v>1</v>
      </c>
      <c r="K501">
        <v>154747890</v>
      </c>
      <c r="M501">
        <v>154747890</v>
      </c>
      <c r="N501" t="s">
        <v>1505</v>
      </c>
    </row>
    <row r="502" spans="1:14">
      <c r="A502">
        <v>3</v>
      </c>
      <c r="B502" t="s">
        <v>1126</v>
      </c>
      <c r="D502" t="s">
        <v>1102</v>
      </c>
      <c r="F502">
        <v>1</v>
      </c>
      <c r="G502" t="s">
        <v>1127</v>
      </c>
      <c r="H502" t="s">
        <v>1306</v>
      </c>
      <c r="I502" t="s">
        <v>1307</v>
      </c>
      <c r="J502">
        <v>1</v>
      </c>
      <c r="K502">
        <v>184101387</v>
      </c>
      <c r="M502">
        <v>184101387</v>
      </c>
      <c r="N502" t="s">
        <v>1505</v>
      </c>
    </row>
    <row r="503" spans="1:14">
      <c r="A503">
        <v>3</v>
      </c>
      <c r="B503" t="s">
        <v>1126</v>
      </c>
      <c r="D503" t="s">
        <v>1102</v>
      </c>
      <c r="F503">
        <v>1</v>
      </c>
      <c r="G503" t="s">
        <v>1127</v>
      </c>
      <c r="H503" t="s">
        <v>1318</v>
      </c>
      <c r="I503" t="s">
        <v>1904</v>
      </c>
      <c r="J503">
        <v>1</v>
      </c>
      <c r="K503">
        <v>59045760</v>
      </c>
      <c r="M503">
        <v>59045760</v>
      </c>
      <c r="N503" t="s">
        <v>1507</v>
      </c>
    </row>
    <row r="504" spans="1:14">
      <c r="A504">
        <v>3</v>
      </c>
      <c r="B504" t="s">
        <v>1126</v>
      </c>
      <c r="D504" t="s">
        <v>1102</v>
      </c>
      <c r="F504">
        <v>1</v>
      </c>
      <c r="G504" t="s">
        <v>1127</v>
      </c>
      <c r="H504" t="s">
        <v>1328</v>
      </c>
      <c r="I504" t="s">
        <v>1733</v>
      </c>
      <c r="J504">
        <v>1</v>
      </c>
      <c r="K504">
        <v>59045760</v>
      </c>
      <c r="M504">
        <v>59045760</v>
      </c>
      <c r="N504" t="s">
        <v>1507</v>
      </c>
    </row>
    <row r="505" spans="1:14">
      <c r="A505">
        <v>3</v>
      </c>
      <c r="B505" t="s">
        <v>1126</v>
      </c>
      <c r="D505" t="s">
        <v>1102</v>
      </c>
      <c r="F505">
        <v>1</v>
      </c>
      <c r="G505" t="s">
        <v>1127</v>
      </c>
      <c r="H505" t="s">
        <v>1329</v>
      </c>
      <c r="I505" t="s">
        <v>1733</v>
      </c>
      <c r="J505">
        <v>1</v>
      </c>
      <c r="K505">
        <v>59045760</v>
      </c>
      <c r="M505">
        <v>59045760</v>
      </c>
      <c r="N505" t="s">
        <v>1507</v>
      </c>
    </row>
    <row r="506" spans="1:14">
      <c r="A506">
        <v>3</v>
      </c>
      <c r="B506" t="s">
        <v>1126</v>
      </c>
      <c r="D506" t="s">
        <v>1102</v>
      </c>
      <c r="F506">
        <v>1</v>
      </c>
      <c r="G506" t="s">
        <v>1127</v>
      </c>
      <c r="H506" t="s">
        <v>1590</v>
      </c>
      <c r="I506" t="s">
        <v>1652</v>
      </c>
      <c r="J506">
        <v>1</v>
      </c>
      <c r="K506">
        <v>182578716</v>
      </c>
      <c r="M506">
        <v>182578716</v>
      </c>
      <c r="N506" t="s">
        <v>1508</v>
      </c>
    </row>
    <row r="507" spans="1:14">
      <c r="A507">
        <v>3</v>
      </c>
      <c r="B507" t="s">
        <v>1126</v>
      </c>
      <c r="D507" t="s">
        <v>1102</v>
      </c>
      <c r="F507">
        <v>1</v>
      </c>
      <c r="G507" t="s">
        <v>1127</v>
      </c>
      <c r="H507" t="s">
        <v>1655</v>
      </c>
      <c r="I507" t="s">
        <v>1145</v>
      </c>
      <c r="J507">
        <v>1</v>
      </c>
      <c r="K507">
        <v>237282899</v>
      </c>
      <c r="M507">
        <v>237282899</v>
      </c>
      <c r="N507" t="s">
        <v>1505</v>
      </c>
    </row>
    <row r="508" spans="1:14">
      <c r="A508">
        <v>3</v>
      </c>
      <c r="B508" t="s">
        <v>1126</v>
      </c>
      <c r="D508" t="s">
        <v>1102</v>
      </c>
      <c r="F508">
        <v>1</v>
      </c>
      <c r="G508" t="s">
        <v>1127</v>
      </c>
      <c r="H508" t="s">
        <v>1734</v>
      </c>
      <c r="I508" t="s">
        <v>1213</v>
      </c>
      <c r="J508">
        <v>1</v>
      </c>
      <c r="K508">
        <v>287061462</v>
      </c>
      <c r="M508">
        <v>287061462</v>
      </c>
      <c r="N508" t="s">
        <v>1505</v>
      </c>
    </row>
    <row r="509" spans="1:14">
      <c r="A509">
        <v>3</v>
      </c>
      <c r="B509" t="s">
        <v>1126</v>
      </c>
      <c r="D509" t="s">
        <v>1102</v>
      </c>
      <c r="F509">
        <v>1</v>
      </c>
      <c r="G509" t="s">
        <v>1127</v>
      </c>
      <c r="H509" t="s">
        <v>1656</v>
      </c>
      <c r="I509" t="s">
        <v>1735</v>
      </c>
      <c r="J509">
        <v>1</v>
      </c>
      <c r="K509">
        <v>285707399</v>
      </c>
      <c r="M509">
        <v>285707399</v>
      </c>
      <c r="N509" t="s">
        <v>1505</v>
      </c>
    </row>
    <row r="510" spans="1:14">
      <c r="A510">
        <v>3</v>
      </c>
      <c r="B510" t="s">
        <v>1126</v>
      </c>
      <c r="D510" t="s">
        <v>1102</v>
      </c>
      <c r="F510">
        <v>1</v>
      </c>
      <c r="G510" t="s">
        <v>1127</v>
      </c>
      <c r="H510" t="s">
        <v>1658</v>
      </c>
      <c r="I510" t="s">
        <v>1147</v>
      </c>
      <c r="J510">
        <v>1</v>
      </c>
      <c r="K510">
        <v>237282899</v>
      </c>
      <c r="M510">
        <v>237282899</v>
      </c>
      <c r="N510" t="s">
        <v>1505</v>
      </c>
    </row>
    <row r="511" spans="1:14">
      <c r="A511">
        <v>3</v>
      </c>
      <c r="B511" t="s">
        <v>1126</v>
      </c>
      <c r="D511" t="s">
        <v>1102</v>
      </c>
      <c r="F511">
        <v>1</v>
      </c>
      <c r="G511" t="s">
        <v>1127</v>
      </c>
      <c r="H511" t="s">
        <v>1659</v>
      </c>
      <c r="I511" t="s">
        <v>1147</v>
      </c>
      <c r="J511">
        <v>1</v>
      </c>
      <c r="K511">
        <v>237282899</v>
      </c>
      <c r="M511">
        <v>237282899</v>
      </c>
      <c r="N511" t="s">
        <v>1505</v>
      </c>
    </row>
    <row r="512" spans="1:14">
      <c r="A512">
        <v>3</v>
      </c>
      <c r="B512" t="s">
        <v>1126</v>
      </c>
      <c r="D512" t="s">
        <v>1102</v>
      </c>
      <c r="F512">
        <v>1</v>
      </c>
      <c r="G512" t="s">
        <v>1127</v>
      </c>
      <c r="H512" t="s">
        <v>1660</v>
      </c>
      <c r="I512" t="s">
        <v>1147</v>
      </c>
      <c r="J512">
        <v>1</v>
      </c>
      <c r="K512">
        <v>237282899</v>
      </c>
      <c r="M512">
        <v>237282899</v>
      </c>
      <c r="N512" t="s">
        <v>1505</v>
      </c>
    </row>
    <row r="513" spans="1:14">
      <c r="A513">
        <v>3</v>
      </c>
      <c r="B513" t="s">
        <v>1126</v>
      </c>
      <c r="D513" t="s">
        <v>1102</v>
      </c>
      <c r="F513">
        <v>1</v>
      </c>
      <c r="G513" t="s">
        <v>1127</v>
      </c>
      <c r="H513" t="s">
        <v>1742</v>
      </c>
      <c r="I513" t="s">
        <v>1905</v>
      </c>
      <c r="J513">
        <v>1</v>
      </c>
      <c r="K513">
        <v>148288007</v>
      </c>
      <c r="M513">
        <v>148288007</v>
      </c>
      <c r="N513" t="s">
        <v>1507</v>
      </c>
    </row>
    <row r="514" spans="1:14">
      <c r="A514">
        <v>3</v>
      </c>
      <c r="B514" t="s">
        <v>1126</v>
      </c>
      <c r="D514" t="s">
        <v>1102</v>
      </c>
      <c r="F514">
        <v>1</v>
      </c>
      <c r="G514" t="s">
        <v>1127</v>
      </c>
      <c r="H514" t="s">
        <v>1744</v>
      </c>
      <c r="I514" t="s">
        <v>1903</v>
      </c>
      <c r="J514">
        <v>1</v>
      </c>
      <c r="K514">
        <v>157289569</v>
      </c>
      <c r="L514">
        <v>109091</v>
      </c>
      <c r="M514">
        <v>157398660</v>
      </c>
      <c r="N514" t="s">
        <v>1505</v>
      </c>
    </row>
    <row r="515" spans="1:14">
      <c r="A515">
        <v>3</v>
      </c>
      <c r="B515" t="s">
        <v>1126</v>
      </c>
      <c r="D515" t="s">
        <v>1102</v>
      </c>
      <c r="F515">
        <v>1</v>
      </c>
      <c r="G515" t="s">
        <v>1127</v>
      </c>
      <c r="H515" t="s">
        <v>1745</v>
      </c>
      <c r="I515" t="s">
        <v>1903</v>
      </c>
      <c r="J515">
        <v>1</v>
      </c>
      <c r="K515">
        <v>157289569</v>
      </c>
      <c r="M515">
        <v>157289569</v>
      </c>
      <c r="N515" t="s">
        <v>1505</v>
      </c>
    </row>
    <row r="516" spans="1:14">
      <c r="A516">
        <v>3</v>
      </c>
      <c r="B516" t="s">
        <v>1126</v>
      </c>
      <c r="D516" t="s">
        <v>1102</v>
      </c>
      <c r="F516">
        <v>1</v>
      </c>
      <c r="G516" t="s">
        <v>1127</v>
      </c>
      <c r="H516" t="s">
        <v>1753</v>
      </c>
      <c r="I516" t="s">
        <v>1307</v>
      </c>
      <c r="J516">
        <v>1</v>
      </c>
      <c r="K516">
        <v>183972769</v>
      </c>
      <c r="L516">
        <v>318182</v>
      </c>
      <c r="M516">
        <v>184290951</v>
      </c>
      <c r="N516" t="s">
        <v>1505</v>
      </c>
    </row>
    <row r="517" spans="1:14">
      <c r="A517">
        <v>3</v>
      </c>
      <c r="B517" t="s">
        <v>1126</v>
      </c>
      <c r="D517" t="s">
        <v>1102</v>
      </c>
      <c r="F517">
        <v>1</v>
      </c>
      <c r="G517" t="s">
        <v>1127</v>
      </c>
      <c r="H517" t="s">
        <v>1756</v>
      </c>
      <c r="I517" t="s">
        <v>1182</v>
      </c>
      <c r="J517">
        <v>1</v>
      </c>
      <c r="K517">
        <v>183972769</v>
      </c>
      <c r="L517">
        <v>109091</v>
      </c>
      <c r="M517">
        <v>184081860</v>
      </c>
      <c r="N517" t="s">
        <v>1505</v>
      </c>
    </row>
    <row r="518" spans="1:14">
      <c r="A518">
        <v>3</v>
      </c>
      <c r="B518" t="s">
        <v>1126</v>
      </c>
      <c r="D518" t="s">
        <v>1102</v>
      </c>
      <c r="F518">
        <v>1</v>
      </c>
      <c r="G518" t="s">
        <v>1127</v>
      </c>
      <c r="H518" t="s">
        <v>1765</v>
      </c>
      <c r="I518" t="s">
        <v>1766</v>
      </c>
      <c r="J518">
        <v>1</v>
      </c>
      <c r="K518">
        <v>148288007</v>
      </c>
      <c r="M518">
        <v>148288007</v>
      </c>
      <c r="N518" t="s">
        <v>1507</v>
      </c>
    </row>
    <row r="519" spans="1:14">
      <c r="A519">
        <v>3</v>
      </c>
      <c r="B519" t="s">
        <v>1126</v>
      </c>
      <c r="D519" t="s">
        <v>1102</v>
      </c>
      <c r="F519">
        <v>1</v>
      </c>
      <c r="G519" t="s">
        <v>1127</v>
      </c>
      <c r="H519" t="s">
        <v>1769</v>
      </c>
      <c r="I519" t="s">
        <v>1903</v>
      </c>
      <c r="J519">
        <v>1</v>
      </c>
      <c r="K519">
        <v>157289569</v>
      </c>
      <c r="M519">
        <v>157289569</v>
      </c>
      <c r="N519" t="s">
        <v>1505</v>
      </c>
    </row>
    <row r="520" spans="1:14">
      <c r="A520">
        <v>3</v>
      </c>
      <c r="B520" t="s">
        <v>1126</v>
      </c>
      <c r="D520" t="s">
        <v>1102</v>
      </c>
      <c r="F520">
        <v>1</v>
      </c>
      <c r="G520" t="s">
        <v>1127</v>
      </c>
      <c r="H520" t="s">
        <v>1772</v>
      </c>
      <c r="I520" t="s">
        <v>1176</v>
      </c>
      <c r="J520">
        <v>1</v>
      </c>
      <c r="K520">
        <v>183972769</v>
      </c>
      <c r="M520">
        <v>183972769</v>
      </c>
      <c r="N520" t="s">
        <v>1505</v>
      </c>
    </row>
    <row r="521" spans="1:14">
      <c r="A521">
        <v>3</v>
      </c>
      <c r="B521" t="s">
        <v>1126</v>
      </c>
      <c r="D521" t="s">
        <v>1102</v>
      </c>
      <c r="F521">
        <v>1</v>
      </c>
      <c r="G521" t="s">
        <v>1127</v>
      </c>
      <c r="H521" t="s">
        <v>1773</v>
      </c>
      <c r="I521" t="s">
        <v>1774</v>
      </c>
      <c r="J521">
        <v>1</v>
      </c>
      <c r="K521">
        <v>76172807</v>
      </c>
      <c r="M521">
        <v>76172807</v>
      </c>
      <c r="N521" t="s">
        <v>1507</v>
      </c>
    </row>
    <row r="522" spans="1:14">
      <c r="A522">
        <v>3</v>
      </c>
      <c r="B522" t="s">
        <v>1126</v>
      </c>
      <c r="D522" t="s">
        <v>1102</v>
      </c>
      <c r="F522">
        <v>1</v>
      </c>
      <c r="G522" t="s">
        <v>1127</v>
      </c>
      <c r="H522" t="s">
        <v>1777</v>
      </c>
      <c r="I522" t="s">
        <v>1778</v>
      </c>
      <c r="J522">
        <v>1</v>
      </c>
      <c r="K522">
        <v>139273607</v>
      </c>
      <c r="M522">
        <v>139273607</v>
      </c>
      <c r="N522" t="s">
        <v>1507</v>
      </c>
    </row>
    <row r="523" spans="1:14">
      <c r="A523">
        <v>3</v>
      </c>
      <c r="B523" t="s">
        <v>1126</v>
      </c>
      <c r="D523" t="s">
        <v>1102</v>
      </c>
      <c r="F523">
        <v>1</v>
      </c>
      <c r="G523" t="s">
        <v>1127</v>
      </c>
      <c r="H523" t="s">
        <v>1779</v>
      </c>
      <c r="I523" t="s">
        <v>1780</v>
      </c>
      <c r="J523">
        <v>1</v>
      </c>
      <c r="K523">
        <v>139273607</v>
      </c>
      <c r="M523">
        <v>139273607</v>
      </c>
      <c r="N523" t="s">
        <v>1507</v>
      </c>
    </row>
    <row r="524" spans="1:14">
      <c r="A524">
        <v>3</v>
      </c>
      <c r="B524" t="s">
        <v>1126</v>
      </c>
      <c r="D524" t="s">
        <v>1102</v>
      </c>
      <c r="F524">
        <v>1</v>
      </c>
      <c r="G524" t="s">
        <v>1127</v>
      </c>
      <c r="H524" t="s">
        <v>1781</v>
      </c>
      <c r="I524" t="s">
        <v>1782</v>
      </c>
      <c r="J524">
        <v>1</v>
      </c>
      <c r="K524">
        <v>139273607</v>
      </c>
      <c r="M524">
        <v>139273607</v>
      </c>
      <c r="N524" t="s">
        <v>1507</v>
      </c>
    </row>
    <row r="525" spans="1:14">
      <c r="A525">
        <v>3</v>
      </c>
      <c r="B525" t="s">
        <v>1126</v>
      </c>
      <c r="D525" t="s">
        <v>1102</v>
      </c>
      <c r="F525">
        <v>1</v>
      </c>
      <c r="G525" t="s">
        <v>1127</v>
      </c>
      <c r="H525" t="s">
        <v>1783</v>
      </c>
      <c r="I525" t="s">
        <v>1784</v>
      </c>
      <c r="J525">
        <v>1</v>
      </c>
      <c r="K525">
        <v>161809607</v>
      </c>
      <c r="M525">
        <v>161809607</v>
      </c>
      <c r="N525" t="s">
        <v>1507</v>
      </c>
    </row>
    <row r="526" spans="1:14">
      <c r="A526">
        <v>3</v>
      </c>
      <c r="B526" t="s">
        <v>1126</v>
      </c>
      <c r="D526" t="s">
        <v>1102</v>
      </c>
      <c r="F526">
        <v>1</v>
      </c>
      <c r="G526" t="s">
        <v>1127</v>
      </c>
      <c r="H526" t="s">
        <v>1791</v>
      </c>
      <c r="I526" t="s">
        <v>1792</v>
      </c>
      <c r="J526">
        <v>1</v>
      </c>
      <c r="K526">
        <v>124731079</v>
      </c>
      <c r="M526">
        <v>124731079</v>
      </c>
      <c r="N526" t="s">
        <v>1507</v>
      </c>
    </row>
    <row r="527" spans="1:14">
      <c r="A527">
        <v>3</v>
      </c>
      <c r="B527" t="s">
        <v>1126</v>
      </c>
      <c r="D527" t="s">
        <v>1102</v>
      </c>
      <c r="F527">
        <v>1</v>
      </c>
      <c r="G527" t="s">
        <v>1127</v>
      </c>
      <c r="H527" t="s">
        <v>1906</v>
      </c>
      <c r="I527" t="s">
        <v>1907</v>
      </c>
      <c r="J527">
        <v>1</v>
      </c>
      <c r="K527">
        <v>157188679</v>
      </c>
      <c r="M527">
        <v>157188679</v>
      </c>
      <c r="N527" t="s">
        <v>1507</v>
      </c>
    </row>
    <row r="528" spans="1:14">
      <c r="A528">
        <v>3</v>
      </c>
      <c r="B528" t="s">
        <v>1126</v>
      </c>
      <c r="D528" t="s">
        <v>1102</v>
      </c>
      <c r="F528">
        <v>1</v>
      </c>
      <c r="G528" t="s">
        <v>1127</v>
      </c>
      <c r="H528" t="s">
        <v>1908</v>
      </c>
      <c r="I528" t="s">
        <v>1172</v>
      </c>
      <c r="J528">
        <v>1</v>
      </c>
      <c r="K528">
        <v>181807060</v>
      </c>
      <c r="L528">
        <v>720373</v>
      </c>
      <c r="M528">
        <v>182527433</v>
      </c>
      <c r="N528" t="s">
        <v>1505</v>
      </c>
    </row>
    <row r="529" spans="1:14">
      <c r="A529">
        <v>3</v>
      </c>
      <c r="B529" t="s">
        <v>1126</v>
      </c>
      <c r="D529" t="s">
        <v>1102</v>
      </c>
      <c r="F529">
        <v>1</v>
      </c>
      <c r="G529" t="s">
        <v>1127</v>
      </c>
      <c r="H529" t="s">
        <v>1909</v>
      </c>
      <c r="I529" t="s">
        <v>1172</v>
      </c>
      <c r="J529">
        <v>1</v>
      </c>
      <c r="K529">
        <v>181807060</v>
      </c>
      <c r="L529">
        <v>109091</v>
      </c>
      <c r="M529">
        <v>181916151</v>
      </c>
      <c r="N529" t="s">
        <v>1505</v>
      </c>
    </row>
    <row r="530" spans="1:14">
      <c r="A530">
        <v>3</v>
      </c>
      <c r="B530" t="s">
        <v>1126</v>
      </c>
      <c r="D530" t="s">
        <v>1102</v>
      </c>
      <c r="F530">
        <v>1</v>
      </c>
      <c r="G530" t="s">
        <v>1127</v>
      </c>
      <c r="H530" t="s">
        <v>1910</v>
      </c>
      <c r="I530" t="s">
        <v>1182</v>
      </c>
      <c r="J530">
        <v>1</v>
      </c>
      <c r="K530">
        <v>181807060</v>
      </c>
      <c r="L530">
        <v>1772804</v>
      </c>
      <c r="M530">
        <v>183579864</v>
      </c>
      <c r="N530" t="s">
        <v>1505</v>
      </c>
    </row>
    <row r="531" spans="1:14">
      <c r="A531">
        <v>3</v>
      </c>
      <c r="B531" t="s">
        <v>1126</v>
      </c>
      <c r="D531" t="s">
        <v>1102</v>
      </c>
      <c r="F531">
        <v>1</v>
      </c>
      <c r="G531" t="s">
        <v>1127</v>
      </c>
      <c r="H531" t="s">
        <v>1911</v>
      </c>
      <c r="I531" t="s">
        <v>1172</v>
      </c>
      <c r="J531">
        <v>1</v>
      </c>
      <c r="K531">
        <v>181807060</v>
      </c>
      <c r="L531">
        <v>628396</v>
      </c>
      <c r="M531">
        <v>182435456</v>
      </c>
      <c r="N531" t="s">
        <v>1505</v>
      </c>
    </row>
    <row r="532" spans="1:14">
      <c r="A532">
        <v>3</v>
      </c>
      <c r="B532" t="s">
        <v>1126</v>
      </c>
      <c r="D532" t="s">
        <v>1102</v>
      </c>
      <c r="F532">
        <v>1</v>
      </c>
      <c r="G532" t="s">
        <v>1127</v>
      </c>
      <c r="H532" t="s">
        <v>1912</v>
      </c>
      <c r="I532" t="s">
        <v>1913</v>
      </c>
      <c r="J532">
        <v>1</v>
      </c>
      <c r="K532">
        <v>105253042</v>
      </c>
      <c r="M532">
        <v>105253042</v>
      </c>
      <c r="N532" t="s">
        <v>1507</v>
      </c>
    </row>
    <row r="533" spans="1:14">
      <c r="A533">
        <v>3</v>
      </c>
      <c r="B533" t="s">
        <v>1126</v>
      </c>
      <c r="D533" t="s">
        <v>1102</v>
      </c>
      <c r="F533">
        <v>1</v>
      </c>
      <c r="G533" t="s">
        <v>1127</v>
      </c>
      <c r="H533" t="s">
        <v>1914</v>
      </c>
      <c r="I533" t="s">
        <v>1915</v>
      </c>
      <c r="J533">
        <v>1</v>
      </c>
      <c r="K533">
        <v>76507200</v>
      </c>
      <c r="M533">
        <v>76507200</v>
      </c>
      <c r="N533" t="s">
        <v>1507</v>
      </c>
    </row>
    <row r="534" spans="1:14">
      <c r="A534">
        <v>3</v>
      </c>
      <c r="B534" t="s">
        <v>1126</v>
      </c>
      <c r="D534" t="s">
        <v>1102</v>
      </c>
      <c r="F534">
        <v>1</v>
      </c>
      <c r="G534" t="s">
        <v>1127</v>
      </c>
      <c r="H534" t="s">
        <v>1916</v>
      </c>
      <c r="I534" t="s">
        <v>1915</v>
      </c>
      <c r="J534">
        <v>1</v>
      </c>
      <c r="K534">
        <v>76507200</v>
      </c>
      <c r="M534">
        <v>76507200</v>
      </c>
      <c r="N534" t="s">
        <v>1507</v>
      </c>
    </row>
    <row r="535" spans="1:14">
      <c r="A535">
        <v>3</v>
      </c>
      <c r="B535" t="s">
        <v>1126</v>
      </c>
      <c r="D535" t="s">
        <v>1102</v>
      </c>
      <c r="F535">
        <v>1</v>
      </c>
      <c r="G535" t="s">
        <v>1127</v>
      </c>
      <c r="H535" t="s">
        <v>1917</v>
      </c>
      <c r="I535" t="s">
        <v>1915</v>
      </c>
      <c r="J535">
        <v>1</v>
      </c>
      <c r="K535">
        <v>76507200</v>
      </c>
      <c r="M535">
        <v>76507200</v>
      </c>
      <c r="N535" t="s">
        <v>1507</v>
      </c>
    </row>
    <row r="536" spans="1:14">
      <c r="A536">
        <v>3</v>
      </c>
      <c r="B536" t="s">
        <v>1126</v>
      </c>
      <c r="D536" t="s">
        <v>1102</v>
      </c>
      <c r="F536">
        <v>1</v>
      </c>
      <c r="G536" t="s">
        <v>1127</v>
      </c>
      <c r="H536" t="s">
        <v>1918</v>
      </c>
      <c r="I536" t="s">
        <v>1740</v>
      </c>
      <c r="J536">
        <v>1</v>
      </c>
      <c r="K536">
        <v>76507200</v>
      </c>
      <c r="M536">
        <v>76507200</v>
      </c>
      <c r="N536" t="s">
        <v>1507</v>
      </c>
    </row>
    <row r="537" spans="1:14">
      <c r="A537">
        <v>3</v>
      </c>
      <c r="B537" t="s">
        <v>1126</v>
      </c>
      <c r="D537" t="s">
        <v>1102</v>
      </c>
      <c r="F537">
        <v>1</v>
      </c>
      <c r="G537" t="s">
        <v>1127</v>
      </c>
      <c r="H537" t="s">
        <v>1919</v>
      </c>
      <c r="I537" t="s">
        <v>1740</v>
      </c>
      <c r="J537">
        <v>1</v>
      </c>
      <c r="K537">
        <v>76507200</v>
      </c>
      <c r="M537">
        <v>76507200</v>
      </c>
      <c r="N537" t="s">
        <v>1507</v>
      </c>
    </row>
    <row r="538" spans="1:14">
      <c r="A538">
        <v>3</v>
      </c>
      <c r="B538" t="s">
        <v>1126</v>
      </c>
      <c r="D538" t="s">
        <v>1102</v>
      </c>
      <c r="F538">
        <v>1</v>
      </c>
      <c r="G538" t="s">
        <v>1127</v>
      </c>
      <c r="H538" t="s">
        <v>1920</v>
      </c>
      <c r="I538" t="s">
        <v>1902</v>
      </c>
      <c r="J538">
        <v>1</v>
      </c>
      <c r="K538">
        <v>71870400</v>
      </c>
      <c r="M538">
        <v>71870400</v>
      </c>
      <c r="N538" t="s">
        <v>1507</v>
      </c>
    </row>
    <row r="539" spans="1:14">
      <c r="A539">
        <v>3</v>
      </c>
      <c r="B539" t="s">
        <v>1126</v>
      </c>
      <c r="D539" t="s">
        <v>1102</v>
      </c>
      <c r="F539">
        <v>1</v>
      </c>
      <c r="G539" t="s">
        <v>1127</v>
      </c>
      <c r="H539" t="s">
        <v>1921</v>
      </c>
      <c r="I539" t="s">
        <v>1915</v>
      </c>
      <c r="J539">
        <v>1</v>
      </c>
      <c r="K539">
        <v>76507200</v>
      </c>
      <c r="M539">
        <v>76507200</v>
      </c>
      <c r="N539" t="s">
        <v>1507</v>
      </c>
    </row>
    <row r="540" spans="1:14">
      <c r="A540">
        <v>3</v>
      </c>
      <c r="B540" t="s">
        <v>1126</v>
      </c>
      <c r="D540" t="s">
        <v>1102</v>
      </c>
      <c r="F540">
        <v>1</v>
      </c>
      <c r="G540" t="s">
        <v>1127</v>
      </c>
      <c r="H540" t="s">
        <v>1922</v>
      </c>
      <c r="I540" t="s">
        <v>1218</v>
      </c>
      <c r="J540">
        <v>1</v>
      </c>
      <c r="K540">
        <v>172714940</v>
      </c>
      <c r="M540">
        <v>172714940</v>
      </c>
      <c r="N540" t="s">
        <v>1505</v>
      </c>
    </row>
    <row r="541" spans="1:14">
      <c r="A541">
        <v>3</v>
      </c>
      <c r="B541" t="s">
        <v>1126</v>
      </c>
      <c r="D541" t="s">
        <v>1102</v>
      </c>
      <c r="F541">
        <v>1</v>
      </c>
      <c r="G541" t="s">
        <v>1127</v>
      </c>
      <c r="H541" t="s">
        <v>1923</v>
      </c>
      <c r="I541" t="s">
        <v>1218</v>
      </c>
      <c r="J541">
        <v>1</v>
      </c>
      <c r="K541">
        <v>172714940</v>
      </c>
      <c r="M541">
        <v>172714940</v>
      </c>
      <c r="N541" t="s">
        <v>1505</v>
      </c>
    </row>
    <row r="542" spans="1:14">
      <c r="A542">
        <v>3</v>
      </c>
      <c r="B542" t="s">
        <v>1126</v>
      </c>
      <c r="D542" t="s">
        <v>1102</v>
      </c>
      <c r="F542">
        <v>1</v>
      </c>
      <c r="G542" t="s">
        <v>1127</v>
      </c>
      <c r="H542" t="s">
        <v>1924</v>
      </c>
      <c r="I542" t="s">
        <v>1925</v>
      </c>
      <c r="J542">
        <v>1</v>
      </c>
      <c r="K542">
        <v>172714940</v>
      </c>
      <c r="M542">
        <v>172714940</v>
      </c>
      <c r="N542" t="s">
        <v>1505</v>
      </c>
    </row>
    <row r="543" spans="1:14">
      <c r="A543">
        <v>3</v>
      </c>
      <c r="B543" t="s">
        <v>1126</v>
      </c>
      <c r="D543" t="s">
        <v>1102</v>
      </c>
      <c r="F543">
        <v>1</v>
      </c>
      <c r="G543" t="s">
        <v>1127</v>
      </c>
      <c r="H543" t="s">
        <v>1926</v>
      </c>
      <c r="I543" t="s">
        <v>1927</v>
      </c>
      <c r="J543">
        <v>1</v>
      </c>
      <c r="K543">
        <v>131639460</v>
      </c>
      <c r="M543">
        <v>131639460</v>
      </c>
      <c r="N543" t="s">
        <v>1505</v>
      </c>
    </row>
    <row r="544" spans="1:14">
      <c r="A544">
        <v>3</v>
      </c>
      <c r="B544" t="s">
        <v>1126</v>
      </c>
      <c r="D544" t="s">
        <v>1102</v>
      </c>
      <c r="F544">
        <v>1</v>
      </c>
      <c r="G544" t="s">
        <v>1127</v>
      </c>
      <c r="H544" t="s">
        <v>1928</v>
      </c>
      <c r="I544" t="s">
        <v>1925</v>
      </c>
      <c r="J544">
        <v>1</v>
      </c>
      <c r="K544">
        <v>172714940</v>
      </c>
      <c r="M544">
        <v>172714940</v>
      </c>
      <c r="N544" t="s">
        <v>1505</v>
      </c>
    </row>
    <row r="545" spans="1:14">
      <c r="A545">
        <v>3</v>
      </c>
      <c r="B545" t="s">
        <v>1126</v>
      </c>
      <c r="D545" t="s">
        <v>1102</v>
      </c>
      <c r="F545">
        <v>1</v>
      </c>
      <c r="G545" t="s">
        <v>1127</v>
      </c>
      <c r="H545" t="s">
        <v>1929</v>
      </c>
      <c r="I545" t="s">
        <v>1218</v>
      </c>
      <c r="J545">
        <v>1</v>
      </c>
      <c r="K545">
        <v>172714940</v>
      </c>
      <c r="M545">
        <v>172714940</v>
      </c>
      <c r="N545" t="s">
        <v>1505</v>
      </c>
    </row>
    <row r="546" spans="1:14">
      <c r="A546">
        <v>3</v>
      </c>
      <c r="B546" t="s">
        <v>1126</v>
      </c>
      <c r="D546" t="s">
        <v>1102</v>
      </c>
      <c r="F546">
        <v>1</v>
      </c>
      <c r="G546" t="s">
        <v>1127</v>
      </c>
      <c r="H546" t="s">
        <v>1930</v>
      </c>
      <c r="I546" t="s">
        <v>1218</v>
      </c>
      <c r="J546">
        <v>1</v>
      </c>
      <c r="K546">
        <v>172714940</v>
      </c>
      <c r="M546">
        <v>172714940</v>
      </c>
      <c r="N546" t="s">
        <v>1505</v>
      </c>
    </row>
    <row r="547" spans="1:14">
      <c r="A547">
        <v>3</v>
      </c>
      <c r="B547" t="s">
        <v>1126</v>
      </c>
      <c r="D547" t="s">
        <v>1102</v>
      </c>
      <c r="F547">
        <v>1</v>
      </c>
      <c r="G547" t="s">
        <v>1127</v>
      </c>
      <c r="H547" t="s">
        <v>1931</v>
      </c>
      <c r="I547" t="s">
        <v>1904</v>
      </c>
      <c r="J547">
        <v>1</v>
      </c>
      <c r="K547">
        <v>71870400</v>
      </c>
      <c r="M547">
        <v>71870400</v>
      </c>
      <c r="N547" t="s">
        <v>1507</v>
      </c>
    </row>
    <row r="548" spans="1:14">
      <c r="A548">
        <v>3</v>
      </c>
      <c r="B548" t="s">
        <v>1126</v>
      </c>
      <c r="D548" t="s">
        <v>1102</v>
      </c>
      <c r="F548">
        <v>1</v>
      </c>
      <c r="G548" t="s">
        <v>1127</v>
      </c>
      <c r="H548" t="s">
        <v>1932</v>
      </c>
      <c r="I548" t="s">
        <v>1172</v>
      </c>
      <c r="J548">
        <v>1</v>
      </c>
      <c r="K548">
        <v>172714940</v>
      </c>
      <c r="M548">
        <v>172714940</v>
      </c>
      <c r="N548" t="s">
        <v>1505</v>
      </c>
    </row>
    <row r="549" spans="1:14">
      <c r="A549">
        <v>3</v>
      </c>
      <c r="B549" t="s">
        <v>1126</v>
      </c>
      <c r="D549" t="s">
        <v>1102</v>
      </c>
      <c r="F549">
        <v>2</v>
      </c>
      <c r="G549" t="s">
        <v>1104</v>
      </c>
      <c r="H549" t="s">
        <v>1342</v>
      </c>
      <c r="I549" t="s">
        <v>1343</v>
      </c>
      <c r="J549">
        <v>1</v>
      </c>
      <c r="K549">
        <v>66418182</v>
      </c>
      <c r="L549">
        <v>56414910</v>
      </c>
      <c r="M549">
        <v>122833092</v>
      </c>
      <c r="N549" t="s">
        <v>1551</v>
      </c>
    </row>
    <row r="550" spans="1:14">
      <c r="A550">
        <v>3</v>
      </c>
      <c r="B550" t="s">
        <v>1126</v>
      </c>
      <c r="D550" t="s">
        <v>1102</v>
      </c>
      <c r="F550">
        <v>2</v>
      </c>
      <c r="G550" t="s">
        <v>1104</v>
      </c>
      <c r="H550" t="s">
        <v>1344</v>
      </c>
      <c r="I550" t="s">
        <v>1345</v>
      </c>
      <c r="J550">
        <v>1</v>
      </c>
      <c r="K550">
        <v>112800000</v>
      </c>
      <c r="M550">
        <v>112800000</v>
      </c>
      <c r="N550" t="s">
        <v>1551</v>
      </c>
    </row>
    <row r="551" spans="1:14">
      <c r="A551">
        <v>3</v>
      </c>
      <c r="B551" t="s">
        <v>1126</v>
      </c>
      <c r="D551" t="s">
        <v>1102</v>
      </c>
      <c r="F551">
        <v>2</v>
      </c>
      <c r="G551" t="s">
        <v>1104</v>
      </c>
      <c r="H551" t="s">
        <v>1347</v>
      </c>
      <c r="I551" t="s">
        <v>1348</v>
      </c>
      <c r="J551">
        <v>1</v>
      </c>
      <c r="K551">
        <v>123299171</v>
      </c>
      <c r="L551">
        <v>27396791</v>
      </c>
      <c r="M551">
        <v>150695962</v>
      </c>
      <c r="N551" t="s">
        <v>1551</v>
      </c>
    </row>
    <row r="552" spans="1:14">
      <c r="A552">
        <v>3</v>
      </c>
      <c r="B552" t="s">
        <v>1126</v>
      </c>
      <c r="D552" t="s">
        <v>1102</v>
      </c>
      <c r="F552">
        <v>2</v>
      </c>
      <c r="G552" t="s">
        <v>1104</v>
      </c>
      <c r="H552" t="s">
        <v>1357</v>
      </c>
      <c r="I552" t="s">
        <v>1358</v>
      </c>
      <c r="J552">
        <v>1</v>
      </c>
      <c r="K552">
        <v>80000000</v>
      </c>
      <c r="L552">
        <v>18138397</v>
      </c>
      <c r="M552">
        <v>98138397</v>
      </c>
      <c r="N552" t="s">
        <v>1551</v>
      </c>
    </row>
    <row r="553" spans="1:14">
      <c r="A553">
        <v>3</v>
      </c>
      <c r="B553" t="s">
        <v>1126</v>
      </c>
      <c r="D553" t="s">
        <v>1102</v>
      </c>
      <c r="F553">
        <v>2</v>
      </c>
      <c r="G553" t="s">
        <v>1104</v>
      </c>
      <c r="H553" t="s">
        <v>1362</v>
      </c>
      <c r="I553" t="s">
        <v>1363</v>
      </c>
      <c r="J553">
        <v>1</v>
      </c>
      <c r="K553">
        <v>54454551</v>
      </c>
      <c r="L553">
        <v>37371546</v>
      </c>
      <c r="M553">
        <v>91826097</v>
      </c>
      <c r="N553" t="s">
        <v>1551</v>
      </c>
    </row>
    <row r="554" spans="1:14">
      <c r="A554">
        <v>3</v>
      </c>
      <c r="B554" t="s">
        <v>1126</v>
      </c>
      <c r="D554" t="s">
        <v>1102</v>
      </c>
      <c r="F554">
        <v>2</v>
      </c>
      <c r="G554" t="s">
        <v>1104</v>
      </c>
      <c r="H554" t="s">
        <v>1364</v>
      </c>
      <c r="I554" t="s">
        <v>1172</v>
      </c>
      <c r="J554">
        <v>1</v>
      </c>
      <c r="K554">
        <v>90909091</v>
      </c>
      <c r="L554">
        <v>25273908</v>
      </c>
      <c r="M554">
        <v>116182999</v>
      </c>
      <c r="N554" t="s">
        <v>1551</v>
      </c>
    </row>
    <row r="555" spans="1:14">
      <c r="A555">
        <v>3</v>
      </c>
      <c r="B555" t="s">
        <v>1126</v>
      </c>
      <c r="D555" t="s">
        <v>1102</v>
      </c>
      <c r="F555">
        <v>2</v>
      </c>
      <c r="G555" t="s">
        <v>1104</v>
      </c>
      <c r="H555" t="s">
        <v>1596</v>
      </c>
      <c r="I555" t="s">
        <v>1597</v>
      </c>
      <c r="J555">
        <v>1</v>
      </c>
      <c r="K555">
        <v>63636364</v>
      </c>
      <c r="L555">
        <v>10229454</v>
      </c>
      <c r="M555">
        <v>73865818</v>
      </c>
      <c r="N555" t="s">
        <v>1551</v>
      </c>
    </row>
    <row r="556" spans="1:14">
      <c r="A556">
        <v>3</v>
      </c>
      <c r="B556" t="s">
        <v>1126</v>
      </c>
      <c r="D556" t="s">
        <v>1102</v>
      </c>
      <c r="F556">
        <v>2</v>
      </c>
      <c r="G556" t="s">
        <v>1104</v>
      </c>
      <c r="H556" t="s">
        <v>1598</v>
      </c>
      <c r="I556" t="s">
        <v>1172</v>
      </c>
      <c r="J556">
        <v>1</v>
      </c>
      <c r="K556">
        <v>94736392</v>
      </c>
      <c r="L556">
        <v>13558182</v>
      </c>
      <c r="M556">
        <v>108294574</v>
      </c>
      <c r="N556" t="s">
        <v>1551</v>
      </c>
    </row>
    <row r="557" spans="1:14">
      <c r="A557">
        <v>3</v>
      </c>
      <c r="B557" t="s">
        <v>1126</v>
      </c>
      <c r="D557" t="s">
        <v>1102</v>
      </c>
      <c r="F557">
        <v>2</v>
      </c>
      <c r="G557" t="s">
        <v>1104</v>
      </c>
      <c r="H557" t="s">
        <v>1663</v>
      </c>
      <c r="I557" t="s">
        <v>1595</v>
      </c>
      <c r="J557">
        <v>1</v>
      </c>
      <c r="K557">
        <v>54545455</v>
      </c>
      <c r="L557">
        <v>18909090</v>
      </c>
      <c r="M557">
        <v>73454545</v>
      </c>
      <c r="N557" t="s">
        <v>1551</v>
      </c>
    </row>
    <row r="558" spans="1:14">
      <c r="A558">
        <v>3</v>
      </c>
      <c r="B558" t="s">
        <v>1126</v>
      </c>
      <c r="D558" t="s">
        <v>1102</v>
      </c>
      <c r="F558">
        <v>2</v>
      </c>
      <c r="G558" t="s">
        <v>1104</v>
      </c>
      <c r="H558" t="s">
        <v>1664</v>
      </c>
      <c r="I558" t="s">
        <v>1665</v>
      </c>
      <c r="J558">
        <v>1</v>
      </c>
      <c r="K558">
        <v>33935000</v>
      </c>
      <c r="L558">
        <v>1835359</v>
      </c>
      <c r="M558">
        <v>35770359</v>
      </c>
      <c r="N558" t="s">
        <v>1551</v>
      </c>
    </row>
    <row r="559" spans="1:14">
      <c r="A559">
        <v>3</v>
      </c>
      <c r="B559" t="s">
        <v>1126</v>
      </c>
      <c r="D559" t="s">
        <v>1102</v>
      </c>
      <c r="F559">
        <v>2</v>
      </c>
      <c r="G559" t="s">
        <v>1104</v>
      </c>
      <c r="H559" t="s">
        <v>1669</v>
      </c>
      <c r="I559" t="s">
        <v>1511</v>
      </c>
      <c r="J559">
        <v>1</v>
      </c>
      <c r="K559">
        <v>59090909</v>
      </c>
      <c r="L559">
        <v>18836911</v>
      </c>
      <c r="M559">
        <v>77927820</v>
      </c>
      <c r="N559" t="s">
        <v>1551</v>
      </c>
    </row>
    <row r="560" spans="1:14">
      <c r="A560">
        <v>3</v>
      </c>
      <c r="B560" t="s">
        <v>1126</v>
      </c>
      <c r="D560" t="s">
        <v>1102</v>
      </c>
      <c r="F560">
        <v>2</v>
      </c>
      <c r="G560" t="s">
        <v>1104</v>
      </c>
      <c r="H560" t="s">
        <v>1670</v>
      </c>
      <c r="I560" t="s">
        <v>1172</v>
      </c>
      <c r="J560">
        <v>1</v>
      </c>
      <c r="K560">
        <v>100000000</v>
      </c>
      <c r="L560">
        <v>13848182</v>
      </c>
      <c r="M560">
        <v>113848182</v>
      </c>
      <c r="N560" t="s">
        <v>1551</v>
      </c>
    </row>
    <row r="561" spans="1:14">
      <c r="A561">
        <v>3</v>
      </c>
      <c r="B561" t="s">
        <v>1126</v>
      </c>
      <c r="D561" t="s">
        <v>1102</v>
      </c>
      <c r="F561">
        <v>2</v>
      </c>
      <c r="G561" t="s">
        <v>1104</v>
      </c>
      <c r="H561" t="s">
        <v>1671</v>
      </c>
      <c r="I561" t="s">
        <v>1672</v>
      </c>
      <c r="J561">
        <v>1</v>
      </c>
      <c r="K561">
        <v>96077879</v>
      </c>
      <c r="L561">
        <v>20394144</v>
      </c>
      <c r="M561">
        <v>116472023</v>
      </c>
      <c r="N561" t="s">
        <v>1551</v>
      </c>
    </row>
    <row r="562" spans="1:14">
      <c r="A562">
        <v>3</v>
      </c>
      <c r="B562" t="s">
        <v>1126</v>
      </c>
      <c r="D562" t="s">
        <v>1102</v>
      </c>
      <c r="F562">
        <v>2</v>
      </c>
      <c r="G562" t="s">
        <v>1104</v>
      </c>
      <c r="H562" t="s">
        <v>1676</v>
      </c>
      <c r="I562" t="s">
        <v>1147</v>
      </c>
      <c r="J562">
        <v>1</v>
      </c>
      <c r="K562">
        <v>257272727</v>
      </c>
      <c r="M562">
        <v>257272727</v>
      </c>
      <c r="N562" t="s">
        <v>1551</v>
      </c>
    </row>
    <row r="563" spans="1:14">
      <c r="A563">
        <v>3</v>
      </c>
      <c r="B563" t="s">
        <v>1126</v>
      </c>
      <c r="D563" t="s">
        <v>1102</v>
      </c>
      <c r="F563">
        <v>2</v>
      </c>
      <c r="G563" t="s">
        <v>1104</v>
      </c>
      <c r="H563" t="s">
        <v>1677</v>
      </c>
      <c r="I563" t="s">
        <v>1224</v>
      </c>
      <c r="J563">
        <v>1</v>
      </c>
      <c r="K563">
        <v>27002165</v>
      </c>
      <c r="M563">
        <v>27002165</v>
      </c>
      <c r="N563" t="s">
        <v>1551</v>
      </c>
    </row>
    <row r="564" spans="1:14">
      <c r="A564">
        <v>3</v>
      </c>
      <c r="B564" t="s">
        <v>1126</v>
      </c>
      <c r="D564" t="s">
        <v>1102</v>
      </c>
      <c r="F564">
        <v>2</v>
      </c>
      <c r="G564" t="s">
        <v>1104</v>
      </c>
      <c r="H564" t="s">
        <v>1793</v>
      </c>
      <c r="I564" t="s">
        <v>1151</v>
      </c>
      <c r="J564">
        <v>1</v>
      </c>
      <c r="K564">
        <v>180945455</v>
      </c>
      <c r="L564">
        <v>7413558</v>
      </c>
      <c r="M564">
        <v>188359013</v>
      </c>
      <c r="N564" t="s">
        <v>1551</v>
      </c>
    </row>
    <row r="565" spans="1:14">
      <c r="A565">
        <v>3</v>
      </c>
      <c r="B565" t="s">
        <v>1126</v>
      </c>
      <c r="D565" t="s">
        <v>1102</v>
      </c>
      <c r="F565">
        <v>2</v>
      </c>
      <c r="G565" t="s">
        <v>1104</v>
      </c>
      <c r="H565" t="s">
        <v>1794</v>
      </c>
      <c r="I565" t="s">
        <v>1172</v>
      </c>
      <c r="J565">
        <v>-1</v>
      </c>
      <c r="K565">
        <v>0</v>
      </c>
      <c r="L565">
        <v>0</v>
      </c>
      <c r="M565">
        <v>0</v>
      </c>
      <c r="N565" t="s">
        <v>1551</v>
      </c>
    </row>
    <row r="566" spans="1:14">
      <c r="A566">
        <v>3</v>
      </c>
      <c r="B566" t="s">
        <v>1126</v>
      </c>
      <c r="D566" t="s">
        <v>1102</v>
      </c>
      <c r="F566">
        <v>2</v>
      </c>
      <c r="G566" t="s">
        <v>1104</v>
      </c>
      <c r="H566" t="s">
        <v>1797</v>
      </c>
      <c r="I566" t="s">
        <v>1798</v>
      </c>
      <c r="J566">
        <v>1</v>
      </c>
      <c r="K566">
        <v>21890887</v>
      </c>
      <c r="M566">
        <v>21890887</v>
      </c>
      <c r="N566" t="s">
        <v>1551</v>
      </c>
    </row>
    <row r="567" spans="1:14">
      <c r="A567">
        <v>3</v>
      </c>
      <c r="B567" t="s">
        <v>1126</v>
      </c>
      <c r="D567" t="s">
        <v>1102</v>
      </c>
      <c r="F567">
        <v>2</v>
      </c>
      <c r="G567" t="s">
        <v>1104</v>
      </c>
      <c r="H567" t="s">
        <v>1806</v>
      </c>
      <c r="I567" t="s">
        <v>1246</v>
      </c>
      <c r="J567">
        <v>1</v>
      </c>
      <c r="K567">
        <v>120080000</v>
      </c>
      <c r="M567">
        <v>120080000</v>
      </c>
      <c r="N567" t="s">
        <v>1551</v>
      </c>
    </row>
    <row r="568" spans="1:14">
      <c r="A568">
        <v>3</v>
      </c>
      <c r="B568" t="s">
        <v>1126</v>
      </c>
      <c r="D568" t="s">
        <v>1102</v>
      </c>
      <c r="F568">
        <v>2</v>
      </c>
      <c r="G568" t="s">
        <v>1104</v>
      </c>
      <c r="H568" t="s">
        <v>1807</v>
      </c>
      <c r="I568" t="s">
        <v>1808</v>
      </c>
      <c r="J568">
        <v>1</v>
      </c>
      <c r="K568">
        <v>54409091</v>
      </c>
      <c r="L568">
        <v>687273</v>
      </c>
      <c r="M568">
        <v>55096364</v>
      </c>
      <c r="N568" t="s">
        <v>1551</v>
      </c>
    </row>
    <row r="569" spans="1:14">
      <c r="A569">
        <v>3</v>
      </c>
      <c r="B569" t="s">
        <v>1126</v>
      </c>
      <c r="D569" t="s">
        <v>1102</v>
      </c>
      <c r="F569">
        <v>2</v>
      </c>
      <c r="G569" t="s">
        <v>1104</v>
      </c>
      <c r="H569" t="s">
        <v>1811</v>
      </c>
      <c r="I569" t="s">
        <v>1812</v>
      </c>
      <c r="J569">
        <v>1</v>
      </c>
      <c r="K569">
        <v>128200000</v>
      </c>
      <c r="L569">
        <v>4908348</v>
      </c>
      <c r="M569">
        <v>133108348</v>
      </c>
      <c r="N569" t="s">
        <v>1551</v>
      </c>
    </row>
    <row r="570" spans="1:14">
      <c r="A570">
        <v>3</v>
      </c>
      <c r="B570" t="s">
        <v>1126</v>
      </c>
      <c r="D570" t="s">
        <v>1102</v>
      </c>
      <c r="F570">
        <v>2</v>
      </c>
      <c r="G570" t="s">
        <v>1104</v>
      </c>
      <c r="H570" t="s">
        <v>1815</v>
      </c>
      <c r="I570" t="s">
        <v>1816</v>
      </c>
      <c r="J570">
        <v>1</v>
      </c>
      <c r="K570">
        <v>70036358</v>
      </c>
      <c r="L570">
        <v>1000000</v>
      </c>
      <c r="M570">
        <v>71036358</v>
      </c>
      <c r="N570" t="s">
        <v>1551</v>
      </c>
    </row>
    <row r="571" spans="1:14">
      <c r="A571">
        <v>3</v>
      </c>
      <c r="B571" t="s">
        <v>1126</v>
      </c>
      <c r="D571" t="s">
        <v>1102</v>
      </c>
      <c r="F571">
        <v>2</v>
      </c>
      <c r="G571" t="s">
        <v>1104</v>
      </c>
      <c r="H571" t="s">
        <v>1933</v>
      </c>
      <c r="I571" t="s">
        <v>1222</v>
      </c>
      <c r="J571">
        <v>1</v>
      </c>
      <c r="K571">
        <v>60000000</v>
      </c>
      <c r="L571">
        <v>19893636</v>
      </c>
      <c r="M571">
        <v>79893636</v>
      </c>
      <c r="N571" t="s">
        <v>1551</v>
      </c>
    </row>
    <row r="572" spans="1:14">
      <c r="A572">
        <v>3</v>
      </c>
      <c r="B572" t="s">
        <v>1126</v>
      </c>
      <c r="D572" t="s">
        <v>1102</v>
      </c>
      <c r="F572">
        <v>2</v>
      </c>
      <c r="G572" t="s">
        <v>1104</v>
      </c>
      <c r="H572" t="s">
        <v>1934</v>
      </c>
      <c r="I572" t="s">
        <v>1935</v>
      </c>
      <c r="J572">
        <v>1</v>
      </c>
      <c r="K572">
        <v>105381818</v>
      </c>
      <c r="M572">
        <v>105381818</v>
      </c>
      <c r="N572" t="s">
        <v>1551</v>
      </c>
    </row>
    <row r="573" spans="1:14">
      <c r="A573">
        <v>3</v>
      </c>
      <c r="B573" t="s">
        <v>1126</v>
      </c>
      <c r="D573" t="s">
        <v>1102</v>
      </c>
      <c r="F573">
        <v>2</v>
      </c>
      <c r="G573" t="s">
        <v>1104</v>
      </c>
      <c r="H573" t="s">
        <v>1936</v>
      </c>
      <c r="I573" t="s">
        <v>1937</v>
      </c>
      <c r="J573">
        <v>1</v>
      </c>
      <c r="K573">
        <v>187345460</v>
      </c>
      <c r="L573">
        <v>4338181</v>
      </c>
      <c r="M573">
        <v>191683641</v>
      </c>
      <c r="N573" t="s">
        <v>1551</v>
      </c>
    </row>
    <row r="574" spans="1:14">
      <c r="A574">
        <v>3</v>
      </c>
      <c r="B574" t="s">
        <v>1126</v>
      </c>
      <c r="D574" t="s">
        <v>1102</v>
      </c>
      <c r="F574">
        <v>2</v>
      </c>
      <c r="G574" t="s">
        <v>1104</v>
      </c>
      <c r="H574" t="s">
        <v>1938</v>
      </c>
      <c r="I574" t="s">
        <v>1246</v>
      </c>
      <c r="J574">
        <v>1</v>
      </c>
      <c r="K574">
        <v>87818158</v>
      </c>
      <c r="L574">
        <v>3772727</v>
      </c>
      <c r="M574">
        <v>91590885</v>
      </c>
      <c r="N574" t="s">
        <v>1551</v>
      </c>
    </row>
    <row r="575" spans="1:14">
      <c r="A575">
        <v>3</v>
      </c>
      <c r="B575" t="s">
        <v>1126</v>
      </c>
      <c r="D575" t="s">
        <v>1102</v>
      </c>
      <c r="F575">
        <v>2</v>
      </c>
      <c r="G575" t="s">
        <v>1104</v>
      </c>
      <c r="H575" t="s">
        <v>1939</v>
      </c>
      <c r="I575" t="s">
        <v>1200</v>
      </c>
      <c r="J575">
        <v>1</v>
      </c>
      <c r="K575">
        <v>39090909</v>
      </c>
      <c r="M575">
        <v>39090909</v>
      </c>
      <c r="N575" t="s">
        <v>1551</v>
      </c>
    </row>
    <row r="576" spans="1:14">
      <c r="A576">
        <v>3</v>
      </c>
      <c r="B576" t="s">
        <v>1126</v>
      </c>
      <c r="D576" t="s">
        <v>1102</v>
      </c>
      <c r="F576">
        <v>2</v>
      </c>
      <c r="G576" t="s">
        <v>1104</v>
      </c>
      <c r="H576" t="s">
        <v>1940</v>
      </c>
      <c r="I576" t="s">
        <v>1941</v>
      </c>
      <c r="J576">
        <v>1</v>
      </c>
      <c r="K576">
        <v>54545455</v>
      </c>
      <c r="L576">
        <v>5495454</v>
      </c>
      <c r="M576">
        <v>60040909</v>
      </c>
      <c r="N576" t="s">
        <v>1551</v>
      </c>
    </row>
    <row r="577" spans="1:14">
      <c r="A577">
        <v>3</v>
      </c>
      <c r="B577" t="s">
        <v>1126</v>
      </c>
      <c r="D577" t="s">
        <v>1102</v>
      </c>
      <c r="F577">
        <v>2</v>
      </c>
      <c r="G577" t="s">
        <v>1104</v>
      </c>
      <c r="H577" t="s">
        <v>1942</v>
      </c>
      <c r="I577" t="s">
        <v>1808</v>
      </c>
      <c r="J577">
        <v>1</v>
      </c>
      <c r="K577">
        <v>95000000</v>
      </c>
      <c r="M577">
        <v>95000000</v>
      </c>
      <c r="N577" t="s">
        <v>1551</v>
      </c>
    </row>
    <row r="578" spans="1:14">
      <c r="A578">
        <v>3</v>
      </c>
      <c r="B578" t="s">
        <v>1126</v>
      </c>
      <c r="D578" t="s">
        <v>1102</v>
      </c>
      <c r="F578">
        <v>2</v>
      </c>
      <c r="G578" t="s">
        <v>1104</v>
      </c>
      <c r="H578" t="s">
        <v>1943</v>
      </c>
      <c r="I578" t="s">
        <v>1944</v>
      </c>
      <c r="J578">
        <v>1</v>
      </c>
      <c r="K578">
        <v>45080000</v>
      </c>
      <c r="M578">
        <v>45080000</v>
      </c>
      <c r="N578" t="s">
        <v>1551</v>
      </c>
    </row>
    <row r="579" spans="1:14">
      <c r="A579">
        <v>3</v>
      </c>
      <c r="B579" t="s">
        <v>1126</v>
      </c>
      <c r="D579" t="s">
        <v>1102</v>
      </c>
      <c r="F579">
        <v>2</v>
      </c>
      <c r="G579" t="s">
        <v>1104</v>
      </c>
      <c r="H579" t="s">
        <v>1945</v>
      </c>
      <c r="I579" t="s">
        <v>1176</v>
      </c>
      <c r="J579">
        <v>1</v>
      </c>
      <c r="K579">
        <v>100000000</v>
      </c>
      <c r="M579">
        <v>100000000</v>
      </c>
      <c r="N579" t="s">
        <v>1551</v>
      </c>
    </row>
    <row r="580" spans="1:14">
      <c r="A580">
        <v>3</v>
      </c>
      <c r="B580" t="s">
        <v>1126</v>
      </c>
      <c r="D580" t="s">
        <v>1117</v>
      </c>
      <c r="F580">
        <v>1</v>
      </c>
      <c r="G580" t="s">
        <v>1104</v>
      </c>
      <c r="H580" t="s">
        <v>1383</v>
      </c>
      <c r="I580" t="s">
        <v>1384</v>
      </c>
      <c r="J580">
        <v>1</v>
      </c>
      <c r="K580">
        <v>5045455</v>
      </c>
      <c r="M580">
        <v>5045455</v>
      </c>
      <c r="N580" t="s">
        <v>1551</v>
      </c>
    </row>
    <row r="581" spans="1:14">
      <c r="A581">
        <v>3</v>
      </c>
      <c r="B581" t="s">
        <v>1126</v>
      </c>
      <c r="D581" t="s">
        <v>1117</v>
      </c>
      <c r="F581">
        <v>1</v>
      </c>
      <c r="G581" t="s">
        <v>1104</v>
      </c>
      <c r="H581" t="s">
        <v>1385</v>
      </c>
      <c r="I581" t="s">
        <v>1317</v>
      </c>
      <c r="J581">
        <v>1</v>
      </c>
      <c r="K581">
        <v>38181818</v>
      </c>
      <c r="L581">
        <v>1454545</v>
      </c>
      <c r="M581">
        <v>39636363</v>
      </c>
      <c r="N581" t="s">
        <v>1551</v>
      </c>
    </row>
    <row r="582" spans="1:14">
      <c r="A582">
        <v>3</v>
      </c>
      <c r="B582" t="s">
        <v>1126</v>
      </c>
      <c r="D582" t="s">
        <v>1117</v>
      </c>
      <c r="F582">
        <v>1</v>
      </c>
      <c r="G582" t="s">
        <v>1104</v>
      </c>
      <c r="H582" t="s">
        <v>1390</v>
      </c>
      <c r="I582" t="s">
        <v>1391</v>
      </c>
      <c r="J582">
        <v>1</v>
      </c>
      <c r="K582">
        <v>16309075</v>
      </c>
      <c r="M582">
        <v>16309075</v>
      </c>
      <c r="N582" t="s">
        <v>1551</v>
      </c>
    </row>
    <row r="583" spans="1:14">
      <c r="A583">
        <v>3</v>
      </c>
      <c r="B583" t="s">
        <v>1126</v>
      </c>
      <c r="D583" t="s">
        <v>1117</v>
      </c>
      <c r="F583">
        <v>1</v>
      </c>
      <c r="G583" t="s">
        <v>1104</v>
      </c>
      <c r="H583" t="s">
        <v>1822</v>
      </c>
      <c r="I583" t="s">
        <v>1823</v>
      </c>
      <c r="J583">
        <v>1</v>
      </c>
      <c r="K583">
        <v>30000000</v>
      </c>
      <c r="L583">
        <v>2038422</v>
      </c>
      <c r="M583">
        <v>32038422</v>
      </c>
      <c r="N583" t="s">
        <v>1551</v>
      </c>
    </row>
    <row r="584" spans="1:14">
      <c r="A584">
        <v>3</v>
      </c>
      <c r="B584" t="s">
        <v>1126</v>
      </c>
      <c r="D584" t="s">
        <v>1117</v>
      </c>
      <c r="F584">
        <v>1</v>
      </c>
      <c r="G584" t="s">
        <v>1104</v>
      </c>
      <c r="H584" t="s">
        <v>1946</v>
      </c>
      <c r="I584" t="s">
        <v>1947</v>
      </c>
      <c r="J584">
        <v>1</v>
      </c>
      <c r="K584">
        <v>11709091</v>
      </c>
      <c r="M584">
        <v>11709091</v>
      </c>
      <c r="N584" t="s">
        <v>1551</v>
      </c>
    </row>
    <row r="585" spans="1:14">
      <c r="A585">
        <v>3</v>
      </c>
      <c r="B585" t="s">
        <v>1126</v>
      </c>
      <c r="D585" t="s">
        <v>1117</v>
      </c>
      <c r="F585">
        <v>1</v>
      </c>
      <c r="G585" t="s">
        <v>1104</v>
      </c>
      <c r="H585" t="s">
        <v>1948</v>
      </c>
      <c r="I585" t="s">
        <v>1949</v>
      </c>
      <c r="J585">
        <v>1</v>
      </c>
      <c r="K585">
        <v>38640000</v>
      </c>
      <c r="M585">
        <v>38640000</v>
      </c>
      <c r="N585" t="s">
        <v>1551</v>
      </c>
    </row>
    <row r="586" spans="1:14">
      <c r="A586">
        <v>3</v>
      </c>
      <c r="B586" t="s">
        <v>1126</v>
      </c>
      <c r="D586" t="s">
        <v>1117</v>
      </c>
      <c r="F586">
        <v>1</v>
      </c>
      <c r="G586" t="s">
        <v>1104</v>
      </c>
      <c r="H586" t="s">
        <v>1392</v>
      </c>
      <c r="I586" t="s">
        <v>1393</v>
      </c>
      <c r="J586">
        <v>1</v>
      </c>
      <c r="K586">
        <v>55000000</v>
      </c>
      <c r="L586">
        <v>109091</v>
      </c>
      <c r="M586">
        <v>55109091</v>
      </c>
      <c r="N586" t="s">
        <v>1551</v>
      </c>
    </row>
    <row r="587" spans="1:14">
      <c r="A587">
        <v>3</v>
      </c>
      <c r="B587" t="s">
        <v>1126</v>
      </c>
      <c r="D587" t="s">
        <v>1117</v>
      </c>
      <c r="F587">
        <v>2</v>
      </c>
      <c r="G587" t="s">
        <v>1127</v>
      </c>
      <c r="H587" t="s">
        <v>1407</v>
      </c>
      <c r="I587" t="s">
        <v>1826</v>
      </c>
      <c r="J587">
        <v>1</v>
      </c>
      <c r="K587">
        <v>70331040</v>
      </c>
      <c r="M587">
        <v>70331040</v>
      </c>
      <c r="N587" t="s">
        <v>1507</v>
      </c>
    </row>
    <row r="588" spans="1:14">
      <c r="A588">
        <v>3</v>
      </c>
      <c r="B588" t="s">
        <v>1126</v>
      </c>
      <c r="D588" t="s">
        <v>1117</v>
      </c>
      <c r="F588">
        <v>2</v>
      </c>
      <c r="G588" t="s">
        <v>1127</v>
      </c>
      <c r="H588" t="s">
        <v>1417</v>
      </c>
      <c r="I588" t="s">
        <v>1418</v>
      </c>
      <c r="J588">
        <v>1</v>
      </c>
      <c r="K588">
        <v>64689840</v>
      </c>
      <c r="M588">
        <v>64689840</v>
      </c>
      <c r="N588" t="s">
        <v>1507</v>
      </c>
    </row>
    <row r="589" spans="1:14">
      <c r="A589">
        <v>3</v>
      </c>
      <c r="B589" t="s">
        <v>1126</v>
      </c>
      <c r="D589" t="s">
        <v>1117</v>
      </c>
      <c r="F589">
        <v>2</v>
      </c>
      <c r="G589" t="s">
        <v>1127</v>
      </c>
      <c r="H589" t="s">
        <v>1433</v>
      </c>
      <c r="I589" t="s">
        <v>1950</v>
      </c>
      <c r="J589">
        <v>1</v>
      </c>
      <c r="K589">
        <v>80319600</v>
      </c>
      <c r="M589">
        <v>80319600</v>
      </c>
      <c r="N589" t="s">
        <v>1507</v>
      </c>
    </row>
    <row r="590" spans="1:14">
      <c r="A590">
        <v>3</v>
      </c>
      <c r="B590" t="s">
        <v>1126</v>
      </c>
      <c r="D590" t="s">
        <v>1117</v>
      </c>
      <c r="F590">
        <v>2</v>
      </c>
      <c r="G590" t="s">
        <v>1127</v>
      </c>
      <c r="H590" t="s">
        <v>1599</v>
      </c>
      <c r="I590" t="s">
        <v>1829</v>
      </c>
      <c r="J590">
        <v>1</v>
      </c>
      <c r="K590">
        <v>91069200</v>
      </c>
      <c r="M590">
        <v>91069200</v>
      </c>
      <c r="N590" t="s">
        <v>1507</v>
      </c>
    </row>
    <row r="591" spans="1:14">
      <c r="A591">
        <v>3</v>
      </c>
      <c r="B591" t="s">
        <v>1126</v>
      </c>
      <c r="D591" t="s">
        <v>1117</v>
      </c>
      <c r="F591">
        <v>2</v>
      </c>
      <c r="G591" t="s">
        <v>1127</v>
      </c>
      <c r="H591" t="s">
        <v>1600</v>
      </c>
      <c r="I591" t="s">
        <v>1830</v>
      </c>
      <c r="J591">
        <v>1</v>
      </c>
      <c r="K591">
        <v>91069200</v>
      </c>
      <c r="M591">
        <v>91069200</v>
      </c>
      <c r="N591" t="s">
        <v>1507</v>
      </c>
    </row>
    <row r="592" spans="1:14">
      <c r="A592">
        <v>3</v>
      </c>
      <c r="B592" t="s">
        <v>1126</v>
      </c>
      <c r="D592" t="s">
        <v>1117</v>
      </c>
      <c r="F592">
        <v>2</v>
      </c>
      <c r="G592" t="s">
        <v>1127</v>
      </c>
      <c r="H592" t="s">
        <v>1601</v>
      </c>
      <c r="I592" t="s">
        <v>1830</v>
      </c>
      <c r="J592">
        <v>1</v>
      </c>
      <c r="K592">
        <v>91069200</v>
      </c>
      <c r="M592">
        <v>91069200</v>
      </c>
      <c r="N592" t="s">
        <v>1507</v>
      </c>
    </row>
    <row r="593" spans="1:14">
      <c r="A593">
        <v>3</v>
      </c>
      <c r="B593" t="s">
        <v>1126</v>
      </c>
      <c r="D593" t="s">
        <v>1117</v>
      </c>
      <c r="F593">
        <v>2</v>
      </c>
      <c r="G593" t="s">
        <v>1127</v>
      </c>
      <c r="H593" t="s">
        <v>1602</v>
      </c>
      <c r="I593" t="s">
        <v>1831</v>
      </c>
      <c r="J593">
        <v>1</v>
      </c>
      <c r="K593">
        <v>83962471</v>
      </c>
      <c r="M593">
        <v>83962471</v>
      </c>
      <c r="N593" t="s">
        <v>1507</v>
      </c>
    </row>
    <row r="594" spans="1:14">
      <c r="A594">
        <v>3</v>
      </c>
      <c r="B594" t="s">
        <v>1126</v>
      </c>
      <c r="D594" t="s">
        <v>1117</v>
      </c>
      <c r="F594">
        <v>2</v>
      </c>
      <c r="G594" t="s">
        <v>1127</v>
      </c>
      <c r="H594" t="s">
        <v>1683</v>
      </c>
      <c r="I594" t="s">
        <v>1832</v>
      </c>
      <c r="J594">
        <v>1</v>
      </c>
      <c r="K594">
        <v>84315600</v>
      </c>
      <c r="L594">
        <v>318182</v>
      </c>
      <c r="M594">
        <v>84633782</v>
      </c>
      <c r="N594" t="s">
        <v>1507</v>
      </c>
    </row>
    <row r="595" spans="1:14">
      <c r="A595">
        <v>3</v>
      </c>
      <c r="B595" t="s">
        <v>1126</v>
      </c>
      <c r="D595" t="s">
        <v>1117</v>
      </c>
      <c r="F595">
        <v>2</v>
      </c>
      <c r="G595" t="s">
        <v>1127</v>
      </c>
      <c r="H595" t="s">
        <v>1835</v>
      </c>
      <c r="I595" t="s">
        <v>1836</v>
      </c>
      <c r="J595">
        <v>1</v>
      </c>
      <c r="K595">
        <v>85187207</v>
      </c>
      <c r="M595">
        <v>85187207</v>
      </c>
      <c r="N595" t="s">
        <v>1507</v>
      </c>
    </row>
    <row r="596" spans="1:14">
      <c r="A596">
        <v>3</v>
      </c>
      <c r="B596" t="s">
        <v>1126</v>
      </c>
      <c r="D596" t="s">
        <v>1117</v>
      </c>
      <c r="F596">
        <v>2</v>
      </c>
      <c r="G596" t="s">
        <v>1127</v>
      </c>
      <c r="H596" t="s">
        <v>1837</v>
      </c>
      <c r="I596" t="s">
        <v>1951</v>
      </c>
      <c r="J596">
        <v>1</v>
      </c>
      <c r="K596">
        <v>98708807</v>
      </c>
      <c r="L596">
        <v>318182</v>
      </c>
      <c r="M596">
        <v>99026989</v>
      </c>
      <c r="N596" t="s">
        <v>1507</v>
      </c>
    </row>
    <row r="597" spans="1:14">
      <c r="A597">
        <v>3</v>
      </c>
      <c r="B597" t="s">
        <v>1126</v>
      </c>
      <c r="D597" t="s">
        <v>1117</v>
      </c>
      <c r="F597">
        <v>2</v>
      </c>
      <c r="G597" t="s">
        <v>1127</v>
      </c>
      <c r="H597" t="s">
        <v>1839</v>
      </c>
      <c r="I597" t="s">
        <v>1840</v>
      </c>
      <c r="J597">
        <v>1</v>
      </c>
      <c r="K597">
        <v>76172807</v>
      </c>
      <c r="M597">
        <v>76172807</v>
      </c>
      <c r="N597" t="s">
        <v>1507</v>
      </c>
    </row>
    <row r="598" spans="1:14">
      <c r="A598">
        <v>3</v>
      </c>
      <c r="B598" t="s">
        <v>1126</v>
      </c>
      <c r="D598" t="s">
        <v>1117</v>
      </c>
      <c r="F598">
        <v>2</v>
      </c>
      <c r="G598" t="s">
        <v>1127</v>
      </c>
      <c r="H598" t="s">
        <v>1841</v>
      </c>
      <c r="I598" t="s">
        <v>1840</v>
      </c>
      <c r="J598">
        <v>1</v>
      </c>
      <c r="K598">
        <v>76172807</v>
      </c>
      <c r="M598">
        <v>76172807</v>
      </c>
      <c r="N598" t="s">
        <v>1507</v>
      </c>
    </row>
    <row r="599" spans="1:14">
      <c r="A599">
        <v>3</v>
      </c>
      <c r="B599" t="s">
        <v>1126</v>
      </c>
      <c r="D599" t="s">
        <v>1117</v>
      </c>
      <c r="F599">
        <v>2</v>
      </c>
      <c r="G599" t="s">
        <v>1127</v>
      </c>
      <c r="H599" t="s">
        <v>1844</v>
      </c>
      <c r="I599" t="s">
        <v>1843</v>
      </c>
      <c r="J599">
        <v>1</v>
      </c>
      <c r="K599">
        <v>76172807</v>
      </c>
      <c r="M599">
        <v>76172807</v>
      </c>
      <c r="N599" t="s">
        <v>1507</v>
      </c>
    </row>
    <row r="600" spans="1:14">
      <c r="A600">
        <v>3</v>
      </c>
      <c r="B600" t="s">
        <v>1126</v>
      </c>
      <c r="D600" t="s">
        <v>1117</v>
      </c>
      <c r="F600">
        <v>2</v>
      </c>
      <c r="G600" t="s">
        <v>1127</v>
      </c>
      <c r="H600" t="s">
        <v>1845</v>
      </c>
      <c r="I600" t="s">
        <v>1774</v>
      </c>
      <c r="J600">
        <v>1</v>
      </c>
      <c r="K600">
        <v>76172807</v>
      </c>
      <c r="M600">
        <v>76172807</v>
      </c>
      <c r="N600" t="s">
        <v>1507</v>
      </c>
    </row>
    <row r="601" spans="1:14">
      <c r="A601">
        <v>3</v>
      </c>
      <c r="B601" t="s">
        <v>1126</v>
      </c>
      <c r="D601" t="s">
        <v>1117</v>
      </c>
      <c r="F601">
        <v>2</v>
      </c>
      <c r="G601" t="s">
        <v>1127</v>
      </c>
      <c r="H601" t="s">
        <v>1848</v>
      </c>
      <c r="I601" t="s">
        <v>1847</v>
      </c>
      <c r="J601">
        <v>1</v>
      </c>
      <c r="K601">
        <v>76172807</v>
      </c>
      <c r="M601">
        <v>76172807</v>
      </c>
      <c r="N601" t="s">
        <v>1507</v>
      </c>
    </row>
    <row r="602" spans="1:14">
      <c r="A602">
        <v>3</v>
      </c>
      <c r="B602" t="s">
        <v>1126</v>
      </c>
      <c r="D602" t="s">
        <v>1117</v>
      </c>
      <c r="F602">
        <v>2</v>
      </c>
      <c r="G602" t="s">
        <v>1127</v>
      </c>
      <c r="H602" t="s">
        <v>1849</v>
      </c>
      <c r="I602" t="s">
        <v>1850</v>
      </c>
      <c r="J602">
        <v>1</v>
      </c>
      <c r="K602">
        <v>76172807</v>
      </c>
      <c r="M602">
        <v>76172807</v>
      </c>
      <c r="N602" t="s">
        <v>1507</v>
      </c>
    </row>
    <row r="603" spans="1:14">
      <c r="A603">
        <v>3</v>
      </c>
      <c r="B603" t="s">
        <v>1126</v>
      </c>
      <c r="D603" t="s">
        <v>1117</v>
      </c>
      <c r="F603">
        <v>2</v>
      </c>
      <c r="G603" t="s">
        <v>1127</v>
      </c>
      <c r="H603" t="s">
        <v>1851</v>
      </c>
      <c r="I603" t="s">
        <v>1850</v>
      </c>
      <c r="J603">
        <v>1</v>
      </c>
      <c r="K603">
        <v>76172807</v>
      </c>
      <c r="M603">
        <v>76172807</v>
      </c>
      <c r="N603" t="s">
        <v>1507</v>
      </c>
    </row>
    <row r="604" spans="1:14">
      <c r="A604">
        <v>3</v>
      </c>
      <c r="B604" t="s">
        <v>1126</v>
      </c>
      <c r="D604" t="s">
        <v>1117</v>
      </c>
      <c r="F604">
        <v>2</v>
      </c>
      <c r="G604" t="s">
        <v>1127</v>
      </c>
      <c r="H604" t="s">
        <v>1852</v>
      </c>
      <c r="I604" t="s">
        <v>1857</v>
      </c>
      <c r="J604">
        <v>1</v>
      </c>
      <c r="K604">
        <v>80680007</v>
      </c>
      <c r="M604">
        <v>80680007</v>
      </c>
      <c r="N604" t="s">
        <v>1507</v>
      </c>
    </row>
    <row r="605" spans="1:14">
      <c r="A605">
        <v>3</v>
      </c>
      <c r="B605" t="s">
        <v>1126</v>
      </c>
      <c r="D605" t="s">
        <v>1117</v>
      </c>
      <c r="F605">
        <v>2</v>
      </c>
      <c r="G605" t="s">
        <v>1127</v>
      </c>
      <c r="H605" t="s">
        <v>1854</v>
      </c>
      <c r="I605" t="s">
        <v>1857</v>
      </c>
      <c r="J605">
        <v>1</v>
      </c>
      <c r="K605">
        <v>80680007</v>
      </c>
      <c r="M605">
        <v>80680007</v>
      </c>
      <c r="N605" t="s">
        <v>1507</v>
      </c>
    </row>
    <row r="606" spans="1:14">
      <c r="A606">
        <v>3</v>
      </c>
      <c r="B606" t="s">
        <v>1126</v>
      </c>
      <c r="D606" t="s">
        <v>1117</v>
      </c>
      <c r="F606">
        <v>2</v>
      </c>
      <c r="G606" t="s">
        <v>1127</v>
      </c>
      <c r="H606" t="s">
        <v>1855</v>
      </c>
      <c r="I606" t="s">
        <v>1831</v>
      </c>
      <c r="J606">
        <v>1</v>
      </c>
      <c r="K606">
        <v>92094862</v>
      </c>
      <c r="M606">
        <v>92094862</v>
      </c>
      <c r="N606" t="s">
        <v>1507</v>
      </c>
    </row>
    <row r="607" spans="1:14">
      <c r="A607">
        <v>3</v>
      </c>
      <c r="B607" t="s">
        <v>1126</v>
      </c>
      <c r="D607" t="s">
        <v>1117</v>
      </c>
      <c r="F607">
        <v>2</v>
      </c>
      <c r="G607" t="s">
        <v>1127</v>
      </c>
      <c r="H607" t="s">
        <v>1856</v>
      </c>
      <c r="I607" t="s">
        <v>1857</v>
      </c>
      <c r="J607">
        <v>1</v>
      </c>
      <c r="K607">
        <v>82484352</v>
      </c>
      <c r="M607">
        <v>82484352</v>
      </c>
      <c r="N607" t="s">
        <v>1507</v>
      </c>
    </row>
    <row r="608" spans="1:14">
      <c r="A608">
        <v>3</v>
      </c>
      <c r="B608" t="s">
        <v>1126</v>
      </c>
      <c r="D608" t="s">
        <v>1117</v>
      </c>
      <c r="F608">
        <v>2</v>
      </c>
      <c r="G608" t="s">
        <v>1127</v>
      </c>
      <c r="H608" t="s">
        <v>1952</v>
      </c>
      <c r="I608" t="s">
        <v>1953</v>
      </c>
      <c r="J608">
        <v>1</v>
      </c>
      <c r="K608">
        <v>52831442</v>
      </c>
      <c r="M608">
        <v>52831442</v>
      </c>
      <c r="N608" t="s">
        <v>1507</v>
      </c>
    </row>
    <row r="609" spans="1:14">
      <c r="A609">
        <v>3</v>
      </c>
      <c r="B609" t="s">
        <v>1126</v>
      </c>
      <c r="D609" t="s">
        <v>1117</v>
      </c>
      <c r="F609">
        <v>2</v>
      </c>
      <c r="G609" t="s">
        <v>1127</v>
      </c>
      <c r="H609" t="s">
        <v>1954</v>
      </c>
      <c r="I609" t="s">
        <v>1953</v>
      </c>
      <c r="J609">
        <v>1</v>
      </c>
      <c r="K609">
        <v>52831442</v>
      </c>
      <c r="M609">
        <v>52831442</v>
      </c>
      <c r="N609" t="s">
        <v>1507</v>
      </c>
    </row>
    <row r="610" spans="1:14">
      <c r="A610">
        <v>3</v>
      </c>
      <c r="B610" t="s">
        <v>1126</v>
      </c>
      <c r="D610" t="s">
        <v>1955</v>
      </c>
      <c r="F610">
        <v>1</v>
      </c>
      <c r="G610" t="s">
        <v>1127</v>
      </c>
      <c r="H610" t="s">
        <v>1956</v>
      </c>
      <c r="I610" t="s">
        <v>1957</v>
      </c>
      <c r="J610">
        <v>1</v>
      </c>
      <c r="K610">
        <v>124731079</v>
      </c>
      <c r="M610">
        <v>124731079</v>
      </c>
      <c r="N610" t="s">
        <v>1507</v>
      </c>
    </row>
    <row r="611" spans="1:14">
      <c r="A611">
        <v>3</v>
      </c>
      <c r="B611" t="s">
        <v>1126</v>
      </c>
      <c r="D611" t="s">
        <v>1955</v>
      </c>
      <c r="F611">
        <v>1</v>
      </c>
      <c r="G611" t="s">
        <v>1127</v>
      </c>
      <c r="H611" t="s">
        <v>1958</v>
      </c>
      <c r="I611" t="s">
        <v>1959</v>
      </c>
      <c r="J611">
        <v>1</v>
      </c>
      <c r="K611">
        <v>124731079</v>
      </c>
      <c r="M611">
        <v>124731079</v>
      </c>
      <c r="N611" t="s">
        <v>1507</v>
      </c>
    </row>
    <row r="612" spans="1:14">
      <c r="A612">
        <v>7</v>
      </c>
      <c r="B612" t="s">
        <v>1450</v>
      </c>
      <c r="D612" t="s">
        <v>1117</v>
      </c>
      <c r="F612">
        <v>1</v>
      </c>
      <c r="G612" t="s">
        <v>1104</v>
      </c>
      <c r="H612" t="s">
        <v>1688</v>
      </c>
      <c r="I612" t="s">
        <v>1689</v>
      </c>
      <c r="J612">
        <v>1</v>
      </c>
      <c r="K612">
        <v>17209091</v>
      </c>
      <c r="M612">
        <v>17209091</v>
      </c>
      <c r="N612" t="s">
        <v>1551</v>
      </c>
    </row>
    <row r="613" spans="1:14">
      <c r="A613">
        <v>8</v>
      </c>
      <c r="B613" t="s">
        <v>1960</v>
      </c>
      <c r="D613" t="s">
        <v>1117</v>
      </c>
      <c r="F613">
        <v>1</v>
      </c>
      <c r="G613" t="s">
        <v>1104</v>
      </c>
      <c r="H613" t="s">
        <v>1603</v>
      </c>
      <c r="I613" t="s">
        <v>1604</v>
      </c>
      <c r="J613">
        <v>1</v>
      </c>
      <c r="K613">
        <v>33000000</v>
      </c>
      <c r="L613">
        <v>2040909</v>
      </c>
      <c r="M613">
        <v>35040909</v>
      </c>
      <c r="N613" t="s">
        <v>1551</v>
      </c>
    </row>
    <row r="614" spans="1:14">
      <c r="A614">
        <v>8</v>
      </c>
      <c r="B614" t="s">
        <v>1960</v>
      </c>
      <c r="D614" t="s">
        <v>1117</v>
      </c>
      <c r="F614">
        <v>1</v>
      </c>
      <c r="G614" t="s">
        <v>1104</v>
      </c>
      <c r="H614" t="s">
        <v>1961</v>
      </c>
      <c r="I614" t="s">
        <v>1604</v>
      </c>
      <c r="J614">
        <v>1</v>
      </c>
      <c r="K614">
        <v>40981842</v>
      </c>
      <c r="M614">
        <v>40981842</v>
      </c>
      <c r="N614" t="s">
        <v>1551</v>
      </c>
    </row>
    <row r="615" spans="1:14">
      <c r="A615">
        <v>8</v>
      </c>
      <c r="B615" t="s">
        <v>1960</v>
      </c>
      <c r="D615" t="s">
        <v>1123</v>
      </c>
      <c r="F615">
        <v>2</v>
      </c>
      <c r="G615" t="s">
        <v>1104</v>
      </c>
      <c r="H615" t="s">
        <v>1864</v>
      </c>
      <c r="I615" t="s">
        <v>1962</v>
      </c>
      <c r="J615">
        <v>1</v>
      </c>
      <c r="K615">
        <v>40909091</v>
      </c>
      <c r="L615">
        <v>1151813</v>
      </c>
      <c r="M615">
        <v>42060904</v>
      </c>
      <c r="N615" t="s">
        <v>1551</v>
      </c>
    </row>
    <row r="616" spans="1:14">
      <c r="A616">
        <v>9</v>
      </c>
      <c r="B616" t="s">
        <v>1457</v>
      </c>
      <c r="D616" t="s">
        <v>1102</v>
      </c>
      <c r="F616">
        <v>1</v>
      </c>
      <c r="G616" t="s">
        <v>1127</v>
      </c>
      <c r="H616" t="s">
        <v>1458</v>
      </c>
      <c r="I616" t="s">
        <v>1459</v>
      </c>
      <c r="J616">
        <v>1</v>
      </c>
      <c r="K616">
        <v>154187253</v>
      </c>
      <c r="M616">
        <v>154187253</v>
      </c>
      <c r="N616" t="s">
        <v>1510</v>
      </c>
    </row>
    <row r="617" spans="1:14">
      <c r="A617">
        <v>9</v>
      </c>
      <c r="B617" t="s">
        <v>1457</v>
      </c>
      <c r="D617" t="s">
        <v>1102</v>
      </c>
      <c r="F617">
        <v>2</v>
      </c>
      <c r="G617" t="s">
        <v>1104</v>
      </c>
      <c r="H617" t="s">
        <v>1690</v>
      </c>
      <c r="I617" t="s">
        <v>1691</v>
      </c>
      <c r="J617">
        <v>1</v>
      </c>
      <c r="K617">
        <v>40909091</v>
      </c>
      <c r="L617">
        <v>14090010</v>
      </c>
      <c r="M617">
        <v>54999101</v>
      </c>
      <c r="N617" t="s">
        <v>1551</v>
      </c>
    </row>
    <row r="618" spans="1:14">
      <c r="A618">
        <v>9</v>
      </c>
      <c r="B618" t="s">
        <v>1457</v>
      </c>
      <c r="D618" t="s">
        <v>1102</v>
      </c>
      <c r="F618">
        <v>2</v>
      </c>
      <c r="G618" t="s">
        <v>1104</v>
      </c>
      <c r="H618" t="s">
        <v>1866</v>
      </c>
      <c r="I618" t="s">
        <v>1867</v>
      </c>
      <c r="J618">
        <v>1</v>
      </c>
      <c r="K618">
        <v>84545455</v>
      </c>
      <c r="L618">
        <v>8772494</v>
      </c>
      <c r="M618">
        <v>93317949</v>
      </c>
      <c r="N618" t="s">
        <v>1551</v>
      </c>
    </row>
    <row r="619" spans="1:14">
      <c r="A619">
        <v>9</v>
      </c>
      <c r="B619" t="s">
        <v>1457</v>
      </c>
      <c r="D619" t="s">
        <v>1102</v>
      </c>
      <c r="F619">
        <v>2</v>
      </c>
      <c r="G619" t="s">
        <v>1104</v>
      </c>
      <c r="H619" t="s">
        <v>1963</v>
      </c>
      <c r="I619" t="s">
        <v>1964</v>
      </c>
      <c r="J619">
        <v>1</v>
      </c>
      <c r="K619">
        <v>117272727</v>
      </c>
      <c r="L619">
        <v>1027273</v>
      </c>
      <c r="M619">
        <v>118300000</v>
      </c>
      <c r="N619" t="s">
        <v>1551</v>
      </c>
    </row>
    <row r="620" spans="1:14">
      <c r="A620">
        <v>9</v>
      </c>
      <c r="B620" t="s">
        <v>1457</v>
      </c>
      <c r="D620" t="s">
        <v>1102</v>
      </c>
      <c r="F620">
        <v>2</v>
      </c>
      <c r="G620" t="s">
        <v>1104</v>
      </c>
      <c r="H620" t="s">
        <v>1965</v>
      </c>
      <c r="I620" t="s">
        <v>1966</v>
      </c>
      <c r="J620">
        <v>1</v>
      </c>
      <c r="K620">
        <v>87818182</v>
      </c>
      <c r="L620">
        <v>6136363</v>
      </c>
      <c r="M620">
        <v>93954545</v>
      </c>
      <c r="N620" t="s">
        <v>1551</v>
      </c>
    </row>
    <row r="621" spans="1:14">
      <c r="A621">
        <v>9</v>
      </c>
      <c r="B621" t="s">
        <v>1457</v>
      </c>
      <c r="D621" t="s">
        <v>1117</v>
      </c>
      <c r="F621">
        <v>2</v>
      </c>
      <c r="G621" t="s">
        <v>1127</v>
      </c>
      <c r="H621" t="s">
        <v>1472</v>
      </c>
      <c r="I621" t="s">
        <v>1473</v>
      </c>
      <c r="J621">
        <v>1</v>
      </c>
      <c r="K621">
        <v>90300000</v>
      </c>
      <c r="M621">
        <v>90300000</v>
      </c>
      <c r="N621" t="s">
        <v>1510</v>
      </c>
    </row>
    <row r="622" spans="1:14">
      <c r="A622">
        <v>11</v>
      </c>
      <c r="B622" t="s">
        <v>1482</v>
      </c>
      <c r="D622" t="s">
        <v>1102</v>
      </c>
      <c r="F622">
        <v>1</v>
      </c>
      <c r="G622" t="s">
        <v>1127</v>
      </c>
      <c r="H622" t="s">
        <v>1692</v>
      </c>
      <c r="I622" t="s">
        <v>1967</v>
      </c>
      <c r="J622">
        <v>1</v>
      </c>
      <c r="K622">
        <v>204545438</v>
      </c>
      <c r="M622">
        <v>204545438</v>
      </c>
      <c r="N622" t="s">
        <v>1551</v>
      </c>
    </row>
    <row r="623" spans="1:14">
      <c r="A623">
        <v>11</v>
      </c>
      <c r="B623" t="s">
        <v>1482</v>
      </c>
      <c r="D623" t="s">
        <v>1102</v>
      </c>
      <c r="F623">
        <v>1</v>
      </c>
      <c r="G623" t="s">
        <v>1127</v>
      </c>
      <c r="H623" t="s">
        <v>1694</v>
      </c>
      <c r="I623" t="s">
        <v>1695</v>
      </c>
      <c r="J623">
        <v>1</v>
      </c>
      <c r="K623">
        <v>130681813</v>
      </c>
      <c r="M623">
        <v>130681813</v>
      </c>
      <c r="N623" t="s">
        <v>1551</v>
      </c>
    </row>
    <row r="624" spans="1:14">
      <c r="A624">
        <v>11</v>
      </c>
      <c r="B624" t="s">
        <v>1482</v>
      </c>
      <c r="D624" t="s">
        <v>1102</v>
      </c>
      <c r="F624">
        <v>1</v>
      </c>
      <c r="G624" t="s">
        <v>1127</v>
      </c>
      <c r="H624" t="s">
        <v>1696</v>
      </c>
      <c r="I624" t="s">
        <v>1695</v>
      </c>
      <c r="J624">
        <v>1</v>
      </c>
      <c r="K624">
        <v>130681813</v>
      </c>
      <c r="L624">
        <v>1959091</v>
      </c>
      <c r="M624">
        <v>132640904</v>
      </c>
      <c r="N624" t="s">
        <v>1551</v>
      </c>
    </row>
    <row r="625" spans="1:14">
      <c r="A625">
        <v>11</v>
      </c>
      <c r="B625" t="s">
        <v>1482</v>
      </c>
      <c r="D625" t="s">
        <v>1102</v>
      </c>
      <c r="F625">
        <v>2</v>
      </c>
      <c r="G625" t="s">
        <v>1104</v>
      </c>
      <c r="H625" t="s">
        <v>1698</v>
      </c>
      <c r="I625" t="s">
        <v>1699</v>
      </c>
      <c r="J625">
        <v>1</v>
      </c>
      <c r="K625">
        <v>39581841</v>
      </c>
      <c r="M625">
        <v>39581841</v>
      </c>
      <c r="N625" t="s">
        <v>1551</v>
      </c>
    </row>
    <row r="626" spans="1:14">
      <c r="A626">
        <v>11</v>
      </c>
      <c r="B626" t="s">
        <v>1482</v>
      </c>
      <c r="D626" t="s">
        <v>1483</v>
      </c>
      <c r="F626">
        <v>1</v>
      </c>
      <c r="G626" t="s">
        <v>1127</v>
      </c>
      <c r="H626" t="s">
        <v>1968</v>
      </c>
      <c r="I626" t="s">
        <v>1969</v>
      </c>
      <c r="J626">
        <v>1</v>
      </c>
      <c r="K626">
        <v>111236381</v>
      </c>
      <c r="M626">
        <v>111236381</v>
      </c>
      <c r="N626" t="s">
        <v>1551</v>
      </c>
    </row>
    <row r="627" spans="1:14">
      <c r="A627">
        <v>12</v>
      </c>
      <c r="B627" t="s">
        <v>1486</v>
      </c>
      <c r="D627" t="s">
        <v>1102</v>
      </c>
      <c r="F627">
        <v>2</v>
      </c>
      <c r="G627" t="s">
        <v>1104</v>
      </c>
      <c r="H627" t="s">
        <v>1970</v>
      </c>
      <c r="I627" t="s">
        <v>1971</v>
      </c>
      <c r="J627">
        <v>1</v>
      </c>
      <c r="K627">
        <v>52690921</v>
      </c>
      <c r="M627">
        <v>52690921</v>
      </c>
      <c r="N627" t="s">
        <v>1551</v>
      </c>
    </row>
    <row r="628" spans="1:14">
      <c r="A628">
        <v>16</v>
      </c>
      <c r="B628" t="s">
        <v>1972</v>
      </c>
      <c r="D628" t="s">
        <v>1102</v>
      </c>
      <c r="F628">
        <v>2</v>
      </c>
      <c r="G628" t="s">
        <v>1104</v>
      </c>
      <c r="H628" t="s">
        <v>1605</v>
      </c>
      <c r="I628" t="s">
        <v>1606</v>
      </c>
      <c r="J628">
        <v>1</v>
      </c>
      <c r="K628">
        <v>71617080</v>
      </c>
      <c r="L628">
        <v>10275224</v>
      </c>
      <c r="M628">
        <v>81892304</v>
      </c>
      <c r="N628" t="s">
        <v>1551</v>
      </c>
    </row>
    <row r="629" spans="1:14">
      <c r="A629">
        <v>18</v>
      </c>
      <c r="B629" t="s">
        <v>1973</v>
      </c>
      <c r="D629" t="s">
        <v>1117</v>
      </c>
      <c r="F629">
        <v>1</v>
      </c>
      <c r="G629" t="s">
        <v>1104</v>
      </c>
      <c r="H629" t="s">
        <v>1974</v>
      </c>
      <c r="I629" t="s">
        <v>1975</v>
      </c>
      <c r="J629">
        <v>1</v>
      </c>
      <c r="K629">
        <v>127000000</v>
      </c>
      <c r="M629">
        <v>127000000</v>
      </c>
      <c r="N629" t="s">
        <v>1551</v>
      </c>
    </row>
    <row r="630" spans="1:14">
      <c r="A630">
        <v>18</v>
      </c>
      <c r="B630" t="s">
        <v>1973</v>
      </c>
      <c r="D630" t="s">
        <v>1123</v>
      </c>
      <c r="F630">
        <v>2</v>
      </c>
      <c r="G630" t="s">
        <v>1104</v>
      </c>
      <c r="H630" t="s">
        <v>1868</v>
      </c>
      <c r="I630" t="s">
        <v>1869</v>
      </c>
      <c r="J630">
        <v>1</v>
      </c>
      <c r="K630">
        <v>183615258</v>
      </c>
      <c r="L630">
        <v>648182</v>
      </c>
      <c r="M630">
        <v>184263440</v>
      </c>
      <c r="N630" t="s">
        <v>1551</v>
      </c>
    </row>
    <row r="631" spans="1:14">
      <c r="A631">
        <v>21</v>
      </c>
      <c r="B631" t="s">
        <v>1976</v>
      </c>
      <c r="D631" t="s">
        <v>1102</v>
      </c>
      <c r="F631">
        <v>2</v>
      </c>
      <c r="G631" t="s">
        <v>1104</v>
      </c>
      <c r="H631" t="s">
        <v>1977</v>
      </c>
      <c r="I631" t="s">
        <v>1978</v>
      </c>
      <c r="J631">
        <v>1</v>
      </c>
      <c r="K631">
        <v>26345455</v>
      </c>
      <c r="M631">
        <v>26345455</v>
      </c>
      <c r="N631" t="s">
        <v>1551</v>
      </c>
    </row>
    <row r="632" spans="1:14">
      <c r="A632">
        <v>21</v>
      </c>
      <c r="B632" t="s">
        <v>1976</v>
      </c>
      <c r="D632" t="s">
        <v>1117</v>
      </c>
      <c r="F632">
        <v>1</v>
      </c>
      <c r="G632" t="s">
        <v>1104</v>
      </c>
      <c r="H632" t="s">
        <v>1870</v>
      </c>
      <c r="I632" t="s">
        <v>1871</v>
      </c>
      <c r="J632">
        <v>1</v>
      </c>
      <c r="K632">
        <v>9090909</v>
      </c>
      <c r="M632">
        <v>9090909</v>
      </c>
      <c r="N632" t="s">
        <v>1551</v>
      </c>
    </row>
    <row r="633" spans="1:14">
      <c r="A633">
        <v>25</v>
      </c>
      <c r="B633" t="s">
        <v>1492</v>
      </c>
      <c r="D633" t="s">
        <v>1102</v>
      </c>
      <c r="F633">
        <v>2</v>
      </c>
      <c r="G633" t="s">
        <v>1104</v>
      </c>
      <c r="H633" t="s">
        <v>1979</v>
      </c>
      <c r="I633" t="s">
        <v>1494</v>
      </c>
      <c r="J633">
        <v>1</v>
      </c>
      <c r="K633">
        <v>16392698</v>
      </c>
      <c r="L633">
        <v>2836364</v>
      </c>
      <c r="M633">
        <v>19229062</v>
      </c>
      <c r="N633" t="s">
        <v>1551</v>
      </c>
    </row>
    <row r="634" spans="1:14">
      <c r="A634">
        <v>25</v>
      </c>
      <c r="B634" t="s">
        <v>1492</v>
      </c>
      <c r="D634" t="s">
        <v>1102</v>
      </c>
      <c r="F634">
        <v>2</v>
      </c>
      <c r="G634" t="s">
        <v>1104</v>
      </c>
      <c r="H634" t="s">
        <v>1980</v>
      </c>
      <c r="I634" t="s">
        <v>1981</v>
      </c>
      <c r="J634">
        <v>1</v>
      </c>
      <c r="K634">
        <v>11709091</v>
      </c>
      <c r="L634">
        <v>136364</v>
      </c>
      <c r="M634">
        <v>11845455</v>
      </c>
      <c r="N634" t="s">
        <v>1551</v>
      </c>
    </row>
    <row r="635" spans="1:14">
      <c r="A635">
        <v>33</v>
      </c>
      <c r="B635" t="s">
        <v>1982</v>
      </c>
      <c r="D635" t="s">
        <v>1102</v>
      </c>
      <c r="F635">
        <v>1</v>
      </c>
      <c r="G635" t="s">
        <v>1127</v>
      </c>
      <c r="H635" t="s">
        <v>1983</v>
      </c>
      <c r="I635" t="s">
        <v>1984</v>
      </c>
      <c r="J635">
        <v>1</v>
      </c>
      <c r="K635">
        <v>211202698</v>
      </c>
      <c r="M635">
        <v>211202698</v>
      </c>
      <c r="N635" t="s">
        <v>1551</v>
      </c>
    </row>
    <row r="636" spans="1:14">
      <c r="A636">
        <v>33</v>
      </c>
      <c r="B636" t="s">
        <v>1982</v>
      </c>
      <c r="D636" t="s">
        <v>1102</v>
      </c>
      <c r="F636">
        <v>2</v>
      </c>
      <c r="G636" t="s">
        <v>1104</v>
      </c>
      <c r="H636" t="s">
        <v>1872</v>
      </c>
      <c r="I636" t="s">
        <v>1873</v>
      </c>
      <c r="J636">
        <v>1</v>
      </c>
      <c r="K636">
        <v>51709102</v>
      </c>
      <c r="L636">
        <v>2721256</v>
      </c>
      <c r="M636">
        <v>54430358</v>
      </c>
      <c r="N636" t="s">
        <v>1551</v>
      </c>
    </row>
    <row r="637" spans="1:14">
      <c r="A637">
        <v>35</v>
      </c>
      <c r="B637" t="s">
        <v>1495</v>
      </c>
      <c r="D637" t="s">
        <v>1102</v>
      </c>
      <c r="F637">
        <v>2</v>
      </c>
      <c r="G637" t="s">
        <v>1104</v>
      </c>
      <c r="H637" t="s">
        <v>1496</v>
      </c>
      <c r="I637" t="s">
        <v>1497</v>
      </c>
      <c r="J637">
        <v>1</v>
      </c>
      <c r="K637">
        <v>40000000</v>
      </c>
      <c r="M637">
        <v>40000000</v>
      </c>
      <c r="N637" t="s">
        <v>1551</v>
      </c>
    </row>
    <row r="638" spans="1:14">
      <c r="A638">
        <v>1001</v>
      </c>
      <c r="B638" t="s">
        <v>1498</v>
      </c>
      <c r="D638" t="s">
        <v>1474</v>
      </c>
      <c r="F638">
        <v>2</v>
      </c>
      <c r="G638" t="s">
        <v>1104</v>
      </c>
      <c r="H638" t="s">
        <v>1499</v>
      </c>
      <c r="I638" t="s">
        <v>1500</v>
      </c>
      <c r="J638">
        <v>1</v>
      </c>
      <c r="K638">
        <v>140613663</v>
      </c>
      <c r="L638">
        <v>1590909</v>
      </c>
      <c r="M638">
        <v>142204572</v>
      </c>
      <c r="N638" t="s">
        <v>1551</v>
      </c>
    </row>
    <row r="639" spans="1:14">
      <c r="A639">
        <v>1019</v>
      </c>
      <c r="B639" t="s">
        <v>1501</v>
      </c>
      <c r="D639" t="s">
        <v>1502</v>
      </c>
      <c r="F639">
        <v>2</v>
      </c>
      <c r="G639" t="s">
        <v>1104</v>
      </c>
      <c r="H639" t="s">
        <v>1503</v>
      </c>
      <c r="I639" t="s">
        <v>1504</v>
      </c>
      <c r="J639">
        <v>1</v>
      </c>
      <c r="K639">
        <v>954610752</v>
      </c>
      <c r="L639">
        <v>258481092</v>
      </c>
      <c r="M639">
        <v>1213091844</v>
      </c>
      <c r="N639" t="s">
        <v>1551</v>
      </c>
    </row>
    <row r="640" spans="1:14">
      <c r="A640">
        <v>1131</v>
      </c>
      <c r="B640" t="s">
        <v>1985</v>
      </c>
      <c r="D640" t="s">
        <v>1986</v>
      </c>
      <c r="F640">
        <v>2</v>
      </c>
      <c r="G640" t="s">
        <v>1987</v>
      </c>
      <c r="H640" t="s">
        <v>1988</v>
      </c>
      <c r="I640" t="s">
        <v>1989</v>
      </c>
      <c r="J640">
        <v>1</v>
      </c>
      <c r="K640">
        <v>49588000</v>
      </c>
      <c r="M640">
        <v>49588000</v>
      </c>
      <c r="N640" t="s">
        <v>1551</v>
      </c>
    </row>
    <row r="641" spans="10:13">
      <c r="J641">
        <v>166</v>
      </c>
      <c r="K641">
        <v>19218187925</v>
      </c>
      <c r="L641">
        <v>675814983</v>
      </c>
      <c r="M641">
        <v>19894002908</v>
      </c>
    </row>
  </sheetData>
  <autoFilter ref="A470:Q640" xr:uid="{00000000-0009-0000-0000-00000A000000}"/>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8"/>
  <sheetViews>
    <sheetView showGridLines="0" zoomScaleNormal="100" zoomScaleSheetLayoutView="115" zoomScalePageLayoutView="115" workbookViewId="0">
      <selection activeCell="M5" sqref="M5"/>
    </sheetView>
  </sheetViews>
  <sheetFormatPr baseColWidth="10" defaultColWidth="11.5" defaultRowHeight="14"/>
  <cols>
    <col min="1" max="1" width="7" style="255" customWidth="1"/>
    <col min="2" max="2" width="6" style="255" customWidth="1"/>
    <col min="3" max="3" width="39.6640625" style="101" customWidth="1"/>
    <col min="4" max="4" width="16.5" style="101" customWidth="1"/>
    <col min="5" max="5" width="2.6640625" style="101" customWidth="1"/>
    <col min="6" max="6" width="16.5" style="101" customWidth="1"/>
    <col min="7" max="7" width="21.83203125" style="101" hidden="1" customWidth="1"/>
    <col min="8" max="9" width="0" style="101" hidden="1" customWidth="1"/>
    <col min="10" max="10" width="6.1640625" style="101" customWidth="1"/>
    <col min="11" max="16384" width="11.5" style="101"/>
  </cols>
  <sheetData>
    <row r="1" spans="1:17" s="255" customFormat="1" ht="15" thickBot="1"/>
    <row r="2" spans="1:17" s="255" customFormat="1" ht="15" thickTop="1">
      <c r="B2" s="346"/>
      <c r="C2" s="347"/>
      <c r="D2" s="347"/>
      <c r="E2" s="347"/>
      <c r="F2" s="347"/>
      <c r="G2" s="347"/>
      <c r="H2" s="347"/>
      <c r="I2" s="347"/>
      <c r="J2" s="362"/>
    </row>
    <row r="3" spans="1:17" ht="18" customHeight="1">
      <c r="B3" s="317"/>
      <c r="C3" s="349" t="s">
        <v>910</v>
      </c>
      <c r="D3" s="321"/>
      <c r="E3" s="321"/>
      <c r="F3" s="321"/>
      <c r="G3" s="321"/>
      <c r="H3" s="321"/>
      <c r="I3" s="321"/>
      <c r="J3" s="320"/>
    </row>
    <row r="4" spans="1:17" ht="15" customHeight="1">
      <c r="B4" s="317"/>
      <c r="C4" s="321" t="s">
        <v>387</v>
      </c>
      <c r="D4" s="321"/>
      <c r="E4" s="321"/>
      <c r="F4" s="321"/>
      <c r="G4" s="321"/>
      <c r="H4" s="321"/>
      <c r="I4" s="321"/>
      <c r="J4" s="320"/>
    </row>
    <row r="5" spans="1:17" ht="14" customHeight="1">
      <c r="B5" s="317"/>
      <c r="C5" s="321"/>
      <c r="D5" s="493" t="s">
        <v>1991</v>
      </c>
      <c r="E5" s="294"/>
      <c r="F5" s="493" t="s">
        <v>1098</v>
      </c>
      <c r="G5" s="321"/>
      <c r="H5" s="321"/>
      <c r="I5" s="321"/>
      <c r="J5" s="320"/>
    </row>
    <row r="6" spans="1:17" ht="14" hidden="1" customHeight="1">
      <c r="B6" s="317"/>
      <c r="C6" s="321" t="s">
        <v>1506</v>
      </c>
      <c r="D6" s="321">
        <v>30479451.070999999</v>
      </c>
      <c r="E6" s="321"/>
      <c r="F6" s="321">
        <v>17350618.748</v>
      </c>
      <c r="G6" s="321"/>
      <c r="H6" s="321"/>
      <c r="I6" s="321"/>
      <c r="J6" s="320"/>
    </row>
    <row r="7" spans="1:17" ht="14" customHeight="1">
      <c r="B7" s="317"/>
      <c r="C7" s="321" t="s">
        <v>1505</v>
      </c>
      <c r="D7" s="319">
        <v>7535385.0089999996</v>
      </c>
      <c r="E7" s="319"/>
      <c r="F7" s="319">
        <v>18087980.199000001</v>
      </c>
      <c r="G7" s="321"/>
      <c r="H7" s="321"/>
      <c r="I7" s="321"/>
      <c r="J7" s="320"/>
    </row>
    <row r="8" spans="1:17" ht="14" customHeight="1">
      <c r="B8" s="317"/>
      <c r="C8" s="321" t="s">
        <v>1507</v>
      </c>
      <c r="D8" s="319">
        <v>4472040.1770000001</v>
      </c>
      <c r="E8" s="319"/>
      <c r="F8" s="319">
        <v>4731319.5120000001</v>
      </c>
      <c r="G8" s="321"/>
      <c r="H8" s="321"/>
      <c r="I8" s="321"/>
      <c r="J8" s="320"/>
    </row>
    <row r="9" spans="1:17" s="255" customFormat="1" ht="14" customHeight="1">
      <c r="B9" s="317"/>
      <c r="C9" s="321" t="s">
        <v>810</v>
      </c>
      <c r="D9" s="319">
        <v>1184496.7450000001</v>
      </c>
      <c r="E9" s="319"/>
      <c r="F9" s="319">
        <v>593312.78</v>
      </c>
      <c r="G9" s="321"/>
      <c r="H9" s="321"/>
      <c r="I9" s="321"/>
      <c r="J9" s="320"/>
      <c r="N9" s="321"/>
      <c r="O9" s="319"/>
      <c r="P9" s="319"/>
      <c r="Q9" s="319"/>
    </row>
    <row r="10" spans="1:17" ht="14" customHeight="1">
      <c r="B10" s="317"/>
      <c r="C10" s="321" t="s">
        <v>1508</v>
      </c>
      <c r="D10" s="319">
        <v>431991.49099999998</v>
      </c>
      <c r="E10" s="319"/>
      <c r="F10" s="319">
        <v>1886660.5819999999</v>
      </c>
      <c r="G10" s="321"/>
      <c r="H10" s="321"/>
      <c r="I10" s="321"/>
      <c r="J10" s="320"/>
    </row>
    <row r="11" spans="1:17" ht="14" customHeight="1">
      <c r="B11" s="317"/>
      <c r="C11" s="321" t="s">
        <v>1510</v>
      </c>
      <c r="D11" s="319">
        <v>244487.253</v>
      </c>
      <c r="E11" s="319"/>
      <c r="F11" s="319">
        <v>680646.36600000004</v>
      </c>
      <c r="G11" s="321"/>
      <c r="H11" s="321"/>
      <c r="I11" s="321"/>
      <c r="J11" s="320"/>
    </row>
    <row r="12" spans="1:17" ht="14" customHeight="1">
      <c r="B12" s="317"/>
      <c r="C12" s="321" t="s">
        <v>1509</v>
      </c>
      <c r="D12" s="319">
        <v>0</v>
      </c>
      <c r="E12" s="319"/>
      <c r="F12" s="319">
        <v>385968.24</v>
      </c>
      <c r="G12" s="321"/>
      <c r="H12" s="321"/>
      <c r="I12" s="321"/>
      <c r="J12" s="320"/>
    </row>
    <row r="13" spans="1:17" ht="14" customHeight="1">
      <c r="B13" s="317"/>
      <c r="C13" s="321" t="s">
        <v>811</v>
      </c>
      <c r="D13" s="319">
        <v>8998.6579999999994</v>
      </c>
      <c r="E13" s="319"/>
      <c r="F13" s="319">
        <v>87651.782999999996</v>
      </c>
      <c r="G13" s="321"/>
      <c r="H13" s="321"/>
      <c r="I13" s="321"/>
      <c r="J13" s="320"/>
    </row>
    <row r="14" spans="1:17" ht="14" customHeight="1">
      <c r="B14" s="317"/>
      <c r="C14" s="321" t="s">
        <v>1551</v>
      </c>
      <c r="D14" s="319">
        <v>7210098.9780000001</v>
      </c>
      <c r="E14" s="319"/>
      <c r="F14" s="319">
        <v>4706876.1720000003</v>
      </c>
      <c r="G14" s="321"/>
      <c r="H14" s="321"/>
      <c r="I14" s="321"/>
      <c r="J14" s="320"/>
    </row>
    <row r="15" spans="1:17" s="29" customFormat="1" ht="14" customHeight="1" thickBot="1">
      <c r="A15" s="256"/>
      <c r="B15" s="351"/>
      <c r="C15" s="322" t="s">
        <v>214</v>
      </c>
      <c r="D15" s="106">
        <v>21087498.311000001</v>
      </c>
      <c r="E15" s="323"/>
      <c r="F15" s="106">
        <v>31160415.634000003</v>
      </c>
      <c r="G15" s="361">
        <f>D15-BG!E16</f>
        <v>0.31100000068545341</v>
      </c>
      <c r="H15" s="361">
        <f>F15-BG!G16</f>
        <v>0</v>
      </c>
      <c r="I15" s="322"/>
      <c r="J15" s="482"/>
    </row>
    <row r="16" spans="1:17" ht="14" customHeight="1" thickTop="1">
      <c r="B16" s="317"/>
      <c r="C16" s="321"/>
      <c r="D16" s="321"/>
      <c r="E16" s="321"/>
      <c r="F16" s="321"/>
      <c r="G16" s="321"/>
      <c r="H16" s="321"/>
      <c r="I16" s="321"/>
      <c r="J16" s="320"/>
    </row>
    <row r="17" spans="2:10" ht="15" thickBot="1">
      <c r="B17" s="354"/>
      <c r="C17" s="355"/>
      <c r="D17" s="355"/>
      <c r="E17" s="355"/>
      <c r="F17" s="355"/>
      <c r="G17" s="355"/>
      <c r="H17" s="355"/>
      <c r="I17" s="355"/>
      <c r="J17" s="363"/>
    </row>
    <row r="18" spans="2:10" ht="15" thickTop="1"/>
  </sheetData>
  <sortState xmlns:xlrd2="http://schemas.microsoft.com/office/spreadsheetml/2017/richdata2" ref="A7:J13">
    <sortCondition descending="1" ref="D7:D13"/>
  </sortState>
  <phoneticPr fontId="4"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
  <sheetViews>
    <sheetView showGridLines="0" zoomScaleNormal="100" zoomScaleSheetLayoutView="130" zoomScalePageLayoutView="150" workbookViewId="0">
      <selection activeCell="H8" sqref="H8"/>
    </sheetView>
  </sheetViews>
  <sheetFormatPr baseColWidth="10" defaultRowHeight="13"/>
  <cols>
    <col min="1" max="1" width="5.33203125" style="257" customWidth="1"/>
    <col min="2" max="2" width="6.83203125" style="257" customWidth="1"/>
    <col min="3" max="3" width="34.6640625" customWidth="1"/>
    <col min="4" max="4" width="16.5" customWidth="1"/>
    <col min="5" max="5" width="3.33203125" customWidth="1"/>
    <col min="6" max="6" width="16.5" customWidth="1"/>
    <col min="8" max="8" width="13.6640625" style="119" bestFit="1" customWidth="1"/>
    <col min="9" max="9" width="13.83203125" style="119" bestFit="1" customWidth="1"/>
  </cols>
  <sheetData>
    <row r="1" spans="1:9" s="257" customFormat="1" ht="14" thickBot="1">
      <c r="H1" s="119"/>
      <c r="I1" s="119"/>
    </row>
    <row r="2" spans="1:9" s="257" customFormat="1" ht="14" thickTop="1">
      <c r="B2" s="328"/>
      <c r="C2" s="330"/>
      <c r="D2" s="330"/>
      <c r="E2" s="330"/>
      <c r="F2" s="330"/>
      <c r="G2" s="331"/>
      <c r="H2" s="119"/>
      <c r="I2" s="119"/>
    </row>
    <row r="3" spans="1:9" ht="18" customHeight="1">
      <c r="B3" s="332"/>
      <c r="C3" s="349" t="s">
        <v>1553</v>
      </c>
      <c r="D3" s="321"/>
      <c r="E3" s="321"/>
      <c r="F3" s="321"/>
      <c r="G3" s="334"/>
    </row>
    <row r="4" spans="1:9" ht="14.25" customHeight="1">
      <c r="B4" s="332"/>
      <c r="C4" s="321" t="s">
        <v>387</v>
      </c>
      <c r="D4" s="321"/>
      <c r="E4" s="321"/>
      <c r="F4" s="321"/>
      <c r="G4" s="334"/>
    </row>
    <row r="5" spans="1:9" ht="13.5" customHeight="1">
      <c r="B5" s="332"/>
      <c r="C5" s="321" t="s">
        <v>765</v>
      </c>
      <c r="D5" s="321"/>
      <c r="E5" s="321"/>
      <c r="F5" s="321"/>
      <c r="G5" s="334"/>
    </row>
    <row r="6" spans="1:9" ht="13.5" customHeight="1">
      <c r="B6" s="332"/>
      <c r="C6" s="321"/>
      <c r="D6" s="321"/>
      <c r="E6" s="321"/>
      <c r="F6" s="321"/>
      <c r="G6" s="334"/>
    </row>
    <row r="7" spans="1:9" s="100" customFormat="1" ht="13.5" customHeight="1">
      <c r="A7" s="267"/>
      <c r="B7" s="366"/>
      <c r="C7" s="322"/>
      <c r="D7" s="483" t="s">
        <v>1991</v>
      </c>
      <c r="E7" s="484"/>
      <c r="F7" s="483" t="s">
        <v>1098</v>
      </c>
      <c r="G7" s="369"/>
      <c r="H7" s="120"/>
      <c r="I7" s="120"/>
    </row>
    <row r="8" spans="1:9" s="100" customFormat="1" ht="13.5" customHeight="1">
      <c r="A8" s="267"/>
      <c r="B8" s="366"/>
      <c r="C8" s="322" t="s">
        <v>754</v>
      </c>
      <c r="D8" s="322"/>
      <c r="E8" s="322"/>
      <c r="F8" s="322"/>
      <c r="G8" s="369"/>
      <c r="H8" s="120"/>
      <c r="I8" s="120"/>
    </row>
    <row r="9" spans="1:9" ht="13.5" customHeight="1">
      <c r="B9" s="332"/>
      <c r="C9" s="321" t="s">
        <v>812</v>
      </c>
      <c r="D9" s="319">
        <v>11357771.280999999</v>
      </c>
      <c r="E9" s="319"/>
      <c r="F9" s="319">
        <v>13356267.835999999</v>
      </c>
      <c r="G9" s="334"/>
    </row>
    <row r="10" spans="1:9" ht="13.5" customHeight="1">
      <c r="B10" s="332"/>
      <c r="C10" s="321" t="s">
        <v>766</v>
      </c>
      <c r="D10" s="319">
        <v>177974.72</v>
      </c>
      <c r="E10" s="319"/>
      <c r="F10" s="319">
        <v>61398.040999999997</v>
      </c>
      <c r="G10" s="334"/>
    </row>
    <row r="11" spans="1:9" ht="13.5" hidden="1" customHeight="1">
      <c r="B11" s="332"/>
      <c r="C11" s="321" t="s">
        <v>767</v>
      </c>
      <c r="D11" s="319">
        <v>0</v>
      </c>
      <c r="E11" s="319"/>
      <c r="F11" s="319">
        <v>0</v>
      </c>
      <c r="G11" s="334"/>
    </row>
    <row r="12" spans="1:9" s="100" customFormat="1" ht="13.5" customHeight="1" thickBot="1">
      <c r="A12" s="267"/>
      <c r="B12" s="366"/>
      <c r="C12" s="322" t="s">
        <v>214</v>
      </c>
      <c r="D12" s="106">
        <v>11535746</v>
      </c>
      <c r="E12" s="323"/>
      <c r="F12" s="106">
        <v>13417666</v>
      </c>
      <c r="G12" s="369"/>
      <c r="H12" s="121">
        <f>D12-BG!N13</f>
        <v>0</v>
      </c>
      <c r="I12" s="121">
        <f>F12-BG!P13</f>
        <v>1</v>
      </c>
    </row>
    <row r="13" spans="1:9" ht="13.5" customHeight="1" thickTop="1">
      <c r="B13" s="332"/>
      <c r="C13" s="321"/>
      <c r="D13" s="319"/>
      <c r="E13" s="319"/>
      <c r="F13" s="319"/>
      <c r="G13" s="334"/>
      <c r="H13" s="122"/>
      <c r="I13" s="122"/>
    </row>
    <row r="14" spans="1:9" s="100" customFormat="1" ht="13.5" customHeight="1">
      <c r="A14" s="267"/>
      <c r="B14" s="366"/>
      <c r="C14" s="322" t="s">
        <v>764</v>
      </c>
      <c r="D14" s="323"/>
      <c r="E14" s="323"/>
      <c r="F14" s="323"/>
      <c r="G14" s="369"/>
      <c r="H14" s="121"/>
      <c r="I14" s="121"/>
    </row>
    <row r="15" spans="1:9" ht="13.5" customHeight="1">
      <c r="B15" s="332"/>
      <c r="C15" s="321" t="s">
        <v>1552</v>
      </c>
      <c r="D15" s="319">
        <v>0</v>
      </c>
      <c r="E15" s="319"/>
      <c r="F15" s="319">
        <v>387797.64399999997</v>
      </c>
      <c r="G15" s="334"/>
      <c r="H15" s="122"/>
      <c r="I15" s="122"/>
    </row>
    <row r="16" spans="1:9" s="100" customFormat="1" ht="13.5" customHeight="1" thickBot="1">
      <c r="A16" s="267"/>
      <c r="B16" s="366"/>
      <c r="C16" s="322" t="s">
        <v>214</v>
      </c>
      <c r="D16" s="106">
        <v>0</v>
      </c>
      <c r="E16" s="323"/>
      <c r="F16" s="106">
        <v>387797.64399999997</v>
      </c>
      <c r="G16" s="369"/>
      <c r="H16" s="121">
        <f>+D15-BG!N21</f>
        <v>0</v>
      </c>
      <c r="I16" s="121">
        <f>+F15-BG!P21</f>
        <v>-0.356000000028871</v>
      </c>
    </row>
    <row r="17" spans="2:7" ht="14" thickTop="1">
      <c r="B17" s="332"/>
      <c r="C17" s="333"/>
      <c r="D17" s="333"/>
      <c r="E17" s="333"/>
      <c r="F17" s="333"/>
      <c r="G17" s="334"/>
    </row>
    <row r="18" spans="2:7" ht="14" thickBot="1">
      <c r="B18" s="339"/>
      <c r="C18" s="341"/>
      <c r="D18" s="341"/>
      <c r="E18" s="341"/>
      <c r="F18" s="341"/>
      <c r="G18" s="342"/>
    </row>
    <row r="19" spans="2:7" ht="14" thickTop="1"/>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B32AA-0C6E-5547-A60A-121E50115D52}">
  <dimension ref="B2:R39"/>
  <sheetViews>
    <sheetView showGridLines="0" tabSelected="1" workbookViewId="0">
      <selection activeCell="O22" sqref="O22"/>
    </sheetView>
  </sheetViews>
  <sheetFormatPr baseColWidth="10" defaultRowHeight="13"/>
  <sheetData>
    <row r="2" spans="2:18" ht="14" thickBot="1"/>
    <row r="3" spans="2:18" ht="14" thickTop="1">
      <c r="B3" s="328"/>
      <c r="C3" s="330"/>
      <c r="D3" s="330"/>
      <c r="E3" s="330"/>
      <c r="F3" s="330"/>
      <c r="G3" s="330"/>
      <c r="H3" s="330"/>
      <c r="I3" s="330"/>
      <c r="J3" s="331"/>
    </row>
    <row r="4" spans="2:18">
      <c r="B4" s="332"/>
      <c r="C4" s="333"/>
      <c r="D4" s="333"/>
      <c r="E4" s="333"/>
      <c r="F4" s="333"/>
      <c r="G4" s="333"/>
      <c r="H4" s="333"/>
      <c r="I4" s="333"/>
      <c r="J4" s="334"/>
    </row>
    <row r="5" spans="2:18">
      <c r="B5" s="332"/>
      <c r="C5" s="333"/>
      <c r="D5" s="333"/>
      <c r="E5" s="333"/>
      <c r="F5" s="333"/>
      <c r="G5" s="333"/>
      <c r="H5" s="333"/>
      <c r="I5" s="333"/>
      <c r="J5" s="334"/>
    </row>
    <row r="6" spans="2:18">
      <c r="B6" s="332"/>
      <c r="C6" s="333"/>
      <c r="D6" s="333"/>
      <c r="E6" s="333"/>
      <c r="F6" s="333"/>
      <c r="G6" s="333"/>
      <c r="H6" s="333"/>
      <c r="I6" s="333"/>
      <c r="J6" s="334"/>
    </row>
    <row r="7" spans="2:18" ht="14">
      <c r="B7" s="332"/>
      <c r="C7" s="333"/>
      <c r="D7" s="333"/>
      <c r="E7" s="333"/>
      <c r="F7" s="333"/>
      <c r="G7" s="333"/>
      <c r="H7" s="333"/>
      <c r="I7" s="333"/>
      <c r="J7" s="334"/>
      <c r="M7" s="255"/>
      <c r="N7" s="255"/>
      <c r="O7" s="255"/>
      <c r="P7" s="255"/>
      <c r="Q7" s="255"/>
      <c r="R7" s="255"/>
    </row>
    <row r="8" spans="2:18" ht="14">
      <c r="B8" s="332"/>
      <c r="C8" s="333"/>
      <c r="D8" s="333"/>
      <c r="E8" s="333"/>
      <c r="F8" s="333"/>
      <c r="G8" s="333"/>
      <c r="H8" s="333"/>
      <c r="I8" s="333"/>
      <c r="J8" s="334"/>
      <c r="M8" s="571" t="s">
        <v>782</v>
      </c>
      <c r="N8" s="255"/>
      <c r="O8" s="255"/>
      <c r="P8" s="255"/>
      <c r="Q8" s="571" t="s">
        <v>783</v>
      </c>
      <c r="R8" s="255"/>
    </row>
    <row r="9" spans="2:18" ht="14">
      <c r="B9" s="332"/>
      <c r="C9" s="333"/>
      <c r="D9" s="333"/>
      <c r="E9" s="333"/>
      <c r="F9" s="333"/>
      <c r="G9" s="333"/>
      <c r="H9" s="333"/>
      <c r="I9" s="333"/>
      <c r="J9" s="334"/>
      <c r="M9" s="571" t="s">
        <v>403</v>
      </c>
      <c r="N9" s="255"/>
      <c r="O9" s="255"/>
      <c r="P9" s="255"/>
      <c r="Q9" s="571" t="s">
        <v>402</v>
      </c>
      <c r="R9" s="255"/>
    </row>
    <row r="10" spans="2:18" ht="14">
      <c r="B10" s="332"/>
      <c r="C10" s="333"/>
      <c r="D10" s="333"/>
      <c r="E10" s="333"/>
      <c r="F10" s="333"/>
      <c r="G10" s="333"/>
      <c r="H10" s="333"/>
      <c r="I10" s="333"/>
      <c r="J10" s="334"/>
      <c r="M10" s="255"/>
      <c r="N10" s="255"/>
      <c r="O10" s="255"/>
      <c r="P10" s="255"/>
      <c r="Q10" s="255"/>
      <c r="R10" s="255"/>
    </row>
    <row r="11" spans="2:18" ht="14">
      <c r="B11" s="332"/>
      <c r="C11" s="333"/>
      <c r="D11" s="333"/>
      <c r="E11" s="333"/>
      <c r="F11" s="333"/>
      <c r="G11" s="333"/>
      <c r="H11" s="333"/>
      <c r="I11" s="333"/>
      <c r="J11" s="334"/>
      <c r="M11" s="255"/>
      <c r="N11" s="255"/>
      <c r="O11" s="255"/>
      <c r="P11" s="255"/>
      <c r="Q11" s="255"/>
      <c r="R11" s="255"/>
    </row>
    <row r="12" spans="2:18">
      <c r="B12" s="332"/>
      <c r="C12" s="333"/>
      <c r="D12" s="333"/>
      <c r="E12" s="333"/>
      <c r="F12" s="333"/>
      <c r="G12" s="333"/>
      <c r="H12" s="333"/>
      <c r="I12" s="333"/>
      <c r="J12" s="334"/>
    </row>
    <row r="13" spans="2:18">
      <c r="B13" s="332"/>
      <c r="C13" s="333"/>
      <c r="D13" s="333"/>
      <c r="E13" s="333"/>
      <c r="F13" s="333"/>
      <c r="G13" s="333"/>
      <c r="H13" s="333"/>
      <c r="I13" s="333"/>
      <c r="J13" s="334"/>
    </row>
    <row r="14" spans="2:18">
      <c r="B14" s="332"/>
      <c r="C14" s="333"/>
      <c r="D14" s="333"/>
      <c r="E14" s="333"/>
      <c r="F14" s="333"/>
      <c r="G14" s="333"/>
      <c r="H14" s="333"/>
      <c r="I14" s="333"/>
      <c r="J14" s="334"/>
    </row>
    <row r="15" spans="2:18">
      <c r="B15" s="332"/>
      <c r="C15" s="333"/>
      <c r="D15" s="333"/>
      <c r="E15" s="333"/>
      <c r="F15" s="333"/>
      <c r="G15" s="333"/>
      <c r="H15" s="333"/>
      <c r="I15" s="333"/>
      <c r="J15" s="334"/>
    </row>
    <row r="16" spans="2:18">
      <c r="B16" s="332"/>
      <c r="C16" s="333"/>
      <c r="D16" s="333"/>
      <c r="E16" s="333"/>
      <c r="F16" s="333"/>
      <c r="G16" s="333"/>
      <c r="H16" s="333"/>
      <c r="I16" s="333"/>
      <c r="J16" s="334"/>
    </row>
    <row r="17" spans="2:10" ht="20">
      <c r="B17" s="332"/>
      <c r="C17" s="556"/>
      <c r="D17" s="556"/>
      <c r="E17" s="556"/>
      <c r="F17" s="556"/>
      <c r="G17" s="556"/>
      <c r="H17" s="556"/>
      <c r="I17" s="556"/>
      <c r="J17" s="334"/>
    </row>
    <row r="18" spans="2:10" ht="20">
      <c r="B18" s="332"/>
      <c r="C18" s="556"/>
      <c r="D18" s="556"/>
      <c r="E18" s="556"/>
      <c r="F18" s="557" t="s">
        <v>4741</v>
      </c>
      <c r="G18" s="556"/>
      <c r="H18" s="556"/>
      <c r="I18" s="556"/>
      <c r="J18" s="334"/>
    </row>
    <row r="19" spans="2:10" ht="20">
      <c r="B19" s="332"/>
      <c r="C19" s="556"/>
      <c r="D19" s="556"/>
      <c r="E19" s="556"/>
      <c r="F19" s="556"/>
      <c r="G19" s="556"/>
      <c r="H19" s="556"/>
      <c r="I19" s="556"/>
      <c r="J19" s="334"/>
    </row>
    <row r="20" spans="2:10" ht="20">
      <c r="B20" s="332"/>
      <c r="C20" s="556" t="s">
        <v>4916</v>
      </c>
      <c r="D20" s="556"/>
      <c r="E20" s="556"/>
      <c r="F20" s="556"/>
      <c r="G20" s="556"/>
      <c r="H20" s="556"/>
      <c r="I20" s="556"/>
      <c r="J20" s="334"/>
    </row>
    <row r="21" spans="2:10" ht="20">
      <c r="B21" s="332"/>
      <c r="C21" s="556"/>
      <c r="D21" s="556"/>
      <c r="E21" s="556"/>
      <c r="F21" s="556"/>
      <c r="G21" s="556"/>
      <c r="H21" s="556"/>
      <c r="I21" s="556"/>
      <c r="J21" s="334"/>
    </row>
    <row r="22" spans="2:10" ht="20">
      <c r="B22" s="332"/>
      <c r="C22" s="556"/>
      <c r="D22" s="556"/>
      <c r="E22" s="556"/>
      <c r="F22" s="556"/>
      <c r="G22" s="556"/>
      <c r="H22" s="556"/>
      <c r="I22" s="556"/>
      <c r="J22" s="334"/>
    </row>
    <row r="23" spans="2:10" ht="20">
      <c r="B23" s="332"/>
      <c r="C23" s="556"/>
      <c r="D23" s="556"/>
      <c r="E23" s="556"/>
      <c r="F23" s="556"/>
      <c r="G23" s="556"/>
      <c r="H23" s="556"/>
      <c r="I23" s="556"/>
      <c r="J23" s="334"/>
    </row>
    <row r="24" spans="2:10" ht="20">
      <c r="B24" s="332"/>
      <c r="C24" s="556"/>
      <c r="D24" s="556"/>
      <c r="E24" s="556"/>
      <c r="F24" s="556"/>
      <c r="G24" s="556"/>
      <c r="H24" s="556"/>
      <c r="I24" s="556"/>
      <c r="J24" s="334"/>
    </row>
    <row r="25" spans="2:10">
      <c r="B25" s="332"/>
      <c r="C25" s="333"/>
      <c r="D25" s="333"/>
      <c r="E25" s="333"/>
      <c r="F25" s="333"/>
      <c r="G25" s="333"/>
      <c r="H25" s="333"/>
      <c r="I25" s="333"/>
      <c r="J25" s="334"/>
    </row>
    <row r="26" spans="2:10">
      <c r="B26" s="332"/>
      <c r="C26" s="333"/>
      <c r="D26" s="333"/>
      <c r="E26" s="333"/>
      <c r="F26" s="333"/>
      <c r="G26" s="333"/>
      <c r="H26" s="333"/>
      <c r="I26" s="333"/>
      <c r="J26" s="334"/>
    </row>
    <row r="27" spans="2:10">
      <c r="B27" s="332"/>
      <c r="C27" s="333"/>
      <c r="D27" s="333"/>
      <c r="E27" s="333"/>
      <c r="F27" s="333"/>
      <c r="G27" s="333"/>
      <c r="H27" s="333"/>
      <c r="I27" s="333"/>
      <c r="J27" s="334"/>
    </row>
    <row r="28" spans="2:10">
      <c r="B28" s="332"/>
      <c r="C28" s="333"/>
      <c r="D28" s="333"/>
      <c r="E28" s="333"/>
      <c r="F28" s="333"/>
      <c r="G28" s="333"/>
      <c r="H28" s="333"/>
      <c r="I28" s="333"/>
      <c r="J28" s="334"/>
    </row>
    <row r="29" spans="2:10">
      <c r="B29" s="332"/>
      <c r="C29" s="333"/>
      <c r="D29" s="333"/>
      <c r="E29" s="333"/>
      <c r="F29" s="333"/>
      <c r="G29" s="333"/>
      <c r="H29" s="333"/>
      <c r="I29" s="333"/>
      <c r="J29" s="334"/>
    </row>
    <row r="30" spans="2:10">
      <c r="B30" s="332"/>
      <c r="C30" s="333"/>
      <c r="D30" s="333"/>
      <c r="E30" s="333"/>
      <c r="F30" s="333"/>
      <c r="G30" s="333"/>
      <c r="H30" s="333"/>
      <c r="I30" s="333"/>
      <c r="J30" s="334"/>
    </row>
    <row r="31" spans="2:10">
      <c r="B31" s="332"/>
      <c r="C31" s="333"/>
      <c r="D31" s="333"/>
      <c r="E31" s="333"/>
      <c r="F31" s="333"/>
      <c r="G31" s="333"/>
      <c r="H31" s="333"/>
      <c r="I31" s="333"/>
      <c r="J31" s="334"/>
    </row>
    <row r="32" spans="2:10">
      <c r="B32" s="332"/>
      <c r="C32" s="333"/>
      <c r="D32" s="333"/>
      <c r="E32" s="333"/>
      <c r="F32" s="333"/>
      <c r="G32" s="333"/>
      <c r="H32" s="333"/>
      <c r="I32" s="333"/>
      <c r="J32" s="334"/>
    </row>
    <row r="33" spans="2:10" ht="20">
      <c r="B33" s="332"/>
      <c r="C33" s="558"/>
      <c r="D33" s="333"/>
      <c r="E33" s="559" t="s">
        <v>4917</v>
      </c>
      <c r="F33" s="559"/>
      <c r="G33" s="559"/>
      <c r="H33" s="333"/>
      <c r="I33" s="333"/>
      <c r="J33" s="334"/>
    </row>
    <row r="34" spans="2:10">
      <c r="B34" s="332"/>
      <c r="C34" s="333"/>
      <c r="D34" s="333"/>
      <c r="E34" s="333"/>
      <c r="F34" s="333"/>
      <c r="G34" s="333"/>
      <c r="H34" s="333"/>
      <c r="I34" s="333"/>
      <c r="J34" s="334"/>
    </row>
    <row r="35" spans="2:10">
      <c r="B35" s="332"/>
      <c r="C35" s="333"/>
      <c r="D35" s="333"/>
      <c r="E35" s="333"/>
      <c r="F35" s="333"/>
      <c r="G35" s="333"/>
      <c r="H35" s="333"/>
      <c r="I35" s="333"/>
      <c r="J35" s="334"/>
    </row>
    <row r="36" spans="2:10">
      <c r="B36" s="332"/>
      <c r="C36" s="333"/>
      <c r="D36" s="333"/>
      <c r="E36" s="333"/>
      <c r="F36" s="333"/>
      <c r="G36" s="333"/>
      <c r="H36" s="333"/>
      <c r="I36" s="333"/>
      <c r="J36" s="334"/>
    </row>
    <row r="37" spans="2:10">
      <c r="B37" s="332"/>
      <c r="C37" s="333"/>
      <c r="D37" s="333"/>
      <c r="E37" s="333"/>
      <c r="F37" s="333"/>
      <c r="G37" s="333"/>
      <c r="H37" s="333"/>
      <c r="I37" s="333"/>
      <c r="J37" s="334"/>
    </row>
    <row r="38" spans="2:10" ht="14" thickBot="1">
      <c r="B38" s="339"/>
      <c r="C38" s="341"/>
      <c r="D38" s="341"/>
      <c r="E38" s="341"/>
      <c r="F38" s="341"/>
      <c r="G38" s="341"/>
      <c r="H38" s="341"/>
      <c r="I38" s="341"/>
      <c r="J38" s="342"/>
    </row>
    <row r="39" spans="2:10" ht="14" thickTop="1"/>
  </sheetData>
  <mergeCells count="1">
    <mergeCell ref="E33:G3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4"/>
  <sheetViews>
    <sheetView showGridLines="0" topLeftCell="A43" zoomScaleNormal="100" zoomScaleSheetLayoutView="115" zoomScalePageLayoutView="150" workbookViewId="0">
      <selection activeCell="D66" sqref="D66"/>
    </sheetView>
  </sheetViews>
  <sheetFormatPr baseColWidth="10" defaultColWidth="11.5" defaultRowHeight="14"/>
  <cols>
    <col min="1" max="1" width="11.5" style="255"/>
    <col min="2" max="2" width="5.5" style="255" customWidth="1"/>
    <col min="3" max="3" width="42" style="101" customWidth="1"/>
    <col min="4" max="4" width="17.6640625" style="101" customWidth="1"/>
    <col min="5" max="5" width="5.33203125" style="101" customWidth="1"/>
    <col min="6" max="6" width="17.83203125" style="101" customWidth="1"/>
    <col min="7" max="7" width="13.83203125" style="83" hidden="1" customWidth="1"/>
    <col min="8" max="8" width="19" style="82" hidden="1" customWidth="1"/>
    <col min="9" max="9" width="13.83203125" style="101" hidden="1" customWidth="1"/>
    <col min="10" max="10" width="0" style="101" hidden="1" customWidth="1"/>
    <col min="11" max="11" width="6.1640625" style="101" customWidth="1"/>
    <col min="12" max="16384" width="11.5" style="101"/>
  </cols>
  <sheetData>
    <row r="1" spans="1:11" s="255" customFormat="1" ht="15" thickBot="1">
      <c r="G1" s="83"/>
      <c r="H1" s="82"/>
    </row>
    <row r="2" spans="1:11" s="255" customFormat="1" ht="15" thickTop="1">
      <c r="B2" s="346"/>
      <c r="C2" s="347"/>
      <c r="D2" s="347"/>
      <c r="E2" s="347"/>
      <c r="F2" s="347"/>
      <c r="G2" s="485"/>
      <c r="H2" s="486"/>
      <c r="I2" s="347"/>
      <c r="J2" s="347"/>
      <c r="K2" s="362"/>
    </row>
    <row r="3" spans="1:11" ht="18">
      <c r="B3" s="317"/>
      <c r="C3" s="349" t="s">
        <v>1554</v>
      </c>
      <c r="D3" s="321"/>
      <c r="E3" s="321"/>
      <c r="F3" s="321"/>
      <c r="G3" s="324"/>
      <c r="H3" s="487"/>
      <c r="I3" s="321"/>
      <c r="J3" s="321"/>
      <c r="K3" s="320"/>
    </row>
    <row r="4" spans="1:11" ht="15" customHeight="1">
      <c r="B4" s="317"/>
      <c r="C4" s="321" t="s">
        <v>387</v>
      </c>
      <c r="D4" s="321"/>
      <c r="E4" s="321"/>
      <c r="F4" s="321"/>
      <c r="G4" s="324"/>
      <c r="H4" s="487"/>
      <c r="I4" s="321"/>
      <c r="J4" s="321"/>
      <c r="K4" s="320"/>
    </row>
    <row r="5" spans="1:11" ht="15.75" customHeight="1">
      <c r="B5" s="317"/>
      <c r="C5" s="419" t="s">
        <v>768</v>
      </c>
      <c r="D5" s="419"/>
      <c r="E5" s="419"/>
      <c r="F5" s="419"/>
      <c r="G5" s="324"/>
      <c r="H5" s="487"/>
      <c r="I5" s="321"/>
      <c r="J5" s="321"/>
      <c r="K5" s="320"/>
    </row>
    <row r="6" spans="1:11" ht="15.75" customHeight="1">
      <c r="B6" s="317"/>
      <c r="C6" s="321"/>
      <c r="D6" s="321"/>
      <c r="E6" s="321"/>
      <c r="F6" s="321"/>
      <c r="G6" s="324"/>
      <c r="H6" s="487"/>
      <c r="I6" s="321"/>
      <c r="J6" s="321"/>
      <c r="K6" s="320"/>
    </row>
    <row r="7" spans="1:11" s="29" customFormat="1" ht="15.75" customHeight="1">
      <c r="A7" s="256"/>
      <c r="B7" s="351"/>
      <c r="C7" s="322"/>
      <c r="D7" s="483" t="s">
        <v>1991</v>
      </c>
      <c r="E7" s="484"/>
      <c r="F7" s="483" t="s">
        <v>1098</v>
      </c>
      <c r="G7" s="361"/>
      <c r="H7" s="488"/>
      <c r="I7" s="322"/>
      <c r="J7" s="322"/>
      <c r="K7" s="482"/>
    </row>
    <row r="8" spans="1:11" s="29" customFormat="1" ht="15.75" customHeight="1">
      <c r="A8" s="256"/>
      <c r="B8" s="351"/>
      <c r="C8" s="322" t="s">
        <v>754</v>
      </c>
      <c r="D8" s="322"/>
      <c r="E8" s="322"/>
      <c r="F8" s="322"/>
      <c r="G8" s="361"/>
      <c r="H8" s="488"/>
      <c r="I8" s="322"/>
      <c r="J8" s="322"/>
      <c r="K8" s="482"/>
    </row>
    <row r="9" spans="1:11" ht="15.75" customHeight="1">
      <c r="B9" s="317"/>
      <c r="C9" s="321" t="s">
        <v>939</v>
      </c>
      <c r="D9" s="353">
        <v>14621694.369000001</v>
      </c>
      <c r="E9" s="319"/>
      <c r="F9" s="353">
        <v>6520250.8190000001</v>
      </c>
      <c r="G9" s="324" t="s">
        <v>939</v>
      </c>
      <c r="H9" s="487">
        <v>14621694.369000001</v>
      </c>
      <c r="I9" s="321"/>
      <c r="J9" s="321">
        <v>6520250.8190000001</v>
      </c>
      <c r="K9" s="320"/>
    </row>
    <row r="10" spans="1:11" ht="15.75" customHeight="1">
      <c r="B10" s="317"/>
      <c r="C10" s="321" t="s">
        <v>813</v>
      </c>
      <c r="D10" s="353">
        <v>10836734.739</v>
      </c>
      <c r="E10" s="319"/>
      <c r="F10" s="353">
        <v>13258934.449999999</v>
      </c>
      <c r="G10" s="324" t="s">
        <v>770</v>
      </c>
      <c r="H10" s="487">
        <v>9761904.4100000001</v>
      </c>
      <c r="I10" s="321"/>
      <c r="J10" s="321">
        <v>10240768.051999999</v>
      </c>
      <c r="K10" s="320"/>
    </row>
    <row r="11" spans="1:11" ht="15.75" customHeight="1">
      <c r="B11" s="317"/>
      <c r="C11" s="321" t="s">
        <v>770</v>
      </c>
      <c r="D11" s="353">
        <v>9761904.4100000001</v>
      </c>
      <c r="E11" s="319"/>
      <c r="F11" s="353">
        <v>10240768.051999999</v>
      </c>
      <c r="G11" s="324" t="s">
        <v>813</v>
      </c>
      <c r="H11" s="487">
        <v>10836734.739</v>
      </c>
      <c r="I11" s="321"/>
      <c r="J11" s="321">
        <v>13258934.449999999</v>
      </c>
      <c r="K11" s="320"/>
    </row>
    <row r="12" spans="1:11" ht="15.75" customHeight="1">
      <c r="B12" s="317"/>
      <c r="C12" s="321" t="s">
        <v>818</v>
      </c>
      <c r="D12" s="353">
        <v>6040887.4349999996</v>
      </c>
      <c r="E12" s="319"/>
      <c r="F12" s="353">
        <v>7319504.1670000004</v>
      </c>
      <c r="G12" s="324" t="s">
        <v>818</v>
      </c>
      <c r="H12" s="487">
        <v>6040887.4349999996</v>
      </c>
      <c r="I12" s="321"/>
      <c r="J12" s="321">
        <v>7319504.1670000004</v>
      </c>
      <c r="K12" s="320"/>
    </row>
    <row r="13" spans="1:11" ht="15.75" customHeight="1">
      <c r="B13" s="317"/>
      <c r="C13" s="321" t="s">
        <v>817</v>
      </c>
      <c r="D13" s="353">
        <v>3559099.9040000001</v>
      </c>
      <c r="E13" s="319"/>
      <c r="F13" s="353">
        <v>4234408.5279999999</v>
      </c>
      <c r="G13" s="324" t="s">
        <v>777</v>
      </c>
      <c r="H13" s="487">
        <v>3352839.4649999999</v>
      </c>
      <c r="I13" s="321"/>
      <c r="J13" s="321">
        <v>5272192.4610000001</v>
      </c>
      <c r="K13" s="320"/>
    </row>
    <row r="14" spans="1:11" ht="15.75" customHeight="1">
      <c r="B14" s="317"/>
      <c r="C14" s="321" t="s">
        <v>777</v>
      </c>
      <c r="D14" s="353">
        <v>3352839.4649999999</v>
      </c>
      <c r="E14" s="319"/>
      <c r="F14" s="353">
        <v>5272192.4610000001</v>
      </c>
      <c r="G14" s="324" t="s">
        <v>775</v>
      </c>
      <c r="H14" s="487">
        <v>3326832.5260000001</v>
      </c>
      <c r="I14" s="321"/>
      <c r="J14" s="321">
        <v>3325906.5860000001</v>
      </c>
      <c r="K14" s="320"/>
    </row>
    <row r="15" spans="1:11" ht="15.75" customHeight="1">
      <c r="B15" s="317"/>
      <c r="C15" s="321" t="s">
        <v>775</v>
      </c>
      <c r="D15" s="353">
        <v>3326832.5260000001</v>
      </c>
      <c r="E15" s="319"/>
      <c r="F15" s="353">
        <v>3325906.5860000001</v>
      </c>
      <c r="G15" s="324" t="s">
        <v>817</v>
      </c>
      <c r="H15" s="487">
        <v>3559099.9040000001</v>
      </c>
      <c r="I15" s="321"/>
      <c r="J15" s="321">
        <v>4234408.5279999999</v>
      </c>
      <c r="K15" s="320"/>
    </row>
    <row r="16" spans="1:11" ht="15.75" customHeight="1">
      <c r="B16" s="317"/>
      <c r="C16" s="321" t="s">
        <v>1890</v>
      </c>
      <c r="D16" s="353">
        <v>2516525.622</v>
      </c>
      <c r="E16" s="319"/>
      <c r="F16" s="353">
        <v>0</v>
      </c>
      <c r="G16" s="324" t="s">
        <v>769</v>
      </c>
      <c r="H16" s="487">
        <v>0</v>
      </c>
      <c r="I16" s="321"/>
      <c r="J16" s="321">
        <v>0</v>
      </c>
      <c r="K16" s="320"/>
    </row>
    <row r="17" spans="2:11" ht="15.75" customHeight="1">
      <c r="B17" s="317"/>
      <c r="C17" s="321" t="s">
        <v>772</v>
      </c>
      <c r="D17" s="353">
        <v>1073420.5719999999</v>
      </c>
      <c r="E17" s="319"/>
      <c r="F17" s="353">
        <v>2342192.4</v>
      </c>
      <c r="G17" s="324" t="s">
        <v>776</v>
      </c>
      <c r="H17" s="487">
        <v>978571.31599999999</v>
      </c>
      <c r="I17" s="321"/>
      <c r="J17" s="321">
        <v>2017148.9569999999</v>
      </c>
      <c r="K17" s="320"/>
    </row>
    <row r="18" spans="2:11" ht="15.75" customHeight="1">
      <c r="B18" s="317"/>
      <c r="C18" s="321" t="s">
        <v>776</v>
      </c>
      <c r="D18" s="353">
        <v>978571.31599999999</v>
      </c>
      <c r="E18" s="319"/>
      <c r="F18" s="353">
        <v>2017148.9569999999</v>
      </c>
      <c r="G18" s="324" t="s">
        <v>1890</v>
      </c>
      <c r="H18" s="487">
        <v>2516525.622</v>
      </c>
      <c r="I18" s="321"/>
      <c r="J18" s="321">
        <v>0</v>
      </c>
      <c r="K18" s="320"/>
    </row>
    <row r="19" spans="2:11" ht="15.75" customHeight="1">
      <c r="B19" s="317"/>
      <c r="C19" s="321" t="s">
        <v>1891</v>
      </c>
      <c r="D19" s="353">
        <v>812849.85900000005</v>
      </c>
      <c r="E19" s="319"/>
      <c r="F19" s="353">
        <v>0</v>
      </c>
      <c r="G19" s="324" t="s">
        <v>772</v>
      </c>
      <c r="H19" s="487">
        <v>1073420.5719999999</v>
      </c>
      <c r="I19" s="321"/>
      <c r="J19" s="321">
        <v>2342192.4</v>
      </c>
      <c r="K19" s="320"/>
    </row>
    <row r="20" spans="2:11" ht="15.75" customHeight="1">
      <c r="B20" s="317"/>
      <c r="C20" s="321" t="s">
        <v>774</v>
      </c>
      <c r="D20" s="353">
        <v>716627.08600000001</v>
      </c>
      <c r="E20" s="319"/>
      <c r="F20" s="353">
        <v>532942.36699999997</v>
      </c>
      <c r="G20" s="324" t="s">
        <v>1891</v>
      </c>
      <c r="H20" s="487">
        <v>812849.85900000005</v>
      </c>
      <c r="I20" s="321"/>
      <c r="J20" s="321">
        <v>0</v>
      </c>
      <c r="K20" s="320"/>
    </row>
    <row r="21" spans="2:11" ht="15.75" hidden="1" customHeight="1">
      <c r="B21" s="317"/>
      <c r="C21" s="321" t="s">
        <v>769</v>
      </c>
      <c r="D21" s="353">
        <v>0</v>
      </c>
      <c r="E21" s="319"/>
      <c r="F21" s="353">
        <v>0</v>
      </c>
      <c r="G21" s="324" t="s">
        <v>774</v>
      </c>
      <c r="H21" s="487">
        <v>716627.08600000001</v>
      </c>
      <c r="I21" s="321"/>
      <c r="J21" s="321">
        <v>532942.36699999997</v>
      </c>
      <c r="K21" s="320"/>
    </row>
    <row r="22" spans="2:11" ht="15.75" customHeight="1">
      <c r="B22" s="317"/>
      <c r="C22" s="321" t="s">
        <v>773</v>
      </c>
      <c r="D22" s="353">
        <v>0</v>
      </c>
      <c r="E22" s="319"/>
      <c r="F22" s="353">
        <v>2379300.423</v>
      </c>
      <c r="G22" s="324" t="s">
        <v>773</v>
      </c>
      <c r="H22" s="487">
        <v>0</v>
      </c>
      <c r="I22" s="321"/>
      <c r="J22" s="321">
        <v>2379300.423</v>
      </c>
      <c r="K22" s="320"/>
    </row>
    <row r="23" spans="2:11" ht="15.75" hidden="1" customHeight="1">
      <c r="B23" s="317"/>
      <c r="C23" s="321" t="s">
        <v>778</v>
      </c>
      <c r="D23" s="319">
        <v>0</v>
      </c>
      <c r="E23" s="319"/>
      <c r="F23" s="353">
        <v>0</v>
      </c>
      <c r="G23" s="324" t="s">
        <v>778</v>
      </c>
      <c r="H23" s="487">
        <v>0</v>
      </c>
      <c r="I23" s="321"/>
      <c r="J23" s="321">
        <v>0</v>
      </c>
      <c r="K23" s="320"/>
    </row>
    <row r="24" spans="2:11" ht="15.75" customHeight="1">
      <c r="B24" s="317"/>
      <c r="C24" s="321" t="s">
        <v>815</v>
      </c>
      <c r="D24" s="353">
        <v>-3858290.727</v>
      </c>
      <c r="E24" s="319"/>
      <c r="F24" s="353">
        <v>-3148393.27</v>
      </c>
      <c r="G24" s="324" t="s">
        <v>815</v>
      </c>
      <c r="H24" s="487">
        <v>-3858290.727</v>
      </c>
      <c r="I24" s="321"/>
      <c r="J24" s="321">
        <v>-3148393.27</v>
      </c>
      <c r="K24" s="320"/>
    </row>
    <row r="25" spans="2:11" ht="15.75" customHeight="1" thickBot="1">
      <c r="B25" s="317"/>
      <c r="C25" s="322" t="s">
        <v>214</v>
      </c>
      <c r="D25" s="109">
        <v>53739696.576000012</v>
      </c>
      <c r="E25" s="323"/>
      <c r="F25" s="109">
        <v>54295155.940000005</v>
      </c>
      <c r="G25" s="489">
        <f>+D25-BG!N14</f>
        <v>-0.42399998754262924</v>
      </c>
      <c r="H25" s="487">
        <f>+F25-BG!P14</f>
        <v>-5.9999994933605194E-2</v>
      </c>
      <c r="I25" s="321"/>
      <c r="J25" s="321"/>
      <c r="K25" s="320"/>
    </row>
    <row r="26" spans="2:11" ht="15.75" customHeight="1" thickTop="1">
      <c r="B26" s="317"/>
      <c r="C26" s="321"/>
      <c r="D26" s="321"/>
      <c r="E26" s="321"/>
      <c r="F26" s="321"/>
      <c r="G26" s="324"/>
      <c r="H26" s="487"/>
      <c r="I26" s="321"/>
      <c r="J26" s="321"/>
      <c r="K26" s="320"/>
    </row>
    <row r="27" spans="2:11" ht="15.75" customHeight="1">
      <c r="B27" s="317"/>
      <c r="C27" s="490" t="s">
        <v>764</v>
      </c>
      <c r="D27" s="490"/>
      <c r="E27" s="490"/>
      <c r="F27" s="490"/>
      <c r="G27" s="324"/>
      <c r="H27" s="487"/>
      <c r="I27" s="321"/>
      <c r="J27" s="321"/>
      <c r="K27" s="320"/>
    </row>
    <row r="28" spans="2:11" ht="15.75" hidden="1" customHeight="1">
      <c r="B28" s="317"/>
      <c r="C28" s="321" t="s">
        <v>823</v>
      </c>
      <c r="D28" s="321">
        <v>0</v>
      </c>
      <c r="E28" s="321"/>
      <c r="F28" s="321">
        <v>0</v>
      </c>
      <c r="G28" s="324"/>
      <c r="H28" s="487"/>
      <c r="I28" s="321"/>
      <c r="J28" s="321"/>
      <c r="K28" s="320"/>
    </row>
    <row r="29" spans="2:11" ht="15.75" customHeight="1">
      <c r="B29" s="317"/>
      <c r="C29" s="321" t="s">
        <v>822</v>
      </c>
      <c r="D29" s="353">
        <v>2804299</v>
      </c>
      <c r="E29" s="319"/>
      <c r="F29" s="353">
        <v>3302108</v>
      </c>
      <c r="G29" s="324" t="s">
        <v>1079</v>
      </c>
      <c r="H29" s="487">
        <v>2521087.1779999998</v>
      </c>
      <c r="I29" s="321"/>
      <c r="J29" s="321">
        <v>1530156.341</v>
      </c>
      <c r="K29" s="320"/>
    </row>
    <row r="30" spans="2:11" ht="15.75" customHeight="1">
      <c r="B30" s="317"/>
      <c r="C30" s="321" t="s">
        <v>1079</v>
      </c>
      <c r="D30" s="353">
        <v>1540351.1259999999</v>
      </c>
      <c r="E30" s="319"/>
      <c r="F30" s="353">
        <v>1530156.341</v>
      </c>
      <c r="G30" s="324" t="s">
        <v>822</v>
      </c>
      <c r="H30" s="487">
        <v>2962738.0970000001</v>
      </c>
      <c r="I30" s="321"/>
      <c r="J30" s="321">
        <v>3302107.0180000002</v>
      </c>
      <c r="K30" s="320"/>
    </row>
    <row r="31" spans="2:11" ht="15.75" customHeight="1">
      <c r="B31" s="317"/>
      <c r="C31" s="321" t="s">
        <v>1892</v>
      </c>
      <c r="D31" s="353">
        <v>741130.65099999995</v>
      </c>
      <c r="E31" s="319"/>
      <c r="F31" s="353">
        <v>0</v>
      </c>
      <c r="G31" s="324" t="s">
        <v>819</v>
      </c>
      <c r="H31" s="487">
        <v>658623.38899999997</v>
      </c>
      <c r="I31" s="321"/>
      <c r="J31" s="321">
        <v>937435.45600000001</v>
      </c>
      <c r="K31" s="320"/>
    </row>
    <row r="32" spans="2:11" ht="15.75" customHeight="1">
      <c r="B32" s="317"/>
      <c r="C32" s="321" t="s">
        <v>819</v>
      </c>
      <c r="D32" s="353">
        <v>508485.29200000002</v>
      </c>
      <c r="E32" s="319"/>
      <c r="F32" s="353">
        <v>937435.45600000001</v>
      </c>
      <c r="G32" s="324" t="s">
        <v>940</v>
      </c>
      <c r="H32" s="487">
        <v>0</v>
      </c>
      <c r="I32" s="321"/>
      <c r="J32" s="321">
        <v>0</v>
      </c>
      <c r="K32" s="320"/>
    </row>
    <row r="33" spans="2:11" ht="15.75" hidden="1" customHeight="1">
      <c r="B33" s="317"/>
      <c r="C33" s="321" t="s">
        <v>940</v>
      </c>
      <c r="D33" s="353">
        <v>0</v>
      </c>
      <c r="E33" s="319"/>
      <c r="F33" s="353">
        <v>0</v>
      </c>
      <c r="G33" s="324" t="s">
        <v>1892</v>
      </c>
      <c r="H33" s="487">
        <v>648189.30700000003</v>
      </c>
      <c r="I33" s="321"/>
      <c r="J33" s="321">
        <v>0</v>
      </c>
      <c r="K33" s="320"/>
    </row>
    <row r="34" spans="2:11" ht="15.75" customHeight="1">
      <c r="B34" s="317"/>
      <c r="C34" s="321" t="s">
        <v>1555</v>
      </c>
      <c r="D34" s="353">
        <v>-232420.57699999999</v>
      </c>
      <c r="E34" s="319"/>
      <c r="F34" s="353">
        <v>-283448.16800000001</v>
      </c>
      <c r="G34" s="324"/>
      <c r="H34" s="487"/>
      <c r="I34" s="321"/>
      <c r="J34" s="321"/>
      <c r="K34" s="320"/>
    </row>
    <row r="35" spans="2:11" ht="15.75" customHeight="1" thickBot="1">
      <c r="B35" s="317"/>
      <c r="C35" s="322" t="s">
        <v>214</v>
      </c>
      <c r="D35" s="109">
        <v>5361844.7530000005</v>
      </c>
      <c r="E35" s="323"/>
      <c r="F35" s="109">
        <v>5486250.6470000008</v>
      </c>
      <c r="G35" s="324">
        <f>+D35-BG!N22</f>
        <v>-0.24699999950826168</v>
      </c>
      <c r="H35" s="487">
        <f>F35-BG!P22</f>
        <v>-0.35299999918788671</v>
      </c>
      <c r="I35" s="321"/>
      <c r="J35" s="321"/>
      <c r="K35" s="320"/>
    </row>
    <row r="36" spans="2:11" ht="15" thickTop="1">
      <c r="B36" s="317"/>
      <c r="C36" s="321"/>
      <c r="D36" s="321"/>
      <c r="E36" s="321"/>
      <c r="F36" s="321"/>
      <c r="G36" s="324"/>
      <c r="H36" s="487"/>
      <c r="I36" s="321"/>
      <c r="J36" s="321"/>
      <c r="K36" s="320"/>
    </row>
    <row r="37" spans="2:11" ht="18" customHeight="1">
      <c r="B37" s="317"/>
      <c r="C37" s="490" t="s">
        <v>968</v>
      </c>
      <c r="D37" s="490"/>
      <c r="E37" s="490"/>
      <c r="F37" s="490"/>
      <c r="G37" s="324"/>
      <c r="H37" s="487"/>
      <c r="I37" s="321"/>
      <c r="J37" s="321"/>
      <c r="K37" s="320"/>
    </row>
    <row r="38" spans="2:11">
      <c r="B38" s="317"/>
      <c r="C38" s="321" t="s">
        <v>1556</v>
      </c>
      <c r="D38" s="321"/>
      <c r="E38" s="321"/>
      <c r="F38" s="321"/>
      <c r="G38" s="324"/>
      <c r="H38" s="487"/>
      <c r="I38" s="321"/>
      <c r="J38" s="321"/>
      <c r="K38" s="320"/>
    </row>
    <row r="39" spans="2:11">
      <c r="B39" s="317"/>
      <c r="C39" s="321"/>
      <c r="D39" s="321"/>
      <c r="E39" s="321"/>
      <c r="F39" s="321"/>
      <c r="G39" s="324"/>
      <c r="H39" s="487"/>
      <c r="I39" s="321"/>
      <c r="J39" s="321"/>
      <c r="K39" s="320"/>
    </row>
    <row r="40" spans="2:11">
      <c r="B40" s="317"/>
      <c r="C40" s="321"/>
      <c r="D40" s="483" t="s">
        <v>1991</v>
      </c>
      <c r="E40" s="484"/>
      <c r="F40" s="483" t="s">
        <v>1098</v>
      </c>
      <c r="G40" s="324"/>
      <c r="H40" s="487"/>
      <c r="I40" s="321"/>
      <c r="J40" s="321"/>
      <c r="K40" s="320"/>
    </row>
    <row r="41" spans="2:11" ht="15" customHeight="1">
      <c r="B41" s="317"/>
      <c r="C41" s="322" t="s">
        <v>754</v>
      </c>
      <c r="D41" s="321"/>
      <c r="E41" s="321"/>
      <c r="F41" s="321"/>
      <c r="G41" s="324"/>
      <c r="H41" s="487"/>
      <c r="I41" s="321"/>
      <c r="J41" s="321"/>
      <c r="K41" s="320"/>
    </row>
    <row r="42" spans="2:11">
      <c r="B42" s="317"/>
      <c r="C42" s="321"/>
      <c r="D42" s="321"/>
      <c r="E42" s="321"/>
      <c r="F42" s="321"/>
      <c r="G42" s="324"/>
      <c r="H42" s="487"/>
      <c r="I42" s="321"/>
      <c r="J42" s="321"/>
      <c r="K42" s="320"/>
    </row>
    <row r="43" spans="2:11">
      <c r="B43" s="317"/>
      <c r="C43" s="321" t="s">
        <v>1701</v>
      </c>
      <c r="D43" s="353">
        <v>6315467.2999999998</v>
      </c>
      <c r="E43" s="319"/>
      <c r="F43" s="353">
        <v>3992259.4920000001</v>
      </c>
      <c r="G43" s="324"/>
      <c r="H43" s="487"/>
      <c r="I43" s="321"/>
      <c r="J43" s="321"/>
      <c r="K43" s="320"/>
    </row>
    <row r="44" spans="2:11">
      <c r="B44" s="317"/>
      <c r="C44" s="321" t="s">
        <v>1702</v>
      </c>
      <c r="D44" s="353">
        <v>3378821.9180000001</v>
      </c>
      <c r="E44" s="319"/>
      <c r="F44" s="353">
        <v>0</v>
      </c>
      <c r="G44" s="324"/>
      <c r="H44" s="487"/>
      <c r="I44" s="321"/>
      <c r="J44" s="321"/>
      <c r="K44" s="320"/>
    </row>
    <row r="45" spans="2:11">
      <c r="B45" s="317"/>
      <c r="C45" s="321" t="s">
        <v>1703</v>
      </c>
      <c r="D45" s="353">
        <v>0</v>
      </c>
      <c r="E45" s="319"/>
      <c r="F45" s="353">
        <v>2629041.0959999999</v>
      </c>
      <c r="G45" s="324"/>
      <c r="H45" s="487"/>
      <c r="I45" s="321"/>
      <c r="J45" s="321"/>
      <c r="K45" s="320"/>
    </row>
    <row r="46" spans="2:11">
      <c r="B46" s="317"/>
      <c r="C46" s="321" t="s">
        <v>1558</v>
      </c>
      <c r="D46" s="353">
        <v>-1943929.2720000001</v>
      </c>
      <c r="E46" s="319"/>
      <c r="F46" s="353">
        <v>-2288934.7519999999</v>
      </c>
      <c r="G46" s="324"/>
      <c r="H46" s="487"/>
      <c r="I46" s="321"/>
      <c r="J46" s="321"/>
      <c r="K46" s="320"/>
    </row>
    <row r="47" spans="2:11" ht="15" thickBot="1">
      <c r="B47" s="317"/>
      <c r="C47" s="322" t="s">
        <v>214</v>
      </c>
      <c r="D47" s="109">
        <v>7750359.9460000005</v>
      </c>
      <c r="E47" s="323"/>
      <c r="F47" s="109">
        <v>4332365.8359999992</v>
      </c>
      <c r="G47" s="324">
        <f>+D47-BG!N15</f>
        <v>-5.3999999538064003E-2</v>
      </c>
      <c r="H47" s="487">
        <f>+F47-BG!P15</f>
        <v>-0.1640000008046627</v>
      </c>
      <c r="I47" s="321"/>
      <c r="J47" s="321"/>
      <c r="K47" s="320"/>
    </row>
    <row r="48" spans="2:11" ht="15" thickTop="1">
      <c r="B48" s="317"/>
      <c r="C48" s="321"/>
      <c r="D48" s="321"/>
      <c r="E48" s="321"/>
      <c r="F48" s="321"/>
      <c r="G48" s="324"/>
      <c r="H48" s="487"/>
      <c r="I48" s="321"/>
      <c r="J48" s="321"/>
      <c r="K48" s="320"/>
    </row>
    <row r="49" spans="2:11" ht="15" customHeight="1">
      <c r="B49" s="317"/>
      <c r="C49" s="490" t="s">
        <v>764</v>
      </c>
      <c r="D49" s="490"/>
      <c r="E49" s="490"/>
      <c r="F49" s="490"/>
      <c r="G49" s="324"/>
      <c r="H49" s="487"/>
      <c r="I49" s="321"/>
      <c r="J49" s="321"/>
      <c r="K49" s="320"/>
    </row>
    <row r="50" spans="2:11">
      <c r="B50" s="317"/>
      <c r="C50" s="321"/>
      <c r="D50" s="321"/>
      <c r="E50" s="321"/>
      <c r="F50" s="321"/>
      <c r="G50" s="324"/>
      <c r="H50" s="487"/>
      <c r="I50" s="321"/>
      <c r="J50" s="321"/>
      <c r="K50" s="320"/>
    </row>
    <row r="51" spans="2:11">
      <c r="B51" s="317"/>
      <c r="C51" s="321" t="s">
        <v>1704</v>
      </c>
      <c r="D51" s="353">
        <v>10699544.327</v>
      </c>
      <c r="E51" s="319"/>
      <c r="F51" s="353">
        <v>13435238.545</v>
      </c>
      <c r="G51" s="324"/>
      <c r="H51" s="487"/>
      <c r="I51" s="321"/>
      <c r="J51" s="321"/>
      <c r="K51" s="320"/>
    </row>
    <row r="52" spans="2:11">
      <c r="B52" s="317"/>
      <c r="C52" s="321" t="s">
        <v>1705</v>
      </c>
      <c r="D52" s="353">
        <v>2067509.8489999999</v>
      </c>
      <c r="E52" s="319"/>
      <c r="F52" s="353">
        <v>0</v>
      </c>
      <c r="G52" s="324"/>
      <c r="H52" s="487"/>
      <c r="I52" s="321"/>
      <c r="J52" s="321"/>
      <c r="K52" s="320"/>
    </row>
    <row r="53" spans="2:11">
      <c r="B53" s="317"/>
      <c r="C53" s="321" t="s">
        <v>1706</v>
      </c>
      <c r="D53" s="353">
        <v>0</v>
      </c>
      <c r="E53" s="319"/>
      <c r="F53" s="353">
        <v>4419616.4369999999</v>
      </c>
      <c r="G53" s="324"/>
      <c r="H53" s="487"/>
      <c r="I53" s="321"/>
      <c r="J53" s="321"/>
      <c r="K53" s="320"/>
    </row>
    <row r="54" spans="2:11">
      <c r="B54" s="317"/>
      <c r="C54" s="321" t="s">
        <v>1559</v>
      </c>
      <c r="D54" s="353">
        <v>-1669689.4720000001</v>
      </c>
      <c r="E54" s="319"/>
      <c r="F54" s="353">
        <v>-3286383.3319999999</v>
      </c>
      <c r="G54" s="324"/>
      <c r="H54" s="487"/>
      <c r="I54" s="321"/>
      <c r="J54" s="321"/>
      <c r="K54" s="320"/>
    </row>
    <row r="55" spans="2:11" ht="15" thickBot="1">
      <c r="B55" s="317"/>
      <c r="C55" s="322" t="s">
        <v>214</v>
      </c>
      <c r="D55" s="109">
        <v>11097364.704</v>
      </c>
      <c r="E55" s="323"/>
      <c r="F55" s="109">
        <v>14568471.65</v>
      </c>
      <c r="G55" s="324">
        <f>+BG!N23-D55</f>
        <v>0.29600000008940697</v>
      </c>
      <c r="H55" s="487">
        <f>+F55-BG!P23</f>
        <v>-0.34999999962747097</v>
      </c>
      <c r="I55" s="321"/>
      <c r="J55" s="321"/>
      <c r="K55" s="320"/>
    </row>
    <row r="56" spans="2:11" ht="15" thickTop="1">
      <c r="B56" s="317"/>
      <c r="C56" s="321"/>
      <c r="D56" s="321"/>
      <c r="E56" s="321"/>
      <c r="F56" s="321"/>
      <c r="G56" s="324"/>
      <c r="H56" s="487"/>
      <c r="I56" s="321"/>
      <c r="J56" s="321"/>
      <c r="K56" s="320"/>
    </row>
    <row r="57" spans="2:11">
      <c r="B57" s="317"/>
      <c r="C57" s="321" t="s">
        <v>1709</v>
      </c>
      <c r="D57" s="321"/>
      <c r="E57" s="321"/>
      <c r="F57" s="321"/>
      <c r="G57" s="324"/>
      <c r="H57" s="487"/>
      <c r="I57" s="321"/>
      <c r="J57" s="321"/>
      <c r="K57" s="320"/>
    </row>
    <row r="58" spans="2:11">
      <c r="B58" s="317"/>
      <c r="C58" s="321" t="s">
        <v>1710</v>
      </c>
      <c r="D58" s="321"/>
      <c r="E58" s="321"/>
      <c r="F58" s="321"/>
      <c r="G58" s="324"/>
      <c r="H58" s="487"/>
      <c r="I58" s="321"/>
      <c r="J58" s="321"/>
      <c r="K58" s="320"/>
    </row>
    <row r="59" spans="2:11">
      <c r="B59" s="317"/>
      <c r="C59" s="321"/>
      <c r="D59" s="321"/>
      <c r="E59" s="321"/>
      <c r="F59" s="321"/>
      <c r="G59" s="324"/>
      <c r="H59" s="487"/>
      <c r="I59" s="321"/>
      <c r="J59" s="321"/>
      <c r="K59" s="320"/>
    </row>
    <row r="60" spans="2:11" ht="15" customHeight="1">
      <c r="B60" s="317"/>
      <c r="C60" s="490" t="s">
        <v>1523</v>
      </c>
      <c r="D60" s="490"/>
      <c r="E60" s="490"/>
      <c r="F60" s="490"/>
      <c r="G60" s="324"/>
      <c r="H60" s="487"/>
      <c r="I60" s="321"/>
      <c r="J60" s="321"/>
      <c r="K60" s="320"/>
    </row>
    <row r="61" spans="2:11" ht="15" customHeight="1">
      <c r="B61" s="317"/>
      <c r="C61" s="321" t="s">
        <v>1557</v>
      </c>
      <c r="D61" s="321"/>
      <c r="E61" s="321"/>
      <c r="F61" s="321"/>
      <c r="G61" s="324"/>
      <c r="H61" s="487"/>
      <c r="I61" s="321"/>
      <c r="J61" s="321"/>
      <c r="K61" s="320"/>
    </row>
    <row r="62" spans="2:11" ht="15" customHeight="1">
      <c r="B62" s="317"/>
      <c r="C62" s="419"/>
      <c r="D62" s="419"/>
      <c r="E62" s="419"/>
      <c r="F62" s="419"/>
      <c r="G62" s="324"/>
      <c r="H62" s="487"/>
      <c r="I62" s="321"/>
      <c r="J62" s="321"/>
      <c r="K62" s="320"/>
    </row>
    <row r="63" spans="2:11" ht="15" customHeight="1">
      <c r="B63" s="317"/>
      <c r="C63" s="494" t="s">
        <v>754</v>
      </c>
      <c r="D63" s="483" t="s">
        <v>1991</v>
      </c>
      <c r="E63" s="484"/>
      <c r="F63" s="483" t="s">
        <v>1098</v>
      </c>
      <c r="G63" s="324"/>
      <c r="H63" s="487"/>
      <c r="I63" s="321"/>
      <c r="J63" s="321"/>
      <c r="K63" s="320"/>
    </row>
    <row r="64" spans="2:11" ht="15" customHeight="1">
      <c r="B64" s="317"/>
      <c r="C64" s="495" t="s">
        <v>4880</v>
      </c>
      <c r="D64" s="353">
        <v>4562959</v>
      </c>
      <c r="E64" s="497"/>
      <c r="F64" s="353">
        <v>2565945</v>
      </c>
      <c r="G64" s="324"/>
      <c r="H64" s="487"/>
      <c r="I64" s="321"/>
      <c r="J64" s="321"/>
      <c r="K64" s="320"/>
    </row>
    <row r="65" spans="1:11" ht="15" customHeight="1">
      <c r="B65" s="317"/>
      <c r="C65" s="495" t="s">
        <v>4881</v>
      </c>
      <c r="D65" s="353">
        <v>-2564611</v>
      </c>
      <c r="E65" s="498"/>
      <c r="F65" s="353">
        <v>-2565945</v>
      </c>
      <c r="G65" s="324">
        <f>+D65-BG!N17</f>
        <v>-2814159</v>
      </c>
      <c r="H65" s="487">
        <f>+F65-BG!P17</f>
        <v>-2732052</v>
      </c>
      <c r="I65" s="321"/>
      <c r="J65" s="321"/>
      <c r="K65" s="320"/>
    </row>
    <row r="66" spans="1:11" ht="15" customHeight="1" thickBot="1">
      <c r="B66" s="317"/>
      <c r="C66" s="494" t="s">
        <v>214</v>
      </c>
      <c r="D66" s="501">
        <v>1998348</v>
      </c>
      <c r="E66" s="498"/>
      <c r="F66" s="502" t="s">
        <v>4882</v>
      </c>
      <c r="G66" s="324"/>
      <c r="H66" s="487"/>
      <c r="I66" s="321"/>
      <c r="J66" s="321"/>
      <c r="K66" s="320"/>
    </row>
    <row r="67" spans="1:11" s="115" customFormat="1" ht="15" customHeight="1" thickTop="1">
      <c r="A67" s="255"/>
      <c r="B67" s="317"/>
      <c r="C67" s="497"/>
      <c r="D67" s="497"/>
      <c r="E67" s="497"/>
      <c r="F67" s="497"/>
      <c r="G67" s="324"/>
      <c r="H67" s="487"/>
      <c r="I67" s="321"/>
      <c r="J67" s="321"/>
      <c r="K67" s="320"/>
    </row>
    <row r="68" spans="1:11" s="115" customFormat="1" ht="15" customHeight="1">
      <c r="A68" s="255"/>
      <c r="B68" s="317"/>
      <c r="C68" s="494" t="s">
        <v>764</v>
      </c>
      <c r="D68" s="497"/>
      <c r="E68" s="497"/>
      <c r="F68" s="497"/>
      <c r="G68" s="489">
        <f>+D68-BG!N16</f>
        <v>-1998348</v>
      </c>
      <c r="H68" s="487">
        <f>+F68-BG!P16</f>
        <v>0</v>
      </c>
      <c r="I68" s="321"/>
      <c r="J68" s="321"/>
      <c r="K68" s="320"/>
    </row>
    <row r="69" spans="1:11" s="115" customFormat="1" ht="15" customHeight="1">
      <c r="A69" s="255"/>
      <c r="B69" s="317"/>
      <c r="C69" s="495" t="s">
        <v>4880</v>
      </c>
      <c r="D69" s="496">
        <v>22181013</v>
      </c>
      <c r="E69" s="499"/>
      <c r="F69" s="496">
        <v>26743972</v>
      </c>
      <c r="G69" s="324"/>
      <c r="H69" s="487"/>
      <c r="I69" s="321"/>
      <c r="J69" s="321"/>
      <c r="K69" s="320"/>
    </row>
    <row r="70" spans="1:11">
      <c r="B70" s="317"/>
      <c r="C70" s="495" t="s">
        <v>4881</v>
      </c>
      <c r="D70" s="353">
        <v>-4180695</v>
      </c>
      <c r="E70" s="499"/>
      <c r="F70" s="353">
        <v>-6743972</v>
      </c>
      <c r="G70" s="324"/>
      <c r="H70" s="487"/>
      <c r="I70" s="321"/>
      <c r="J70" s="321"/>
      <c r="K70" s="320"/>
    </row>
    <row r="71" spans="1:11" ht="16" thickBot="1">
      <c r="B71" s="317"/>
      <c r="C71" s="494" t="s">
        <v>214</v>
      </c>
      <c r="D71" s="501">
        <v>18000318</v>
      </c>
      <c r="E71" s="500"/>
      <c r="F71" s="501">
        <v>20000000</v>
      </c>
      <c r="G71" s="489">
        <f>+D71-BG!N24</f>
        <v>0</v>
      </c>
      <c r="H71" s="487">
        <f>+F71-BG!P24</f>
        <v>0</v>
      </c>
      <c r="I71" s="321"/>
      <c r="J71" s="321"/>
      <c r="K71" s="320"/>
    </row>
    <row r="72" spans="1:11" ht="15" thickTop="1">
      <c r="B72" s="317"/>
      <c r="C72" s="321"/>
      <c r="D72" s="321"/>
      <c r="E72" s="321"/>
      <c r="F72" s="321"/>
      <c r="G72" s="324"/>
      <c r="H72" s="487"/>
      <c r="I72" s="321"/>
      <c r="J72" s="321"/>
      <c r="K72" s="320"/>
    </row>
    <row r="73" spans="1:11" ht="15" thickBot="1">
      <c r="B73" s="354"/>
      <c r="C73" s="355"/>
      <c r="D73" s="355"/>
      <c r="E73" s="355"/>
      <c r="F73" s="355"/>
      <c r="G73" s="491"/>
      <c r="H73" s="492"/>
      <c r="I73" s="355"/>
      <c r="J73" s="355"/>
      <c r="K73" s="363"/>
    </row>
    <row r="74" spans="1:11" ht="15" thickTop="1"/>
  </sheetData>
  <mergeCells count="6">
    <mergeCell ref="C62:F62"/>
    <mergeCell ref="C60:F60"/>
    <mergeCell ref="C5:F5"/>
    <mergeCell ref="C27:F27"/>
    <mergeCell ref="C37:F37"/>
    <mergeCell ref="C49:F49"/>
  </mergeCells>
  <phoneticPr fontId="4" type="noConversion"/>
  <pageMargins left="0.7" right="0.7" top="0.75" bottom="0.75" header="0.3" footer="0.3"/>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5"/>
  <sheetViews>
    <sheetView showGridLines="0" zoomScale="125" zoomScaleNormal="100" zoomScaleSheetLayoutView="130" zoomScalePageLayoutView="130" workbookViewId="0">
      <selection activeCell="G12" sqref="G12"/>
    </sheetView>
  </sheetViews>
  <sheetFormatPr baseColWidth="10" defaultRowHeight="13"/>
  <cols>
    <col min="1" max="1" width="4.83203125" style="257" customWidth="1"/>
    <col min="2" max="2" width="4.5" style="257" customWidth="1"/>
    <col min="3" max="3" width="39.6640625" customWidth="1"/>
    <col min="4" max="4" width="21.1640625" hidden="1" customWidth="1"/>
    <col min="5" max="5" width="15" customWidth="1"/>
    <col min="6" max="6" width="4.5" customWidth="1"/>
    <col min="7" max="7" width="15.33203125" customWidth="1"/>
    <col min="8" max="8" width="3.5" customWidth="1"/>
  </cols>
  <sheetData>
    <row r="1" spans="1:9" s="257" customFormat="1" ht="14" thickBot="1"/>
    <row r="2" spans="1:9" s="257" customFormat="1" ht="14" thickTop="1">
      <c r="B2" s="328"/>
      <c r="C2" s="330"/>
      <c r="D2" s="330"/>
      <c r="E2" s="330"/>
      <c r="F2" s="330"/>
      <c r="G2" s="330"/>
      <c r="H2" s="331"/>
    </row>
    <row r="3" spans="1:9" ht="18">
      <c r="B3" s="332"/>
      <c r="C3" s="349" t="s">
        <v>1560</v>
      </c>
      <c r="D3" s="321"/>
      <c r="E3" s="321"/>
      <c r="F3" s="321"/>
      <c r="G3" s="321"/>
      <c r="H3" s="334"/>
    </row>
    <row r="4" spans="1:9" ht="14">
      <c r="B4" s="332"/>
      <c r="C4" s="321" t="s">
        <v>387</v>
      </c>
      <c r="D4" s="321"/>
      <c r="E4" s="321"/>
      <c r="F4" s="321"/>
      <c r="G4" s="321"/>
      <c r="H4" s="334"/>
    </row>
    <row r="5" spans="1:9" ht="14">
      <c r="B5" s="332"/>
      <c r="C5" s="321" t="s">
        <v>779</v>
      </c>
      <c r="D5" s="321"/>
      <c r="E5" s="321"/>
      <c r="F5" s="321"/>
      <c r="G5" s="321"/>
      <c r="H5" s="334"/>
    </row>
    <row r="6" spans="1:9" ht="14">
      <c r="B6" s="332"/>
      <c r="C6" s="321"/>
      <c r="D6" s="321"/>
      <c r="E6" s="321"/>
      <c r="F6" s="321"/>
      <c r="G6" s="321"/>
      <c r="H6" s="334"/>
    </row>
    <row r="7" spans="1:9" s="117" customFormat="1" ht="15" customHeight="1">
      <c r="A7" s="267"/>
      <c r="B7" s="366"/>
      <c r="C7" s="322"/>
      <c r="D7" s="322"/>
      <c r="E7" s="483" t="s">
        <v>1991</v>
      </c>
      <c r="F7" s="484"/>
      <c r="G7" s="483" t="s">
        <v>1098</v>
      </c>
      <c r="H7" s="369"/>
    </row>
    <row r="8" spans="1:9" s="117" customFormat="1" ht="14">
      <c r="A8" s="267"/>
      <c r="B8" s="366"/>
      <c r="C8" s="322" t="s">
        <v>754</v>
      </c>
      <c r="D8" s="322"/>
      <c r="E8" s="322"/>
      <c r="F8" s="322"/>
      <c r="G8" s="322"/>
      <c r="H8" s="369"/>
    </row>
    <row r="9" spans="1:9" ht="14">
      <c r="B9" s="332"/>
      <c r="C9" s="321" t="s">
        <v>816</v>
      </c>
      <c r="D9" s="321"/>
      <c r="E9" s="353">
        <v>102276</v>
      </c>
      <c r="F9" s="353"/>
      <c r="G9" s="353">
        <v>56554.601999999999</v>
      </c>
      <c r="H9" s="334"/>
    </row>
    <row r="10" spans="1:9" ht="14">
      <c r="B10" s="332"/>
      <c r="C10" s="321" t="s">
        <v>0</v>
      </c>
      <c r="D10" s="321"/>
      <c r="E10" s="353">
        <v>73786.373999999996</v>
      </c>
      <c r="F10" s="353"/>
      <c r="G10" s="353">
        <v>72904.86</v>
      </c>
      <c r="H10" s="334"/>
    </row>
    <row r="11" spans="1:9" ht="14">
      <c r="B11" s="332"/>
      <c r="C11" s="321" t="s">
        <v>824</v>
      </c>
      <c r="D11" s="321"/>
      <c r="E11" s="353">
        <v>73486.009999999995</v>
      </c>
      <c r="F11" s="353"/>
      <c r="G11" s="353">
        <v>36648.669000000002</v>
      </c>
      <c r="H11" s="334"/>
    </row>
    <row r="12" spans="1:9" s="117" customFormat="1" ht="15" thickBot="1">
      <c r="A12" s="267"/>
      <c r="B12" s="366"/>
      <c r="C12" s="322" t="s">
        <v>214</v>
      </c>
      <c r="D12" s="322"/>
      <c r="E12" s="109">
        <v>249547.50699999998</v>
      </c>
      <c r="F12" s="503"/>
      <c r="G12" s="109">
        <v>166108.13099999999</v>
      </c>
      <c r="H12" s="504">
        <f>E12-BG!N17</f>
        <v>-0.49300000001676381</v>
      </c>
      <c r="I12" s="125">
        <f>G12-BG!P17</f>
        <v>1.1309999999939464</v>
      </c>
    </row>
    <row r="13" spans="1:9" ht="14" thickTop="1">
      <c r="B13" s="332"/>
      <c r="C13" s="333"/>
      <c r="D13" s="333"/>
      <c r="E13" s="333"/>
      <c r="F13" s="333"/>
      <c r="G13" s="333"/>
      <c r="H13" s="334"/>
    </row>
    <row r="14" spans="1:9" ht="14" thickBot="1">
      <c r="B14" s="339"/>
      <c r="C14" s="341"/>
      <c r="D14" s="341"/>
      <c r="E14" s="341"/>
      <c r="F14" s="341"/>
      <c r="G14" s="341"/>
      <c r="H14" s="342"/>
    </row>
    <row r="15" spans="1:9" ht="14" thickTop="1"/>
  </sheetData>
  <sortState xmlns:xlrd2="http://schemas.microsoft.com/office/spreadsheetml/2017/richdata2" ref="A9:I11">
    <sortCondition descending="1" ref="E9:E11"/>
  </sortState>
  <phoneticPr fontId="4" type="noConversion"/>
  <pageMargins left="0.7" right="0.7" top="0.75" bottom="0.75" header="0.3" footer="0.3"/>
  <pageSetup paperSize="9" orientation="portrait" r:id="rId1"/>
  <colBreaks count="1" manualBreakCount="1">
    <brk id="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3"/>
  <sheetViews>
    <sheetView showGridLines="0" zoomScaleNormal="100" zoomScaleSheetLayoutView="130" workbookViewId="0">
      <selection activeCell="O27" sqref="O27"/>
    </sheetView>
  </sheetViews>
  <sheetFormatPr baseColWidth="10" defaultColWidth="11.5" defaultRowHeight="14"/>
  <cols>
    <col min="1" max="1" width="11.5" style="255"/>
    <col min="2" max="2" width="4.5" style="255" customWidth="1"/>
    <col min="3" max="3" width="28" style="115" customWidth="1"/>
    <col min="4" max="4" width="14.1640625" style="115" customWidth="1"/>
    <col min="5" max="5" width="3.6640625" style="115" customWidth="1"/>
    <col min="6" max="6" width="15.1640625" style="115" customWidth="1"/>
    <col min="7" max="8" width="13" style="115" hidden="1" customWidth="1"/>
    <col min="9" max="11" width="0" style="115" hidden="1" customWidth="1"/>
    <col min="12" max="12" width="3.33203125" style="115" customWidth="1"/>
    <col min="13" max="16384" width="11.5" style="115"/>
  </cols>
  <sheetData>
    <row r="1" spans="2:12" s="255" customFormat="1" ht="15" thickBot="1"/>
    <row r="2" spans="2:12" s="255" customFormat="1" ht="15" thickTop="1">
      <c r="B2" s="346"/>
      <c r="C2" s="347"/>
      <c r="D2" s="347"/>
      <c r="E2" s="347"/>
      <c r="F2" s="347"/>
      <c r="G2" s="347"/>
      <c r="H2" s="347"/>
      <c r="I2" s="347"/>
      <c r="J2" s="347"/>
      <c r="K2" s="347"/>
      <c r="L2" s="362"/>
    </row>
    <row r="3" spans="2:12" ht="18">
      <c r="B3" s="317"/>
      <c r="C3" s="420" t="s">
        <v>1620</v>
      </c>
      <c r="D3" s="420"/>
      <c r="E3" s="420"/>
      <c r="F3" s="420"/>
      <c r="G3" s="321"/>
      <c r="H3" s="321"/>
      <c r="I3" s="321"/>
      <c r="J3" s="321"/>
      <c r="K3" s="321"/>
      <c r="L3" s="320"/>
    </row>
    <row r="4" spans="2:12">
      <c r="B4" s="317"/>
      <c r="C4" s="419" t="s">
        <v>1033</v>
      </c>
      <c r="D4" s="419"/>
      <c r="E4" s="419"/>
      <c r="F4" s="419"/>
      <c r="G4" s="321"/>
      <c r="H4" s="321"/>
      <c r="I4" s="321"/>
      <c r="J4" s="321"/>
      <c r="K4" s="321"/>
      <c r="L4" s="320"/>
    </row>
    <row r="5" spans="2:12">
      <c r="B5" s="317"/>
      <c r="C5" s="321"/>
      <c r="D5" s="321"/>
      <c r="E5" s="321"/>
      <c r="F5" s="321"/>
      <c r="G5" s="321"/>
      <c r="H5" s="321"/>
      <c r="I5" s="321"/>
      <c r="J5" s="321"/>
      <c r="K5" s="321"/>
      <c r="L5" s="320"/>
    </row>
    <row r="6" spans="2:12">
      <c r="B6" s="317"/>
      <c r="C6" s="321"/>
      <c r="D6" s="108" t="s">
        <v>1991</v>
      </c>
      <c r="E6" s="124"/>
      <c r="F6" s="108" t="s">
        <v>1098</v>
      </c>
      <c r="G6" s="321"/>
      <c r="H6" s="321"/>
      <c r="I6" s="321"/>
      <c r="J6" s="321"/>
      <c r="K6" s="321"/>
      <c r="L6" s="320"/>
    </row>
    <row r="7" spans="2:12">
      <c r="B7" s="317"/>
      <c r="C7" s="321"/>
      <c r="D7" s="321"/>
      <c r="E7" s="321"/>
      <c r="F7" s="321"/>
      <c r="G7" s="321"/>
      <c r="H7" s="321"/>
      <c r="I7" s="321"/>
      <c r="J7" s="321"/>
      <c r="K7" s="321"/>
      <c r="L7" s="320"/>
    </row>
    <row r="8" spans="2:12">
      <c r="B8" s="317"/>
      <c r="C8" s="321" t="s">
        <v>780</v>
      </c>
      <c r="D8" s="353">
        <v>2309997.5460000001</v>
      </c>
      <c r="E8" s="353"/>
      <c r="F8" s="353">
        <v>1646326.0149999999</v>
      </c>
      <c r="G8" s="487">
        <f>+D8*16.5/100</f>
        <v>381149.59509000002</v>
      </c>
      <c r="H8" s="487">
        <f>+F8*16.5/100</f>
        <v>271643.79247499997</v>
      </c>
      <c r="I8" s="324"/>
      <c r="J8" s="324"/>
      <c r="K8" s="324"/>
      <c r="L8" s="320"/>
    </row>
    <row r="9" spans="2:12">
      <c r="B9" s="317"/>
      <c r="C9" s="321" t="s">
        <v>781</v>
      </c>
      <c r="D9" s="353">
        <v>453992.52600000001</v>
      </c>
      <c r="E9" s="353"/>
      <c r="F9" s="353">
        <v>281959.92800000001</v>
      </c>
      <c r="G9" s="487">
        <f>+G8-D9</f>
        <v>-72842.930909999995</v>
      </c>
      <c r="H9" s="487">
        <f>+H8-F9</f>
        <v>-10316.135525000049</v>
      </c>
      <c r="I9" s="324" t="s">
        <v>1711</v>
      </c>
      <c r="J9" s="324"/>
      <c r="K9" s="324"/>
      <c r="L9" s="320"/>
    </row>
    <row r="10" spans="2:12" ht="15" thickBot="1">
      <c r="B10" s="317"/>
      <c r="C10" s="322" t="s">
        <v>214</v>
      </c>
      <c r="D10" s="109">
        <v>2763991</v>
      </c>
      <c r="E10" s="353"/>
      <c r="F10" s="109">
        <v>1928285.943</v>
      </c>
      <c r="G10" s="324"/>
      <c r="H10" s="324"/>
      <c r="I10" s="324"/>
      <c r="J10" s="324"/>
      <c r="K10" s="324"/>
      <c r="L10" s="320"/>
    </row>
    <row r="11" spans="2:12" ht="15" thickTop="1">
      <c r="B11" s="317"/>
      <c r="C11" s="321"/>
      <c r="D11" s="321"/>
      <c r="E11" s="321"/>
      <c r="F11" s="321"/>
      <c r="G11" s="321"/>
      <c r="H11" s="321"/>
      <c r="I11" s="321"/>
      <c r="J11" s="321"/>
      <c r="K11" s="321"/>
      <c r="L11" s="320"/>
    </row>
    <row r="12" spans="2:12" ht="15" thickBot="1">
      <c r="B12" s="354"/>
      <c r="C12" s="355"/>
      <c r="D12" s="355"/>
      <c r="E12" s="355"/>
      <c r="F12" s="355"/>
      <c r="G12" s="355"/>
      <c r="H12" s="355"/>
      <c r="I12" s="355"/>
      <c r="J12" s="355"/>
      <c r="K12" s="355"/>
      <c r="L12" s="363"/>
    </row>
    <row r="13" spans="2:12" ht="15" thickTop="1"/>
  </sheetData>
  <mergeCells count="2">
    <mergeCell ref="C3:F3"/>
    <mergeCell ref="C4:F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0"/>
  <sheetViews>
    <sheetView showGridLines="0" topLeftCell="A31" zoomScaleNormal="100" zoomScaleSheetLayoutView="115" workbookViewId="0">
      <selection activeCell="G44" sqref="G44"/>
    </sheetView>
  </sheetViews>
  <sheetFormatPr baseColWidth="10" defaultColWidth="10.83203125" defaultRowHeight="13"/>
  <cols>
    <col min="1" max="1" width="10.83203125" style="257"/>
    <col min="2" max="2" width="4" style="257" customWidth="1"/>
    <col min="4" max="4" width="22.6640625" customWidth="1"/>
    <col min="5" max="5" width="16.33203125" customWidth="1"/>
    <col min="6" max="6" width="4.1640625" customWidth="1"/>
    <col min="7" max="7" width="17.6640625" customWidth="1"/>
    <col min="8" max="8" width="0" hidden="1" customWidth="1"/>
    <col min="9" max="9" width="14.6640625" hidden="1" customWidth="1"/>
    <col min="10" max="10" width="4.83203125" customWidth="1"/>
  </cols>
  <sheetData>
    <row r="1" spans="3:7">
      <c r="C1" s="426" t="s">
        <v>1621</v>
      </c>
      <c r="D1" s="426"/>
      <c r="E1" s="426"/>
      <c r="F1" s="426"/>
      <c r="G1" s="426"/>
    </row>
    <row r="2" spans="3:7">
      <c r="C2" t="s">
        <v>387</v>
      </c>
    </row>
    <row r="3" spans="3:7">
      <c r="C3" s="426" t="s">
        <v>843</v>
      </c>
      <c r="D3" s="426"/>
      <c r="E3" s="426"/>
      <c r="F3" s="426"/>
      <c r="G3" s="426"/>
    </row>
    <row r="5" spans="3:7">
      <c r="E5" t="s">
        <v>1874</v>
      </c>
      <c r="G5" t="s">
        <v>1893</v>
      </c>
    </row>
    <row r="7" spans="3:7" ht="15" customHeight="1">
      <c r="C7" s="426" t="s">
        <v>1032</v>
      </c>
      <c r="D7" s="426"/>
      <c r="E7">
        <f>+COMPARATIVO!AN377/1000</f>
        <v>29858.780999999999</v>
      </c>
      <c r="G7">
        <f>+COMPARATIVO!AF377/1000</f>
        <v>120287.00900000001</v>
      </c>
    </row>
    <row r="9" spans="3:7">
      <c r="E9">
        <f>+E7+EERR!E35</f>
        <v>-25325.219000000001</v>
      </c>
      <c r="G9">
        <f>+G7+EERR!G35</f>
        <v>-68423.221999999994</v>
      </c>
    </row>
    <row r="10" spans="3:7" hidden="1"/>
    <row r="11" spans="3:7" hidden="1">
      <c r="C11" t="s">
        <v>843</v>
      </c>
    </row>
    <row r="12" spans="3:7" hidden="1"/>
    <row r="13" spans="3:7" hidden="1">
      <c r="E13" t="s">
        <v>1531</v>
      </c>
      <c r="G13" t="s">
        <v>1532</v>
      </c>
    </row>
    <row r="14" spans="3:7" hidden="1"/>
    <row r="15" spans="3:7" hidden="1">
      <c r="C15" t="s">
        <v>1561</v>
      </c>
      <c r="E15">
        <f>1167706081/1000</f>
        <v>1167706.081</v>
      </c>
      <c r="G15">
        <f>1845995106/1000</f>
        <v>1845995.1059999999</v>
      </c>
    </row>
    <row r="16" spans="3:7" hidden="1">
      <c r="C16" t="s">
        <v>1562</v>
      </c>
      <c r="E16">
        <v>0.1</v>
      </c>
      <c r="G16">
        <v>0.1</v>
      </c>
    </row>
    <row r="17" spans="2:10" hidden="1">
      <c r="C17" t="s">
        <v>1563</v>
      </c>
      <c r="E17">
        <f>116770608.1/1000</f>
        <v>116770.6081</v>
      </c>
      <c r="G17">
        <f>184599510.6/1000</f>
        <v>184599.51059999998</v>
      </c>
    </row>
    <row r="18" spans="2:10" hidden="1"/>
    <row r="19" spans="2:10" hidden="1">
      <c r="C19" t="s">
        <v>1564</v>
      </c>
    </row>
    <row r="20" spans="2:10" hidden="1"/>
    <row r="21" spans="2:10" hidden="1">
      <c r="C21" t="s">
        <v>1565</v>
      </c>
      <c r="E21">
        <v>0</v>
      </c>
      <c r="G21">
        <v>0</v>
      </c>
    </row>
    <row r="22" spans="2:10" hidden="1">
      <c r="C22" t="s">
        <v>1566</v>
      </c>
      <c r="E22">
        <f>71504946/1000</f>
        <v>71504.945999999996</v>
      </c>
      <c r="G22">
        <f>31423634.5/1000</f>
        <v>31423.6345</v>
      </c>
    </row>
    <row r="23" spans="2:10" hidden="1">
      <c r="C23" t="s">
        <v>1567</v>
      </c>
      <c r="E23">
        <f>434677.3/1000</f>
        <v>434.6773</v>
      </c>
      <c r="G23">
        <f>327450/1000</f>
        <v>327.45</v>
      </c>
    </row>
    <row r="24" spans="2:10" hidden="1">
      <c r="C24" t="s">
        <v>1568</v>
      </c>
      <c r="E24">
        <v>434677.30000000005</v>
      </c>
      <c r="G24">
        <f>317450/1000</f>
        <v>317.45</v>
      </c>
    </row>
    <row r="25" spans="2:10" hidden="1">
      <c r="C25" t="s">
        <v>1047</v>
      </c>
      <c r="E25">
        <v>0</v>
      </c>
      <c r="G25">
        <v>10</v>
      </c>
    </row>
    <row r="26" spans="2:10" hidden="1">
      <c r="C26" t="s">
        <v>1569</v>
      </c>
      <c r="E26">
        <v>0</v>
      </c>
      <c r="G26">
        <v>0</v>
      </c>
    </row>
    <row r="27" spans="2:10" hidden="1">
      <c r="E27">
        <f>71939623.3/1000</f>
        <v>71939.623299999992</v>
      </c>
      <c r="G27">
        <f>31751084.5/1000</f>
        <v>31751.084500000001</v>
      </c>
    </row>
    <row r="28" spans="2:10" hidden="1"/>
    <row r="29" spans="2:10" hidden="1">
      <c r="C29" t="s">
        <v>337</v>
      </c>
      <c r="E29">
        <f>188710231.4/1000</f>
        <v>188710.23140000002</v>
      </c>
      <c r="G29">
        <f>216350595.1/1000</f>
        <v>216350.59510000001</v>
      </c>
    </row>
    <row r="30" spans="2:10" ht="14" hidden="1" thickBot="1">
      <c r="C30" t="s">
        <v>1570</v>
      </c>
      <c r="E30">
        <f>188710231.4/1000</f>
        <v>188710.23140000002</v>
      </c>
      <c r="G30">
        <f>216350595.1/1000</f>
        <v>216350.59510000001</v>
      </c>
    </row>
    <row r="31" spans="2:10" s="257" customFormat="1" ht="14" thickBot="1"/>
    <row r="32" spans="2:10" ht="14" thickTop="1">
      <c r="B32" s="328"/>
      <c r="C32" s="330"/>
      <c r="D32" s="330"/>
      <c r="E32" s="330"/>
      <c r="F32" s="330"/>
      <c r="G32" s="330"/>
      <c r="H32" s="330"/>
      <c r="I32" s="330"/>
      <c r="J32" s="331"/>
    </row>
    <row r="33" spans="2:10">
      <c r="B33" s="332"/>
      <c r="C33" s="333"/>
      <c r="D33" s="333"/>
      <c r="E33" s="333"/>
      <c r="F33" s="333"/>
      <c r="G33" s="333"/>
      <c r="H33" s="333"/>
      <c r="I33" s="333"/>
      <c r="J33" s="334"/>
    </row>
    <row r="34" spans="2:10" ht="18">
      <c r="B34" s="332"/>
      <c r="C34" s="505" t="s">
        <v>1621</v>
      </c>
      <c r="D34" s="506"/>
      <c r="E34" s="506"/>
      <c r="F34" s="506"/>
      <c r="G34" s="507"/>
      <c r="H34" s="333"/>
      <c r="I34" s="333"/>
      <c r="J34" s="334"/>
    </row>
    <row r="35" spans="2:10" ht="14">
      <c r="B35" s="332"/>
      <c r="C35" s="508"/>
      <c r="D35" s="508"/>
      <c r="E35" s="508"/>
      <c r="F35" s="508"/>
      <c r="G35" s="333"/>
      <c r="H35" s="333"/>
      <c r="I35" s="333"/>
      <c r="J35" s="334"/>
    </row>
    <row r="36" spans="2:10" ht="14">
      <c r="B36" s="332"/>
      <c r="C36" s="509" t="s">
        <v>843</v>
      </c>
      <c r="D36" s="508"/>
      <c r="E36" s="508"/>
      <c r="F36" s="508"/>
      <c r="G36" s="333"/>
      <c r="H36" s="333"/>
      <c r="I36" s="333"/>
      <c r="J36" s="334"/>
    </row>
    <row r="37" spans="2:10" ht="14">
      <c r="B37" s="332"/>
      <c r="C37" s="508"/>
      <c r="D37" s="508"/>
      <c r="E37" s="508"/>
      <c r="F37" s="508"/>
      <c r="G37" s="333"/>
      <c r="H37" s="333"/>
      <c r="I37" s="333"/>
      <c r="J37" s="334"/>
    </row>
    <row r="38" spans="2:10" ht="14">
      <c r="B38" s="332"/>
      <c r="C38" s="508"/>
      <c r="D38" s="508"/>
      <c r="E38" s="483" t="s">
        <v>1991</v>
      </c>
      <c r="F38" s="484"/>
      <c r="G38" s="483" t="s">
        <v>1098</v>
      </c>
      <c r="H38" s="333"/>
      <c r="I38" s="333"/>
      <c r="J38" s="334"/>
    </row>
    <row r="39" spans="2:10" ht="14">
      <c r="B39" s="332"/>
      <c r="C39" s="508"/>
      <c r="D39" s="508"/>
      <c r="E39" s="510"/>
      <c r="F39" s="333"/>
      <c r="G39" s="510"/>
      <c r="H39" s="333"/>
      <c r="I39" s="333"/>
      <c r="J39" s="334"/>
    </row>
    <row r="40" spans="2:10" ht="14">
      <c r="B40" s="332"/>
      <c r="C40" s="511" t="s">
        <v>4739</v>
      </c>
      <c r="D40" s="508"/>
      <c r="E40" s="516">
        <v>503449.59499999997</v>
      </c>
      <c r="F40" s="335"/>
      <c r="G40" s="517">
        <v>1167706.081</v>
      </c>
      <c r="H40" s="333"/>
      <c r="I40" s="333"/>
      <c r="J40" s="334"/>
    </row>
    <row r="41" spans="2:10" ht="14">
      <c r="B41" s="332"/>
      <c r="C41" s="509" t="s">
        <v>1562</v>
      </c>
      <c r="D41" s="508"/>
      <c r="E41" s="518">
        <v>0.1</v>
      </c>
      <c r="F41" s="335"/>
      <c r="G41" s="518">
        <v>0.1</v>
      </c>
      <c r="H41" s="333"/>
      <c r="I41" s="333"/>
      <c r="J41" s="334"/>
    </row>
    <row r="42" spans="2:10" ht="14">
      <c r="B42" s="332"/>
      <c r="C42" s="512" t="s">
        <v>1563</v>
      </c>
      <c r="D42" s="508"/>
      <c r="E42" s="517">
        <v>50344.959499999997</v>
      </c>
      <c r="F42" s="519"/>
      <c r="G42" s="517">
        <v>116770.60810000001</v>
      </c>
      <c r="H42" s="333"/>
      <c r="I42" s="333"/>
      <c r="J42" s="334"/>
    </row>
    <row r="43" spans="2:10" ht="14">
      <c r="B43" s="332"/>
      <c r="C43" s="512"/>
      <c r="D43" s="508"/>
      <c r="E43" s="520"/>
      <c r="F43" s="335"/>
      <c r="G43" s="520"/>
      <c r="H43" s="333"/>
      <c r="I43" s="333"/>
      <c r="J43" s="334"/>
    </row>
    <row r="44" spans="2:10" ht="14">
      <c r="B44" s="332"/>
      <c r="C44" s="513" t="s">
        <v>4740</v>
      </c>
      <c r="D44" s="513"/>
      <c r="E44" s="521">
        <v>4838.6260000000002</v>
      </c>
      <c r="F44" s="521"/>
      <c r="G44" s="521">
        <v>71939.623000000007</v>
      </c>
      <c r="H44" s="333"/>
      <c r="I44" s="333"/>
      <c r="J44" s="334"/>
    </row>
    <row r="45" spans="2:10" ht="14">
      <c r="B45" s="332"/>
      <c r="C45" s="509" t="s">
        <v>337</v>
      </c>
      <c r="D45" s="508"/>
      <c r="E45" s="517">
        <v>55183.585500000001</v>
      </c>
      <c r="F45" s="519"/>
      <c r="G45" s="517">
        <v>188710.23110000003</v>
      </c>
      <c r="H45" s="333"/>
      <c r="I45" s="333"/>
      <c r="J45" s="334"/>
    </row>
    <row r="46" spans="2:10" ht="15" thickBot="1">
      <c r="B46" s="332"/>
      <c r="C46" s="514" t="s">
        <v>1570</v>
      </c>
      <c r="D46" s="508"/>
      <c r="E46" s="522">
        <v>55183.585500000001</v>
      </c>
      <c r="F46" s="519"/>
      <c r="G46" s="522">
        <v>188710.23110000003</v>
      </c>
      <c r="H46" s="515">
        <f>+E46+EERR!E35</f>
        <v>-0.41449999999895226</v>
      </c>
      <c r="I46" s="515">
        <f>+G46+EERR!G35</f>
        <v>1.0000003385357559E-4</v>
      </c>
      <c r="J46" s="334"/>
    </row>
    <row r="47" spans="2:10" ht="14" thickTop="1">
      <c r="B47" s="332"/>
      <c r="C47" s="333"/>
      <c r="D47" s="333"/>
      <c r="E47" s="333"/>
      <c r="F47" s="333"/>
      <c r="G47" s="333"/>
      <c r="H47" s="333"/>
      <c r="I47" s="333"/>
      <c r="J47" s="334"/>
    </row>
    <row r="48" spans="2:10">
      <c r="B48" s="332"/>
      <c r="C48" s="333"/>
      <c r="D48" s="333"/>
      <c r="E48" s="333"/>
      <c r="F48" s="333"/>
      <c r="G48" s="333"/>
      <c r="H48" s="333"/>
      <c r="I48" s="333"/>
      <c r="J48" s="334"/>
    </row>
    <row r="49" spans="2:10" ht="14" thickBot="1">
      <c r="B49" s="339"/>
      <c r="C49" s="341"/>
      <c r="D49" s="341"/>
      <c r="E49" s="341"/>
      <c r="F49" s="341"/>
      <c r="G49" s="341"/>
      <c r="H49" s="341"/>
      <c r="I49" s="341"/>
      <c r="J49" s="342"/>
    </row>
    <row r="50" spans="2:10" ht="14" thickTop="1"/>
  </sheetData>
  <mergeCells count="3">
    <mergeCell ref="C3:G3"/>
    <mergeCell ref="C1:G1"/>
    <mergeCell ref="C7:D7"/>
  </mergeCells>
  <pageMargins left="0.7" right="0.7" top="0.75" bottom="0.75" header="0.3" footer="0.3"/>
  <pageSetup orientation="portrait" horizontalDpi="4294967294" verticalDpi="4294967294"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A8EF-3764-E64B-896B-84392AE8DB8E}">
  <dimension ref="B1:R44"/>
  <sheetViews>
    <sheetView showGridLines="0" topLeftCell="A25" workbookViewId="0">
      <selection activeCell="B2" sqref="B2:R2"/>
    </sheetView>
  </sheetViews>
  <sheetFormatPr baseColWidth="10" defaultRowHeight="16"/>
  <cols>
    <col min="1" max="1" width="10.83203125" style="263"/>
    <col min="2" max="2" width="4.1640625" style="263" customWidth="1"/>
    <col min="3" max="17" width="10.83203125" style="263"/>
    <col min="18" max="18" width="9.5" style="263" customWidth="1"/>
    <col min="19" max="16384" width="10.83203125" style="263"/>
  </cols>
  <sheetData>
    <row r="1" spans="2:18" ht="17" thickBot="1"/>
    <row r="2" spans="2:18" ht="17" thickTop="1">
      <c r="B2" s="328"/>
      <c r="C2" s="329"/>
      <c r="D2" s="330"/>
      <c r="E2" s="330"/>
      <c r="F2" s="330"/>
      <c r="G2" s="330"/>
      <c r="H2" s="330"/>
      <c r="I2" s="330"/>
      <c r="J2" s="330"/>
      <c r="K2" s="330"/>
      <c r="L2" s="330"/>
      <c r="M2" s="330"/>
      <c r="N2" s="330"/>
      <c r="O2" s="330"/>
      <c r="P2" s="330"/>
      <c r="Q2" s="330"/>
      <c r="R2" s="331"/>
    </row>
    <row r="3" spans="2:18">
      <c r="B3" s="275"/>
      <c r="C3" s="167"/>
      <c r="D3" s="167"/>
      <c r="E3" s="167"/>
      <c r="F3" s="167"/>
      <c r="G3" s="167"/>
      <c r="H3" s="167"/>
      <c r="I3" s="167"/>
      <c r="J3" s="167"/>
      <c r="K3" s="167"/>
      <c r="L3" s="167"/>
      <c r="M3" s="167"/>
      <c r="N3" s="167"/>
      <c r="O3" s="167"/>
      <c r="P3" s="167"/>
      <c r="Q3" s="167"/>
      <c r="R3" s="276"/>
    </row>
    <row r="4" spans="2:18" ht="18">
      <c r="B4" s="275"/>
      <c r="C4" s="349" t="s">
        <v>4883</v>
      </c>
      <c r="D4" s="167"/>
      <c r="E4" s="167"/>
      <c r="F4" s="167"/>
      <c r="G4" s="167"/>
      <c r="H4" s="167"/>
      <c r="I4" s="167"/>
      <c r="J4" s="167"/>
      <c r="K4" s="167"/>
      <c r="L4" s="167"/>
      <c r="M4" s="167"/>
      <c r="N4" s="167"/>
      <c r="O4" s="167"/>
      <c r="P4" s="167"/>
      <c r="Q4" s="167"/>
      <c r="R4" s="276"/>
    </row>
    <row r="5" spans="2:18" ht="18">
      <c r="B5" s="275"/>
      <c r="C5" s="349"/>
      <c r="D5" s="167"/>
      <c r="E5" s="167"/>
      <c r="F5" s="167"/>
      <c r="G5" s="167"/>
      <c r="H5" s="167"/>
      <c r="I5" s="167"/>
      <c r="J5" s="167"/>
      <c r="K5" s="167"/>
      <c r="L5" s="167"/>
      <c r="M5" s="167"/>
      <c r="N5" s="167"/>
      <c r="O5" s="167"/>
      <c r="P5" s="167"/>
      <c r="Q5" s="167"/>
      <c r="R5" s="276"/>
    </row>
    <row r="6" spans="2:18">
      <c r="B6" s="275"/>
      <c r="C6" s="167" t="s">
        <v>4884</v>
      </c>
      <c r="D6" s="167"/>
      <c r="E6" s="167"/>
      <c r="F6" s="167"/>
      <c r="G6" s="167"/>
      <c r="H6" s="167"/>
      <c r="I6" s="167"/>
      <c r="J6" s="167"/>
      <c r="K6" s="167"/>
      <c r="L6" s="167"/>
      <c r="M6" s="167"/>
      <c r="N6" s="167"/>
      <c r="O6" s="167"/>
      <c r="P6" s="167"/>
      <c r="Q6" s="167"/>
      <c r="R6" s="276"/>
    </row>
    <row r="7" spans="2:18">
      <c r="B7" s="275"/>
      <c r="C7" s="523" t="s">
        <v>4706</v>
      </c>
      <c r="D7" s="167" t="s">
        <v>4900</v>
      </c>
      <c r="E7" s="167"/>
      <c r="F7" s="167"/>
      <c r="G7" s="167"/>
      <c r="H7" s="167"/>
      <c r="I7" s="167"/>
      <c r="J7" s="167"/>
      <c r="K7" s="167"/>
      <c r="L7" s="167"/>
      <c r="M7" s="167"/>
      <c r="N7" s="167"/>
      <c r="O7" s="167"/>
      <c r="P7" s="167"/>
      <c r="Q7" s="167"/>
      <c r="R7" s="276"/>
    </row>
    <row r="8" spans="2:18">
      <c r="B8" s="275"/>
      <c r="C8" s="523" t="s">
        <v>4713</v>
      </c>
      <c r="D8" s="167" t="s">
        <v>4893</v>
      </c>
      <c r="E8" s="167"/>
      <c r="F8" s="167"/>
      <c r="G8" s="167"/>
      <c r="H8" s="167"/>
      <c r="I8" s="167"/>
      <c r="J8" s="167"/>
      <c r="K8" s="167"/>
      <c r="L8" s="167"/>
      <c r="M8" s="167"/>
      <c r="N8" s="167"/>
      <c r="O8" s="167"/>
      <c r="P8" s="167"/>
      <c r="Q8" s="167"/>
      <c r="R8" s="276"/>
    </row>
    <row r="9" spans="2:18">
      <c r="B9" s="275"/>
      <c r="C9" s="523" t="s">
        <v>4719</v>
      </c>
      <c r="D9" s="167" t="s">
        <v>4896</v>
      </c>
      <c r="E9" s="167"/>
      <c r="F9" s="167"/>
      <c r="G9" s="167"/>
      <c r="H9" s="167"/>
      <c r="I9" s="167"/>
      <c r="J9" s="167"/>
      <c r="K9" s="167"/>
      <c r="L9" s="167"/>
      <c r="M9" s="167"/>
      <c r="N9" s="167"/>
      <c r="O9" s="167"/>
      <c r="P9" s="167"/>
      <c r="Q9" s="167"/>
      <c r="R9" s="276"/>
    </row>
    <row r="10" spans="2:18">
      <c r="B10" s="275"/>
      <c r="C10" s="523"/>
      <c r="D10" s="167"/>
      <c r="E10" s="167"/>
      <c r="F10" s="167"/>
      <c r="G10" s="167"/>
      <c r="H10" s="167"/>
      <c r="I10" s="167"/>
      <c r="J10" s="167"/>
      <c r="K10" s="167"/>
      <c r="L10" s="167"/>
      <c r="M10" s="167"/>
      <c r="N10" s="167"/>
      <c r="O10" s="167"/>
      <c r="P10" s="167"/>
      <c r="Q10" s="167"/>
      <c r="R10" s="276"/>
    </row>
    <row r="11" spans="2:18">
      <c r="B11" s="275"/>
      <c r="C11" s="167" t="s">
        <v>4885</v>
      </c>
      <c r="D11" s="167"/>
      <c r="E11" s="167"/>
      <c r="F11" s="167"/>
      <c r="G11" s="167"/>
      <c r="H11" s="167"/>
      <c r="I11" s="167"/>
      <c r="J11" s="167"/>
      <c r="K11" s="167"/>
      <c r="L11" s="167"/>
      <c r="M11" s="167"/>
      <c r="N11" s="167"/>
      <c r="O11" s="167"/>
      <c r="P11" s="167"/>
      <c r="Q11" s="167"/>
      <c r="R11" s="276"/>
    </row>
    <row r="12" spans="2:18">
      <c r="B12" s="275"/>
      <c r="C12" s="167"/>
      <c r="D12" s="167"/>
      <c r="E12" s="167"/>
      <c r="F12" s="167"/>
      <c r="G12" s="167"/>
      <c r="H12" s="167"/>
      <c r="I12" s="167"/>
      <c r="J12" s="167"/>
      <c r="K12" s="167"/>
      <c r="L12" s="167"/>
      <c r="M12" s="167"/>
      <c r="N12" s="167"/>
      <c r="O12" s="167"/>
      <c r="P12" s="167"/>
      <c r="Q12" s="167"/>
      <c r="R12" s="276"/>
    </row>
    <row r="13" spans="2:18">
      <c r="B13" s="275"/>
      <c r="C13" s="414" t="s">
        <v>4886</v>
      </c>
      <c r="D13" s="414"/>
      <c r="E13" s="414"/>
      <c r="F13" s="414"/>
      <c r="G13" s="414"/>
      <c r="H13" s="414"/>
      <c r="I13" s="414"/>
      <c r="J13" s="414"/>
      <c r="K13" s="414"/>
      <c r="L13" s="414"/>
      <c r="M13" s="414"/>
      <c r="N13" s="414"/>
      <c r="O13" s="414"/>
      <c r="P13" s="414"/>
      <c r="Q13" s="414"/>
      <c r="R13" s="276"/>
    </row>
    <row r="14" spans="2:18">
      <c r="B14" s="275"/>
      <c r="C14" s="414"/>
      <c r="D14" s="414"/>
      <c r="E14" s="414"/>
      <c r="F14" s="414"/>
      <c r="G14" s="414"/>
      <c r="H14" s="414"/>
      <c r="I14" s="414"/>
      <c r="J14" s="414"/>
      <c r="K14" s="414"/>
      <c r="L14" s="414"/>
      <c r="M14" s="414"/>
      <c r="N14" s="414"/>
      <c r="O14" s="414"/>
      <c r="P14" s="414"/>
      <c r="Q14" s="414"/>
      <c r="R14" s="276"/>
    </row>
    <row r="15" spans="2:18">
      <c r="B15" s="275"/>
      <c r="C15" s="167"/>
      <c r="D15" s="167"/>
      <c r="E15" s="167"/>
      <c r="F15" s="167"/>
      <c r="G15" s="167"/>
      <c r="H15" s="167"/>
      <c r="I15" s="167"/>
      <c r="J15" s="167"/>
      <c r="K15" s="167"/>
      <c r="L15" s="167"/>
      <c r="M15" s="167"/>
      <c r="N15" s="167"/>
      <c r="O15" s="167"/>
      <c r="P15" s="167"/>
      <c r="Q15" s="167"/>
      <c r="R15" s="276"/>
    </row>
    <row r="16" spans="2:18">
      <c r="B16" s="275"/>
      <c r="C16" s="414" t="s">
        <v>4887</v>
      </c>
      <c r="D16" s="414"/>
      <c r="E16" s="414"/>
      <c r="F16" s="414"/>
      <c r="G16" s="414"/>
      <c r="H16" s="414"/>
      <c r="I16" s="414"/>
      <c r="J16" s="414"/>
      <c r="K16" s="414"/>
      <c r="L16" s="414"/>
      <c r="M16" s="414"/>
      <c r="N16" s="414"/>
      <c r="O16" s="414"/>
      <c r="P16" s="414"/>
      <c r="Q16" s="414"/>
      <c r="R16" s="276"/>
    </row>
    <row r="17" spans="2:18" ht="49" customHeight="1">
      <c r="B17" s="275"/>
      <c r="C17" s="414"/>
      <c r="D17" s="414"/>
      <c r="E17" s="414"/>
      <c r="F17" s="414"/>
      <c r="G17" s="414"/>
      <c r="H17" s="414"/>
      <c r="I17" s="414"/>
      <c r="J17" s="414"/>
      <c r="K17" s="414"/>
      <c r="L17" s="414"/>
      <c r="M17" s="414"/>
      <c r="N17" s="414"/>
      <c r="O17" s="414"/>
      <c r="P17" s="414"/>
      <c r="Q17" s="414"/>
      <c r="R17" s="276"/>
    </row>
    <row r="18" spans="2:18">
      <c r="B18" s="275"/>
      <c r="C18" s="167"/>
      <c r="D18" s="167"/>
      <c r="E18" s="167"/>
      <c r="F18" s="167"/>
      <c r="G18" s="167"/>
      <c r="H18" s="167"/>
      <c r="I18" s="167"/>
      <c r="J18" s="167"/>
      <c r="K18" s="167"/>
      <c r="L18" s="167"/>
      <c r="M18" s="167"/>
      <c r="N18" s="167"/>
      <c r="O18" s="167"/>
      <c r="P18" s="167"/>
      <c r="Q18" s="167"/>
      <c r="R18" s="276"/>
    </row>
    <row r="19" spans="2:18">
      <c r="B19" s="275"/>
      <c r="C19" s="284" t="s">
        <v>4888</v>
      </c>
      <c r="D19" s="163" t="s">
        <v>4889</v>
      </c>
      <c r="E19" s="167"/>
      <c r="F19" s="167"/>
      <c r="G19" s="167"/>
      <c r="H19" s="167"/>
      <c r="I19" s="167"/>
      <c r="J19" s="167"/>
      <c r="K19" s="167"/>
      <c r="L19" s="167"/>
      <c r="M19" s="167"/>
      <c r="N19" s="167"/>
      <c r="O19" s="167"/>
      <c r="P19" s="167"/>
      <c r="Q19" s="167"/>
      <c r="R19" s="276"/>
    </row>
    <row r="20" spans="2:18">
      <c r="B20" s="275"/>
      <c r="C20" s="414" t="s">
        <v>4890</v>
      </c>
      <c r="D20" s="414"/>
      <c r="E20" s="414"/>
      <c r="F20" s="414"/>
      <c r="G20" s="414"/>
      <c r="H20" s="414"/>
      <c r="I20" s="414"/>
      <c r="J20" s="414"/>
      <c r="K20" s="414"/>
      <c r="L20" s="414"/>
      <c r="M20" s="414"/>
      <c r="N20" s="414"/>
      <c r="O20" s="414"/>
      <c r="P20" s="414"/>
      <c r="Q20" s="414"/>
      <c r="R20" s="276"/>
    </row>
    <row r="21" spans="2:18">
      <c r="B21" s="275"/>
      <c r="C21" s="414"/>
      <c r="D21" s="414"/>
      <c r="E21" s="414"/>
      <c r="F21" s="414"/>
      <c r="G21" s="414"/>
      <c r="H21" s="414"/>
      <c r="I21" s="414"/>
      <c r="J21" s="414"/>
      <c r="K21" s="414"/>
      <c r="L21" s="414"/>
      <c r="M21" s="414"/>
      <c r="N21" s="414"/>
      <c r="O21" s="414"/>
      <c r="P21" s="414"/>
      <c r="Q21" s="414"/>
      <c r="R21" s="276"/>
    </row>
    <row r="22" spans="2:18">
      <c r="B22" s="275"/>
      <c r="C22" s="167"/>
      <c r="D22" s="167"/>
      <c r="E22" s="167"/>
      <c r="F22" s="167"/>
      <c r="G22" s="167"/>
      <c r="H22" s="167"/>
      <c r="I22" s="167"/>
      <c r="J22" s="167"/>
      <c r="K22" s="167"/>
      <c r="L22" s="167"/>
      <c r="M22" s="167"/>
      <c r="N22" s="167"/>
      <c r="O22" s="167"/>
      <c r="P22" s="167"/>
      <c r="Q22" s="167"/>
      <c r="R22" s="276"/>
    </row>
    <row r="23" spans="2:18">
      <c r="B23" s="275"/>
      <c r="C23" s="414" t="s">
        <v>4891</v>
      </c>
      <c r="D23" s="414"/>
      <c r="E23" s="414"/>
      <c r="F23" s="414"/>
      <c r="G23" s="414"/>
      <c r="H23" s="414"/>
      <c r="I23" s="414"/>
      <c r="J23" s="414"/>
      <c r="K23" s="414"/>
      <c r="L23" s="414"/>
      <c r="M23" s="414"/>
      <c r="N23" s="414"/>
      <c r="O23" s="414"/>
      <c r="P23" s="414"/>
      <c r="Q23" s="414"/>
      <c r="R23" s="276"/>
    </row>
    <row r="24" spans="2:18">
      <c r="B24" s="275"/>
      <c r="C24" s="414"/>
      <c r="D24" s="414"/>
      <c r="E24" s="414"/>
      <c r="F24" s="414"/>
      <c r="G24" s="414"/>
      <c r="H24" s="414"/>
      <c r="I24" s="414"/>
      <c r="J24" s="414"/>
      <c r="K24" s="414"/>
      <c r="L24" s="414"/>
      <c r="M24" s="414"/>
      <c r="N24" s="414"/>
      <c r="O24" s="414"/>
      <c r="P24" s="414"/>
      <c r="Q24" s="414"/>
      <c r="R24" s="276"/>
    </row>
    <row r="25" spans="2:18">
      <c r="B25" s="275"/>
      <c r="C25" s="345"/>
      <c r="D25" s="345"/>
      <c r="E25" s="345"/>
      <c r="F25" s="345"/>
      <c r="G25" s="345"/>
      <c r="H25" s="345"/>
      <c r="I25" s="345"/>
      <c r="J25" s="345"/>
      <c r="K25" s="345"/>
      <c r="L25" s="345"/>
      <c r="M25" s="345"/>
      <c r="N25" s="345"/>
      <c r="O25" s="345"/>
      <c r="P25" s="345"/>
      <c r="Q25" s="345"/>
      <c r="R25" s="276"/>
    </row>
    <row r="26" spans="2:18">
      <c r="B26" s="275"/>
      <c r="C26" s="284" t="s">
        <v>4892</v>
      </c>
      <c r="D26" s="163" t="s">
        <v>4893</v>
      </c>
      <c r="E26" s="167"/>
      <c r="F26" s="167"/>
      <c r="G26" s="167"/>
      <c r="H26" s="167"/>
      <c r="I26" s="167"/>
      <c r="J26" s="167"/>
      <c r="K26" s="167"/>
      <c r="L26" s="167"/>
      <c r="M26" s="167"/>
      <c r="N26" s="167"/>
      <c r="O26" s="167"/>
      <c r="P26" s="167"/>
      <c r="Q26" s="167"/>
      <c r="R26" s="276"/>
    </row>
    <row r="27" spans="2:18">
      <c r="B27" s="275"/>
      <c r="C27" s="414" t="s">
        <v>4894</v>
      </c>
      <c r="D27" s="414"/>
      <c r="E27" s="414"/>
      <c r="F27" s="414"/>
      <c r="G27" s="414"/>
      <c r="H27" s="414"/>
      <c r="I27" s="414"/>
      <c r="J27" s="414"/>
      <c r="K27" s="414"/>
      <c r="L27" s="414"/>
      <c r="M27" s="414"/>
      <c r="N27" s="414"/>
      <c r="O27" s="414"/>
      <c r="P27" s="414"/>
      <c r="Q27" s="414"/>
      <c r="R27" s="276"/>
    </row>
    <row r="28" spans="2:18" ht="33" customHeight="1">
      <c r="B28" s="275"/>
      <c r="C28" s="414"/>
      <c r="D28" s="414"/>
      <c r="E28" s="414"/>
      <c r="F28" s="414"/>
      <c r="G28" s="414"/>
      <c r="H28" s="414"/>
      <c r="I28" s="414"/>
      <c r="J28" s="414"/>
      <c r="K28" s="414"/>
      <c r="L28" s="414"/>
      <c r="M28" s="414"/>
      <c r="N28" s="414"/>
      <c r="O28" s="414"/>
      <c r="P28" s="414"/>
      <c r="Q28" s="414"/>
      <c r="R28" s="276"/>
    </row>
    <row r="29" spans="2:18">
      <c r="B29" s="275"/>
      <c r="C29" s="167"/>
      <c r="D29" s="167"/>
      <c r="E29" s="167"/>
      <c r="F29" s="167"/>
      <c r="G29" s="167"/>
      <c r="H29" s="167"/>
      <c r="I29" s="167"/>
      <c r="J29" s="167"/>
      <c r="K29" s="167"/>
      <c r="L29" s="167"/>
      <c r="M29" s="167"/>
      <c r="N29" s="167"/>
      <c r="O29" s="167"/>
      <c r="P29" s="167"/>
      <c r="Q29" s="167"/>
      <c r="R29" s="276"/>
    </row>
    <row r="30" spans="2:18">
      <c r="B30" s="275"/>
      <c r="C30" s="284" t="s">
        <v>4895</v>
      </c>
      <c r="D30" s="163" t="s">
        <v>4896</v>
      </c>
      <c r="E30" s="167"/>
      <c r="F30" s="167"/>
      <c r="G30" s="167"/>
      <c r="H30" s="167"/>
      <c r="I30" s="167"/>
      <c r="J30" s="167"/>
      <c r="K30" s="167"/>
      <c r="L30" s="167"/>
      <c r="M30" s="167"/>
      <c r="N30" s="167"/>
      <c r="O30" s="167"/>
      <c r="P30" s="167"/>
      <c r="Q30" s="167"/>
      <c r="R30" s="276"/>
    </row>
    <row r="31" spans="2:18">
      <c r="B31" s="275"/>
      <c r="C31" s="414" t="s">
        <v>4897</v>
      </c>
      <c r="D31" s="414"/>
      <c r="E31" s="414"/>
      <c r="F31" s="414"/>
      <c r="G31" s="414"/>
      <c r="H31" s="414"/>
      <c r="I31" s="414"/>
      <c r="J31" s="414"/>
      <c r="K31" s="414"/>
      <c r="L31" s="414"/>
      <c r="M31" s="414"/>
      <c r="N31" s="414"/>
      <c r="O31" s="414"/>
      <c r="P31" s="414"/>
      <c r="Q31" s="414"/>
      <c r="R31" s="276"/>
    </row>
    <row r="32" spans="2:18" ht="32" customHeight="1">
      <c r="B32" s="275"/>
      <c r="C32" s="414"/>
      <c r="D32" s="414"/>
      <c r="E32" s="414"/>
      <c r="F32" s="414"/>
      <c r="G32" s="414"/>
      <c r="H32" s="414"/>
      <c r="I32" s="414"/>
      <c r="J32" s="414"/>
      <c r="K32" s="414"/>
      <c r="L32" s="414"/>
      <c r="M32" s="414"/>
      <c r="N32" s="414"/>
      <c r="O32" s="414"/>
      <c r="P32" s="414"/>
      <c r="Q32" s="414"/>
      <c r="R32" s="276"/>
    </row>
    <row r="33" spans="2:18">
      <c r="B33" s="275"/>
      <c r="C33" s="167"/>
      <c r="D33" s="167"/>
      <c r="E33" s="167"/>
      <c r="F33" s="167"/>
      <c r="G33" s="167"/>
      <c r="H33" s="167"/>
      <c r="I33" s="167"/>
      <c r="J33" s="167"/>
      <c r="K33" s="167"/>
      <c r="L33" s="167"/>
      <c r="M33" s="167"/>
      <c r="N33" s="167"/>
      <c r="O33" s="167"/>
      <c r="P33" s="167"/>
      <c r="Q33" s="167"/>
      <c r="R33" s="276"/>
    </row>
    <row r="34" spans="2:18">
      <c r="B34" s="275"/>
      <c r="C34" s="163" t="s">
        <v>4898</v>
      </c>
      <c r="D34" s="167"/>
      <c r="E34" s="167"/>
      <c r="F34" s="167"/>
      <c r="G34" s="167"/>
      <c r="H34" s="167"/>
      <c r="I34" s="167"/>
      <c r="J34" s="167"/>
      <c r="K34" s="167"/>
      <c r="L34" s="167"/>
      <c r="M34" s="167"/>
      <c r="N34" s="167"/>
      <c r="O34" s="167"/>
      <c r="P34" s="167"/>
      <c r="Q34" s="167"/>
      <c r="R34" s="276"/>
    </row>
    <row r="35" spans="2:18">
      <c r="B35" s="275"/>
      <c r="C35" s="414" t="s">
        <v>4899</v>
      </c>
      <c r="D35" s="414"/>
      <c r="E35" s="414"/>
      <c r="F35" s="414"/>
      <c r="G35" s="414"/>
      <c r="H35" s="414"/>
      <c r="I35" s="414"/>
      <c r="J35" s="414"/>
      <c r="K35" s="414"/>
      <c r="L35" s="414"/>
      <c r="M35" s="414"/>
      <c r="N35" s="414"/>
      <c r="O35" s="414"/>
      <c r="P35" s="414"/>
      <c r="Q35" s="414"/>
      <c r="R35" s="276"/>
    </row>
    <row r="36" spans="2:18">
      <c r="B36" s="275"/>
      <c r="C36" s="414"/>
      <c r="D36" s="414"/>
      <c r="E36" s="414"/>
      <c r="F36" s="414"/>
      <c r="G36" s="414"/>
      <c r="H36" s="414"/>
      <c r="I36" s="414"/>
      <c r="J36" s="414"/>
      <c r="K36" s="414"/>
      <c r="L36" s="414"/>
      <c r="M36" s="414"/>
      <c r="N36" s="414"/>
      <c r="O36" s="414"/>
      <c r="P36" s="414"/>
      <c r="Q36" s="414"/>
      <c r="R36" s="276"/>
    </row>
    <row r="37" spans="2:18">
      <c r="B37" s="275"/>
      <c r="C37" s="167"/>
      <c r="D37" s="167"/>
      <c r="E37" s="167"/>
      <c r="F37" s="167"/>
      <c r="G37" s="167"/>
      <c r="H37" s="167"/>
      <c r="I37" s="167"/>
      <c r="J37" s="167"/>
      <c r="K37" s="167"/>
      <c r="L37" s="167"/>
      <c r="M37" s="167"/>
      <c r="N37" s="167"/>
      <c r="O37" s="167"/>
      <c r="P37" s="167"/>
      <c r="Q37" s="167"/>
      <c r="R37" s="276"/>
    </row>
    <row r="38" spans="2:18">
      <c r="B38" s="275"/>
      <c r="C38" s="167"/>
      <c r="D38" s="167"/>
      <c r="E38" s="167"/>
      <c r="F38" s="167"/>
      <c r="G38" s="167"/>
      <c r="H38" s="167"/>
      <c r="I38" s="167"/>
      <c r="J38" s="167"/>
      <c r="K38" s="167"/>
      <c r="L38" s="167"/>
      <c r="M38" s="167"/>
      <c r="N38" s="167"/>
      <c r="O38" s="167"/>
      <c r="P38" s="167"/>
      <c r="Q38" s="167"/>
      <c r="R38" s="276"/>
    </row>
    <row r="39" spans="2:18">
      <c r="B39" s="275"/>
      <c r="C39" s="167"/>
      <c r="D39" s="167"/>
      <c r="E39" s="167"/>
      <c r="F39" s="167"/>
      <c r="G39" s="167"/>
      <c r="H39" s="167"/>
      <c r="I39" s="167"/>
      <c r="J39" s="167"/>
      <c r="K39" s="167"/>
      <c r="L39" s="167"/>
      <c r="M39" s="167"/>
      <c r="N39" s="167"/>
      <c r="O39" s="167"/>
      <c r="P39" s="167"/>
      <c r="Q39" s="167"/>
      <c r="R39" s="276"/>
    </row>
    <row r="40" spans="2:18">
      <c r="B40" s="275"/>
      <c r="C40" s="167"/>
      <c r="D40" s="167"/>
      <c r="E40" s="167"/>
      <c r="F40" s="167"/>
      <c r="G40" s="167"/>
      <c r="H40" s="167"/>
      <c r="I40" s="167"/>
      <c r="J40" s="167"/>
      <c r="K40" s="167"/>
      <c r="L40" s="167"/>
      <c r="M40" s="167"/>
      <c r="N40" s="167"/>
      <c r="O40" s="167"/>
      <c r="P40" s="167"/>
      <c r="Q40" s="167"/>
      <c r="R40" s="276"/>
    </row>
    <row r="41" spans="2:18">
      <c r="B41" s="275"/>
      <c r="C41" s="167"/>
      <c r="D41" s="167"/>
      <c r="E41" s="167"/>
      <c r="F41" s="167"/>
      <c r="G41" s="167"/>
      <c r="H41" s="167"/>
      <c r="I41" s="167"/>
      <c r="J41" s="167"/>
      <c r="K41" s="167"/>
      <c r="L41" s="167"/>
      <c r="M41" s="167"/>
      <c r="N41" s="167"/>
      <c r="O41" s="167"/>
      <c r="P41" s="167"/>
      <c r="Q41" s="167"/>
      <c r="R41" s="276"/>
    </row>
    <row r="42" spans="2:18">
      <c r="B42" s="275"/>
      <c r="C42" s="167"/>
      <c r="D42" s="167"/>
      <c r="E42" s="167"/>
      <c r="F42" s="167"/>
      <c r="G42" s="167"/>
      <c r="H42" s="167"/>
      <c r="I42" s="167"/>
      <c r="J42" s="167"/>
      <c r="K42" s="167"/>
      <c r="L42" s="167"/>
      <c r="M42" s="167"/>
      <c r="N42" s="167"/>
      <c r="O42" s="167"/>
      <c r="P42" s="167"/>
      <c r="Q42" s="167"/>
      <c r="R42" s="276"/>
    </row>
    <row r="43" spans="2:18" ht="17" thickBot="1">
      <c r="B43" s="279"/>
      <c r="C43" s="280"/>
      <c r="D43" s="280"/>
      <c r="E43" s="280"/>
      <c r="F43" s="280"/>
      <c r="G43" s="280"/>
      <c r="H43" s="280"/>
      <c r="I43" s="280"/>
      <c r="J43" s="280"/>
      <c r="K43" s="280"/>
      <c r="L43" s="280"/>
      <c r="M43" s="280"/>
      <c r="N43" s="280"/>
      <c r="O43" s="280"/>
      <c r="P43" s="280"/>
      <c r="Q43" s="280"/>
      <c r="R43" s="281"/>
    </row>
    <row r="44" spans="2:18" ht="17" thickTop="1"/>
  </sheetData>
  <mergeCells count="7">
    <mergeCell ref="C13:Q14"/>
    <mergeCell ref="C16:Q17"/>
    <mergeCell ref="C20:Q21"/>
    <mergeCell ref="C23:Q24"/>
    <mergeCell ref="C31:Q32"/>
    <mergeCell ref="C35:Q36"/>
    <mergeCell ref="C27:Q2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6B049-AC68-6E4B-928A-F57BF0179FEC}">
  <dimension ref="B1:R27"/>
  <sheetViews>
    <sheetView showGridLines="0" workbookViewId="0">
      <selection activeCell="J31" sqref="J31"/>
    </sheetView>
  </sheetViews>
  <sheetFormatPr baseColWidth="10" defaultRowHeight="13"/>
  <cols>
    <col min="2" max="2" width="6.6640625" customWidth="1"/>
    <col min="3" max="3" width="22.83203125" bestFit="1" customWidth="1"/>
    <col min="5" max="5" width="12" customWidth="1"/>
    <col min="17" max="17" width="8" customWidth="1"/>
    <col min="18" max="18" width="3.1640625" customWidth="1"/>
  </cols>
  <sheetData>
    <row r="1" spans="2:18" ht="14" thickBot="1"/>
    <row r="2" spans="2:18" ht="14" thickTop="1">
      <c r="B2" s="328"/>
      <c r="C2" s="329"/>
      <c r="D2" s="330"/>
      <c r="E2" s="330"/>
      <c r="F2" s="330"/>
      <c r="G2" s="330"/>
      <c r="H2" s="330"/>
      <c r="I2" s="330"/>
      <c r="J2" s="330"/>
      <c r="K2" s="330"/>
      <c r="L2" s="330"/>
      <c r="M2" s="330"/>
      <c r="N2" s="330"/>
      <c r="O2" s="330"/>
      <c r="P2" s="330"/>
      <c r="Q2" s="330"/>
      <c r="R2" s="331"/>
    </row>
    <row r="3" spans="2:18">
      <c r="B3" s="332"/>
      <c r="C3" s="333"/>
      <c r="D3" s="333"/>
      <c r="E3" s="333"/>
      <c r="F3" s="333"/>
      <c r="G3" s="333"/>
      <c r="H3" s="333"/>
      <c r="I3" s="333"/>
      <c r="J3" s="333"/>
      <c r="K3" s="333"/>
      <c r="L3" s="333"/>
      <c r="M3" s="333"/>
      <c r="N3" s="333"/>
      <c r="O3" s="333"/>
      <c r="P3" s="333"/>
      <c r="Q3" s="333"/>
      <c r="R3" s="334"/>
    </row>
    <row r="4" spans="2:18" ht="18">
      <c r="B4" s="332"/>
      <c r="C4" s="530" t="s">
        <v>4901</v>
      </c>
      <c r="D4" s="333"/>
      <c r="E4" s="333"/>
      <c r="F4" s="333"/>
      <c r="G4" s="333"/>
      <c r="H4" s="333"/>
      <c r="I4" s="333"/>
      <c r="J4" s="333"/>
      <c r="K4" s="333"/>
      <c r="L4" s="333"/>
      <c r="M4" s="333"/>
      <c r="N4" s="333"/>
      <c r="O4" s="333"/>
      <c r="P4" s="333"/>
      <c r="Q4" s="333"/>
      <c r="R4" s="334"/>
    </row>
    <row r="5" spans="2:18" ht="16">
      <c r="B5" s="332"/>
      <c r="C5" s="531"/>
      <c r="D5" s="333"/>
      <c r="E5" s="333"/>
      <c r="F5" s="333"/>
      <c r="G5" s="333"/>
      <c r="H5" s="333"/>
      <c r="I5" s="333"/>
      <c r="J5" s="333"/>
      <c r="K5" s="333"/>
      <c r="L5" s="333"/>
      <c r="M5" s="333"/>
      <c r="N5" s="333"/>
      <c r="O5" s="333"/>
      <c r="P5" s="333"/>
      <c r="Q5" s="333"/>
      <c r="R5" s="334"/>
    </row>
    <row r="6" spans="2:18" ht="16">
      <c r="B6" s="332"/>
      <c r="C6" s="532" t="s">
        <v>4902</v>
      </c>
      <c r="D6" s="333"/>
      <c r="E6" s="333"/>
      <c r="F6" s="333"/>
      <c r="G6" s="333"/>
      <c r="H6" s="333"/>
      <c r="I6" s="333"/>
      <c r="J6" s="333"/>
      <c r="K6" s="333"/>
      <c r="L6" s="333"/>
      <c r="M6" s="333"/>
      <c r="N6" s="333"/>
      <c r="O6" s="333"/>
      <c r="P6" s="333"/>
      <c r="Q6" s="333"/>
      <c r="R6" s="334"/>
    </row>
    <row r="7" spans="2:18" ht="16" customHeight="1">
      <c r="B7" s="332"/>
      <c r="C7" s="414" t="s">
        <v>4903</v>
      </c>
      <c r="D7" s="414"/>
      <c r="E7" s="414"/>
      <c r="F7" s="414"/>
      <c r="G7" s="414"/>
      <c r="H7" s="414"/>
      <c r="I7" s="414"/>
      <c r="J7" s="414"/>
      <c r="K7" s="414"/>
      <c r="L7" s="414"/>
      <c r="M7" s="414"/>
      <c r="N7" s="414"/>
      <c r="O7" s="414"/>
      <c r="P7" s="414"/>
      <c r="Q7" s="414"/>
      <c r="R7" s="334"/>
    </row>
    <row r="8" spans="2:18" ht="16" customHeight="1">
      <c r="B8" s="332"/>
      <c r="C8" s="414"/>
      <c r="D8" s="414"/>
      <c r="E8" s="414"/>
      <c r="F8" s="414"/>
      <c r="G8" s="414"/>
      <c r="H8" s="414"/>
      <c r="I8" s="414"/>
      <c r="J8" s="414"/>
      <c r="K8" s="414"/>
      <c r="L8" s="414"/>
      <c r="M8" s="414"/>
      <c r="N8" s="414"/>
      <c r="O8" s="414"/>
      <c r="P8" s="414"/>
      <c r="Q8" s="414"/>
      <c r="R8" s="334"/>
    </row>
    <row r="9" spans="2:18" s="257" customFormat="1" ht="16">
      <c r="B9" s="332"/>
      <c r="C9" s="338"/>
      <c r="D9" s="333"/>
      <c r="E9" s="333"/>
      <c r="F9" s="333"/>
      <c r="G9" s="333"/>
      <c r="H9" s="333"/>
      <c r="I9" s="333"/>
      <c r="J9" s="333"/>
      <c r="K9" s="333"/>
      <c r="L9" s="333"/>
      <c r="M9" s="333"/>
      <c r="N9" s="333"/>
      <c r="O9" s="333"/>
      <c r="P9" s="333"/>
      <c r="Q9" s="333"/>
      <c r="R9" s="334"/>
    </row>
    <row r="10" spans="2:18">
      <c r="B10" s="332"/>
      <c r="C10" s="525" t="s">
        <v>4904</v>
      </c>
      <c r="D10" s="525" t="s">
        <v>4905</v>
      </c>
      <c r="E10" s="525" t="s">
        <v>4906</v>
      </c>
      <c r="F10" s="525" t="s">
        <v>203</v>
      </c>
      <c r="G10" s="333"/>
      <c r="H10" s="333"/>
      <c r="I10" s="333"/>
      <c r="J10" s="333"/>
      <c r="K10" s="333"/>
      <c r="L10" s="333"/>
      <c r="M10" s="333"/>
      <c r="N10" s="333"/>
      <c r="O10" s="333"/>
      <c r="P10" s="333"/>
      <c r="Q10" s="333"/>
      <c r="R10" s="334"/>
    </row>
    <row r="11" spans="2:18">
      <c r="B11" s="332"/>
      <c r="C11" s="526" t="s">
        <v>4907</v>
      </c>
      <c r="D11" s="527">
        <v>32340</v>
      </c>
      <c r="E11" s="527">
        <v>32340000000</v>
      </c>
      <c r="F11" s="528">
        <v>0.84</v>
      </c>
      <c r="G11" s="333"/>
      <c r="H11" s="333"/>
      <c r="I11" s="333"/>
      <c r="J11" s="333"/>
      <c r="K11" s="333"/>
      <c r="L11" s="333"/>
      <c r="M11" s="333"/>
      <c r="N11" s="333"/>
      <c r="O11" s="333"/>
      <c r="P11" s="333"/>
      <c r="Q11" s="333"/>
      <c r="R11" s="334"/>
    </row>
    <row r="12" spans="2:18">
      <c r="B12" s="332"/>
      <c r="C12" s="526" t="s">
        <v>4908</v>
      </c>
      <c r="D12" s="527">
        <v>5775</v>
      </c>
      <c r="E12" s="527">
        <v>5775000000</v>
      </c>
      <c r="F12" s="528">
        <v>0.15</v>
      </c>
      <c r="G12" s="333"/>
      <c r="H12" s="333"/>
      <c r="I12" s="333"/>
      <c r="J12" s="333"/>
      <c r="K12" s="333"/>
      <c r="L12" s="333"/>
      <c r="M12" s="333"/>
      <c r="N12" s="333"/>
      <c r="O12" s="333"/>
      <c r="P12" s="333"/>
      <c r="Q12" s="333"/>
      <c r="R12" s="334"/>
    </row>
    <row r="13" spans="2:18">
      <c r="B13" s="332"/>
      <c r="C13" s="526" t="s">
        <v>4909</v>
      </c>
      <c r="D13" s="529">
        <v>385</v>
      </c>
      <c r="E13" s="527">
        <v>385000000</v>
      </c>
      <c r="F13" s="528">
        <v>0.01</v>
      </c>
      <c r="G13" s="333"/>
      <c r="H13" s="333"/>
      <c r="I13" s="333"/>
      <c r="J13" s="333"/>
      <c r="K13" s="333"/>
      <c r="L13" s="333"/>
      <c r="M13" s="333"/>
      <c r="N13" s="333"/>
      <c r="O13" s="333"/>
      <c r="P13" s="333"/>
      <c r="Q13" s="333"/>
      <c r="R13" s="334"/>
    </row>
    <row r="14" spans="2:18" ht="17" thickBot="1">
      <c r="B14" s="332"/>
      <c r="C14" s="533"/>
      <c r="D14" s="524">
        <v>38500</v>
      </c>
      <c r="E14" s="524">
        <v>38500000000</v>
      </c>
      <c r="F14" s="533"/>
      <c r="G14" s="333"/>
      <c r="H14" s="333"/>
      <c r="I14" s="333"/>
      <c r="J14" s="333"/>
      <c r="K14" s="333"/>
      <c r="L14" s="333"/>
      <c r="M14" s="333"/>
      <c r="N14" s="333"/>
      <c r="O14" s="333"/>
      <c r="P14" s="333"/>
      <c r="Q14" s="333"/>
      <c r="R14" s="334"/>
    </row>
    <row r="15" spans="2:18" ht="17" thickTop="1">
      <c r="B15" s="332"/>
      <c r="C15" s="533"/>
      <c r="D15" s="533"/>
      <c r="E15" s="533"/>
      <c r="F15" s="533"/>
      <c r="G15" s="333"/>
      <c r="H15" s="333"/>
      <c r="I15" s="333"/>
      <c r="J15" s="333"/>
      <c r="K15" s="333"/>
      <c r="L15" s="333"/>
      <c r="M15" s="333"/>
      <c r="N15" s="333"/>
      <c r="O15" s="333"/>
      <c r="P15" s="333"/>
      <c r="Q15" s="333"/>
      <c r="R15" s="334"/>
    </row>
    <row r="16" spans="2:18" ht="16">
      <c r="B16" s="332"/>
      <c r="C16" s="532"/>
      <c r="D16" s="333"/>
      <c r="E16" s="333"/>
      <c r="F16" s="333"/>
      <c r="G16" s="333"/>
      <c r="H16" s="333"/>
      <c r="I16" s="333"/>
      <c r="J16" s="333"/>
      <c r="K16" s="333"/>
      <c r="L16" s="333"/>
      <c r="M16" s="333"/>
      <c r="N16" s="333"/>
      <c r="O16" s="333"/>
      <c r="P16" s="333"/>
      <c r="Q16" s="333"/>
      <c r="R16" s="334"/>
    </row>
    <row r="17" spans="2:18" ht="16">
      <c r="B17" s="332"/>
      <c r="C17" s="532" t="s">
        <v>4910</v>
      </c>
      <c r="D17" s="333"/>
      <c r="E17" s="333"/>
      <c r="F17" s="333"/>
      <c r="G17" s="333"/>
      <c r="H17" s="333"/>
      <c r="I17" s="333"/>
      <c r="J17" s="333"/>
      <c r="K17" s="333"/>
      <c r="L17" s="333"/>
      <c r="M17" s="333"/>
      <c r="N17" s="333"/>
      <c r="O17" s="333"/>
      <c r="P17" s="333"/>
      <c r="Q17" s="333"/>
      <c r="R17" s="334"/>
    </row>
    <row r="18" spans="2:18" ht="39" customHeight="1">
      <c r="B18" s="332"/>
      <c r="C18" s="534" t="s">
        <v>4911</v>
      </c>
      <c r="D18" s="534"/>
      <c r="E18" s="534"/>
      <c r="F18" s="534"/>
      <c r="G18" s="534"/>
      <c r="H18" s="534"/>
      <c r="I18" s="534"/>
      <c r="J18" s="534"/>
      <c r="K18" s="534"/>
      <c r="L18" s="534"/>
      <c r="M18" s="534"/>
      <c r="N18" s="534"/>
      <c r="O18" s="534"/>
      <c r="P18" s="534"/>
      <c r="Q18" s="534"/>
      <c r="R18" s="334"/>
    </row>
    <row r="19" spans="2:18" ht="16">
      <c r="B19" s="332"/>
      <c r="C19" s="532"/>
      <c r="D19" s="333"/>
      <c r="E19" s="333"/>
      <c r="F19" s="333"/>
      <c r="G19" s="333"/>
      <c r="H19" s="333"/>
      <c r="I19" s="333"/>
      <c r="J19" s="333"/>
      <c r="K19" s="333"/>
      <c r="L19" s="333"/>
      <c r="M19" s="333"/>
      <c r="N19" s="333"/>
      <c r="O19" s="333"/>
      <c r="P19" s="333"/>
      <c r="Q19" s="333"/>
      <c r="R19" s="334"/>
    </row>
    <row r="20" spans="2:18" ht="16">
      <c r="B20" s="332"/>
      <c r="C20" s="532" t="s">
        <v>4912</v>
      </c>
      <c r="D20" s="333"/>
      <c r="E20" s="333"/>
      <c r="F20" s="333"/>
      <c r="G20" s="333"/>
      <c r="H20" s="333"/>
      <c r="I20" s="333"/>
      <c r="J20" s="333"/>
      <c r="K20" s="333"/>
      <c r="L20" s="333"/>
      <c r="M20" s="333"/>
      <c r="N20" s="333"/>
      <c r="O20" s="333"/>
      <c r="P20" s="333"/>
      <c r="Q20" s="333"/>
      <c r="R20" s="334"/>
    </row>
    <row r="21" spans="2:18" ht="38" customHeight="1">
      <c r="B21" s="332"/>
      <c r="C21" s="535" t="s">
        <v>4913</v>
      </c>
      <c r="D21" s="535"/>
      <c r="E21" s="535"/>
      <c r="F21" s="535"/>
      <c r="G21" s="535"/>
      <c r="H21" s="535"/>
      <c r="I21" s="535"/>
      <c r="J21" s="535"/>
      <c r="K21" s="535"/>
      <c r="L21" s="535"/>
      <c r="M21" s="535"/>
      <c r="N21" s="535"/>
      <c r="O21" s="535"/>
      <c r="P21" s="535"/>
      <c r="Q21" s="535"/>
      <c r="R21" s="334"/>
    </row>
    <row r="22" spans="2:18" s="257" customFormat="1" ht="16" customHeight="1">
      <c r="B22" s="332"/>
      <c r="C22" s="536"/>
      <c r="D22" s="536"/>
      <c r="E22" s="536"/>
      <c r="F22" s="536"/>
      <c r="G22" s="536"/>
      <c r="H22" s="536"/>
      <c r="I22" s="536"/>
      <c r="J22" s="536"/>
      <c r="K22" s="536"/>
      <c r="L22" s="536"/>
      <c r="M22" s="536"/>
      <c r="N22" s="536"/>
      <c r="O22" s="536"/>
      <c r="P22" s="536"/>
      <c r="Q22" s="536"/>
      <c r="R22" s="334"/>
    </row>
    <row r="23" spans="2:18" ht="16">
      <c r="B23" s="332"/>
      <c r="C23" s="532" t="s">
        <v>4914</v>
      </c>
      <c r="D23" s="333"/>
      <c r="E23" s="333"/>
      <c r="F23" s="333"/>
      <c r="G23" s="333"/>
      <c r="H23" s="333"/>
      <c r="I23" s="333"/>
      <c r="J23" s="333"/>
      <c r="K23" s="333"/>
      <c r="L23" s="333"/>
      <c r="M23" s="333"/>
      <c r="N23" s="333"/>
      <c r="O23" s="333"/>
      <c r="P23" s="333"/>
      <c r="Q23" s="333"/>
      <c r="R23" s="334"/>
    </row>
    <row r="24" spans="2:18" ht="42" customHeight="1">
      <c r="B24" s="332"/>
      <c r="C24" s="534" t="s">
        <v>4915</v>
      </c>
      <c r="D24" s="534"/>
      <c r="E24" s="534"/>
      <c r="F24" s="534"/>
      <c r="G24" s="534"/>
      <c r="H24" s="534"/>
      <c r="I24" s="534"/>
      <c r="J24" s="534"/>
      <c r="K24" s="534"/>
      <c r="L24" s="534"/>
      <c r="M24" s="534"/>
      <c r="N24" s="534"/>
      <c r="O24" s="534"/>
      <c r="P24" s="534"/>
      <c r="Q24" s="534"/>
      <c r="R24" s="334"/>
    </row>
    <row r="25" spans="2:18">
      <c r="B25" s="332"/>
      <c r="C25" s="333"/>
      <c r="D25" s="333"/>
      <c r="E25" s="333"/>
      <c r="F25" s="333"/>
      <c r="G25" s="333"/>
      <c r="H25" s="333"/>
      <c r="I25" s="333"/>
      <c r="J25" s="333"/>
      <c r="K25" s="333"/>
      <c r="L25" s="333"/>
      <c r="M25" s="333"/>
      <c r="N25" s="333"/>
      <c r="O25" s="333"/>
      <c r="P25" s="333"/>
      <c r="Q25" s="333"/>
      <c r="R25" s="334"/>
    </row>
    <row r="26" spans="2:18" ht="14" thickBot="1">
      <c r="B26" s="339"/>
      <c r="C26" s="341"/>
      <c r="D26" s="341"/>
      <c r="E26" s="341"/>
      <c r="F26" s="341"/>
      <c r="G26" s="341"/>
      <c r="H26" s="341"/>
      <c r="I26" s="341"/>
      <c r="J26" s="341"/>
      <c r="K26" s="341"/>
      <c r="L26" s="341"/>
      <c r="M26" s="341"/>
      <c r="N26" s="341"/>
      <c r="O26" s="341"/>
      <c r="P26" s="341"/>
      <c r="Q26" s="341"/>
      <c r="R26" s="342"/>
    </row>
    <row r="27" spans="2:18" ht="14" thickTop="1"/>
  </sheetData>
  <mergeCells count="4">
    <mergeCell ref="C7:Q8"/>
    <mergeCell ref="C18:Q18"/>
    <mergeCell ref="C21:Q21"/>
    <mergeCell ref="C24:Q2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8"/>
  <sheetViews>
    <sheetView showGridLines="0" zoomScale="90" zoomScaleNormal="100" zoomScaleSheetLayoutView="115" workbookViewId="0">
      <selection activeCell="S15" sqref="S15"/>
    </sheetView>
  </sheetViews>
  <sheetFormatPr baseColWidth="10" defaultColWidth="11.5" defaultRowHeight="13"/>
  <cols>
    <col min="1" max="1" width="11.5" style="254"/>
    <col min="2" max="2" width="5.5" style="254" customWidth="1"/>
    <col min="3" max="3" width="1.33203125" style="39" customWidth="1"/>
    <col min="4" max="4" width="28.5" style="39" customWidth="1"/>
    <col min="5" max="5" width="13.33203125" style="39" bestFit="1" customWidth="1"/>
    <col min="6" max="6" width="13" style="39" bestFit="1" customWidth="1"/>
    <col min="7" max="7" width="13.5" style="39" customWidth="1"/>
    <col min="8" max="8" width="12.5" style="39" bestFit="1" customWidth="1"/>
    <col min="9" max="9" width="12.5" style="39" hidden="1" customWidth="1"/>
    <col min="10" max="10" width="14.6640625" style="39" bestFit="1" customWidth="1"/>
    <col min="11" max="11" width="14.6640625" style="39" customWidth="1"/>
    <col min="12" max="12" width="7.6640625" style="39" customWidth="1"/>
    <col min="13" max="13" width="11.6640625" style="39" hidden="1" customWidth="1"/>
    <col min="14" max="14" width="7" style="39" hidden="1" customWidth="1"/>
    <col min="15" max="15" width="8.83203125" style="39" hidden="1" customWidth="1"/>
    <col min="16" max="16" width="15.33203125" style="39" customWidth="1"/>
    <col min="17" max="17" width="16.1640625" style="39" customWidth="1"/>
    <col min="18" max="18" width="5.6640625" style="39" customWidth="1"/>
    <col min="19" max="19" width="38" style="39" customWidth="1"/>
    <col min="20" max="20" width="16.5" style="39" customWidth="1"/>
    <col min="21" max="16384" width="11.5" style="39"/>
  </cols>
  <sheetData>
    <row r="1" spans="1:18" s="254" customFormat="1" ht="14" thickBot="1"/>
    <row r="2" spans="1:18" ht="17" thickTop="1">
      <c r="B2" s="268"/>
      <c r="C2" s="269"/>
      <c r="D2" s="282"/>
      <c r="E2" s="282"/>
      <c r="F2" s="282"/>
      <c r="G2" s="282"/>
      <c r="H2" s="282"/>
      <c r="I2" s="282"/>
      <c r="J2" s="282"/>
      <c r="K2" s="282"/>
      <c r="L2" s="282"/>
      <c r="M2" s="282"/>
      <c r="N2" s="282"/>
      <c r="O2" s="282"/>
      <c r="P2" s="282"/>
      <c r="Q2" s="282"/>
      <c r="R2" s="270"/>
    </row>
    <row r="3" spans="1:18" ht="16">
      <c r="B3" s="271"/>
      <c r="C3" s="258"/>
      <c r="D3" s="383" t="s">
        <v>723</v>
      </c>
      <c r="E3" s="383"/>
      <c r="F3" s="383"/>
      <c r="G3" s="383"/>
      <c r="H3" s="383"/>
      <c r="I3" s="383"/>
      <c r="J3" s="383"/>
      <c r="K3" s="383"/>
      <c r="L3" s="383"/>
      <c r="M3" s="383"/>
      <c r="N3" s="383"/>
      <c r="O3" s="383"/>
      <c r="P3" s="383"/>
      <c r="Q3" s="383"/>
      <c r="R3" s="272"/>
    </row>
    <row r="4" spans="1:18" ht="16">
      <c r="B4" s="271"/>
      <c r="C4" s="258"/>
      <c r="D4" s="167"/>
      <c r="E4" s="167"/>
      <c r="F4" s="167"/>
      <c r="G4" s="167"/>
      <c r="H4" s="167"/>
      <c r="I4" s="167"/>
      <c r="J4" s="167"/>
      <c r="K4" s="167"/>
      <c r="L4" s="167"/>
      <c r="M4" s="167"/>
      <c r="N4" s="167"/>
      <c r="O4" s="167"/>
      <c r="P4" s="163"/>
      <c r="Q4" s="163" t="s">
        <v>293</v>
      </c>
      <c r="R4" s="272"/>
    </row>
    <row r="5" spans="1:18" s="254" customFormat="1" ht="16">
      <c r="B5" s="271"/>
      <c r="C5" s="258"/>
      <c r="D5" s="167"/>
      <c r="E5" s="167"/>
      <c r="F5" s="167"/>
      <c r="G5" s="167"/>
      <c r="H5" s="167"/>
      <c r="I5" s="167"/>
      <c r="J5" s="167"/>
      <c r="K5" s="167"/>
      <c r="L5" s="167"/>
      <c r="M5" s="167"/>
      <c r="N5" s="167"/>
      <c r="O5" s="167"/>
      <c r="P5" s="163"/>
      <c r="Q5" s="163"/>
      <c r="R5" s="272"/>
    </row>
    <row r="6" spans="1:18" ht="16">
      <c r="B6" s="271"/>
      <c r="C6" s="258"/>
      <c r="D6" s="383" t="s">
        <v>4051</v>
      </c>
      <c r="E6" s="383"/>
      <c r="F6" s="383"/>
      <c r="G6" s="383"/>
      <c r="H6" s="383"/>
      <c r="I6" s="383"/>
      <c r="J6" s="383"/>
      <c r="K6" s="383"/>
      <c r="L6" s="383"/>
      <c r="M6" s="383"/>
      <c r="N6" s="383"/>
      <c r="O6" s="383"/>
      <c r="P6" s="383"/>
      <c r="Q6" s="383"/>
      <c r="R6" s="272"/>
    </row>
    <row r="7" spans="1:18" ht="16">
      <c r="B7" s="271"/>
      <c r="C7" s="258"/>
      <c r="D7" s="167"/>
      <c r="E7" s="167"/>
      <c r="F7" s="167"/>
      <c r="G7" s="167"/>
      <c r="H7" s="167"/>
      <c r="I7" s="167"/>
      <c r="J7" s="167"/>
      <c r="K7" s="167"/>
      <c r="L7" s="167"/>
      <c r="M7" s="167"/>
      <c r="N7" s="167"/>
      <c r="O7" s="167"/>
      <c r="P7" s="167"/>
      <c r="Q7" s="167"/>
      <c r="R7" s="272"/>
    </row>
    <row r="8" spans="1:18" ht="16">
      <c r="B8" s="271"/>
      <c r="C8" s="258"/>
      <c r="D8" s="384" t="s">
        <v>387</v>
      </c>
      <c r="E8" s="384"/>
      <c r="F8" s="384"/>
      <c r="G8" s="384"/>
      <c r="H8" s="384"/>
      <c r="I8" s="384"/>
      <c r="J8" s="384"/>
      <c r="K8" s="384"/>
      <c r="L8" s="384"/>
      <c r="M8" s="384"/>
      <c r="N8" s="384"/>
      <c r="O8" s="384"/>
      <c r="P8" s="384"/>
      <c r="Q8" s="384"/>
      <c r="R8" s="272"/>
    </row>
    <row r="9" spans="1:18" ht="16">
      <c r="B9" s="271"/>
      <c r="C9" s="258"/>
      <c r="D9" s="167"/>
      <c r="E9" s="167"/>
      <c r="F9" s="167"/>
      <c r="G9" s="167"/>
      <c r="H9" s="167"/>
      <c r="I9" s="167"/>
      <c r="J9" s="167"/>
      <c r="K9" s="167"/>
      <c r="L9" s="167"/>
      <c r="M9" s="167"/>
      <c r="N9" s="167"/>
      <c r="O9" s="167"/>
      <c r="P9" s="167"/>
      <c r="Q9" s="167"/>
      <c r="R9" s="272"/>
    </row>
    <row r="10" spans="1:18" ht="16">
      <c r="B10" s="271"/>
      <c r="C10" s="258"/>
      <c r="D10" s="383" t="s">
        <v>836</v>
      </c>
      <c r="E10" s="383"/>
      <c r="F10" s="383"/>
      <c r="G10" s="383"/>
      <c r="H10" s="383"/>
      <c r="I10" s="383"/>
      <c r="J10" s="383"/>
      <c r="K10" s="383"/>
      <c r="L10" s="383"/>
      <c r="M10" s="383"/>
      <c r="N10" s="383"/>
      <c r="O10" s="383"/>
      <c r="P10" s="383"/>
      <c r="Q10" s="383"/>
      <c r="R10" s="272"/>
    </row>
    <row r="11" spans="1:18" ht="16">
      <c r="B11" s="271"/>
      <c r="C11" s="258"/>
      <c r="D11" s="167"/>
      <c r="E11" s="167"/>
      <c r="F11" s="167"/>
      <c r="G11" s="167"/>
      <c r="H11" s="167"/>
      <c r="I11" s="167"/>
      <c r="J11" s="167"/>
      <c r="K11" s="167"/>
      <c r="L11" s="167"/>
      <c r="M11" s="167"/>
      <c r="N11" s="167"/>
      <c r="O11" s="167"/>
      <c r="P11" s="167"/>
      <c r="Q11" s="167"/>
      <c r="R11" s="272"/>
    </row>
    <row r="12" spans="1:18" s="3" customFormat="1" ht="16">
      <c r="A12" s="90"/>
      <c r="B12" s="295"/>
      <c r="C12" s="261"/>
      <c r="D12" s="431" t="s">
        <v>195</v>
      </c>
      <c r="E12" s="428" t="s">
        <v>196</v>
      </c>
      <c r="F12" s="418"/>
      <c r="G12" s="418"/>
      <c r="H12" s="418"/>
      <c r="I12" s="418"/>
      <c r="J12" s="429"/>
      <c r="K12" s="430" t="s">
        <v>838</v>
      </c>
      <c r="L12" s="430"/>
      <c r="M12" s="430"/>
      <c r="N12" s="430"/>
      <c r="O12" s="430"/>
      <c r="P12" s="430"/>
      <c r="Q12" s="431" t="s">
        <v>206</v>
      </c>
      <c r="R12" s="296"/>
    </row>
    <row r="13" spans="1:18" s="3" customFormat="1" ht="51">
      <c r="A13" s="90"/>
      <c r="B13" s="295"/>
      <c r="C13" s="261"/>
      <c r="D13" s="432"/>
      <c r="E13" s="216" t="s">
        <v>197</v>
      </c>
      <c r="F13" s="216" t="s">
        <v>198</v>
      </c>
      <c r="G13" s="216" t="s">
        <v>847</v>
      </c>
      <c r="H13" s="216" t="s">
        <v>200</v>
      </c>
      <c r="I13" s="216" t="s">
        <v>1023</v>
      </c>
      <c r="J13" s="216" t="s">
        <v>201</v>
      </c>
      <c r="K13" s="216" t="s">
        <v>202</v>
      </c>
      <c r="L13" s="259" t="s">
        <v>203</v>
      </c>
      <c r="M13" s="217" t="s">
        <v>204</v>
      </c>
      <c r="N13" s="217" t="s">
        <v>199</v>
      </c>
      <c r="O13" s="217" t="s">
        <v>200</v>
      </c>
      <c r="P13" s="216" t="s">
        <v>205</v>
      </c>
      <c r="Q13" s="432"/>
      <c r="R13" s="296"/>
    </row>
    <row r="14" spans="1:18" ht="16">
      <c r="B14" s="271"/>
      <c r="C14" s="258"/>
      <c r="D14" s="266" t="s">
        <v>1015</v>
      </c>
      <c r="E14" s="220">
        <f>+CBU!B13/1000</f>
        <v>27688398.671</v>
      </c>
      <c r="F14" s="220">
        <v>0</v>
      </c>
      <c r="G14" s="220">
        <f>+CBU!E13/1000</f>
        <v>0</v>
      </c>
      <c r="H14" s="220">
        <f>+(CBU!F13/1000)+1</f>
        <v>425352.76299999998</v>
      </c>
      <c r="I14" s="220">
        <v>0</v>
      </c>
      <c r="J14" s="220">
        <f t="shared" ref="J14:J23" si="0">E14+H14+G14+F14+I14</f>
        <v>28113751.434</v>
      </c>
      <c r="K14" s="220">
        <f>+CBU!I13/1000</f>
        <v>211143.65</v>
      </c>
      <c r="L14" s="222">
        <v>2.5000000000000001E-2</v>
      </c>
      <c r="M14" s="218"/>
      <c r="N14" s="218"/>
      <c r="O14" s="218"/>
      <c r="P14" s="220">
        <f>+CBU!N13/1000+'Anexo A'!K14+1</f>
        <v>426218.61199999996</v>
      </c>
      <c r="Q14" s="220">
        <f>J14-P14</f>
        <v>27687532.822000001</v>
      </c>
      <c r="R14" s="272"/>
    </row>
    <row r="15" spans="1:18" ht="16">
      <c r="B15" s="271"/>
      <c r="C15" s="258"/>
      <c r="D15" s="266" t="s">
        <v>725</v>
      </c>
      <c r="E15" s="220">
        <f>CBU!B14/1000</f>
        <v>724976.50399999996</v>
      </c>
      <c r="F15" s="220">
        <f>CBU!C14/1000</f>
        <v>140151.217</v>
      </c>
      <c r="G15" s="220">
        <f>(CBU!E14)/1000</f>
        <v>0</v>
      </c>
      <c r="H15" s="220">
        <f>CBU!F14/1000</f>
        <v>6912.72</v>
      </c>
      <c r="I15" s="220">
        <f>+CBU!G14/1000</f>
        <v>0</v>
      </c>
      <c r="J15" s="220">
        <f t="shared" si="0"/>
        <v>872040.44099999988</v>
      </c>
      <c r="K15" s="220">
        <f>CBU!I14/1000</f>
        <v>478981</v>
      </c>
      <c r="L15" s="222">
        <v>2.5000000000000001E-2</v>
      </c>
      <c r="M15" s="218">
        <v>0</v>
      </c>
      <c r="N15" s="218"/>
      <c r="O15" s="218">
        <v>0</v>
      </c>
      <c r="P15" s="220">
        <f>(CBU!N14/1000)+'Anexo A'!K15</f>
        <v>485910.02500000002</v>
      </c>
      <c r="Q15" s="220">
        <f t="shared" ref="Q15:Q23" si="1">J15-P15</f>
        <v>386130.41599999985</v>
      </c>
      <c r="R15" s="272"/>
    </row>
    <row r="16" spans="1:18" ht="16">
      <c r="B16" s="271"/>
      <c r="C16" s="258"/>
      <c r="D16" s="266" t="s">
        <v>256</v>
      </c>
      <c r="E16" s="220">
        <f>CBU!B20/1000</f>
        <v>1377751.6329999999</v>
      </c>
      <c r="F16" s="220">
        <f>(CBU!C20+CBU!D20)/1000</f>
        <v>1357080.6040000001</v>
      </c>
      <c r="G16" s="220">
        <f>+CBU!E20/1000</f>
        <v>0</v>
      </c>
      <c r="H16" s="220">
        <f>CBU!F20/1000</f>
        <v>9023.1869999999999</v>
      </c>
      <c r="I16" s="220">
        <v>0</v>
      </c>
      <c r="J16" s="220">
        <f t="shared" si="0"/>
        <v>2743855.4239999996</v>
      </c>
      <c r="K16" s="220">
        <f>CBU!I20/1000</f>
        <v>878591.554</v>
      </c>
      <c r="L16" s="222">
        <v>0.2</v>
      </c>
      <c r="M16" s="218">
        <v>0</v>
      </c>
      <c r="N16" s="218"/>
      <c r="O16" s="218">
        <v>0</v>
      </c>
      <c r="P16" s="220">
        <f>(CBU!N20/1000)+'Anexo A'!K16</f>
        <v>976487.98100000003</v>
      </c>
      <c r="Q16" s="220">
        <f t="shared" si="1"/>
        <v>1767367.4429999995</v>
      </c>
      <c r="R16" s="272"/>
    </row>
    <row r="17" spans="1:18" ht="16">
      <c r="B17" s="271"/>
      <c r="C17" s="258"/>
      <c r="D17" s="266" t="s">
        <v>729</v>
      </c>
      <c r="E17" s="220">
        <f>CBU!B16/1000</f>
        <v>1070504.085</v>
      </c>
      <c r="F17" s="220">
        <f>CBU!C16/1000</f>
        <v>52803.64</v>
      </c>
      <c r="G17" s="220">
        <f>(CBU!E16)/1000</f>
        <v>6925.2929999999997</v>
      </c>
      <c r="H17" s="220">
        <f>CBU!F16/1000</f>
        <v>13138.101000000001</v>
      </c>
      <c r="I17" s="220">
        <f>+CBU!G16/1000</f>
        <v>0</v>
      </c>
      <c r="J17" s="220">
        <f t="shared" si="0"/>
        <v>1143371.1189999999</v>
      </c>
      <c r="K17" s="220">
        <f>CBU!I16/1000</f>
        <v>602972.62699999998</v>
      </c>
      <c r="L17" s="222">
        <v>0.2</v>
      </c>
      <c r="M17" s="218">
        <v>0</v>
      </c>
      <c r="N17" s="218"/>
      <c r="O17" s="218">
        <v>0</v>
      </c>
      <c r="P17" s="220">
        <f>(CBU!N16/1000)+'Anexo A'!K17</f>
        <v>671651.01799999992</v>
      </c>
      <c r="Q17" s="220">
        <f t="shared" si="1"/>
        <v>471720.10100000002</v>
      </c>
      <c r="R17" s="272"/>
    </row>
    <row r="18" spans="1:18" ht="16">
      <c r="B18" s="271"/>
      <c r="C18" s="258"/>
      <c r="D18" s="266" t="s">
        <v>255</v>
      </c>
      <c r="E18" s="220">
        <f>CBU!B18/1000</f>
        <v>348414.625</v>
      </c>
      <c r="F18" s="220">
        <f>CBU!C18/1000</f>
        <v>6198.6360000000004</v>
      </c>
      <c r="G18" s="220">
        <f>+CBU!E18/1000</f>
        <v>-3090.9090000000001</v>
      </c>
      <c r="H18" s="220">
        <f>CBU!F18/1000</f>
        <v>6729.4409999999998</v>
      </c>
      <c r="I18" s="220">
        <f>+CBU!G18/1000</f>
        <v>0</v>
      </c>
      <c r="J18" s="220">
        <f t="shared" si="0"/>
        <v>358251.79300000001</v>
      </c>
      <c r="K18" s="220">
        <f>CBU!I18/1000</f>
        <v>108941.26700000001</v>
      </c>
      <c r="L18" s="222">
        <v>0.2</v>
      </c>
      <c r="M18" s="218">
        <v>0</v>
      </c>
      <c r="N18" s="218"/>
      <c r="O18" s="218">
        <v>0</v>
      </c>
      <c r="P18" s="220">
        <f>(CBU!N18/1000)+'Anexo A'!K18</f>
        <v>139882.783</v>
      </c>
      <c r="Q18" s="220">
        <f t="shared" si="1"/>
        <v>218369.01</v>
      </c>
      <c r="R18" s="272"/>
    </row>
    <row r="19" spans="1:18" ht="16">
      <c r="B19" s="271"/>
      <c r="C19" s="258"/>
      <c r="D19" s="266" t="s">
        <v>728</v>
      </c>
      <c r="E19" s="220">
        <f>CBU!B19/1000</f>
        <v>83110.930999999997</v>
      </c>
      <c r="F19" s="220">
        <f>CBU!C19/1000</f>
        <v>2636.364</v>
      </c>
      <c r="G19" s="220">
        <f>+CBU!E19/1000</f>
        <v>-2636.364</v>
      </c>
      <c r="H19" s="220">
        <f>CBU!F19/1000</f>
        <v>2033.72</v>
      </c>
      <c r="I19" s="220">
        <f>+CBU!G17/1000</f>
        <v>0</v>
      </c>
      <c r="J19" s="220">
        <f t="shared" si="0"/>
        <v>85144.650999999998</v>
      </c>
      <c r="K19" s="220">
        <f>CBU!I19/1000</f>
        <v>10739.128000000001</v>
      </c>
      <c r="L19" s="222">
        <v>0.2</v>
      </c>
      <c r="M19" s="218">
        <v>0</v>
      </c>
      <c r="N19" s="218"/>
      <c r="O19" s="218">
        <v>0</v>
      </c>
      <c r="P19" s="220">
        <f>(+CBU!N19/1000)+K19</f>
        <v>19291.734</v>
      </c>
      <c r="Q19" s="220">
        <f t="shared" si="1"/>
        <v>65852.917000000001</v>
      </c>
      <c r="R19" s="272"/>
    </row>
    <row r="20" spans="1:18" ht="16">
      <c r="B20" s="271"/>
      <c r="C20" s="258"/>
      <c r="D20" s="266" t="s">
        <v>727</v>
      </c>
      <c r="E20" s="220">
        <f>CBU!B21/1000</f>
        <v>509054.08399999997</v>
      </c>
      <c r="F20" s="220">
        <f>CBU!C21/1000</f>
        <v>15431.817999999999</v>
      </c>
      <c r="G20" s="220">
        <f>+CBU!E21/1000</f>
        <v>0</v>
      </c>
      <c r="H20" s="220">
        <f>CBU!F21/1000</f>
        <v>2283.962</v>
      </c>
      <c r="I20" s="220">
        <v>0</v>
      </c>
      <c r="J20" s="220">
        <f t="shared" si="0"/>
        <v>526769.86399999994</v>
      </c>
      <c r="K20" s="220">
        <f>CBU!I21/1000</f>
        <v>427777.19400000002</v>
      </c>
      <c r="L20" s="222">
        <v>2.5000000000000001E-2</v>
      </c>
      <c r="M20" s="218">
        <v>0</v>
      </c>
      <c r="N20" s="218"/>
      <c r="O20" s="218">
        <v>0</v>
      </c>
      <c r="P20" s="220">
        <f>(CBU!N21/1000)+'Anexo A'!K20</f>
        <v>447250.65400000004</v>
      </c>
      <c r="Q20" s="220">
        <f t="shared" si="1"/>
        <v>79519.209999999905</v>
      </c>
      <c r="R20" s="272"/>
    </row>
    <row r="21" spans="1:18" ht="16">
      <c r="B21" s="271"/>
      <c r="C21" s="258"/>
      <c r="D21" s="266" t="s">
        <v>730</v>
      </c>
      <c r="E21" s="220">
        <f>CBU!B15/1000</f>
        <v>626971.79299999995</v>
      </c>
      <c r="F21" s="220">
        <f>+CBU!C15/1000</f>
        <v>111822.97500000001</v>
      </c>
      <c r="G21" s="220">
        <f>+CBU!E15/1000</f>
        <v>-5071.9269999999997</v>
      </c>
      <c r="H21" s="220">
        <f>CBU!F15/1000</f>
        <v>10970.911</v>
      </c>
      <c r="I21" s="220">
        <f>+CBU!G19/1000</f>
        <v>0</v>
      </c>
      <c r="J21" s="220">
        <f t="shared" si="0"/>
        <v>744693.75199999986</v>
      </c>
      <c r="K21" s="220">
        <f>CBU!I15/1000</f>
        <v>236561.52299999999</v>
      </c>
      <c r="L21" s="222">
        <v>0.1</v>
      </c>
      <c r="M21" s="218">
        <v>0</v>
      </c>
      <c r="N21" s="218"/>
      <c r="O21" s="218">
        <v>0</v>
      </c>
      <c r="P21" s="220">
        <f>(CBU!N15/1000)+'Anexo A'!K21</f>
        <v>346392.53899999999</v>
      </c>
      <c r="Q21" s="220">
        <f t="shared" si="1"/>
        <v>398301.21299999987</v>
      </c>
      <c r="R21" s="272"/>
    </row>
    <row r="22" spans="1:18" ht="16">
      <c r="B22" s="271"/>
      <c r="C22" s="258"/>
      <c r="D22" s="266" t="s">
        <v>724</v>
      </c>
      <c r="E22" s="220">
        <f>CBU!B17/1000</f>
        <v>255804.33199999999</v>
      </c>
      <c r="F22" s="220">
        <f>CBU!C17/1000</f>
        <v>60704.392999999996</v>
      </c>
      <c r="G22" s="220">
        <f>+CBU!E17/1000</f>
        <v>-1395.097</v>
      </c>
      <c r="H22" s="220">
        <f>CBU!F17/1000</f>
        <v>2995.299</v>
      </c>
      <c r="I22" s="220">
        <f>+CBU!G20/1000</f>
        <v>0</v>
      </c>
      <c r="J22" s="220">
        <f t="shared" si="0"/>
        <v>318108.92699999997</v>
      </c>
      <c r="K22" s="220">
        <f>CBU!I17/1000</f>
        <v>149213.85200000001</v>
      </c>
      <c r="L22" s="222">
        <v>2.5000000000000001E-2</v>
      </c>
      <c r="M22" s="218">
        <v>0</v>
      </c>
      <c r="N22" s="218"/>
      <c r="O22" s="218">
        <v>0</v>
      </c>
      <c r="P22" s="220">
        <f>(CBU!N17/1000)+'Anexo A'!K22</f>
        <v>187653.891</v>
      </c>
      <c r="Q22" s="220">
        <f t="shared" si="1"/>
        <v>130455.03599999996</v>
      </c>
      <c r="R22" s="272"/>
    </row>
    <row r="23" spans="1:18" ht="16" hidden="1">
      <c r="B23" s="271"/>
      <c r="C23" s="258"/>
      <c r="D23" s="266" t="s">
        <v>726</v>
      </c>
      <c r="E23" s="218">
        <f>CBU!B11/1000</f>
        <v>0</v>
      </c>
      <c r="F23" s="218">
        <f>+CBU!C11/1000</f>
        <v>0</v>
      </c>
      <c r="G23" s="218">
        <f>(CBU!D11+CBU!E11)/1000</f>
        <v>0</v>
      </c>
      <c r="H23" s="218">
        <f>CBU!F11/1000</f>
        <v>0</v>
      </c>
      <c r="I23" s="218">
        <f>+CBU!G21/1000</f>
        <v>0</v>
      </c>
      <c r="J23" s="218">
        <f t="shared" si="0"/>
        <v>0</v>
      </c>
      <c r="K23" s="218">
        <f>+K48/1000</f>
        <v>0</v>
      </c>
      <c r="L23" s="218">
        <v>2.5000000000000001E-2</v>
      </c>
      <c r="M23" s="218">
        <v>0</v>
      </c>
      <c r="N23" s="218"/>
      <c r="O23" s="218">
        <v>0</v>
      </c>
      <c r="P23" s="220">
        <f>+M23+N23+O23+K23</f>
        <v>0</v>
      </c>
      <c r="Q23" s="220">
        <f t="shared" si="1"/>
        <v>0</v>
      </c>
      <c r="R23" s="272"/>
    </row>
    <row r="24" spans="1:18" s="3" customFormat="1" ht="16">
      <c r="A24" s="90"/>
      <c r="B24" s="295"/>
      <c r="C24" s="261"/>
      <c r="D24" s="217" t="s">
        <v>419</v>
      </c>
      <c r="E24" s="221">
        <f>SUM(E14:E23)</f>
        <v>32684986.658000004</v>
      </c>
      <c r="F24" s="221">
        <f t="shared" ref="F24:J24" si="2">SUM(F14:F23)</f>
        <v>1746829.6469999999</v>
      </c>
      <c r="G24" s="221">
        <f t="shared" si="2"/>
        <v>-5269.0039999999999</v>
      </c>
      <c r="H24" s="221">
        <f t="shared" si="2"/>
        <v>479440.10399999993</v>
      </c>
      <c r="I24" s="221">
        <f t="shared" si="2"/>
        <v>0</v>
      </c>
      <c r="J24" s="221">
        <f t="shared" si="2"/>
        <v>34905987.404999994</v>
      </c>
      <c r="K24" s="221">
        <f>+P25</f>
        <v>3104921.7949999999</v>
      </c>
      <c r="L24" s="539">
        <v>0</v>
      </c>
      <c r="M24" s="219">
        <f>SUM(M18:M23)</f>
        <v>0</v>
      </c>
      <c r="N24" s="219">
        <f>SUM(N18:N23)</f>
        <v>0</v>
      </c>
      <c r="O24" s="219">
        <f>SUM(O18:O23)</f>
        <v>0</v>
      </c>
      <c r="P24" s="221">
        <f>SUM(P14:P23)</f>
        <v>3700739.2369999997</v>
      </c>
      <c r="Q24" s="221">
        <f>SUM(Q14:Q23)</f>
        <v>31205248.168000001</v>
      </c>
      <c r="R24" s="296"/>
    </row>
    <row r="25" spans="1:18" s="3" customFormat="1" ht="16">
      <c r="A25" s="90"/>
      <c r="B25" s="295"/>
      <c r="C25" s="261"/>
      <c r="D25" s="217" t="s">
        <v>420</v>
      </c>
      <c r="E25" s="221">
        <v>31711175.577</v>
      </c>
      <c r="F25" s="221">
        <v>361191.772</v>
      </c>
      <c r="G25" s="221">
        <v>69541.813999999998</v>
      </c>
      <c r="H25" s="221">
        <v>543077.48900000018</v>
      </c>
      <c r="I25" s="221">
        <v>0</v>
      </c>
      <c r="J25" s="221">
        <v>32684986.652000003</v>
      </c>
      <c r="K25" s="221">
        <v>2524516.702</v>
      </c>
      <c r="L25" s="539">
        <v>0</v>
      </c>
      <c r="M25" s="219">
        <v>0</v>
      </c>
      <c r="N25" s="219">
        <v>0</v>
      </c>
      <c r="O25" s="219">
        <v>0</v>
      </c>
      <c r="P25" s="221">
        <v>3104921.7949999999</v>
      </c>
      <c r="Q25" s="221">
        <v>29580064.857000001</v>
      </c>
      <c r="R25" s="296"/>
    </row>
    <row r="26" spans="1:18" ht="16">
      <c r="B26" s="271"/>
      <c r="C26" s="258"/>
      <c r="D26" s="167"/>
      <c r="E26" s="167"/>
      <c r="F26" s="167"/>
      <c r="G26" s="167"/>
      <c r="H26" s="167"/>
      <c r="I26" s="167"/>
      <c r="J26" s="167"/>
      <c r="K26" s="167"/>
      <c r="L26" s="167"/>
      <c r="M26" s="167"/>
      <c r="N26" s="167"/>
      <c r="O26" s="167"/>
      <c r="P26" s="167"/>
      <c r="Q26" s="167"/>
      <c r="R26" s="272"/>
    </row>
    <row r="27" spans="1:18" ht="16">
      <c r="B27" s="271"/>
      <c r="C27" s="258"/>
      <c r="D27" s="167" t="s">
        <v>1700</v>
      </c>
      <c r="E27" s="167"/>
      <c r="F27" s="167"/>
      <c r="G27" s="167"/>
      <c r="H27" s="167"/>
      <c r="I27" s="167"/>
      <c r="J27" s="167"/>
      <c r="K27" s="167"/>
      <c r="L27" s="167"/>
      <c r="M27" s="167"/>
      <c r="N27" s="167"/>
      <c r="O27" s="167"/>
      <c r="P27" s="167"/>
      <c r="Q27" s="167"/>
      <c r="R27" s="272"/>
    </row>
    <row r="28" spans="1:18" ht="16">
      <c r="B28" s="271"/>
      <c r="C28" s="258"/>
      <c r="D28" s="167" t="s">
        <v>1539</v>
      </c>
      <c r="E28" s="167"/>
      <c r="F28" s="167"/>
      <c r="G28" s="167"/>
      <c r="H28" s="167"/>
      <c r="I28" s="167"/>
      <c r="J28" s="167"/>
      <c r="K28" s="167"/>
      <c r="L28" s="167"/>
      <c r="M28" s="167"/>
      <c r="N28" s="167"/>
      <c r="O28" s="167"/>
      <c r="P28" s="167"/>
      <c r="Q28" s="167"/>
      <c r="R28" s="272"/>
    </row>
    <row r="29" spans="1:18" ht="16">
      <c r="B29" s="271"/>
      <c r="C29" s="258"/>
      <c r="D29" s="167"/>
      <c r="E29" s="167"/>
      <c r="F29" s="167"/>
      <c r="G29" s="167"/>
      <c r="H29" s="167"/>
      <c r="I29" s="167"/>
      <c r="J29" s="167"/>
      <c r="K29" s="167"/>
      <c r="L29" s="167"/>
      <c r="M29" s="167"/>
      <c r="N29" s="167"/>
      <c r="O29" s="167"/>
      <c r="P29" s="167"/>
      <c r="Q29" s="167"/>
      <c r="R29" s="272"/>
    </row>
    <row r="30" spans="1:18" ht="16">
      <c r="B30" s="271"/>
      <c r="C30" s="258"/>
      <c r="D30" s="167" t="s">
        <v>1533</v>
      </c>
      <c r="E30" s="167"/>
      <c r="F30" s="167"/>
      <c r="G30" s="167"/>
      <c r="H30" s="167"/>
      <c r="I30" s="167"/>
      <c r="J30" s="167"/>
      <c r="K30" s="167"/>
      <c r="L30" s="167"/>
      <c r="M30" s="167"/>
      <c r="N30" s="167"/>
      <c r="O30" s="167"/>
      <c r="P30" s="167"/>
      <c r="Q30" s="167"/>
      <c r="R30" s="272"/>
    </row>
    <row r="31" spans="1:18" ht="16">
      <c r="B31" s="271"/>
      <c r="C31" s="258"/>
      <c r="D31" s="167" t="s">
        <v>1534</v>
      </c>
      <c r="E31" s="167"/>
      <c r="F31" s="167"/>
      <c r="G31" s="167"/>
      <c r="H31" s="167"/>
      <c r="I31" s="167"/>
      <c r="J31" s="167"/>
      <c r="K31" s="167"/>
      <c r="L31" s="167"/>
      <c r="M31" s="167"/>
      <c r="N31" s="167"/>
      <c r="O31" s="167"/>
      <c r="P31" s="167"/>
      <c r="Q31" s="167"/>
      <c r="R31" s="272"/>
    </row>
    <row r="32" spans="1:18" ht="16">
      <c r="B32" s="271"/>
      <c r="C32" s="258"/>
      <c r="D32" s="167" t="s">
        <v>1535</v>
      </c>
      <c r="E32" s="167"/>
      <c r="F32" s="167"/>
      <c r="G32" s="167"/>
      <c r="H32" s="167"/>
      <c r="I32" s="167"/>
      <c r="J32" s="167"/>
      <c r="K32" s="167"/>
      <c r="L32" s="167"/>
      <c r="M32" s="167"/>
      <c r="N32" s="167"/>
      <c r="O32" s="167"/>
      <c r="P32" s="167"/>
      <c r="Q32" s="167"/>
      <c r="R32" s="272"/>
    </row>
    <row r="33" spans="2:18" ht="16">
      <c r="B33" s="271"/>
      <c r="C33" s="258"/>
      <c r="D33" s="167" t="s">
        <v>1536</v>
      </c>
      <c r="E33" s="167"/>
      <c r="F33" s="167"/>
      <c r="G33" s="167"/>
      <c r="H33" s="167"/>
      <c r="I33" s="167"/>
      <c r="J33" s="167"/>
      <c r="K33" s="167"/>
      <c r="L33" s="167"/>
      <c r="M33" s="167"/>
      <c r="N33" s="167"/>
      <c r="O33" s="167"/>
      <c r="P33" s="167"/>
      <c r="Q33" s="167"/>
      <c r="R33" s="272"/>
    </row>
    <row r="34" spans="2:18" ht="16">
      <c r="B34" s="271"/>
      <c r="C34" s="258"/>
      <c r="D34" s="167" t="s">
        <v>1537</v>
      </c>
      <c r="E34" s="167"/>
      <c r="F34" s="167"/>
      <c r="G34" s="167"/>
      <c r="H34" s="167"/>
      <c r="I34" s="167"/>
      <c r="J34" s="167"/>
      <c r="K34" s="167"/>
      <c r="L34" s="167"/>
      <c r="M34" s="167"/>
      <c r="N34" s="167"/>
      <c r="O34" s="167"/>
      <c r="P34" s="167"/>
      <c r="Q34" s="167"/>
      <c r="R34" s="272"/>
    </row>
    <row r="35" spans="2:18" ht="16">
      <c r="B35" s="271"/>
      <c r="C35" s="258"/>
      <c r="D35" s="167" t="s">
        <v>1538</v>
      </c>
      <c r="E35" s="167"/>
      <c r="F35" s="167"/>
      <c r="G35" s="167"/>
      <c r="H35" s="167"/>
      <c r="I35" s="167"/>
      <c r="J35" s="167"/>
      <c r="K35" s="167"/>
      <c r="L35" s="167"/>
      <c r="M35" s="167"/>
      <c r="N35" s="167"/>
      <c r="O35" s="167"/>
      <c r="P35" s="167"/>
      <c r="Q35" s="167"/>
      <c r="R35" s="272"/>
    </row>
    <row r="36" spans="2:18" ht="16">
      <c r="B36" s="271"/>
      <c r="C36" s="258"/>
      <c r="D36" s="167" t="s">
        <v>4050</v>
      </c>
      <c r="E36" s="167"/>
      <c r="F36" s="167"/>
      <c r="G36" s="167"/>
      <c r="H36" s="167"/>
      <c r="I36" s="167"/>
      <c r="J36" s="167"/>
      <c r="K36" s="167"/>
      <c r="L36" s="167"/>
      <c r="M36" s="167"/>
      <c r="N36" s="167"/>
      <c r="O36" s="167"/>
      <c r="P36" s="167"/>
      <c r="Q36" s="167"/>
      <c r="R36" s="272"/>
    </row>
    <row r="37" spans="2:18" ht="17" thickBot="1">
      <c r="B37" s="292"/>
      <c r="C37" s="325"/>
      <c r="D37" s="280"/>
      <c r="E37" s="280"/>
      <c r="F37" s="280"/>
      <c r="G37" s="280"/>
      <c r="H37" s="280"/>
      <c r="I37" s="280"/>
      <c r="J37" s="280"/>
      <c r="K37" s="280"/>
      <c r="L37" s="280"/>
      <c r="M37" s="280"/>
      <c r="N37" s="280"/>
      <c r="O37" s="280"/>
      <c r="P37" s="280"/>
      <c r="Q37" s="280"/>
      <c r="R37" s="293"/>
    </row>
    <row r="38" spans="2:18" ht="14" thickTop="1"/>
  </sheetData>
  <mergeCells count="8">
    <mergeCell ref="D8:Q8"/>
    <mergeCell ref="D3:Q3"/>
    <mergeCell ref="E12:J12"/>
    <mergeCell ref="K12:P12"/>
    <mergeCell ref="Q12:Q13"/>
    <mergeCell ref="D12:D13"/>
    <mergeCell ref="D10:Q10"/>
    <mergeCell ref="D6:Q6"/>
  </mergeCells>
  <phoneticPr fontId="4" type="noConversion"/>
  <pageMargins left="0.94488188976377963" right="0.19685039370078741" top="0.98425196850393704" bottom="0" header="0.11811023622047245" footer="0"/>
  <pageSetup paperSize="9" scale="80" orientation="landscape" r:id="rId1"/>
  <headerFooter>
    <oddHeader>&amp;L
&amp;G</oddHeader>
  </headerFooter>
  <ignoredErrors>
    <ignoredError sqref="P15" formula="1"/>
  </ignoredError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8"/>
  <sheetViews>
    <sheetView showGridLines="0" zoomScaleNormal="100" zoomScaleSheetLayoutView="115" workbookViewId="0">
      <selection activeCell="Q18" sqref="Q18"/>
    </sheetView>
  </sheetViews>
  <sheetFormatPr baseColWidth="10" defaultColWidth="11.5" defaultRowHeight="13"/>
  <cols>
    <col min="1" max="1" width="11.5" style="254"/>
    <col min="2" max="2" width="5.5" style="39" customWidth="1"/>
    <col min="3" max="3" width="30.1640625" style="39" customWidth="1"/>
    <col min="4" max="4" width="12.6640625" style="39" bestFit="1" customWidth="1"/>
    <col min="5" max="5" width="11.5" style="39"/>
    <col min="6" max="6" width="12.1640625" style="39" customWidth="1"/>
    <col min="7" max="7" width="12.6640625" style="39" bestFit="1" customWidth="1"/>
    <col min="8" max="8" width="12" style="39" customWidth="1"/>
    <col min="9" max="9" width="11.5" style="39"/>
    <col min="10" max="10" width="8.83203125" style="39" hidden="1" customWidth="1"/>
    <col min="11" max="11" width="15" style="39" customWidth="1"/>
    <col min="12" max="12" width="12.5" style="39" customWidth="1"/>
    <col min="13" max="13" width="7" style="39" customWidth="1"/>
    <col min="14" max="16384" width="11.5" style="39"/>
  </cols>
  <sheetData>
    <row r="1" spans="2:14" ht="14" thickBot="1"/>
    <row r="2" spans="2:14" ht="14" thickTop="1">
      <c r="B2" s="268"/>
      <c r="C2" s="269"/>
      <c r="D2" s="269"/>
      <c r="E2" s="269"/>
      <c r="F2" s="269"/>
      <c r="G2" s="269"/>
      <c r="H2" s="269"/>
      <c r="I2" s="269"/>
      <c r="J2" s="269"/>
      <c r="K2" s="269"/>
      <c r="L2" s="269"/>
      <c r="M2" s="270"/>
    </row>
    <row r="3" spans="2:14" ht="16">
      <c r="B3" s="271"/>
      <c r="C3" s="383" t="s">
        <v>723</v>
      </c>
      <c r="D3" s="383"/>
      <c r="E3" s="383"/>
      <c r="F3" s="383"/>
      <c r="G3" s="383"/>
      <c r="H3" s="383"/>
      <c r="I3" s="383"/>
      <c r="J3" s="383"/>
      <c r="K3" s="383"/>
      <c r="L3" s="383"/>
      <c r="M3" s="272"/>
    </row>
    <row r="4" spans="2:14" ht="16">
      <c r="B4" s="271"/>
      <c r="C4" s="167"/>
      <c r="D4" s="167"/>
      <c r="E4" s="167"/>
      <c r="F4" s="167"/>
      <c r="G4" s="167"/>
      <c r="H4" s="167"/>
      <c r="I4" s="167"/>
      <c r="J4" s="167"/>
      <c r="K4" s="167"/>
      <c r="L4" s="163" t="s">
        <v>294</v>
      </c>
      <c r="M4" s="272"/>
    </row>
    <row r="5" spans="2:14" ht="16.5" customHeight="1">
      <c r="B5" s="271"/>
      <c r="C5" s="383" t="s">
        <v>4051</v>
      </c>
      <c r="D5" s="383"/>
      <c r="E5" s="383"/>
      <c r="F5" s="383"/>
      <c r="G5" s="383"/>
      <c r="H5" s="383"/>
      <c r="I5" s="383"/>
      <c r="J5" s="383"/>
      <c r="K5" s="383"/>
      <c r="L5" s="383"/>
      <c r="M5" s="272"/>
    </row>
    <row r="6" spans="2:14" ht="16">
      <c r="B6" s="271"/>
      <c r="C6" s="167"/>
      <c r="D6" s="167"/>
      <c r="E6" s="167"/>
      <c r="F6" s="167"/>
      <c r="G6" s="167"/>
      <c r="H6" s="167"/>
      <c r="I6" s="167"/>
      <c r="J6" s="167"/>
      <c r="K6" s="167"/>
      <c r="L6" s="167"/>
      <c r="M6" s="272"/>
    </row>
    <row r="7" spans="2:14" ht="16">
      <c r="B7" s="271"/>
      <c r="C7" s="384" t="s">
        <v>387</v>
      </c>
      <c r="D7" s="384"/>
      <c r="E7" s="384"/>
      <c r="F7" s="384"/>
      <c r="G7" s="384"/>
      <c r="H7" s="384"/>
      <c r="I7" s="384"/>
      <c r="J7" s="384"/>
      <c r="K7" s="384"/>
      <c r="L7" s="384"/>
      <c r="M7" s="272"/>
    </row>
    <row r="8" spans="2:14" ht="16">
      <c r="B8" s="271"/>
      <c r="C8" s="167"/>
      <c r="D8" s="167"/>
      <c r="E8" s="167"/>
      <c r="F8" s="167"/>
      <c r="G8" s="167"/>
      <c r="H8" s="167"/>
      <c r="I8" s="167"/>
      <c r="J8" s="167"/>
      <c r="K8" s="167"/>
      <c r="L8" s="167"/>
      <c r="M8" s="272"/>
    </row>
    <row r="9" spans="2:14" ht="16">
      <c r="B9" s="271"/>
      <c r="C9" s="383" t="s">
        <v>416</v>
      </c>
      <c r="D9" s="383"/>
      <c r="E9" s="383"/>
      <c r="F9" s="383"/>
      <c r="G9" s="383"/>
      <c r="H9" s="383"/>
      <c r="I9" s="383"/>
      <c r="J9" s="383"/>
      <c r="K9" s="383"/>
      <c r="L9" s="383"/>
      <c r="M9" s="272"/>
      <c r="N9" s="22" t="s">
        <v>4052</v>
      </c>
    </row>
    <row r="10" spans="2:14" ht="16">
      <c r="B10" s="271"/>
      <c r="C10" s="167"/>
      <c r="D10" s="167"/>
      <c r="E10" s="167"/>
      <c r="F10" s="167"/>
      <c r="G10" s="167"/>
      <c r="H10" s="167"/>
      <c r="I10" s="167"/>
      <c r="J10" s="167"/>
      <c r="K10" s="167"/>
      <c r="L10" s="167"/>
      <c r="M10" s="272"/>
      <c r="N10" s="22"/>
    </row>
    <row r="11" spans="2:14" ht="16">
      <c r="B11" s="271"/>
      <c r="C11" s="433" t="s">
        <v>195</v>
      </c>
      <c r="D11" s="434" t="s">
        <v>196</v>
      </c>
      <c r="E11" s="434"/>
      <c r="F11" s="434"/>
      <c r="G11" s="434"/>
      <c r="H11" s="434" t="s">
        <v>207</v>
      </c>
      <c r="I11" s="434"/>
      <c r="J11" s="434"/>
      <c r="K11" s="434"/>
      <c r="L11" s="434" t="s">
        <v>206</v>
      </c>
      <c r="M11" s="272"/>
      <c r="N11" s="22"/>
    </row>
    <row r="12" spans="2:14" ht="51">
      <c r="B12" s="271"/>
      <c r="C12" s="433"/>
      <c r="D12" s="260" t="s">
        <v>197</v>
      </c>
      <c r="E12" s="260" t="s">
        <v>423</v>
      </c>
      <c r="F12" s="260" t="s">
        <v>424</v>
      </c>
      <c r="G12" s="260" t="s">
        <v>201</v>
      </c>
      <c r="H12" s="260" t="s">
        <v>202</v>
      </c>
      <c r="I12" s="260" t="s">
        <v>425</v>
      </c>
      <c r="J12" s="260" t="s">
        <v>426</v>
      </c>
      <c r="K12" s="260" t="s">
        <v>205</v>
      </c>
      <c r="L12" s="434"/>
      <c r="M12" s="272"/>
      <c r="N12" s="22"/>
    </row>
    <row r="13" spans="2:14" ht="16">
      <c r="B13" s="271"/>
      <c r="C13" s="266" t="s">
        <v>4800</v>
      </c>
      <c r="D13" s="218">
        <f>+ROUND(CBU!B25/1000,0)</f>
        <v>325160</v>
      </c>
      <c r="E13" s="218">
        <f>(CBU!C25+CBU!E25)/1000</f>
        <v>13392.214</v>
      </c>
      <c r="F13" s="218">
        <v>0</v>
      </c>
      <c r="G13" s="218">
        <f>+D13+E13-F13</f>
        <v>338552.21399999998</v>
      </c>
      <c r="H13" s="218">
        <f>+CBU!I25/1000</f>
        <v>217620.98199999999</v>
      </c>
      <c r="I13" s="218">
        <f>+CBU!N25/1000</f>
        <v>34727.972750000001</v>
      </c>
      <c r="J13" s="218">
        <v>0</v>
      </c>
      <c r="K13" s="218">
        <f>H13+I13</f>
        <v>252348.95474999998</v>
      </c>
      <c r="L13" s="218">
        <f>+G13-K13</f>
        <v>86203.259250000003</v>
      </c>
      <c r="M13" s="272"/>
      <c r="N13" s="22">
        <f>+CBU!Q25/1000</f>
        <v>86203.672000000006</v>
      </c>
    </row>
    <row r="14" spans="2:14" ht="16">
      <c r="B14" s="271"/>
      <c r="C14" s="266" t="s">
        <v>1061</v>
      </c>
      <c r="D14" s="218">
        <f>+ROUND(CBU!B26/1000,0)</f>
        <v>7091</v>
      </c>
      <c r="E14" s="218">
        <f>+CBU!C26/1000</f>
        <v>700</v>
      </c>
      <c r="F14" s="218">
        <v>0</v>
      </c>
      <c r="G14" s="218">
        <f>+D14+E14-F14</f>
        <v>7791</v>
      </c>
      <c r="H14" s="218">
        <f>+CBU!I26/1000</f>
        <v>0</v>
      </c>
      <c r="I14" s="218">
        <f>+CBU!N26/1000</f>
        <v>1772.7272499999999</v>
      </c>
      <c r="J14" s="218">
        <v>0</v>
      </c>
      <c r="K14" s="218">
        <f>H14+I14</f>
        <v>1772.7272499999999</v>
      </c>
      <c r="L14" s="218">
        <f>+G14-K14</f>
        <v>6018.2727500000001</v>
      </c>
      <c r="M14" s="272"/>
      <c r="N14" s="22"/>
    </row>
    <row r="15" spans="2:14" ht="16">
      <c r="B15" s="271"/>
      <c r="C15" s="217" t="s">
        <v>421</v>
      </c>
      <c r="D15" s="219">
        <f>+D13+D14</f>
        <v>332251</v>
      </c>
      <c r="E15" s="219">
        <f>+E13+E14</f>
        <v>14092.214</v>
      </c>
      <c r="F15" s="219">
        <f t="shared" ref="F15:L15" si="0">+F13+F14</f>
        <v>0</v>
      </c>
      <c r="G15" s="219">
        <f t="shared" si="0"/>
        <v>346343.21399999998</v>
      </c>
      <c r="H15" s="219">
        <f t="shared" si="0"/>
        <v>217620.98199999999</v>
      </c>
      <c r="I15" s="219">
        <f t="shared" si="0"/>
        <v>36500.699999999997</v>
      </c>
      <c r="J15" s="219">
        <f t="shared" si="0"/>
        <v>0</v>
      </c>
      <c r="K15" s="219">
        <f t="shared" si="0"/>
        <v>254121.68199999997</v>
      </c>
      <c r="L15" s="219">
        <f t="shared" si="0"/>
        <v>92221.532000000007</v>
      </c>
      <c r="M15" s="272"/>
      <c r="N15" s="16">
        <f>+L15-BG!E26</f>
        <v>-0.46799999999348074</v>
      </c>
    </row>
    <row r="16" spans="2:14" ht="16">
      <c r="B16" s="271"/>
      <c r="C16" s="217" t="s">
        <v>422</v>
      </c>
      <c r="D16" s="219">
        <v>293840.15100000001</v>
      </c>
      <c r="E16" s="219">
        <v>38411.171000000002</v>
      </c>
      <c r="F16" s="219">
        <v>0</v>
      </c>
      <c r="G16" s="219">
        <v>332251.32199999999</v>
      </c>
      <c r="H16" s="219">
        <v>190143.52600000001</v>
      </c>
      <c r="I16" s="219">
        <v>27477.455999999998</v>
      </c>
      <c r="J16" s="219">
        <v>0</v>
      </c>
      <c r="K16" s="219">
        <v>217620.98200000002</v>
      </c>
      <c r="L16" s="219">
        <v>114630.33999999998</v>
      </c>
      <c r="M16" s="272"/>
      <c r="N16" s="16">
        <f>+L16-BG!G26</f>
        <v>0</v>
      </c>
    </row>
    <row r="17" spans="1:14" ht="26.25" customHeight="1" thickBot="1">
      <c r="B17" s="292"/>
      <c r="C17" s="280"/>
      <c r="D17" s="280"/>
      <c r="E17" s="280"/>
      <c r="F17" s="280"/>
      <c r="G17" s="280"/>
      <c r="H17" s="280"/>
      <c r="I17" s="280"/>
      <c r="J17" s="280"/>
      <c r="K17" s="280"/>
      <c r="L17" s="280"/>
      <c r="M17" s="293"/>
      <c r="N17" s="22"/>
    </row>
    <row r="18" spans="1:14" ht="26.25" customHeight="1" thickTop="1"/>
    <row r="19" spans="1:14" s="9" customFormat="1" ht="26.25" customHeight="1">
      <c r="A19" s="258"/>
      <c r="C19"/>
      <c r="D19"/>
      <c r="E19"/>
      <c r="F19"/>
      <c r="G19"/>
      <c r="H19"/>
      <c r="I19"/>
      <c r="J19"/>
      <c r="K19"/>
      <c r="L19"/>
      <c r="M19"/>
    </row>
    <row r="20" spans="1:14">
      <c r="C20"/>
      <c r="D20"/>
      <c r="E20"/>
      <c r="F20"/>
      <c r="G20"/>
      <c r="H20"/>
      <c r="I20"/>
      <c r="J20"/>
      <c r="K20"/>
      <c r="L20"/>
      <c r="M20"/>
    </row>
    <row r="21" spans="1:14">
      <c r="C21"/>
      <c r="D21"/>
      <c r="E21"/>
      <c r="F21"/>
      <c r="G21"/>
      <c r="H21"/>
      <c r="I21"/>
      <c r="J21"/>
      <c r="K21"/>
      <c r="L21"/>
      <c r="M21"/>
    </row>
    <row r="22" spans="1:14">
      <c r="C22"/>
      <c r="D22"/>
      <c r="E22"/>
      <c r="F22"/>
      <c r="G22"/>
      <c r="H22"/>
      <c r="I22"/>
      <c r="J22"/>
      <c r="K22"/>
      <c r="L22"/>
      <c r="M22"/>
    </row>
    <row r="23" spans="1:14">
      <c r="C23"/>
      <c r="D23"/>
      <c r="E23"/>
      <c r="F23"/>
      <c r="G23"/>
      <c r="H23"/>
      <c r="I23"/>
      <c r="J23"/>
      <c r="K23"/>
      <c r="L23"/>
      <c r="M23"/>
    </row>
    <row r="24" spans="1:14">
      <c r="C24"/>
      <c r="D24"/>
      <c r="E24"/>
      <c r="F24"/>
      <c r="G24"/>
      <c r="H24"/>
      <c r="I24"/>
      <c r="J24"/>
      <c r="K24"/>
      <c r="L24"/>
      <c r="M24"/>
    </row>
    <row r="25" spans="1:14">
      <c r="C25"/>
      <c r="D25"/>
      <c r="E25"/>
      <c r="F25"/>
      <c r="G25"/>
      <c r="H25"/>
      <c r="I25"/>
      <c r="J25"/>
      <c r="K25"/>
      <c r="L25"/>
      <c r="M25"/>
    </row>
    <row r="26" spans="1:14">
      <c r="C26"/>
      <c r="D26"/>
      <c r="E26"/>
      <c r="F26"/>
      <c r="G26"/>
      <c r="H26"/>
      <c r="I26"/>
      <c r="J26"/>
      <c r="K26"/>
      <c r="L26"/>
      <c r="M26"/>
    </row>
    <row r="38" spans="13:13">
      <c r="M38" s="39">
        <v>19</v>
      </c>
    </row>
  </sheetData>
  <mergeCells count="8">
    <mergeCell ref="C3:L3"/>
    <mergeCell ref="C9:L9"/>
    <mergeCell ref="C11:C12"/>
    <mergeCell ref="D11:G11"/>
    <mergeCell ref="H11:K11"/>
    <mergeCell ref="L11:L12"/>
    <mergeCell ref="C5:L5"/>
    <mergeCell ref="C7:L7"/>
  </mergeCells>
  <phoneticPr fontId="4" type="noConversion"/>
  <printOptions horizontalCentered="1"/>
  <pageMargins left="0.94488188976377963" right="0.27559055118110237" top="0.98425196850393704" bottom="0" header="0" footer="0"/>
  <pageSetup paperSize="9" scale="90" orientation="landscape" r:id="rId1"/>
  <headerFooter>
    <oddHeader>&amp;L
&amp;G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2:S29"/>
  <sheetViews>
    <sheetView view="pageBreakPreview" topLeftCell="A7" zoomScaleSheetLayoutView="100" workbookViewId="0">
      <selection activeCell="D20" sqref="D20"/>
    </sheetView>
  </sheetViews>
  <sheetFormatPr baseColWidth="10" defaultColWidth="10.83203125" defaultRowHeight="13" outlineLevelCol="1"/>
  <cols>
    <col min="1" max="1" width="30.6640625" style="19" customWidth="1"/>
    <col min="2" max="2" width="16" style="19" customWidth="1"/>
    <col min="3" max="3" width="15.5" style="19" customWidth="1"/>
    <col min="4" max="4" width="14.6640625" style="19" customWidth="1"/>
    <col min="5" max="5" width="13.83203125" style="19" customWidth="1"/>
    <col min="6" max="7" width="14.5" style="19" customWidth="1"/>
    <col min="8" max="8" width="17.33203125" style="19" customWidth="1"/>
    <col min="9" max="9" width="16.83203125" style="19" customWidth="1"/>
    <col min="10" max="10" width="12" style="19" customWidth="1" outlineLevel="1"/>
    <col min="11" max="11" width="10.83203125" style="19" customWidth="1" outlineLevel="1"/>
    <col min="12" max="12" width="11.5" style="19" customWidth="1" outlineLevel="1"/>
    <col min="13" max="13" width="10.83203125" style="19"/>
    <col min="14" max="14" width="14.5" style="19" customWidth="1"/>
    <col min="15" max="15" width="11.5" style="19" hidden="1" customWidth="1" outlineLevel="1"/>
    <col min="16" max="16" width="17" style="19" customWidth="1" collapsed="1"/>
    <col min="17" max="17" width="17.83203125" style="19" customWidth="1"/>
    <col min="18" max="18" width="15.83203125" style="19" customWidth="1"/>
    <col min="19" max="19" width="14.5" style="19" bestFit="1" customWidth="1"/>
    <col min="20" max="16384" width="10.83203125" style="19"/>
  </cols>
  <sheetData>
    <row r="2" spans="1:19" ht="16">
      <c r="A2" s="427" t="s">
        <v>4027</v>
      </c>
      <c r="B2" s="427"/>
      <c r="C2" s="427"/>
      <c r="D2" s="427"/>
      <c r="E2" s="427"/>
      <c r="F2" s="427"/>
      <c r="G2" s="427"/>
      <c r="H2" s="427"/>
      <c r="I2" s="427"/>
      <c r="J2" s="427"/>
      <c r="K2" s="427"/>
      <c r="L2" s="427"/>
      <c r="M2" s="427"/>
      <c r="N2" s="427"/>
      <c r="O2" s="427"/>
      <c r="P2" s="427"/>
      <c r="Q2" s="427"/>
      <c r="R2" s="427"/>
    </row>
    <row r="3" spans="1:19">
      <c r="A3" s="402" t="s">
        <v>848</v>
      </c>
      <c r="B3" s="402"/>
      <c r="C3" s="402"/>
      <c r="D3" s="402"/>
      <c r="E3" s="402"/>
      <c r="F3" s="402"/>
      <c r="G3" s="402"/>
      <c r="H3" s="402"/>
      <c r="I3" s="402"/>
      <c r="J3" s="402"/>
      <c r="K3" s="402"/>
      <c r="L3" s="402"/>
      <c r="M3" s="402"/>
      <c r="N3" s="402"/>
      <c r="O3" s="402"/>
      <c r="P3" s="402"/>
      <c r="Q3" s="402"/>
      <c r="R3" s="402"/>
    </row>
    <row r="5" spans="1:19" ht="14" thickBot="1"/>
    <row r="6" spans="1:19" s="3" customFormat="1" ht="14" thickBot="1">
      <c r="A6" s="4"/>
      <c r="B6" s="21"/>
      <c r="C6" s="437" t="s">
        <v>196</v>
      </c>
      <c r="D6" s="437"/>
      <c r="E6" s="437"/>
      <c r="F6" s="437"/>
      <c r="G6" s="437"/>
      <c r="H6" s="437"/>
      <c r="I6" s="437"/>
      <c r="J6" s="437"/>
      <c r="K6" s="437"/>
      <c r="L6" s="437"/>
      <c r="M6" s="437"/>
      <c r="N6" s="437"/>
      <c r="O6" s="437"/>
      <c r="P6" s="437"/>
      <c r="Q6" s="437"/>
      <c r="R6" s="5"/>
    </row>
    <row r="7" spans="1:19" s="3" customFormat="1" ht="14" customHeight="1" thickBot="1">
      <c r="A7" s="440" t="s">
        <v>849</v>
      </c>
      <c r="B7" s="437" t="s">
        <v>850</v>
      </c>
      <c r="C7" s="437" t="s">
        <v>423</v>
      </c>
      <c r="D7" s="437" t="s">
        <v>851</v>
      </c>
      <c r="E7" s="437" t="s">
        <v>852</v>
      </c>
      <c r="F7" s="437" t="s">
        <v>226</v>
      </c>
      <c r="G7" s="437" t="s">
        <v>1023</v>
      </c>
      <c r="H7" s="437" t="s">
        <v>853</v>
      </c>
      <c r="I7" s="437" t="s">
        <v>854</v>
      </c>
      <c r="J7" s="437" t="s">
        <v>852</v>
      </c>
      <c r="K7" s="437" t="s">
        <v>855</v>
      </c>
      <c r="L7" s="443" t="s">
        <v>226</v>
      </c>
      <c r="M7" s="446" t="s">
        <v>856</v>
      </c>
      <c r="N7" s="447"/>
      <c r="O7" s="438" t="s">
        <v>857</v>
      </c>
      <c r="P7" s="448" t="s">
        <v>858</v>
      </c>
      <c r="Q7" s="448" t="s">
        <v>4049</v>
      </c>
      <c r="R7" s="448" t="s">
        <v>1097</v>
      </c>
    </row>
    <row r="8" spans="1:19" s="3" customFormat="1">
      <c r="A8" s="441"/>
      <c r="B8" s="438"/>
      <c r="C8" s="438"/>
      <c r="D8" s="438"/>
      <c r="E8" s="438" t="s">
        <v>859</v>
      </c>
      <c r="F8" s="438"/>
      <c r="G8" s="438"/>
      <c r="H8" s="438">
        <v>4930</v>
      </c>
      <c r="I8" s="438"/>
      <c r="J8" s="438"/>
      <c r="K8" s="438"/>
      <c r="L8" s="444"/>
      <c r="M8" s="408" t="s">
        <v>860</v>
      </c>
      <c r="N8" s="435" t="s">
        <v>861</v>
      </c>
      <c r="O8" s="438"/>
      <c r="P8" s="449"/>
      <c r="Q8" s="449"/>
      <c r="R8" s="449"/>
    </row>
    <row r="9" spans="1:19" s="3" customFormat="1" ht="14" thickBot="1">
      <c r="A9" s="442"/>
      <c r="B9" s="439"/>
      <c r="C9" s="439"/>
      <c r="D9" s="439"/>
      <c r="E9" s="439"/>
      <c r="F9" s="439"/>
      <c r="G9" s="439"/>
      <c r="H9" s="439"/>
      <c r="I9" s="439"/>
      <c r="J9" s="439"/>
      <c r="K9" s="439"/>
      <c r="L9" s="445"/>
      <c r="M9" s="410"/>
      <c r="N9" s="436"/>
      <c r="O9" s="438"/>
      <c r="P9" s="450"/>
      <c r="Q9" s="450"/>
      <c r="R9" s="450"/>
    </row>
    <row r="10" spans="1:19" s="3" customFormat="1">
      <c r="A10" s="6" t="s">
        <v>862</v>
      </c>
      <c r="B10" s="52"/>
      <c r="C10" s="52"/>
      <c r="D10" s="52"/>
      <c r="E10" s="52"/>
      <c r="F10" s="52"/>
      <c r="G10" s="52"/>
      <c r="H10" s="52"/>
      <c r="I10" s="52"/>
      <c r="J10" s="52"/>
      <c r="K10" s="52"/>
      <c r="L10" s="52"/>
      <c r="M10" s="52"/>
      <c r="N10" s="52"/>
      <c r="O10" s="52"/>
      <c r="P10" s="52"/>
      <c r="Q10" s="52"/>
      <c r="R10" s="53"/>
    </row>
    <row r="11" spans="1:19" ht="15" customHeight="1">
      <c r="A11" s="8" t="s">
        <v>734</v>
      </c>
      <c r="B11" s="44">
        <f>+COMPARATIVO!AH136</f>
        <v>0</v>
      </c>
      <c r="C11" s="44">
        <v>0</v>
      </c>
      <c r="D11" s="44">
        <v>0</v>
      </c>
      <c r="E11" s="44">
        <v>0</v>
      </c>
      <c r="F11" s="44">
        <v>0</v>
      </c>
      <c r="G11" s="44"/>
      <c r="H11" s="44">
        <f>SUM(B11:F11)</f>
        <v>0</v>
      </c>
      <c r="I11" s="44">
        <v>0</v>
      </c>
      <c r="J11" s="44"/>
      <c r="K11" s="44"/>
      <c r="L11" s="44"/>
      <c r="M11" s="44" t="s">
        <v>863</v>
      </c>
      <c r="N11" s="44">
        <v>0</v>
      </c>
      <c r="O11" s="44"/>
      <c r="P11" s="44">
        <f t="shared" ref="P11:P21" si="0">I11+L11+N11</f>
        <v>0</v>
      </c>
      <c r="Q11" s="44">
        <f t="shared" ref="Q11:Q20" si="1">ROUND(H11-P11,0)</f>
        <v>0</v>
      </c>
      <c r="R11" s="45">
        <f>B11-I11</f>
        <v>0</v>
      </c>
    </row>
    <row r="12" spans="1:19" ht="15" customHeight="1">
      <c r="A12" s="8" t="s">
        <v>864</v>
      </c>
      <c r="B12" s="44">
        <v>0</v>
      </c>
      <c r="C12" s="44">
        <v>0</v>
      </c>
      <c r="D12" s="44">
        <v>0</v>
      </c>
      <c r="E12" s="44">
        <v>0</v>
      </c>
      <c r="F12" s="44">
        <v>0</v>
      </c>
      <c r="G12" s="44">
        <v>0</v>
      </c>
      <c r="H12" s="44">
        <v>0</v>
      </c>
      <c r="I12" s="44">
        <v>0</v>
      </c>
      <c r="J12" s="44"/>
      <c r="K12" s="44"/>
      <c r="L12" s="44"/>
      <c r="M12" s="44"/>
      <c r="N12" s="44">
        <v>0</v>
      </c>
      <c r="O12" s="44"/>
      <c r="P12" s="44">
        <f t="shared" si="0"/>
        <v>0</v>
      </c>
      <c r="Q12" s="44">
        <f t="shared" si="1"/>
        <v>0</v>
      </c>
      <c r="R12" s="45">
        <f>B12-I12</f>
        <v>0</v>
      </c>
    </row>
    <row r="13" spans="1:19" s="62" customFormat="1" ht="15" customHeight="1">
      <c r="A13" s="58" t="s">
        <v>1014</v>
      </c>
      <c r="B13" s="59">
        <f>+COMPARATIVO!AH151+I13</f>
        <v>27688398671</v>
      </c>
      <c r="C13" s="59">
        <v>0</v>
      </c>
      <c r="D13" s="59">
        <v>0</v>
      </c>
      <c r="E13" s="59">
        <v>0</v>
      </c>
      <c r="F13" s="59">
        <f>+'mayor de bienes de uso'!F84+'mayor de bienes de uso'!F86+'mayor de bienes de uso'!F88+'mayor de bienes de uso'!F198+'mayor de bienes de uso'!F200+'mayor de bienes de uso'!F202+'mayor de bienes de uso'!F294+'mayor de bienes de uso'!F296+'mayor de bienes de uso'!F298+'mayor de bienes de uso'!F436+'mayor de bienes de uso'!F438-'mayor de bienes de uso'!G440+'mayor de bienes de uso'!F442</f>
        <v>425351763</v>
      </c>
      <c r="G13" s="59">
        <v>0</v>
      </c>
      <c r="H13" s="59">
        <f>SUM(B13:G13)</f>
        <v>28113750434</v>
      </c>
      <c r="I13" s="59">
        <v>211143650</v>
      </c>
      <c r="J13" s="59"/>
      <c r="K13" s="59"/>
      <c r="L13" s="59"/>
      <c r="M13" s="59"/>
      <c r="N13" s="59">
        <f>+'mayor de bienes de uso'!G85+'mayor de bienes de uso'!G87+'mayor de bienes de uso'!G89+'mayor de bienes de uso'!G199+'mayor de bienes de uso'!G201+'mayor de bienes de uso'!G203+'mayor de bienes de uso'!G295+'mayor de bienes de uso'!G297+'mayor de bienes de uso'!G299+'mayor de bienes de uso'!G437+'mayor de bienes de uso'!G439-'mayor de bienes de uso'!F441+'mayor de bienes de uso'!G443</f>
        <v>215073962</v>
      </c>
      <c r="O13" s="59"/>
      <c r="P13" s="59">
        <f>I13+L13+N13</f>
        <v>426217612</v>
      </c>
      <c r="Q13" s="59">
        <f t="shared" si="1"/>
        <v>27687532822</v>
      </c>
      <c r="R13" s="60">
        <f t="shared" ref="R13:R21" si="2">B13-I13</f>
        <v>27477255021</v>
      </c>
      <c r="S13" s="61">
        <f>+Q13-COMPARATIVO!AP151</f>
        <v>0</v>
      </c>
    </row>
    <row r="14" spans="1:19" s="62" customFormat="1" ht="15" customHeight="1">
      <c r="A14" s="58" t="s">
        <v>735</v>
      </c>
      <c r="B14" s="59">
        <f>+COMPARATIVO!AH135+I14</f>
        <v>724976504</v>
      </c>
      <c r="C14" s="59">
        <f>+'mayor de bienes de uso'!F138+'mayor de bienes de uso'!F143+'mayor de bienes de uso'!F261+'mayor de bienes de uso'!F371</f>
        <v>140151217</v>
      </c>
      <c r="D14" s="59">
        <v>0</v>
      </c>
      <c r="E14" s="59">
        <v>0</v>
      </c>
      <c r="F14" s="59">
        <f>+'mayor de bienes de uso'!F42+'mayor de bienes de uso'!F44+'mayor de bienes de uso'!F46+'mayor de bienes de uso'!F136+'mayor de bienes de uso'!F139+'mayor de bienes de uso'!F141+'mayor de bienes de uso'!F255+'mayor de bienes de uso'!F257+'mayor de bienes de uso'!F259+'mayor de bienes de uso'!F369+'mayor de bienes de uso'!F372-'mayor de bienes de uso'!G374+'mayor de bienes de uso'!F376</f>
        <v>6912720</v>
      </c>
      <c r="G14" s="59">
        <v>0</v>
      </c>
      <c r="H14" s="59">
        <f>SUM(B14:G14)</f>
        <v>872040441</v>
      </c>
      <c r="I14" s="59">
        <v>478981000</v>
      </c>
      <c r="J14" s="59"/>
      <c r="K14" s="59"/>
      <c r="L14" s="59"/>
      <c r="M14" s="59" t="s">
        <v>863</v>
      </c>
      <c r="N14" s="59">
        <f>+'mayor de bienes de uso'!G43+'mayor de bienes de uso'!G45+'mayor de bienes de uso'!G47+'mayor de bienes de uso'!G137+'mayor de bienes de uso'!G140+'mayor de bienes de uso'!G142+'mayor de bienes de uso'!G256+'mayor de bienes de uso'!G258+'mayor de bienes de uso'!G260+'mayor de bienes de uso'!G370+'mayor de bienes de uso'!G373-'mayor de bienes de uso'!F375+'mayor de bienes de uso'!G377</f>
        <v>6929025</v>
      </c>
      <c r="O14" s="59"/>
      <c r="P14" s="59">
        <f t="shared" si="0"/>
        <v>485910025</v>
      </c>
      <c r="Q14" s="59">
        <f>ROUND(H14-P14,0)</f>
        <v>386130416</v>
      </c>
      <c r="R14" s="60">
        <f>B14-I14</f>
        <v>245995504</v>
      </c>
      <c r="S14" s="61">
        <f>+Q14-COMPARATIVO!AP135</f>
        <v>0</v>
      </c>
    </row>
    <row r="15" spans="1:19" s="62" customFormat="1" ht="15" customHeight="1">
      <c r="A15" s="58" t="s">
        <v>865</v>
      </c>
      <c r="B15" s="59">
        <f>+COMPARATIVO!AH131+I15</f>
        <v>626971793</v>
      </c>
      <c r="C15" s="59">
        <f>+'mayor de bienes de uso'!F58+'mayor de bienes de uso'!F59+'mayor de bienes de uso'!F60+'mayor de bienes de uso'!F61+'mayor de bienes de uso'!F62+'mayor de bienes de uso'!F65+'mayor de bienes de uso'!F66+'mayor de bienes de uso'!F67+'mayor de bienes de uso'!F68+'mayor de bienes de uso'!F69+'mayor de bienes de uso'!F72+'mayor de bienes de uso'!F73+'mayor de bienes de uso'!F74+'mayor de bienes de uso'!F75+'mayor de bienes de uso'!F154+'mayor de bienes de uso'!F155+'mayor de bienes de uso'!F156+'mayor de bienes de uso'!F157+'mayor de bienes de uso'!F160+'mayor de bienes de uso'!F161+'mayor de bienes de uso'!F162+'mayor de bienes de uso'!F163+'mayor de bienes de uso'!F166+'mayor de bienes de uso'!F167+'mayor de bienes de uso'!F168+'mayor de bienes de uso'!F169+'mayor de bienes de uso'!F273+'mayor de bienes de uso'!F274+'mayor de bienes de uso'!F275+'mayor de bienes de uso'!F278+'mayor de bienes de uso'!F279+'mayor de bienes de uso'!F282+'mayor de bienes de uso'!F283+'mayor de bienes de uso'!F284+'mayor de bienes de uso'!F391+'mayor de bienes de uso'!F392+'mayor de bienes de uso'!F393+'mayor de bienes de uso'!F394+'mayor de bienes de uso'!F397+'mayor de bienes de uso'!F398+'mayor de bienes de uso'!F399+'mayor de bienes de uso'!F400+'mayor de bienes de uso'!F401+'mayor de bienes de uso'!F408+'mayor de bienes de uso'!F409</f>
        <v>111822975</v>
      </c>
      <c r="D15" s="59">
        <v>0</v>
      </c>
      <c r="E15" s="59">
        <f>+'mayor de bienes de uso'!F403-'mayor de bienes de uso'!G404</f>
        <v>-5071927</v>
      </c>
      <c r="F15" s="59">
        <f>+'mayor de bienes de uso'!F56+'mayor de bienes de uso'!F63+'mayor de bienes de uso'!F70+'mayor de bienes de uso'!F152+'mayor de bienes de uso'!F158+'mayor de bienes de uso'!F164+'mayor de bienes de uso'!F271+'mayor de bienes de uso'!F276+'mayor de bienes de uso'!F280+'mayor de bienes de uso'!F389+'mayor de bienes de uso'!F395-'mayor de bienes de uso'!G402+'mayor de bienes de uso'!F406</f>
        <v>10970911</v>
      </c>
      <c r="G15" s="59">
        <v>0</v>
      </c>
      <c r="H15" s="59">
        <f t="shared" ref="H15:H21" si="3">SUM(B15:G15)</f>
        <v>744693752</v>
      </c>
      <c r="I15" s="59">
        <v>236561523</v>
      </c>
      <c r="J15" s="59"/>
      <c r="K15" s="59"/>
      <c r="L15" s="59"/>
      <c r="M15" s="59"/>
      <c r="N15" s="59">
        <f>+'mayor de bienes de uso'!G57+'mayor de bienes de uso'!G64+'mayor de bienes de uso'!G71+'mayor de bienes de uso'!G153+'mayor de bienes de uso'!G159+'mayor de bienes de uso'!G165+'mayor de bienes de uso'!G272+'mayor de bienes de uso'!G277+'mayor de bienes de uso'!G281+'mayor de bienes de uso'!G390+'mayor de bienes de uso'!G396-'mayor de bienes de uso'!F405+'mayor de bienes de uso'!G407</f>
        <v>109831016</v>
      </c>
      <c r="O15" s="59"/>
      <c r="P15" s="59">
        <f t="shared" si="0"/>
        <v>346392539</v>
      </c>
      <c r="Q15" s="59">
        <f>ROUND(H15-P15,0)</f>
        <v>398301213</v>
      </c>
      <c r="R15" s="60">
        <f t="shared" si="2"/>
        <v>390410270</v>
      </c>
      <c r="S15" s="61">
        <f>+Q15-COMPARATIVO!AP131</f>
        <v>0</v>
      </c>
    </row>
    <row r="16" spans="1:19" s="62" customFormat="1" ht="15" customHeight="1">
      <c r="A16" s="58" t="s">
        <v>731</v>
      </c>
      <c r="B16" s="59">
        <f>+COMPARATIVO!AH132+I16</f>
        <v>1070504085</v>
      </c>
      <c r="C16" s="59">
        <f>+'mayor de bienes de uso'!F5+'mayor de bienes de uso'!F93+'mayor de bienes de uso'!F96+'mayor de bienes de uso'!F97+'mayor de bienes de uso'!F98+'mayor de bienes de uso'!F101+'mayor de bienes de uso'!F102+'mayor de bienes de uso'!F103+'mayor de bienes de uso'!F207+'mayor de bienes de uso'!F208+'mayor de bienes de uso'!F209+'mayor de bienes de uso'!F210+'mayor de bienes de uso'!F211+'mayor de bienes de uso'!F214+'mayor de bienes de uso'!F217+'mayor de bienes de uso'!F303+'mayor de bienes de uso'!F306+'mayor de bienes de uso'!F307+'mayor de bienes de uso'!F308+'mayor de bienes de uso'!F315+'mayor de bienes de uso'!F316</f>
        <v>52803640</v>
      </c>
      <c r="D16" s="59">
        <v>0</v>
      </c>
      <c r="E16" s="59">
        <f>-'mayor de bienes de uso'!G311+'mayor de bienes de uso'!F310</f>
        <v>6925293</v>
      </c>
      <c r="F16" s="59">
        <f>+'mayor de bienes de uso'!F3+'mayor de bienes de uso'!F6+'mayor de bienes de uso'!F8+'mayor de bienes de uso'!F91+'mayor de bienes de uso'!F94+'mayor de bienes de uso'!F99+'mayor de bienes de uso'!F205+'mayor de bienes de uso'!F212+'mayor de bienes de uso'!F215+'mayor de bienes de uso'!F301+'mayor de bienes de uso'!F304-'mayor de bienes de uso'!G309+'mayor de bienes de uso'!F313</f>
        <v>13138101</v>
      </c>
      <c r="G16" s="59">
        <v>0</v>
      </c>
      <c r="H16" s="59">
        <f>SUM(B16:G16)</f>
        <v>1143371119</v>
      </c>
      <c r="I16" s="59">
        <v>602972627</v>
      </c>
      <c r="J16" s="59"/>
      <c r="K16" s="59"/>
      <c r="L16" s="59"/>
      <c r="M16" s="59">
        <v>20</v>
      </c>
      <c r="N16" s="59">
        <f>+'mayor de bienes de uso'!G4+'mayor de bienes de uso'!G7+'mayor de bienes de uso'!G9+'mayor de bienes de uso'!G92+'mayor de bienes de uso'!G95+'mayor de bienes de uso'!G100+'mayor de bienes de uso'!G206+'mayor de bienes de uso'!G213+'mayor de bienes de uso'!G216+'mayor de bienes de uso'!G302+'mayor de bienes de uso'!G305-'mayor de bienes de uso'!F312+'mayor de bienes de uso'!G314</f>
        <v>68678391</v>
      </c>
      <c r="O16" s="59"/>
      <c r="P16" s="59">
        <f>I16+L16+N16</f>
        <v>671651018</v>
      </c>
      <c r="Q16" s="59">
        <f>ROUND(H16-P16,0)</f>
        <v>471720101</v>
      </c>
      <c r="R16" s="60">
        <f>B16-I16</f>
        <v>467531458</v>
      </c>
      <c r="S16" s="61">
        <f>+Q16-COMPARATIVO!AP132</f>
        <v>0</v>
      </c>
    </row>
    <row r="17" spans="1:19" s="62" customFormat="1" ht="15" customHeight="1">
      <c r="A17" s="58" t="s">
        <v>866</v>
      </c>
      <c r="B17" s="59">
        <f>+COMPARATIVO!AH133+I17</f>
        <v>255804332</v>
      </c>
      <c r="C17" s="59">
        <f>+'mayor de bienes de uso'!F13+'mayor de bienes de uso'!F16+'mayor de bienes de uso'!F19+'mayor de bienes de uso'!F107+'mayor de bienes de uso'!F112+'mayor de bienes de uso'!F221+'mayor de bienes de uso'!F224+'mayor de bienes de uso'!F225+'mayor de bienes de uso'!F228+'mayor de bienes de uso'!F320+'mayor de bienes de uso'!F323+'mayor de bienes de uso'!F324</f>
        <v>60704393</v>
      </c>
      <c r="D17" s="59">
        <v>0</v>
      </c>
      <c r="E17" s="59">
        <f>-'mayor de bienes de uso'!G326</f>
        <v>-1395097</v>
      </c>
      <c r="F17" s="59">
        <f>+'mayor de bienes de uso'!F11+'mayor de bienes de uso'!F14+'mayor de bienes de uso'!F17+'mayor de bienes de uso'!F105+'mayor de bienes de uso'!F108+'mayor de bienes de uso'!F110+'mayor de bienes de uso'!F219+'mayor de bienes de uso'!F222+'mayor de bienes de uso'!F226+'mayor de bienes de uso'!F318+'mayor de bienes de uso'!F321+'mayor de bienes de uso'!F328-'mayor de bienes de uso'!G325</f>
        <v>2995299</v>
      </c>
      <c r="G17" s="59">
        <v>0</v>
      </c>
      <c r="H17" s="59">
        <f t="shared" si="3"/>
        <v>318108927</v>
      </c>
      <c r="I17" s="59">
        <v>149213852</v>
      </c>
      <c r="J17" s="59"/>
      <c r="K17" s="59"/>
      <c r="L17" s="59"/>
      <c r="M17" s="59" t="s">
        <v>867</v>
      </c>
      <c r="N17" s="59">
        <f>+'mayor de bienes de uso'!G12+'mayor de bienes de uso'!G15+'mayor de bienes de uso'!G18+'mayor de bienes de uso'!G106+'mayor de bienes de uso'!G109+'mayor de bienes de uso'!G111+'mayor de bienes de uso'!G220+'mayor de bienes de uso'!G223+'mayor de bienes de uso'!G227+'mayor de bienes de uso'!G319+'mayor de bienes de uso'!G322+'mayor de bienes de uso'!G329-'mayor de bienes de uso'!F327</f>
        <v>38440039</v>
      </c>
      <c r="O17" s="59"/>
      <c r="P17" s="59">
        <f t="shared" si="0"/>
        <v>187653891</v>
      </c>
      <c r="Q17" s="59">
        <f>ROUND(H17-P17,0)</f>
        <v>130455036</v>
      </c>
      <c r="R17" s="60">
        <f t="shared" si="2"/>
        <v>106590480</v>
      </c>
      <c r="S17" s="61">
        <f>+Q17-COMPARATIVO!AP133</f>
        <v>0</v>
      </c>
    </row>
    <row r="18" spans="1:19" s="62" customFormat="1" ht="15" customHeight="1">
      <c r="A18" s="58" t="s">
        <v>732</v>
      </c>
      <c r="B18" s="59">
        <f>+COMPARATIVO!AH130+I18</f>
        <v>348414625</v>
      </c>
      <c r="C18" s="59">
        <f>+'mayor de bienes de uso'!F130</f>
        <v>6198636</v>
      </c>
      <c r="D18" s="59">
        <v>0</v>
      </c>
      <c r="E18" s="59">
        <f>-'mayor de bienes de uso'!G364</f>
        <v>-3090909</v>
      </c>
      <c r="F18" s="59">
        <f>+'mayor de bienes de uso'!F35+'mayor de bienes de uso'!F37+'mayor de bienes de uso'!F39+'mayor de bienes de uso'!F128+'mayor de bienes de uso'!F131+'mayor de bienes de uso'!F133+'mayor de bienes de uso'!F248+'mayor de bienes de uso'!F250+'mayor de bienes de uso'!F252+'mayor de bienes de uso'!F359+'mayor de bienes de uso'!F361+'mayor de bienes de uso'!F366-'mayor de bienes de uso'!G363</f>
        <v>6729441</v>
      </c>
      <c r="G18" s="59">
        <v>0</v>
      </c>
      <c r="H18" s="59">
        <f t="shared" si="3"/>
        <v>358251793</v>
      </c>
      <c r="I18" s="59">
        <v>108941267</v>
      </c>
      <c r="J18" s="59"/>
      <c r="K18" s="59"/>
      <c r="L18" s="59"/>
      <c r="M18" s="59">
        <v>10</v>
      </c>
      <c r="N18" s="59">
        <f>+'mayor de bienes de uso'!G36+'mayor de bienes de uso'!G38+'mayor de bienes de uso'!G40+'mayor de bienes de uso'!G129+'mayor de bienes de uso'!G132+'mayor de bienes de uso'!G134+'mayor de bienes de uso'!G249+'mayor de bienes de uso'!G251+'mayor de bienes de uso'!G253+'mayor de bienes de uso'!G360+'mayor de bienes de uso'!G362-'mayor de bienes de uso'!F365+'mayor de bienes de uso'!G367</f>
        <v>30941516</v>
      </c>
      <c r="O18" s="59"/>
      <c r="P18" s="59">
        <f t="shared" si="0"/>
        <v>139882783</v>
      </c>
      <c r="Q18" s="59">
        <f>ROUND(H18-P18,0)</f>
        <v>218369010</v>
      </c>
      <c r="R18" s="60">
        <f t="shared" si="2"/>
        <v>239473358</v>
      </c>
      <c r="S18" s="61">
        <f>+Q18-COMPARATIVO!AP130</f>
        <v>0</v>
      </c>
    </row>
    <row r="19" spans="1:19" s="62" customFormat="1" ht="15" customHeight="1">
      <c r="A19" s="58" t="s">
        <v>868</v>
      </c>
      <c r="B19" s="59">
        <f>+COMPARATIVO!AH139+I19</f>
        <v>83110931</v>
      </c>
      <c r="C19" s="59">
        <f>+'mayor de bienes de uso'!F244</f>
        <v>2636364</v>
      </c>
      <c r="D19" s="59">
        <v>0</v>
      </c>
      <c r="E19" s="59">
        <f>-'mayor de bienes de uso'!G354</f>
        <v>-2636364</v>
      </c>
      <c r="F19" s="59">
        <f>+'mayor de bienes de uso'!F28+'mayor de bienes de uso'!F30+'mayor de bienes de uso'!F32+'mayor de bienes de uso'!F121+'mayor de bienes de uso'!F123+'mayor de bienes de uso'!F125+'mayor de bienes de uso'!F240+'mayor de bienes de uso'!F242+'mayor de bienes de uso'!F245+'mayor de bienes de uso'!F349+'mayor de bienes de uso'!F351-'mayor de bienes de uso'!G353+'mayor de bienes de uso'!F356</f>
        <v>2033720</v>
      </c>
      <c r="G19" s="59">
        <v>0</v>
      </c>
      <c r="H19" s="59">
        <f t="shared" si="3"/>
        <v>85144651</v>
      </c>
      <c r="I19" s="59">
        <v>10739128</v>
      </c>
      <c r="J19" s="59"/>
      <c r="K19" s="59"/>
      <c r="L19" s="59"/>
      <c r="M19" s="59">
        <v>2.5</v>
      </c>
      <c r="N19" s="59">
        <f>+'mayor de bienes de uso'!G29+'mayor de bienes de uso'!G31+'mayor de bienes de uso'!G33+'mayor de bienes de uso'!G122+'mayor de bienes de uso'!G124+'mayor de bienes de uso'!G126+'mayor de bienes de uso'!G241+'mayor de bienes de uso'!G243+'mayor de bienes de uso'!G246+'mayor de bienes de uso'!G350+'mayor de bienes de uso'!G352-'mayor de bienes de uso'!F355+'mayor de bienes de uso'!G357</f>
        <v>8552606</v>
      </c>
      <c r="O19" s="59"/>
      <c r="P19" s="59">
        <f t="shared" si="0"/>
        <v>19291734</v>
      </c>
      <c r="Q19" s="59">
        <f t="shared" si="1"/>
        <v>65852917</v>
      </c>
      <c r="R19" s="60">
        <f t="shared" si="2"/>
        <v>72371803</v>
      </c>
      <c r="S19" s="61">
        <f>+Q19-COMPARATIVO!AP139</f>
        <v>0</v>
      </c>
    </row>
    <row r="20" spans="1:19" s="62" customFormat="1" ht="15" customHeight="1">
      <c r="A20" s="58" t="s">
        <v>733</v>
      </c>
      <c r="B20" s="59">
        <f>+COMPARATIVO!AH134+I20</f>
        <v>1377751633</v>
      </c>
      <c r="C20" s="59">
        <f>+'mayor de bienes de uso'!F232+'mayor de bienes de uso'!F339+'mayor de bienes de uso'!F340+'mayor de bienes de uso'!F341+'mayor de bienes de uso'!F342+'mayor de bienes de uso'!F343+'mayor de bienes de uso'!F344+'mayor de bienes de uso'!F345+'mayor de bienes de uso'!F346+'mayor de bienes de uso'!F347</f>
        <v>1535142230</v>
      </c>
      <c r="D20" s="59">
        <f>-'mayor de bienes de uso'!G237-'mayor de bienes de uso'!G238</f>
        <v>-178061626</v>
      </c>
      <c r="E20" s="59">
        <v>0</v>
      </c>
      <c r="F20" s="59">
        <f>+'mayor de bienes de uso'!F21+'mayor de bienes de uso'!F23+'mayor de bienes de uso'!F25+'mayor de bienes de uso'!F114+'mayor de bienes de uso'!F116+'mayor de bienes de uso'!F118+'mayor de bienes de uso'!F230+'mayor de bienes de uso'!F233+'mayor de bienes de uso'!F235+'mayor de bienes de uso'!F331+'mayor de bienes de uso'!F333-'mayor de bienes de uso'!G335+'mayor de bienes de uso'!F337</f>
        <v>9023187</v>
      </c>
      <c r="G20" s="59">
        <v>0</v>
      </c>
      <c r="H20" s="59">
        <f t="shared" si="3"/>
        <v>2743855424</v>
      </c>
      <c r="I20" s="59">
        <v>878591554</v>
      </c>
      <c r="J20" s="59"/>
      <c r="K20" s="59"/>
      <c r="L20" s="59"/>
      <c r="M20" s="59" t="s">
        <v>867</v>
      </c>
      <c r="N20" s="59">
        <f>+'mayor de bienes de uso'!G22+'mayor de bienes de uso'!G24+'mayor de bienes de uso'!G26+'mayor de bienes de uso'!G115+'mayor de bienes de uso'!G117+'mayor de bienes de uso'!G119+'mayor de bienes de uso'!G231+'mayor de bienes de uso'!G234+'mayor de bienes de uso'!G236+'mayor de bienes de uso'!G332+'mayor de bienes de uso'!G334-'mayor de bienes de uso'!F336+'mayor de bienes de uso'!G338</f>
        <v>97896427</v>
      </c>
      <c r="O20" s="59"/>
      <c r="P20" s="59">
        <f>I20+L20+N20</f>
        <v>976487981</v>
      </c>
      <c r="Q20" s="59">
        <f t="shared" si="1"/>
        <v>1767367443</v>
      </c>
      <c r="R20" s="60">
        <f t="shared" si="2"/>
        <v>499160079</v>
      </c>
      <c r="S20" s="61">
        <f>+Q20-COMPARATIVO!AP134</f>
        <v>0</v>
      </c>
    </row>
    <row r="21" spans="1:19" s="62" customFormat="1" ht="15" customHeight="1">
      <c r="A21" s="58" t="s">
        <v>869</v>
      </c>
      <c r="B21" s="59">
        <f>+COMPARATIVO!AH137+I21</f>
        <v>509054084</v>
      </c>
      <c r="C21" s="59">
        <f>+'mayor de bienes de uso'!F265+'mayor de bienes de uso'!F383</f>
        <v>15431818</v>
      </c>
      <c r="D21" s="59">
        <v>0</v>
      </c>
      <c r="E21" s="59">
        <v>0</v>
      </c>
      <c r="F21" s="59">
        <f>+'mayor de bienes de uso'!F49+'mayor de bienes de uso'!F51+'mayor de bienes de uso'!F53+'mayor de bienes de uso'!F145+'mayor de bienes de uso'!F147+'mayor de bienes de uso'!F149+'mayor de bienes de uso'!F263+'mayor de bienes de uso'!F266+'mayor de bienes de uso'!F268+'mayor de bienes de uso'!F379+'mayor de bienes de uso'!F381-'mayor de bienes de uso'!G384+'mayor de bienes de uso'!F386</f>
        <v>2283962</v>
      </c>
      <c r="G21" s="59">
        <v>0</v>
      </c>
      <c r="H21" s="59">
        <f t="shared" si="3"/>
        <v>526769864</v>
      </c>
      <c r="I21" s="59">
        <v>427777194</v>
      </c>
      <c r="J21" s="59"/>
      <c r="K21" s="59"/>
      <c r="L21" s="59"/>
      <c r="M21" s="59" t="s">
        <v>867</v>
      </c>
      <c r="N21" s="59">
        <f>+'mayor de bienes de uso'!G50+'mayor de bienes de uso'!G52+'mayor de bienes de uso'!G54+'mayor de bienes de uso'!G146+'mayor de bienes de uso'!G148+'mayor de bienes de uso'!G150+'mayor de bienes de uso'!G264+'mayor de bienes de uso'!G267+'mayor de bienes de uso'!G269+'mayor de bienes de uso'!G380+'mayor de bienes de uso'!G382-'mayor de bienes de uso'!F385+'mayor de bienes de uso'!G387</f>
        <v>19473460</v>
      </c>
      <c r="O21" s="59"/>
      <c r="P21" s="59">
        <f t="shared" si="0"/>
        <v>447250654</v>
      </c>
      <c r="Q21" s="59">
        <f>ROUND(H21-P21,0)</f>
        <v>79519210</v>
      </c>
      <c r="R21" s="60">
        <f t="shared" si="2"/>
        <v>81276890</v>
      </c>
      <c r="S21" s="61">
        <f>+Q21-COMPARATIVO!AP137</f>
        <v>0</v>
      </c>
    </row>
    <row r="22" spans="1:19" s="3" customFormat="1" ht="15" customHeight="1" thickBot="1">
      <c r="A22" s="47" t="s">
        <v>257</v>
      </c>
      <c r="B22" s="48">
        <f>SUM(B11:B21)-1</f>
        <v>32684986657</v>
      </c>
      <c r="C22" s="48">
        <f>SUM(C11:C21)</f>
        <v>1924891273</v>
      </c>
      <c r="D22" s="48">
        <f>SUM(D11:D20)</f>
        <v>-178061626</v>
      </c>
      <c r="E22" s="48">
        <f>SUM(E11:E21)</f>
        <v>-5269004</v>
      </c>
      <c r="F22" s="48">
        <f>SUM(F11:F21)</f>
        <v>479439104</v>
      </c>
      <c r="G22" s="48">
        <f>SUM(G11:G21)</f>
        <v>0</v>
      </c>
      <c r="H22" s="48">
        <f>SUM(H11:H21)</f>
        <v>34905986405</v>
      </c>
      <c r="I22" s="48">
        <f>SUM(I11:I21)</f>
        <v>3104921795</v>
      </c>
      <c r="J22" s="48">
        <f>SUM(J11:J20)</f>
        <v>0</v>
      </c>
      <c r="K22" s="48">
        <f>SUM(K11:K20)</f>
        <v>0</v>
      </c>
      <c r="L22" s="48">
        <f>SUM(L11:L20)</f>
        <v>0</v>
      </c>
      <c r="M22" s="48"/>
      <c r="N22" s="48">
        <f>SUM(N11:N21)</f>
        <v>595816442</v>
      </c>
      <c r="O22" s="48">
        <v>0</v>
      </c>
      <c r="P22" s="48">
        <f>SUM(P11:P21)</f>
        <v>3700738237</v>
      </c>
      <c r="Q22" s="48">
        <f>SUM(Q11:Q21)</f>
        <v>31205248168</v>
      </c>
      <c r="R22" s="49">
        <f>SUM(R11:R21)</f>
        <v>29580064863</v>
      </c>
      <c r="S22" s="14"/>
    </row>
    <row r="23" spans="1:19" ht="15" customHeight="1" thickBot="1">
      <c r="I23" s="63">
        <f>+B22-I22</f>
        <v>29580064862</v>
      </c>
    </row>
    <row r="24" spans="1:19" s="3" customFormat="1" ht="15" customHeight="1">
      <c r="A24" s="4" t="s">
        <v>870</v>
      </c>
      <c r="B24" s="21"/>
      <c r="C24" s="21"/>
      <c r="D24" s="21"/>
      <c r="E24" s="21"/>
      <c r="F24" s="21"/>
      <c r="G24" s="21"/>
      <c r="H24" s="21"/>
      <c r="I24" s="21"/>
      <c r="J24" s="21"/>
      <c r="K24" s="21"/>
      <c r="L24" s="21"/>
      <c r="M24" s="21"/>
      <c r="N24" s="21"/>
      <c r="O24" s="21"/>
      <c r="P24" s="21"/>
      <c r="Q24" s="21"/>
      <c r="R24" s="5"/>
    </row>
    <row r="25" spans="1:19" s="66" customFormat="1" ht="15" customHeight="1">
      <c r="A25" s="65" t="s">
        <v>871</v>
      </c>
      <c r="B25" s="59">
        <f>+COMPARATIVO!AH146</f>
        <v>325160413</v>
      </c>
      <c r="C25" s="59">
        <f>+'mayor de bienes de uso'!F172+'mayor de bienes de uso'!F173+'mayor de bienes de uso'!F287+'mayor de bienes de uso'!F415</f>
        <v>12197117</v>
      </c>
      <c r="D25" s="59"/>
      <c r="E25" s="59">
        <f>+'mayor de bienes de uso'!F416</f>
        <v>1195097</v>
      </c>
      <c r="F25" s="59"/>
      <c r="G25" s="59"/>
      <c r="H25" s="59">
        <f>SUM(B25:G25)</f>
        <v>338552627</v>
      </c>
      <c r="I25" s="59">
        <f>-COMPARATIVO!AH148</f>
        <v>217620982</v>
      </c>
      <c r="J25" s="59"/>
      <c r="K25" s="59"/>
      <c r="L25" s="59"/>
      <c r="M25" s="59"/>
      <c r="N25" s="59">
        <f>+'mayor de bienes de uso'!G80+'mayor de bienes de uso'!G81+'mayor de bienes de uso'!G82+'mayor de bienes de uso'!G176+'mayor de bienes de uso'!G177+'mayor de bienes de uso'!G178+'mayor de bienes de uso'!G290+'mayor de bienes de uso'!G291+'mayor de bienes de uso'!G292+'mayor de bienes de uso'!G420+'mayor de bienes de uso'!G421+'mayor de bienes de uso'!G422-N26</f>
        <v>34727972.75</v>
      </c>
      <c r="O25" s="59"/>
      <c r="P25" s="59">
        <f>I25+L25+N25</f>
        <v>252348954.75</v>
      </c>
      <c r="Q25" s="59">
        <f>ROUND(H25-P25,0)</f>
        <v>86203672</v>
      </c>
      <c r="R25" s="60">
        <f>+COMPARATIVO!AH146+COMPARATIVO!AH148</f>
        <v>107539431</v>
      </c>
      <c r="S25" s="67">
        <f>+H25-COMPARATIVO!AP146</f>
        <v>0</v>
      </c>
    </row>
    <row r="26" spans="1:19" s="50" customFormat="1" ht="15" customHeight="1" thickBot="1">
      <c r="A26" s="51" t="s">
        <v>1061</v>
      </c>
      <c r="B26" s="46">
        <f>+COMPARATIVO!AH147</f>
        <v>7090909</v>
      </c>
      <c r="C26" s="46">
        <f>+'mayor de bienes de uso'!F418</f>
        <v>700000</v>
      </c>
      <c r="D26" s="46"/>
      <c r="E26" s="46"/>
      <c r="F26" s="46"/>
      <c r="G26" s="46"/>
      <c r="H26" s="46">
        <f>SUM(B26:G26)</f>
        <v>7790909</v>
      </c>
      <c r="I26" s="46">
        <v>0</v>
      </c>
      <c r="J26" s="46"/>
      <c r="K26" s="46"/>
      <c r="L26" s="46"/>
      <c r="M26" s="46"/>
      <c r="N26" s="46">
        <v>1772727.25</v>
      </c>
      <c r="O26" s="46"/>
      <c r="P26" s="59">
        <f>I26+L26+N26</f>
        <v>1772727.25</v>
      </c>
      <c r="Q26" s="46">
        <f>ROUND(H26-P26,0)</f>
        <v>6018182</v>
      </c>
      <c r="R26" s="60">
        <f>+COMPARATIVO!AH147+COMPARATIVO!AH149</f>
        <v>7090909</v>
      </c>
      <c r="S26" s="43">
        <f>+H26-COMPARATIVO!AP147</f>
        <v>0</v>
      </c>
    </row>
    <row r="27" spans="1:19" ht="16.5" customHeight="1">
      <c r="F27" s="19">
        <v>0</v>
      </c>
      <c r="H27" s="19">
        <v>0</v>
      </c>
      <c r="N27" s="19">
        <v>0</v>
      </c>
      <c r="P27" s="19">
        <v>0</v>
      </c>
      <c r="Q27" s="19">
        <v>0</v>
      </c>
    </row>
    <row r="28" spans="1:19">
      <c r="A28" s="19" t="s">
        <v>872</v>
      </c>
    </row>
    <row r="29" spans="1:19">
      <c r="A29" s="19" t="s">
        <v>825</v>
      </c>
    </row>
  </sheetData>
  <mergeCells count="23">
    <mergeCell ref="A2:R2"/>
    <mergeCell ref="A3:R3"/>
    <mergeCell ref="C6:J6"/>
    <mergeCell ref="K6:Q6"/>
    <mergeCell ref="A7:A9"/>
    <mergeCell ref="O7:O9"/>
    <mergeCell ref="G7:G9"/>
    <mergeCell ref="J7:J9"/>
    <mergeCell ref="K7:K9"/>
    <mergeCell ref="L7:L9"/>
    <mergeCell ref="M7:N7"/>
    <mergeCell ref="P7:P9"/>
    <mergeCell ref="Q7:Q9"/>
    <mergeCell ref="R7:R9"/>
    <mergeCell ref="H7:H9"/>
    <mergeCell ref="I7:I9"/>
    <mergeCell ref="M8:M9"/>
    <mergeCell ref="N8:N9"/>
    <mergeCell ref="B7:B9"/>
    <mergeCell ref="C7:C9"/>
    <mergeCell ref="D7:D9"/>
    <mergeCell ref="E7:E9"/>
    <mergeCell ref="F7:F9"/>
  </mergeCells>
  <printOptions horizontalCentered="1"/>
  <pageMargins left="0.15748031496062992" right="0.15748031496062992" top="0.74803149606299213" bottom="0.74803149606299213" header="0.31496062992125984" footer="0.31496062992125984"/>
  <pageSetup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filterMode="1"/>
  <dimension ref="A2:G443"/>
  <sheetViews>
    <sheetView workbookViewId="0">
      <selection activeCell="B54" sqref="B54"/>
    </sheetView>
  </sheetViews>
  <sheetFormatPr baseColWidth="10" defaultRowHeight="13"/>
  <cols>
    <col min="2" max="2" width="39.6640625" customWidth="1"/>
    <col min="3" max="3" width="11.5" style="54"/>
    <col min="5" max="5" width="37" customWidth="1"/>
    <col min="6" max="6" width="15.6640625" style="23" customWidth="1"/>
    <col min="7" max="7" width="14.1640625" style="23" customWidth="1"/>
  </cols>
  <sheetData>
    <row r="2" spans="1:7" hidden="1">
      <c r="A2">
        <v>122010101</v>
      </c>
      <c r="B2" t="s">
        <v>729</v>
      </c>
      <c r="C2" s="54">
        <v>43466</v>
      </c>
      <c r="D2">
        <v>1</v>
      </c>
      <c r="E2" t="s">
        <v>1608</v>
      </c>
      <c r="F2" s="23">
        <v>467531458</v>
      </c>
    </row>
    <row r="3" spans="1:7" hidden="1">
      <c r="A3">
        <v>122010101</v>
      </c>
      <c r="B3" t="s">
        <v>729</v>
      </c>
      <c r="C3" s="54">
        <v>43496</v>
      </c>
      <c r="D3">
        <v>461</v>
      </c>
      <c r="E3" t="s">
        <v>1609</v>
      </c>
      <c r="F3" s="23">
        <v>1370565</v>
      </c>
    </row>
    <row r="4" spans="1:7" hidden="1">
      <c r="A4">
        <v>122010101</v>
      </c>
      <c r="B4" t="s">
        <v>729</v>
      </c>
      <c r="C4" s="54">
        <v>43496</v>
      </c>
      <c r="D4">
        <v>462</v>
      </c>
      <c r="E4" t="s">
        <v>1059</v>
      </c>
      <c r="G4" s="23">
        <v>6573461</v>
      </c>
    </row>
    <row r="5" spans="1:7" hidden="1">
      <c r="A5">
        <v>122010101</v>
      </c>
      <c r="B5" t="s">
        <v>729</v>
      </c>
      <c r="C5" s="54">
        <v>43496</v>
      </c>
      <c r="D5">
        <v>3687</v>
      </c>
      <c r="E5" t="s">
        <v>898</v>
      </c>
      <c r="F5" s="23">
        <v>9309713</v>
      </c>
    </row>
    <row r="6" spans="1:7" hidden="1">
      <c r="A6">
        <v>122010101</v>
      </c>
      <c r="B6" t="s">
        <v>729</v>
      </c>
      <c r="C6" s="54">
        <v>43524</v>
      </c>
      <c r="D6">
        <v>1951</v>
      </c>
      <c r="E6" t="s">
        <v>1610</v>
      </c>
      <c r="F6" s="23">
        <v>1370565</v>
      </c>
    </row>
    <row r="7" spans="1:7" hidden="1">
      <c r="A7">
        <v>122010101</v>
      </c>
      <c r="B7" t="s">
        <v>729</v>
      </c>
      <c r="C7" s="54">
        <v>43524</v>
      </c>
      <c r="D7">
        <v>1952</v>
      </c>
      <c r="E7" t="s">
        <v>1611</v>
      </c>
      <c r="G7" s="23">
        <v>6573461</v>
      </c>
    </row>
    <row r="8" spans="1:7" hidden="1">
      <c r="A8">
        <v>122010101</v>
      </c>
      <c r="B8" t="s">
        <v>729</v>
      </c>
      <c r="C8" s="54">
        <v>43555</v>
      </c>
      <c r="D8">
        <v>3864</v>
      </c>
      <c r="E8" t="s">
        <v>1612</v>
      </c>
      <c r="F8" s="23">
        <v>1370565</v>
      </c>
    </row>
    <row r="9" spans="1:7" hidden="1">
      <c r="A9">
        <v>122010101</v>
      </c>
      <c r="B9" t="s">
        <v>729</v>
      </c>
      <c r="C9" s="54">
        <v>43555</v>
      </c>
      <c r="D9">
        <v>3865</v>
      </c>
      <c r="E9" t="s">
        <v>1613</v>
      </c>
      <c r="G9" s="23">
        <v>6573461</v>
      </c>
    </row>
    <row r="10" spans="1:7" hidden="1">
      <c r="A10">
        <v>122010201</v>
      </c>
      <c r="B10" t="s">
        <v>724</v>
      </c>
      <c r="C10" s="54">
        <v>43466</v>
      </c>
      <c r="D10">
        <v>1</v>
      </c>
      <c r="E10" t="s">
        <v>1608</v>
      </c>
      <c r="F10" s="23">
        <v>106590480</v>
      </c>
    </row>
    <row r="11" spans="1:7" hidden="1">
      <c r="A11">
        <v>122010201</v>
      </c>
      <c r="B11" t="s">
        <v>724</v>
      </c>
      <c r="C11" s="54">
        <v>43496</v>
      </c>
      <c r="D11">
        <v>461</v>
      </c>
      <c r="E11" t="s">
        <v>1609</v>
      </c>
      <c r="F11" s="23">
        <v>336602</v>
      </c>
    </row>
    <row r="12" spans="1:7" hidden="1">
      <c r="A12">
        <v>122010201</v>
      </c>
      <c r="B12" t="s">
        <v>724</v>
      </c>
      <c r="C12" s="54">
        <v>43496</v>
      </c>
      <c r="D12">
        <v>462</v>
      </c>
      <c r="E12" t="s">
        <v>1059</v>
      </c>
      <c r="G12" s="23">
        <v>4267918</v>
      </c>
    </row>
    <row r="13" spans="1:7" hidden="1">
      <c r="A13">
        <v>122010201</v>
      </c>
      <c r="B13" t="s">
        <v>724</v>
      </c>
      <c r="C13" s="54">
        <v>43496</v>
      </c>
      <c r="D13">
        <v>3687</v>
      </c>
      <c r="E13" t="s">
        <v>898</v>
      </c>
      <c r="F13" s="23">
        <v>13753061</v>
      </c>
    </row>
    <row r="14" spans="1:7" hidden="1">
      <c r="A14">
        <v>122010201</v>
      </c>
      <c r="B14" t="s">
        <v>724</v>
      </c>
      <c r="C14" s="54">
        <v>43524</v>
      </c>
      <c r="D14">
        <v>1951</v>
      </c>
      <c r="E14" t="s">
        <v>1610</v>
      </c>
      <c r="F14" s="23">
        <v>336602</v>
      </c>
    </row>
    <row r="15" spans="1:7" hidden="1">
      <c r="A15">
        <v>122010201</v>
      </c>
      <c r="B15" t="s">
        <v>724</v>
      </c>
      <c r="C15" s="54">
        <v>43524</v>
      </c>
      <c r="D15">
        <v>1952</v>
      </c>
      <c r="E15" t="s">
        <v>1611</v>
      </c>
      <c r="G15" s="23">
        <v>4267918</v>
      </c>
    </row>
    <row r="16" spans="1:7" hidden="1">
      <c r="A16">
        <v>122010201</v>
      </c>
      <c r="B16" t="s">
        <v>724</v>
      </c>
      <c r="C16" s="54">
        <v>43524</v>
      </c>
      <c r="D16">
        <v>5040</v>
      </c>
      <c r="E16" t="s">
        <v>898</v>
      </c>
      <c r="F16" s="23">
        <v>5274951</v>
      </c>
    </row>
    <row r="17" spans="1:7" hidden="1">
      <c r="A17">
        <v>122010201</v>
      </c>
      <c r="B17" t="s">
        <v>724</v>
      </c>
      <c r="C17" s="54">
        <v>43555</v>
      </c>
      <c r="D17">
        <v>3864</v>
      </c>
      <c r="E17" t="s">
        <v>1612</v>
      </c>
      <c r="F17" s="23">
        <v>336602</v>
      </c>
    </row>
    <row r="18" spans="1:7" hidden="1">
      <c r="A18">
        <v>122010201</v>
      </c>
      <c r="B18" t="s">
        <v>724</v>
      </c>
      <c r="C18" s="54">
        <v>43555</v>
      </c>
      <c r="D18">
        <v>3865</v>
      </c>
      <c r="E18" t="s">
        <v>1613</v>
      </c>
      <c r="G18" s="23">
        <v>4267918</v>
      </c>
    </row>
    <row r="19" spans="1:7" hidden="1">
      <c r="A19">
        <v>122010201</v>
      </c>
      <c r="B19" t="s">
        <v>724</v>
      </c>
      <c r="C19" s="54">
        <v>43555</v>
      </c>
      <c r="D19">
        <v>5470</v>
      </c>
      <c r="E19" t="s">
        <v>898</v>
      </c>
      <c r="F19" s="23">
        <v>1659091</v>
      </c>
    </row>
    <row r="20" spans="1:7" hidden="1">
      <c r="A20">
        <v>122010301</v>
      </c>
      <c r="B20" t="s">
        <v>256</v>
      </c>
      <c r="C20" s="54">
        <v>43466</v>
      </c>
      <c r="D20">
        <v>1</v>
      </c>
      <c r="E20" t="s">
        <v>1608</v>
      </c>
      <c r="F20" s="23">
        <v>499160079</v>
      </c>
    </row>
    <row r="21" spans="1:7" hidden="1">
      <c r="A21">
        <v>122010301</v>
      </c>
      <c r="B21" t="s">
        <v>256</v>
      </c>
      <c r="C21" s="54">
        <v>43496</v>
      </c>
      <c r="D21">
        <v>461</v>
      </c>
      <c r="E21" t="s">
        <v>1609</v>
      </c>
      <c r="F21" s="23">
        <v>1638368</v>
      </c>
    </row>
    <row r="22" spans="1:7" hidden="1">
      <c r="A22">
        <v>122010301</v>
      </c>
      <c r="B22" t="s">
        <v>256</v>
      </c>
      <c r="C22" s="54">
        <v>43496</v>
      </c>
      <c r="D22">
        <v>462</v>
      </c>
      <c r="E22" t="s">
        <v>1059</v>
      </c>
      <c r="G22" s="23">
        <v>16017273</v>
      </c>
    </row>
    <row r="23" spans="1:7" hidden="1">
      <c r="A23">
        <v>122010301</v>
      </c>
      <c r="B23" t="s">
        <v>256</v>
      </c>
      <c r="C23" s="54">
        <v>43524</v>
      </c>
      <c r="D23">
        <v>1951</v>
      </c>
      <c r="E23" t="s">
        <v>1610</v>
      </c>
      <c r="F23" s="23">
        <v>1638368</v>
      </c>
    </row>
    <row r="24" spans="1:7" hidden="1">
      <c r="A24">
        <v>122010301</v>
      </c>
      <c r="B24" t="s">
        <v>256</v>
      </c>
      <c r="C24" s="54">
        <v>43524</v>
      </c>
      <c r="D24">
        <v>1952</v>
      </c>
      <c r="E24" t="s">
        <v>1611</v>
      </c>
      <c r="G24" s="23">
        <v>16017273</v>
      </c>
    </row>
    <row r="25" spans="1:7" hidden="1">
      <c r="A25">
        <v>122010301</v>
      </c>
      <c r="B25" t="s">
        <v>256</v>
      </c>
      <c r="C25" s="54">
        <v>43555</v>
      </c>
      <c r="D25">
        <v>3864</v>
      </c>
      <c r="E25" t="s">
        <v>1612</v>
      </c>
      <c r="F25" s="23">
        <v>1638368</v>
      </c>
    </row>
    <row r="26" spans="1:7" hidden="1">
      <c r="A26">
        <v>122010301</v>
      </c>
      <c r="B26" t="s">
        <v>256</v>
      </c>
      <c r="C26" s="54">
        <v>43555</v>
      </c>
      <c r="D26">
        <v>3865</v>
      </c>
      <c r="E26" t="s">
        <v>1613</v>
      </c>
      <c r="G26" s="23">
        <v>16017273</v>
      </c>
    </row>
    <row r="27" spans="1:7" hidden="1">
      <c r="A27">
        <v>122010401</v>
      </c>
      <c r="B27" t="s">
        <v>728</v>
      </c>
      <c r="C27" s="54">
        <v>43466</v>
      </c>
      <c r="D27">
        <v>1</v>
      </c>
      <c r="E27" t="s">
        <v>1608</v>
      </c>
      <c r="F27" s="23">
        <v>72371803</v>
      </c>
    </row>
    <row r="28" spans="1:7" hidden="1">
      <c r="A28">
        <v>122010401</v>
      </c>
      <c r="B28" t="s">
        <v>728</v>
      </c>
      <c r="C28" s="54">
        <v>43496</v>
      </c>
      <c r="D28">
        <v>461</v>
      </c>
      <c r="E28" t="s">
        <v>1609</v>
      </c>
      <c r="F28" s="23">
        <v>208503</v>
      </c>
    </row>
    <row r="29" spans="1:7" hidden="1">
      <c r="A29">
        <v>122010401</v>
      </c>
      <c r="B29" t="s">
        <v>728</v>
      </c>
      <c r="C29" s="54">
        <v>43496</v>
      </c>
      <c r="D29">
        <v>462</v>
      </c>
      <c r="E29" t="s">
        <v>1059</v>
      </c>
      <c r="G29" s="23">
        <v>773154</v>
      </c>
    </row>
    <row r="30" spans="1:7" hidden="1">
      <c r="A30">
        <v>122010401</v>
      </c>
      <c r="B30" t="s">
        <v>728</v>
      </c>
      <c r="C30" s="54">
        <v>43524</v>
      </c>
      <c r="D30">
        <v>1951</v>
      </c>
      <c r="E30" t="s">
        <v>1610</v>
      </c>
      <c r="F30" s="23">
        <v>208503</v>
      </c>
    </row>
    <row r="31" spans="1:7" hidden="1">
      <c r="A31">
        <v>122010401</v>
      </c>
      <c r="B31" t="s">
        <v>728</v>
      </c>
      <c r="C31" s="54">
        <v>43524</v>
      </c>
      <c r="D31">
        <v>1952</v>
      </c>
      <c r="E31" t="s">
        <v>1611</v>
      </c>
      <c r="G31" s="23">
        <v>773154</v>
      </c>
    </row>
    <row r="32" spans="1:7" hidden="1">
      <c r="A32">
        <v>122010401</v>
      </c>
      <c r="B32" t="s">
        <v>728</v>
      </c>
      <c r="C32" s="54">
        <v>43555</v>
      </c>
      <c r="D32">
        <v>3864</v>
      </c>
      <c r="E32" t="s">
        <v>1612</v>
      </c>
      <c r="F32" s="23">
        <v>208503</v>
      </c>
    </row>
    <row r="33" spans="1:7" hidden="1">
      <c r="A33">
        <v>122010401</v>
      </c>
      <c r="B33" t="s">
        <v>728</v>
      </c>
      <c r="C33" s="54">
        <v>43555</v>
      </c>
      <c r="D33">
        <v>3865</v>
      </c>
      <c r="E33" t="s">
        <v>1613</v>
      </c>
      <c r="G33" s="23">
        <v>773154</v>
      </c>
    </row>
    <row r="34" spans="1:7" hidden="1">
      <c r="A34">
        <v>122010501</v>
      </c>
      <c r="B34" t="s">
        <v>255</v>
      </c>
      <c r="C34" s="54">
        <v>43466</v>
      </c>
      <c r="D34">
        <v>1</v>
      </c>
      <c r="E34" t="s">
        <v>1608</v>
      </c>
      <c r="F34" s="23">
        <v>239473358</v>
      </c>
    </row>
    <row r="35" spans="1:7" hidden="1">
      <c r="A35">
        <v>122010501</v>
      </c>
      <c r="B35" t="s">
        <v>255</v>
      </c>
      <c r="C35" s="54">
        <v>43496</v>
      </c>
      <c r="D35">
        <v>461</v>
      </c>
      <c r="E35" t="s">
        <v>1609</v>
      </c>
      <c r="F35" s="23">
        <v>696781</v>
      </c>
    </row>
    <row r="36" spans="1:7" hidden="1">
      <c r="A36">
        <v>122010501</v>
      </c>
      <c r="B36" t="s">
        <v>255</v>
      </c>
      <c r="C36" s="54">
        <v>43496</v>
      </c>
      <c r="D36">
        <v>462</v>
      </c>
      <c r="E36" t="s">
        <v>1059</v>
      </c>
      <c r="G36" s="23">
        <v>2837414</v>
      </c>
    </row>
    <row r="37" spans="1:7" hidden="1">
      <c r="A37">
        <v>122010501</v>
      </c>
      <c r="B37" t="s">
        <v>255</v>
      </c>
      <c r="C37" s="54">
        <v>43524</v>
      </c>
      <c r="D37">
        <v>1951</v>
      </c>
      <c r="E37" t="s">
        <v>1610</v>
      </c>
      <c r="F37" s="23">
        <v>696781</v>
      </c>
    </row>
    <row r="38" spans="1:7" hidden="1">
      <c r="A38">
        <v>122010501</v>
      </c>
      <c r="B38" t="s">
        <v>255</v>
      </c>
      <c r="C38" s="54">
        <v>43524</v>
      </c>
      <c r="D38">
        <v>1952</v>
      </c>
      <c r="E38" t="s">
        <v>1611</v>
      </c>
      <c r="G38" s="23">
        <v>2837414</v>
      </c>
    </row>
    <row r="39" spans="1:7" hidden="1">
      <c r="A39">
        <v>122010501</v>
      </c>
      <c r="B39" t="s">
        <v>255</v>
      </c>
      <c r="C39" s="54">
        <v>43555</v>
      </c>
      <c r="D39">
        <v>3864</v>
      </c>
      <c r="E39" t="s">
        <v>1612</v>
      </c>
      <c r="F39" s="23">
        <v>696781</v>
      </c>
    </row>
    <row r="40" spans="1:7" hidden="1">
      <c r="A40">
        <v>122010501</v>
      </c>
      <c r="B40" t="s">
        <v>255</v>
      </c>
      <c r="C40" s="54">
        <v>43555</v>
      </c>
      <c r="D40">
        <v>3865</v>
      </c>
      <c r="E40" t="s">
        <v>1613</v>
      </c>
      <c r="G40" s="23">
        <v>2837414</v>
      </c>
    </row>
    <row r="41" spans="1:7" hidden="1">
      <c r="A41">
        <v>122010701</v>
      </c>
      <c r="B41" t="s">
        <v>725</v>
      </c>
      <c r="C41" s="54">
        <v>43466</v>
      </c>
      <c r="D41">
        <v>1</v>
      </c>
      <c r="E41" t="s">
        <v>1608</v>
      </c>
      <c r="F41" s="23">
        <v>245995504</v>
      </c>
    </row>
    <row r="42" spans="1:7" hidden="1">
      <c r="A42">
        <v>122010701</v>
      </c>
      <c r="B42" t="s">
        <v>725</v>
      </c>
      <c r="C42" s="54">
        <v>43496</v>
      </c>
      <c r="D42">
        <v>461</v>
      </c>
      <c r="E42" t="s">
        <v>1609</v>
      </c>
      <c r="F42" s="23">
        <v>654775</v>
      </c>
    </row>
    <row r="43" spans="1:7" hidden="1">
      <c r="A43">
        <v>122010701</v>
      </c>
      <c r="B43" t="s">
        <v>725</v>
      </c>
      <c r="C43" s="54">
        <v>43496</v>
      </c>
      <c r="D43">
        <v>462</v>
      </c>
      <c r="E43" t="s">
        <v>1059</v>
      </c>
      <c r="G43" s="23">
        <v>578530</v>
      </c>
    </row>
    <row r="44" spans="1:7" hidden="1">
      <c r="A44">
        <v>122010701</v>
      </c>
      <c r="B44" t="s">
        <v>725</v>
      </c>
      <c r="C44" s="54">
        <v>43524</v>
      </c>
      <c r="D44">
        <v>1951</v>
      </c>
      <c r="E44" t="s">
        <v>1610</v>
      </c>
      <c r="F44" s="23">
        <v>654775</v>
      </c>
    </row>
    <row r="45" spans="1:7" hidden="1">
      <c r="A45">
        <v>122010701</v>
      </c>
      <c r="B45" t="s">
        <v>725</v>
      </c>
      <c r="C45" s="54">
        <v>43524</v>
      </c>
      <c r="D45">
        <v>1952</v>
      </c>
      <c r="E45" t="s">
        <v>1611</v>
      </c>
      <c r="G45" s="23">
        <v>578530</v>
      </c>
    </row>
    <row r="46" spans="1:7" hidden="1">
      <c r="A46">
        <v>122010701</v>
      </c>
      <c r="B46" t="s">
        <v>725</v>
      </c>
      <c r="C46" s="54">
        <v>43555</v>
      </c>
      <c r="D46">
        <v>3864</v>
      </c>
      <c r="E46" t="s">
        <v>1612</v>
      </c>
      <c r="F46" s="23">
        <v>654775</v>
      </c>
    </row>
    <row r="47" spans="1:7" hidden="1">
      <c r="A47">
        <v>122010701</v>
      </c>
      <c r="B47" t="s">
        <v>725</v>
      </c>
      <c r="C47" s="54">
        <v>43555</v>
      </c>
      <c r="D47">
        <v>3865</v>
      </c>
      <c r="E47" t="s">
        <v>1613</v>
      </c>
      <c r="G47" s="23">
        <v>578530</v>
      </c>
    </row>
    <row r="48" spans="1:7" hidden="1">
      <c r="A48">
        <v>122010801</v>
      </c>
      <c r="B48" t="s">
        <v>727</v>
      </c>
      <c r="C48" s="54">
        <v>43466</v>
      </c>
      <c r="D48">
        <v>1</v>
      </c>
      <c r="E48" t="s">
        <v>1608</v>
      </c>
      <c r="F48" s="23">
        <v>81276890</v>
      </c>
    </row>
    <row r="49" spans="1:7" hidden="1">
      <c r="A49">
        <v>122010801</v>
      </c>
      <c r="B49" t="s">
        <v>727</v>
      </c>
      <c r="C49" s="54">
        <v>43496</v>
      </c>
      <c r="D49">
        <v>461</v>
      </c>
      <c r="E49" t="s">
        <v>1609</v>
      </c>
      <c r="F49" s="23">
        <v>291494</v>
      </c>
    </row>
    <row r="50" spans="1:7" hidden="1">
      <c r="A50">
        <v>122010801</v>
      </c>
      <c r="B50" t="s">
        <v>727</v>
      </c>
      <c r="C50" s="54">
        <v>43496</v>
      </c>
      <c r="D50">
        <v>462</v>
      </c>
      <c r="E50" t="s">
        <v>1059</v>
      </c>
      <c r="G50" s="23">
        <v>3702602</v>
      </c>
    </row>
    <row r="51" spans="1:7" hidden="1">
      <c r="A51">
        <v>122010801</v>
      </c>
      <c r="B51" t="s">
        <v>727</v>
      </c>
      <c r="C51" s="54">
        <v>43524</v>
      </c>
      <c r="D51">
        <v>1951</v>
      </c>
      <c r="E51" t="s">
        <v>1610</v>
      </c>
      <c r="F51" s="23">
        <v>291494</v>
      </c>
    </row>
    <row r="52" spans="1:7" hidden="1">
      <c r="A52">
        <v>122010801</v>
      </c>
      <c r="B52" t="s">
        <v>727</v>
      </c>
      <c r="C52" s="54">
        <v>43524</v>
      </c>
      <c r="D52">
        <v>1952</v>
      </c>
      <c r="E52" t="s">
        <v>1611</v>
      </c>
      <c r="G52" s="23">
        <v>3702602</v>
      </c>
    </row>
    <row r="53" spans="1:7" hidden="1">
      <c r="A53">
        <v>122010801</v>
      </c>
      <c r="B53" t="s">
        <v>727</v>
      </c>
      <c r="C53" s="54">
        <v>43555</v>
      </c>
      <c r="D53">
        <v>3864</v>
      </c>
      <c r="E53" t="s">
        <v>1612</v>
      </c>
      <c r="F53" s="23">
        <v>291494</v>
      </c>
    </row>
    <row r="54" spans="1:7" hidden="1">
      <c r="A54">
        <v>122010801</v>
      </c>
      <c r="B54" t="s">
        <v>727</v>
      </c>
      <c r="C54" s="54">
        <v>43555</v>
      </c>
      <c r="D54">
        <v>3865</v>
      </c>
      <c r="E54" t="s">
        <v>1613</v>
      </c>
      <c r="G54" s="23">
        <v>3702602</v>
      </c>
    </row>
    <row r="55" spans="1:7" hidden="1">
      <c r="A55">
        <v>122010901</v>
      </c>
      <c r="B55" t="s">
        <v>730</v>
      </c>
      <c r="C55" s="54">
        <v>43466</v>
      </c>
      <c r="D55">
        <v>1</v>
      </c>
      <c r="E55" t="s">
        <v>1608</v>
      </c>
      <c r="F55" s="23">
        <v>390410270</v>
      </c>
    </row>
    <row r="56" spans="1:7" hidden="1">
      <c r="A56">
        <v>122010901</v>
      </c>
      <c r="B56" t="s">
        <v>730</v>
      </c>
      <c r="C56" s="54">
        <v>43496</v>
      </c>
      <c r="D56">
        <v>461</v>
      </c>
      <c r="E56" t="s">
        <v>1609</v>
      </c>
      <c r="F56" s="23">
        <v>1228030</v>
      </c>
    </row>
    <row r="57" spans="1:7" hidden="1">
      <c r="A57">
        <v>122010901</v>
      </c>
      <c r="B57" t="s">
        <v>730</v>
      </c>
      <c r="C57" s="54">
        <v>43496</v>
      </c>
      <c r="D57">
        <v>462</v>
      </c>
      <c r="E57" t="s">
        <v>1059</v>
      </c>
      <c r="G57" s="23">
        <v>11222445</v>
      </c>
    </row>
    <row r="58" spans="1:7" hidden="1">
      <c r="A58">
        <v>122010901</v>
      </c>
      <c r="B58" t="s">
        <v>730</v>
      </c>
      <c r="C58" s="54">
        <v>43496</v>
      </c>
      <c r="D58">
        <v>3687</v>
      </c>
      <c r="E58" t="s">
        <v>898</v>
      </c>
      <c r="F58" s="23">
        <v>527020</v>
      </c>
    </row>
    <row r="59" spans="1:7" hidden="1">
      <c r="A59">
        <v>122010901</v>
      </c>
      <c r="B59" t="s">
        <v>730</v>
      </c>
      <c r="C59" s="54">
        <v>43496</v>
      </c>
      <c r="D59">
        <v>3723</v>
      </c>
      <c r="E59" t="s">
        <v>898</v>
      </c>
      <c r="F59" s="23">
        <v>439764</v>
      </c>
    </row>
    <row r="60" spans="1:7" hidden="1">
      <c r="A60">
        <v>122010901</v>
      </c>
      <c r="B60" t="s">
        <v>730</v>
      </c>
      <c r="C60" s="54">
        <v>43496</v>
      </c>
      <c r="D60">
        <v>3725</v>
      </c>
      <c r="E60" t="s">
        <v>898</v>
      </c>
      <c r="F60" s="23">
        <v>2309091</v>
      </c>
    </row>
    <row r="61" spans="1:7" hidden="1">
      <c r="A61">
        <v>122010901</v>
      </c>
      <c r="B61" t="s">
        <v>730</v>
      </c>
      <c r="C61" s="54">
        <v>43496</v>
      </c>
      <c r="D61">
        <v>3753</v>
      </c>
      <c r="E61" t="s">
        <v>898</v>
      </c>
      <c r="F61" s="23">
        <v>50000000</v>
      </c>
    </row>
    <row r="62" spans="1:7" hidden="1">
      <c r="A62">
        <v>122010901</v>
      </c>
      <c r="B62" t="s">
        <v>730</v>
      </c>
      <c r="C62" s="54">
        <v>43496</v>
      </c>
      <c r="D62">
        <v>3760</v>
      </c>
      <c r="E62" t="s">
        <v>898</v>
      </c>
      <c r="F62" s="23">
        <v>248455</v>
      </c>
    </row>
    <row r="63" spans="1:7" hidden="1">
      <c r="A63">
        <v>122010901</v>
      </c>
      <c r="B63" t="s">
        <v>730</v>
      </c>
      <c r="C63" s="54">
        <v>43524</v>
      </c>
      <c r="D63">
        <v>1951</v>
      </c>
      <c r="E63" t="s">
        <v>1610</v>
      </c>
      <c r="F63" s="23">
        <v>1228030</v>
      </c>
    </row>
    <row r="64" spans="1:7" hidden="1">
      <c r="A64">
        <v>122010901</v>
      </c>
      <c r="B64" t="s">
        <v>730</v>
      </c>
      <c r="C64" s="54">
        <v>43524</v>
      </c>
      <c r="D64">
        <v>1952</v>
      </c>
      <c r="E64" t="s">
        <v>1611</v>
      </c>
      <c r="G64" s="23">
        <v>11222445</v>
      </c>
    </row>
    <row r="65" spans="1:7" hidden="1">
      <c r="A65">
        <v>122010901</v>
      </c>
      <c r="B65" t="s">
        <v>730</v>
      </c>
      <c r="C65" s="54">
        <v>43524</v>
      </c>
      <c r="D65">
        <v>5040</v>
      </c>
      <c r="E65" t="s">
        <v>898</v>
      </c>
      <c r="F65" s="23">
        <v>1220069</v>
      </c>
    </row>
    <row r="66" spans="1:7" hidden="1">
      <c r="A66">
        <v>122010901</v>
      </c>
      <c r="B66" t="s">
        <v>730</v>
      </c>
      <c r="C66" s="54">
        <v>43524</v>
      </c>
      <c r="D66">
        <v>5078</v>
      </c>
      <c r="E66" t="s">
        <v>898</v>
      </c>
      <c r="F66" s="23">
        <v>440973</v>
      </c>
    </row>
    <row r="67" spans="1:7" hidden="1">
      <c r="A67">
        <v>122010901</v>
      </c>
      <c r="B67" t="s">
        <v>730</v>
      </c>
      <c r="C67" s="54">
        <v>43524</v>
      </c>
      <c r="D67">
        <v>5080</v>
      </c>
      <c r="E67" t="s">
        <v>898</v>
      </c>
      <c r="F67" s="23">
        <v>236364</v>
      </c>
    </row>
    <row r="68" spans="1:7" hidden="1">
      <c r="A68">
        <v>122010901</v>
      </c>
      <c r="B68" t="s">
        <v>730</v>
      </c>
      <c r="C68" s="54">
        <v>43524</v>
      </c>
      <c r="D68">
        <v>5087</v>
      </c>
      <c r="E68" t="s">
        <v>898</v>
      </c>
      <c r="F68" s="23">
        <v>2115747</v>
      </c>
    </row>
    <row r="69" spans="1:7" hidden="1">
      <c r="A69">
        <v>122010901</v>
      </c>
      <c r="B69" t="s">
        <v>730</v>
      </c>
      <c r="C69" s="54">
        <v>43524</v>
      </c>
      <c r="D69">
        <v>5115</v>
      </c>
      <c r="E69" t="s">
        <v>898</v>
      </c>
      <c r="F69" s="23">
        <v>149637</v>
      </c>
    </row>
    <row r="70" spans="1:7" hidden="1">
      <c r="A70">
        <v>122010901</v>
      </c>
      <c r="B70" t="s">
        <v>730</v>
      </c>
      <c r="C70" s="54">
        <v>43555</v>
      </c>
      <c r="D70">
        <v>3864</v>
      </c>
      <c r="E70" t="s">
        <v>1612</v>
      </c>
      <c r="F70" s="23">
        <v>1228030</v>
      </c>
    </row>
    <row r="71" spans="1:7" hidden="1">
      <c r="A71">
        <v>122010901</v>
      </c>
      <c r="B71" t="s">
        <v>730</v>
      </c>
      <c r="C71" s="54">
        <v>43555</v>
      </c>
      <c r="D71">
        <v>3865</v>
      </c>
      <c r="E71" t="s">
        <v>1613</v>
      </c>
      <c r="G71" s="23">
        <v>11222445</v>
      </c>
    </row>
    <row r="72" spans="1:7" hidden="1">
      <c r="A72">
        <v>122010901</v>
      </c>
      <c r="B72" t="s">
        <v>730</v>
      </c>
      <c r="C72" s="54">
        <v>43555</v>
      </c>
      <c r="D72">
        <v>5470</v>
      </c>
      <c r="E72" t="s">
        <v>898</v>
      </c>
      <c r="F72" s="23">
        <v>1913728</v>
      </c>
    </row>
    <row r="73" spans="1:7" hidden="1">
      <c r="A73">
        <v>122010901</v>
      </c>
      <c r="B73" t="s">
        <v>730</v>
      </c>
      <c r="C73" s="54">
        <v>43555</v>
      </c>
      <c r="D73">
        <v>5508</v>
      </c>
      <c r="E73" t="s">
        <v>898</v>
      </c>
      <c r="F73" s="23">
        <v>696091</v>
      </c>
    </row>
    <row r="74" spans="1:7" hidden="1">
      <c r="A74">
        <v>122010901</v>
      </c>
      <c r="B74" t="s">
        <v>730</v>
      </c>
      <c r="C74" s="54">
        <v>43555</v>
      </c>
      <c r="D74">
        <v>5510</v>
      </c>
      <c r="E74" t="s">
        <v>898</v>
      </c>
      <c r="F74" s="23">
        <v>600000</v>
      </c>
    </row>
    <row r="75" spans="1:7" hidden="1">
      <c r="A75">
        <v>122010901</v>
      </c>
      <c r="B75" t="s">
        <v>730</v>
      </c>
      <c r="C75" s="54">
        <v>43555</v>
      </c>
      <c r="D75">
        <v>5547</v>
      </c>
      <c r="E75" t="s">
        <v>898</v>
      </c>
      <c r="F75" s="23">
        <v>32727</v>
      </c>
    </row>
    <row r="76" spans="1:7" hidden="1">
      <c r="A76">
        <v>122020100</v>
      </c>
      <c r="B76" t="s">
        <v>1010</v>
      </c>
      <c r="C76" s="54">
        <v>43466</v>
      </c>
      <c r="D76">
        <v>1</v>
      </c>
      <c r="E76" t="s">
        <v>1608</v>
      </c>
      <c r="F76" s="23">
        <v>17838304206</v>
      </c>
    </row>
    <row r="77" spans="1:7" hidden="1">
      <c r="A77">
        <v>122030101</v>
      </c>
      <c r="B77" t="s">
        <v>1060</v>
      </c>
      <c r="C77" s="54">
        <v>43466</v>
      </c>
      <c r="D77">
        <v>1</v>
      </c>
      <c r="E77" t="s">
        <v>1608</v>
      </c>
      <c r="F77" s="23">
        <v>325160413</v>
      </c>
    </row>
    <row r="78" spans="1:7">
      <c r="A78">
        <v>122030200</v>
      </c>
      <c r="B78" t="s">
        <v>1061</v>
      </c>
      <c r="C78" s="54">
        <v>43466</v>
      </c>
      <c r="D78">
        <v>1</v>
      </c>
      <c r="E78" t="s">
        <v>1608</v>
      </c>
      <c r="F78" s="23">
        <v>7090909</v>
      </c>
    </row>
    <row r="79" spans="1:7">
      <c r="A79">
        <v>122039900</v>
      </c>
      <c r="B79" t="s">
        <v>1011</v>
      </c>
      <c r="C79" s="54">
        <v>43466</v>
      </c>
      <c r="D79">
        <v>1</v>
      </c>
      <c r="E79" t="s">
        <v>1608</v>
      </c>
      <c r="G79" s="23">
        <v>217620982</v>
      </c>
    </row>
    <row r="80" spans="1:7">
      <c r="A80">
        <v>122039900</v>
      </c>
      <c r="B80" t="s">
        <v>1011</v>
      </c>
      <c r="C80" s="54">
        <v>43496</v>
      </c>
      <c r="D80">
        <v>460</v>
      </c>
      <c r="E80" t="s">
        <v>1614</v>
      </c>
      <c r="G80" s="23">
        <v>3041725</v>
      </c>
    </row>
    <row r="81" spans="1:7">
      <c r="A81">
        <v>122039900</v>
      </c>
      <c r="B81" t="s">
        <v>1011</v>
      </c>
      <c r="C81" s="54">
        <v>43524</v>
      </c>
      <c r="D81">
        <v>1953</v>
      </c>
      <c r="E81" t="s">
        <v>1615</v>
      </c>
      <c r="G81" s="23">
        <v>3041725</v>
      </c>
    </row>
    <row r="82" spans="1:7">
      <c r="A82">
        <v>122039900</v>
      </c>
      <c r="B82" t="s">
        <v>1011</v>
      </c>
      <c r="C82" s="54">
        <v>43555</v>
      </c>
      <c r="D82">
        <v>3866</v>
      </c>
      <c r="E82" t="s">
        <v>1616</v>
      </c>
      <c r="G82" s="23">
        <v>3041725</v>
      </c>
    </row>
    <row r="83" spans="1:7" hidden="1">
      <c r="A83">
        <v>122050200</v>
      </c>
      <c r="B83" t="s">
        <v>1013</v>
      </c>
      <c r="C83" s="54">
        <v>43466</v>
      </c>
      <c r="D83">
        <v>1</v>
      </c>
      <c r="E83" t="s">
        <v>1608</v>
      </c>
      <c r="F83" s="23">
        <v>27477255021</v>
      </c>
    </row>
    <row r="84" spans="1:7" hidden="1">
      <c r="A84">
        <v>122050200</v>
      </c>
      <c r="B84" t="s">
        <v>1013</v>
      </c>
      <c r="C84" s="54">
        <v>43496</v>
      </c>
      <c r="D84">
        <v>461</v>
      </c>
      <c r="E84" t="s">
        <v>1609</v>
      </c>
      <c r="F84" s="23">
        <v>40102722</v>
      </c>
    </row>
    <row r="85" spans="1:7" hidden="1">
      <c r="A85">
        <v>122050200</v>
      </c>
      <c r="B85" t="s">
        <v>1013</v>
      </c>
      <c r="C85" s="54">
        <v>43496</v>
      </c>
      <c r="D85">
        <v>462</v>
      </c>
      <c r="E85" t="s">
        <v>1059</v>
      </c>
      <c r="G85" s="23">
        <v>18267166</v>
      </c>
    </row>
    <row r="86" spans="1:7" hidden="1">
      <c r="A86">
        <v>122050200</v>
      </c>
      <c r="B86" t="s">
        <v>1013</v>
      </c>
      <c r="C86" s="54">
        <v>43524</v>
      </c>
      <c r="D86">
        <v>1951</v>
      </c>
      <c r="E86" t="s">
        <v>1610</v>
      </c>
      <c r="F86" s="23">
        <v>40102722</v>
      </c>
    </row>
    <row r="87" spans="1:7" hidden="1">
      <c r="A87">
        <v>122050200</v>
      </c>
      <c r="B87" t="s">
        <v>1013</v>
      </c>
      <c r="C87" s="54">
        <v>43524</v>
      </c>
      <c r="D87">
        <v>1952</v>
      </c>
      <c r="E87" t="s">
        <v>1611</v>
      </c>
      <c r="G87" s="23">
        <v>18267166</v>
      </c>
    </row>
    <row r="88" spans="1:7" hidden="1">
      <c r="A88">
        <v>122050200</v>
      </c>
      <c r="B88" t="s">
        <v>1013</v>
      </c>
      <c r="C88" s="54">
        <v>43555</v>
      </c>
      <c r="D88">
        <v>3864</v>
      </c>
      <c r="E88" t="s">
        <v>1612</v>
      </c>
      <c r="F88" s="23">
        <v>40102722</v>
      </c>
    </row>
    <row r="89" spans="1:7" hidden="1">
      <c r="A89">
        <v>122050200</v>
      </c>
      <c r="B89" t="s">
        <v>1013</v>
      </c>
      <c r="C89" s="54">
        <v>43555</v>
      </c>
      <c r="D89">
        <v>3865</v>
      </c>
      <c r="E89" t="s">
        <v>1613</v>
      </c>
      <c r="G89" s="23">
        <v>18267166</v>
      </c>
    </row>
    <row r="90" spans="1:7" hidden="1">
      <c r="A90">
        <v>122010101</v>
      </c>
      <c r="B90" t="s">
        <v>729</v>
      </c>
      <c r="C90" s="54">
        <v>43556</v>
      </c>
      <c r="D90" t="s">
        <v>1073</v>
      </c>
      <c r="F90" s="23">
        <v>461232483</v>
      </c>
      <c r="G90" s="23" t="s">
        <v>1074</v>
      </c>
    </row>
    <row r="91" spans="1:7" hidden="1">
      <c r="A91">
        <v>122010101</v>
      </c>
      <c r="B91" t="s">
        <v>729</v>
      </c>
      <c r="C91" s="54">
        <v>43585</v>
      </c>
      <c r="D91">
        <v>5645</v>
      </c>
      <c r="E91" t="s">
        <v>1630</v>
      </c>
      <c r="F91" s="23">
        <v>1370565</v>
      </c>
    </row>
    <row r="92" spans="1:7" hidden="1">
      <c r="A92">
        <v>122010101</v>
      </c>
      <c r="B92" t="s">
        <v>729</v>
      </c>
      <c r="C92" s="54">
        <v>43585</v>
      </c>
      <c r="D92">
        <v>5646</v>
      </c>
      <c r="E92" t="s">
        <v>1631</v>
      </c>
      <c r="G92" s="23">
        <v>6573461</v>
      </c>
    </row>
    <row r="93" spans="1:7" hidden="1">
      <c r="A93">
        <v>122010101</v>
      </c>
      <c r="B93" t="s">
        <v>729</v>
      </c>
      <c r="C93" s="54">
        <v>43585</v>
      </c>
      <c r="D93">
        <v>7504</v>
      </c>
      <c r="E93" t="s">
        <v>898</v>
      </c>
      <c r="F93" s="23">
        <v>72727</v>
      </c>
    </row>
    <row r="94" spans="1:7" hidden="1">
      <c r="A94">
        <v>122010101</v>
      </c>
      <c r="B94" t="s">
        <v>729</v>
      </c>
      <c r="C94" s="54">
        <v>43616</v>
      </c>
      <c r="D94">
        <v>7110</v>
      </c>
      <c r="E94" t="s">
        <v>1632</v>
      </c>
      <c r="F94" s="23">
        <v>1370565</v>
      </c>
    </row>
    <row r="95" spans="1:7" hidden="1">
      <c r="A95">
        <v>122010101</v>
      </c>
      <c r="B95" t="s">
        <v>729</v>
      </c>
      <c r="C95" s="54">
        <v>43616</v>
      </c>
      <c r="D95">
        <v>7111</v>
      </c>
      <c r="E95" t="s">
        <v>1075</v>
      </c>
      <c r="G95" s="23">
        <v>6573461</v>
      </c>
    </row>
    <row r="96" spans="1:7" hidden="1">
      <c r="A96">
        <v>122010101</v>
      </c>
      <c r="B96" t="s">
        <v>729</v>
      </c>
      <c r="C96" s="54">
        <v>43616</v>
      </c>
      <c r="D96">
        <v>8222</v>
      </c>
      <c r="E96" t="s">
        <v>898</v>
      </c>
      <c r="F96" s="23">
        <v>2045455</v>
      </c>
    </row>
    <row r="97" spans="1:7" hidden="1">
      <c r="A97">
        <v>122010101</v>
      </c>
      <c r="B97" t="s">
        <v>729</v>
      </c>
      <c r="C97" s="54">
        <v>43616</v>
      </c>
      <c r="D97">
        <v>8229</v>
      </c>
      <c r="E97" t="s">
        <v>898</v>
      </c>
      <c r="F97" s="23">
        <v>3055250</v>
      </c>
    </row>
    <row r="98" spans="1:7" hidden="1">
      <c r="A98">
        <v>122010101</v>
      </c>
      <c r="B98" t="s">
        <v>729</v>
      </c>
      <c r="C98" s="54">
        <v>43616</v>
      </c>
      <c r="D98">
        <v>8267</v>
      </c>
      <c r="E98" t="s">
        <v>898</v>
      </c>
      <c r="F98" s="23">
        <v>1163636</v>
      </c>
    </row>
    <row r="99" spans="1:7" hidden="1">
      <c r="A99">
        <v>122010101</v>
      </c>
      <c r="B99" t="s">
        <v>729</v>
      </c>
      <c r="C99" s="54">
        <v>43646</v>
      </c>
      <c r="D99">
        <v>8315</v>
      </c>
      <c r="E99" t="s">
        <v>1633</v>
      </c>
      <c r="F99" s="23">
        <v>1370565</v>
      </c>
    </row>
    <row r="100" spans="1:7" hidden="1">
      <c r="A100">
        <v>122010101</v>
      </c>
      <c r="B100" t="s">
        <v>729</v>
      </c>
      <c r="C100" s="54">
        <v>43646</v>
      </c>
      <c r="D100">
        <v>8316</v>
      </c>
      <c r="E100" t="s">
        <v>1634</v>
      </c>
      <c r="G100" s="23">
        <v>6573461</v>
      </c>
    </row>
    <row r="101" spans="1:7" hidden="1">
      <c r="A101">
        <v>122010101</v>
      </c>
      <c r="B101" t="s">
        <v>729</v>
      </c>
      <c r="C101" s="54">
        <v>43646</v>
      </c>
      <c r="D101">
        <v>9335</v>
      </c>
      <c r="E101" t="s">
        <v>898</v>
      </c>
      <c r="F101" s="23">
        <v>2831818</v>
      </c>
    </row>
    <row r="102" spans="1:7" hidden="1">
      <c r="A102">
        <v>122010101</v>
      </c>
      <c r="B102" t="s">
        <v>729</v>
      </c>
      <c r="C102" s="54">
        <v>43646</v>
      </c>
      <c r="D102">
        <v>9384</v>
      </c>
      <c r="E102" t="s">
        <v>898</v>
      </c>
      <c r="F102" s="23">
        <v>3490909</v>
      </c>
    </row>
    <row r="103" spans="1:7" hidden="1">
      <c r="A103">
        <v>122010101</v>
      </c>
      <c r="B103" t="s">
        <v>729</v>
      </c>
      <c r="C103" s="54">
        <v>43646</v>
      </c>
      <c r="D103">
        <v>9390</v>
      </c>
      <c r="E103" t="s">
        <v>898</v>
      </c>
      <c r="F103" s="23">
        <v>454545</v>
      </c>
    </row>
    <row r="104" spans="1:7" hidden="1">
      <c r="A104">
        <v>122010201</v>
      </c>
      <c r="B104" t="s">
        <v>724</v>
      </c>
      <c r="C104" s="54">
        <v>43556</v>
      </c>
      <c r="D104" t="s">
        <v>1073</v>
      </c>
      <c r="F104" s="23">
        <v>115483635</v>
      </c>
      <c r="G104" s="23" t="s">
        <v>1074</v>
      </c>
    </row>
    <row r="105" spans="1:7" hidden="1">
      <c r="A105">
        <v>122010201</v>
      </c>
      <c r="B105" t="s">
        <v>724</v>
      </c>
      <c r="C105" s="54">
        <v>43585</v>
      </c>
      <c r="D105">
        <v>5645</v>
      </c>
      <c r="E105" t="s">
        <v>1630</v>
      </c>
      <c r="F105" s="23">
        <v>336602</v>
      </c>
    </row>
    <row r="106" spans="1:7" hidden="1">
      <c r="A106">
        <v>122010201</v>
      </c>
      <c r="B106" t="s">
        <v>724</v>
      </c>
      <c r="C106" s="54">
        <v>43585</v>
      </c>
      <c r="D106">
        <v>5646</v>
      </c>
      <c r="E106" t="s">
        <v>1631</v>
      </c>
      <c r="G106" s="23">
        <v>4267918</v>
      </c>
    </row>
    <row r="107" spans="1:7" hidden="1">
      <c r="A107">
        <v>122010201</v>
      </c>
      <c r="B107" t="s">
        <v>724</v>
      </c>
      <c r="C107" s="54">
        <v>43585</v>
      </c>
      <c r="D107">
        <v>7424</v>
      </c>
      <c r="E107" t="s">
        <v>898</v>
      </c>
      <c r="F107" s="23">
        <v>5040552</v>
      </c>
    </row>
    <row r="108" spans="1:7" hidden="1">
      <c r="A108">
        <v>122010201</v>
      </c>
      <c r="B108" t="s">
        <v>724</v>
      </c>
      <c r="C108" s="54">
        <v>43616</v>
      </c>
      <c r="D108">
        <v>7110</v>
      </c>
      <c r="E108" t="s">
        <v>1632</v>
      </c>
      <c r="F108" s="23">
        <v>336602</v>
      </c>
    </row>
    <row r="109" spans="1:7" hidden="1">
      <c r="A109">
        <v>122010201</v>
      </c>
      <c r="B109" t="s">
        <v>724</v>
      </c>
      <c r="C109" s="54">
        <v>43616</v>
      </c>
      <c r="D109">
        <v>7111</v>
      </c>
      <c r="E109" t="s">
        <v>1075</v>
      </c>
      <c r="G109" s="23">
        <v>4267918</v>
      </c>
    </row>
    <row r="110" spans="1:7" hidden="1">
      <c r="A110">
        <v>122010201</v>
      </c>
      <c r="B110" t="s">
        <v>724</v>
      </c>
      <c r="C110" s="54">
        <v>43646</v>
      </c>
      <c r="D110">
        <v>8315</v>
      </c>
      <c r="E110" t="s">
        <v>1633</v>
      </c>
      <c r="F110" s="23">
        <v>336602</v>
      </c>
    </row>
    <row r="111" spans="1:7" hidden="1">
      <c r="A111">
        <v>122010201</v>
      </c>
      <c r="B111" t="s">
        <v>724</v>
      </c>
      <c r="C111" s="54">
        <v>43646</v>
      </c>
      <c r="D111">
        <v>8316</v>
      </c>
      <c r="E111" t="s">
        <v>1634</v>
      </c>
      <c r="G111" s="23">
        <v>4267918</v>
      </c>
    </row>
    <row r="112" spans="1:7" hidden="1">
      <c r="A112">
        <v>122010201</v>
      </c>
      <c r="B112" t="s">
        <v>724</v>
      </c>
      <c r="C112" s="54">
        <v>43646</v>
      </c>
      <c r="D112">
        <v>9335</v>
      </c>
      <c r="E112" t="s">
        <v>898</v>
      </c>
      <c r="F112" s="23">
        <v>3562381</v>
      </c>
    </row>
    <row r="113" spans="1:7" hidden="1">
      <c r="A113">
        <v>122010301</v>
      </c>
      <c r="B113" t="s">
        <v>256</v>
      </c>
      <c r="C113" s="54">
        <v>43556</v>
      </c>
      <c r="D113" t="s">
        <v>1073</v>
      </c>
      <c r="F113" s="23">
        <v>456023364</v>
      </c>
      <c r="G113" s="23" t="s">
        <v>1074</v>
      </c>
    </row>
    <row r="114" spans="1:7" hidden="1">
      <c r="A114">
        <v>122010301</v>
      </c>
      <c r="B114" t="s">
        <v>256</v>
      </c>
      <c r="C114" s="54">
        <v>43585</v>
      </c>
      <c r="D114">
        <v>5645</v>
      </c>
      <c r="E114" t="s">
        <v>1630</v>
      </c>
      <c r="F114" s="23">
        <v>1638368</v>
      </c>
    </row>
    <row r="115" spans="1:7" hidden="1">
      <c r="A115">
        <v>122010301</v>
      </c>
      <c r="B115" t="s">
        <v>256</v>
      </c>
      <c r="C115" s="54">
        <v>43585</v>
      </c>
      <c r="D115">
        <v>5646</v>
      </c>
      <c r="E115" t="s">
        <v>1631</v>
      </c>
      <c r="G115" s="23">
        <v>16017273</v>
      </c>
    </row>
    <row r="116" spans="1:7" hidden="1">
      <c r="A116">
        <v>122010301</v>
      </c>
      <c r="B116" t="s">
        <v>256</v>
      </c>
      <c r="C116" s="54">
        <v>43616</v>
      </c>
      <c r="D116">
        <v>7110</v>
      </c>
      <c r="E116" t="s">
        <v>1632</v>
      </c>
      <c r="F116" s="23">
        <v>1638368</v>
      </c>
    </row>
    <row r="117" spans="1:7" hidden="1">
      <c r="A117">
        <v>122010301</v>
      </c>
      <c r="B117" t="s">
        <v>256</v>
      </c>
      <c r="C117" s="54">
        <v>43616</v>
      </c>
      <c r="D117">
        <v>7111</v>
      </c>
      <c r="E117" t="s">
        <v>1075</v>
      </c>
      <c r="G117" s="23">
        <v>16017273</v>
      </c>
    </row>
    <row r="118" spans="1:7" hidden="1">
      <c r="A118">
        <v>122010301</v>
      </c>
      <c r="B118" t="s">
        <v>256</v>
      </c>
      <c r="C118" s="54">
        <v>43646</v>
      </c>
      <c r="D118">
        <v>8315</v>
      </c>
      <c r="E118" t="s">
        <v>1633</v>
      </c>
      <c r="F118" s="23">
        <v>1638368</v>
      </c>
    </row>
    <row r="119" spans="1:7" hidden="1">
      <c r="A119">
        <v>122010301</v>
      </c>
      <c r="B119" t="s">
        <v>256</v>
      </c>
      <c r="C119" s="54">
        <v>43646</v>
      </c>
      <c r="D119">
        <v>8316</v>
      </c>
      <c r="E119" t="s">
        <v>1634</v>
      </c>
      <c r="G119" s="23">
        <v>16017273</v>
      </c>
    </row>
    <row r="120" spans="1:7" hidden="1">
      <c r="A120">
        <v>122010401</v>
      </c>
      <c r="B120" t="s">
        <v>728</v>
      </c>
      <c r="C120" s="54">
        <v>43556</v>
      </c>
      <c r="D120" t="s">
        <v>1073</v>
      </c>
      <c r="F120" s="23">
        <v>70677850</v>
      </c>
      <c r="G120" s="23" t="s">
        <v>1074</v>
      </c>
    </row>
    <row r="121" spans="1:7" hidden="1">
      <c r="A121">
        <v>122010401</v>
      </c>
      <c r="B121" t="s">
        <v>728</v>
      </c>
      <c r="C121" s="54">
        <v>43585</v>
      </c>
      <c r="D121">
        <v>5645</v>
      </c>
      <c r="E121" t="s">
        <v>1630</v>
      </c>
      <c r="F121" s="23">
        <v>208503</v>
      </c>
    </row>
    <row r="122" spans="1:7" hidden="1">
      <c r="A122">
        <v>122010401</v>
      </c>
      <c r="B122" t="s">
        <v>728</v>
      </c>
      <c r="C122" s="54">
        <v>43585</v>
      </c>
      <c r="D122">
        <v>5646</v>
      </c>
      <c r="E122" t="s">
        <v>1631</v>
      </c>
      <c r="G122" s="23">
        <v>773154</v>
      </c>
    </row>
    <row r="123" spans="1:7" hidden="1">
      <c r="A123">
        <v>122010401</v>
      </c>
      <c r="B123" t="s">
        <v>728</v>
      </c>
      <c r="C123" s="54">
        <v>43616</v>
      </c>
      <c r="D123">
        <v>7110</v>
      </c>
      <c r="E123" t="s">
        <v>1632</v>
      </c>
      <c r="F123" s="23">
        <v>208503</v>
      </c>
    </row>
    <row r="124" spans="1:7" hidden="1">
      <c r="A124">
        <v>122010401</v>
      </c>
      <c r="B124" t="s">
        <v>728</v>
      </c>
      <c r="C124" s="54">
        <v>43616</v>
      </c>
      <c r="D124">
        <v>7111</v>
      </c>
      <c r="E124" t="s">
        <v>1075</v>
      </c>
      <c r="G124" s="23">
        <v>773154</v>
      </c>
    </row>
    <row r="125" spans="1:7" hidden="1">
      <c r="A125">
        <v>122010401</v>
      </c>
      <c r="B125" t="s">
        <v>728</v>
      </c>
      <c r="C125" s="54">
        <v>43646</v>
      </c>
      <c r="D125">
        <v>8315</v>
      </c>
      <c r="E125" t="s">
        <v>1633</v>
      </c>
      <c r="F125" s="23">
        <v>208503</v>
      </c>
    </row>
    <row r="126" spans="1:7" hidden="1">
      <c r="A126">
        <v>122010401</v>
      </c>
      <c r="B126" t="s">
        <v>728</v>
      </c>
      <c r="C126" s="54">
        <v>43646</v>
      </c>
      <c r="D126">
        <v>8316</v>
      </c>
      <c r="E126" t="s">
        <v>1634</v>
      </c>
      <c r="G126" s="23">
        <v>773154</v>
      </c>
    </row>
    <row r="127" spans="1:7" hidden="1">
      <c r="A127">
        <v>122010501</v>
      </c>
      <c r="B127" t="s">
        <v>255</v>
      </c>
      <c r="C127" s="54">
        <v>43556</v>
      </c>
      <c r="D127" t="s">
        <v>1073</v>
      </c>
      <c r="F127" s="23">
        <v>233051459</v>
      </c>
      <c r="G127" s="23" t="s">
        <v>1074</v>
      </c>
    </row>
    <row r="128" spans="1:7" hidden="1">
      <c r="A128">
        <v>122010501</v>
      </c>
      <c r="B128" t="s">
        <v>255</v>
      </c>
      <c r="C128" s="54">
        <v>43585</v>
      </c>
      <c r="D128">
        <v>5645</v>
      </c>
      <c r="E128" t="s">
        <v>1630</v>
      </c>
      <c r="F128" s="23">
        <v>696781</v>
      </c>
    </row>
    <row r="129" spans="1:7" hidden="1">
      <c r="A129">
        <v>122010501</v>
      </c>
      <c r="B129" t="s">
        <v>255</v>
      </c>
      <c r="C129" s="54">
        <v>43585</v>
      </c>
      <c r="D129">
        <v>5646</v>
      </c>
      <c r="E129" t="s">
        <v>1631</v>
      </c>
      <c r="G129" s="23">
        <v>2837414</v>
      </c>
    </row>
    <row r="130" spans="1:7" hidden="1">
      <c r="A130">
        <v>122010501</v>
      </c>
      <c r="B130" t="s">
        <v>255</v>
      </c>
      <c r="C130" s="54">
        <v>43585</v>
      </c>
      <c r="D130">
        <v>7462</v>
      </c>
      <c r="E130" t="s">
        <v>898</v>
      </c>
      <c r="F130" s="23">
        <v>6198636</v>
      </c>
    </row>
    <row r="131" spans="1:7" hidden="1">
      <c r="A131">
        <v>122010501</v>
      </c>
      <c r="B131" t="s">
        <v>255</v>
      </c>
      <c r="C131" s="54">
        <v>43616</v>
      </c>
      <c r="D131">
        <v>7110</v>
      </c>
      <c r="E131" t="s">
        <v>1632</v>
      </c>
      <c r="F131" s="23">
        <v>696781</v>
      </c>
    </row>
    <row r="132" spans="1:7" hidden="1">
      <c r="A132">
        <v>122010501</v>
      </c>
      <c r="B132" t="s">
        <v>255</v>
      </c>
      <c r="C132" s="54">
        <v>43616</v>
      </c>
      <c r="D132">
        <v>7111</v>
      </c>
      <c r="E132" t="s">
        <v>1075</v>
      </c>
      <c r="G132" s="23">
        <v>2837414</v>
      </c>
    </row>
    <row r="133" spans="1:7" hidden="1">
      <c r="A133">
        <v>122010501</v>
      </c>
      <c r="B133" t="s">
        <v>255</v>
      </c>
      <c r="C133" s="54">
        <v>43646</v>
      </c>
      <c r="D133">
        <v>8315</v>
      </c>
      <c r="E133" t="s">
        <v>1633</v>
      </c>
      <c r="F133" s="23">
        <v>696781</v>
      </c>
    </row>
    <row r="134" spans="1:7" hidden="1">
      <c r="A134">
        <v>122010501</v>
      </c>
      <c r="B134" t="s">
        <v>255</v>
      </c>
      <c r="C134" s="54">
        <v>43646</v>
      </c>
      <c r="D134">
        <v>8316</v>
      </c>
      <c r="E134" t="s">
        <v>1634</v>
      </c>
      <c r="G134" s="23">
        <v>2837414</v>
      </c>
    </row>
    <row r="135" spans="1:7" hidden="1">
      <c r="A135">
        <v>122010701</v>
      </c>
      <c r="B135" t="s">
        <v>725</v>
      </c>
      <c r="C135" s="54">
        <v>43556</v>
      </c>
      <c r="D135" t="s">
        <v>1073</v>
      </c>
      <c r="F135" s="23">
        <v>246224239</v>
      </c>
      <c r="G135" s="23" t="s">
        <v>1074</v>
      </c>
    </row>
    <row r="136" spans="1:7" hidden="1">
      <c r="A136">
        <v>122010701</v>
      </c>
      <c r="B136" t="s">
        <v>725</v>
      </c>
      <c r="C136" s="54">
        <v>43585</v>
      </c>
      <c r="D136">
        <v>5645</v>
      </c>
      <c r="E136" t="s">
        <v>1630</v>
      </c>
      <c r="F136" s="23">
        <v>654775</v>
      </c>
    </row>
    <row r="137" spans="1:7" hidden="1">
      <c r="A137">
        <v>122010701</v>
      </c>
      <c r="B137" t="s">
        <v>725</v>
      </c>
      <c r="C137" s="54">
        <v>43585</v>
      </c>
      <c r="D137">
        <v>5646</v>
      </c>
      <c r="E137" t="s">
        <v>1631</v>
      </c>
      <c r="G137" s="23">
        <v>578530</v>
      </c>
    </row>
    <row r="138" spans="1:7" hidden="1">
      <c r="A138">
        <v>122010701</v>
      </c>
      <c r="B138" t="s">
        <v>725</v>
      </c>
      <c r="C138" s="54">
        <v>43585</v>
      </c>
      <c r="D138">
        <v>7474</v>
      </c>
      <c r="E138" t="s">
        <v>898</v>
      </c>
      <c r="F138" s="23">
        <v>8461818</v>
      </c>
    </row>
    <row r="139" spans="1:7" hidden="1">
      <c r="A139">
        <v>122010701</v>
      </c>
      <c r="B139" t="s">
        <v>725</v>
      </c>
      <c r="C139" s="54">
        <v>43616</v>
      </c>
      <c r="D139">
        <v>7110</v>
      </c>
      <c r="E139" t="s">
        <v>1632</v>
      </c>
      <c r="F139" s="23">
        <v>654775</v>
      </c>
    </row>
    <row r="140" spans="1:7" hidden="1">
      <c r="A140">
        <v>122010701</v>
      </c>
      <c r="B140" t="s">
        <v>725</v>
      </c>
      <c r="C140" s="54">
        <v>43616</v>
      </c>
      <c r="D140">
        <v>7111</v>
      </c>
      <c r="E140" t="s">
        <v>1075</v>
      </c>
      <c r="G140" s="23">
        <v>578530</v>
      </c>
    </row>
    <row r="141" spans="1:7" hidden="1">
      <c r="A141">
        <v>122010701</v>
      </c>
      <c r="B141" t="s">
        <v>725</v>
      </c>
      <c r="C141" s="54">
        <v>43646</v>
      </c>
      <c r="D141">
        <v>8315</v>
      </c>
      <c r="E141" t="s">
        <v>1633</v>
      </c>
      <c r="F141" s="23">
        <v>654775</v>
      </c>
    </row>
    <row r="142" spans="1:7" hidden="1">
      <c r="A142">
        <v>122010701</v>
      </c>
      <c r="B142" t="s">
        <v>725</v>
      </c>
      <c r="C142" s="54">
        <v>43646</v>
      </c>
      <c r="D142">
        <v>8316</v>
      </c>
      <c r="E142" t="s">
        <v>1634</v>
      </c>
      <c r="G142" s="23">
        <v>578530</v>
      </c>
    </row>
    <row r="143" spans="1:7" hidden="1">
      <c r="A143">
        <v>122010701</v>
      </c>
      <c r="B143" t="s">
        <v>725</v>
      </c>
      <c r="C143" s="54">
        <v>43646</v>
      </c>
      <c r="D143">
        <v>9384</v>
      </c>
      <c r="E143" t="s">
        <v>898</v>
      </c>
      <c r="F143" s="23">
        <v>30583181</v>
      </c>
    </row>
    <row r="144" spans="1:7" hidden="1">
      <c r="A144">
        <v>122010801</v>
      </c>
      <c r="B144" t="s">
        <v>727</v>
      </c>
      <c r="C144" s="54">
        <v>43556</v>
      </c>
      <c r="D144" t="s">
        <v>1073</v>
      </c>
      <c r="F144" s="23">
        <v>71043566</v>
      </c>
      <c r="G144" s="23" t="s">
        <v>1074</v>
      </c>
    </row>
    <row r="145" spans="1:7" hidden="1">
      <c r="A145">
        <v>122010801</v>
      </c>
      <c r="B145" t="s">
        <v>727</v>
      </c>
      <c r="C145" s="54">
        <v>43585</v>
      </c>
      <c r="D145">
        <v>5645</v>
      </c>
      <c r="E145" t="s">
        <v>1630</v>
      </c>
      <c r="F145" s="23">
        <v>291494</v>
      </c>
    </row>
    <row r="146" spans="1:7" hidden="1">
      <c r="A146">
        <v>122010801</v>
      </c>
      <c r="B146" t="s">
        <v>727</v>
      </c>
      <c r="C146" s="54">
        <v>43585</v>
      </c>
      <c r="D146">
        <v>5646</v>
      </c>
      <c r="E146" t="s">
        <v>1631</v>
      </c>
      <c r="G146" s="23">
        <v>3702602</v>
      </c>
    </row>
    <row r="147" spans="1:7" hidden="1">
      <c r="A147">
        <v>122010801</v>
      </c>
      <c r="B147" t="s">
        <v>727</v>
      </c>
      <c r="C147" s="54">
        <v>43616</v>
      </c>
      <c r="D147">
        <v>7110</v>
      </c>
      <c r="E147" t="s">
        <v>1632</v>
      </c>
      <c r="F147" s="23">
        <v>291494</v>
      </c>
    </row>
    <row r="148" spans="1:7" hidden="1">
      <c r="A148">
        <v>122010801</v>
      </c>
      <c r="B148" t="s">
        <v>727</v>
      </c>
      <c r="C148" s="54">
        <v>43616</v>
      </c>
      <c r="D148">
        <v>7111</v>
      </c>
      <c r="E148" t="s">
        <v>1075</v>
      </c>
      <c r="G148" s="23">
        <v>3702602</v>
      </c>
    </row>
    <row r="149" spans="1:7" hidden="1">
      <c r="A149">
        <v>122010801</v>
      </c>
      <c r="B149" t="s">
        <v>727</v>
      </c>
      <c r="C149" s="54">
        <v>43646</v>
      </c>
      <c r="D149">
        <v>8315</v>
      </c>
      <c r="E149" t="s">
        <v>1633</v>
      </c>
      <c r="F149" s="23">
        <v>291494</v>
      </c>
    </row>
    <row r="150" spans="1:7" hidden="1">
      <c r="A150">
        <v>122010801</v>
      </c>
      <c r="B150" t="s">
        <v>727</v>
      </c>
      <c r="C150" s="54">
        <v>43646</v>
      </c>
      <c r="D150">
        <v>8316</v>
      </c>
      <c r="E150" t="s">
        <v>1634</v>
      </c>
      <c r="G150" s="23">
        <v>3702602</v>
      </c>
    </row>
    <row r="151" spans="1:7" hidden="1">
      <c r="A151">
        <v>122010901</v>
      </c>
      <c r="B151" t="s">
        <v>730</v>
      </c>
      <c r="C151" s="54">
        <v>43556</v>
      </c>
      <c r="D151" t="s">
        <v>1073</v>
      </c>
      <c r="F151" s="23">
        <v>421356691</v>
      </c>
      <c r="G151" s="23" t="s">
        <v>1074</v>
      </c>
    </row>
    <row r="152" spans="1:7" hidden="1">
      <c r="A152">
        <v>122010901</v>
      </c>
      <c r="B152" t="s">
        <v>730</v>
      </c>
      <c r="C152" s="54">
        <v>43585</v>
      </c>
      <c r="D152">
        <v>5645</v>
      </c>
      <c r="E152" t="s">
        <v>1630</v>
      </c>
      <c r="F152" s="23">
        <v>1228030</v>
      </c>
    </row>
    <row r="153" spans="1:7" hidden="1">
      <c r="A153">
        <v>122010901</v>
      </c>
      <c r="B153" t="s">
        <v>730</v>
      </c>
      <c r="C153" s="54">
        <v>43585</v>
      </c>
      <c r="D153">
        <v>5646</v>
      </c>
      <c r="E153" t="s">
        <v>1631</v>
      </c>
      <c r="G153" s="23">
        <v>11222445</v>
      </c>
    </row>
    <row r="154" spans="1:7" hidden="1">
      <c r="A154">
        <v>122010901</v>
      </c>
      <c r="B154" t="s">
        <v>730</v>
      </c>
      <c r="C154" s="54">
        <v>43585</v>
      </c>
      <c r="D154">
        <v>7424</v>
      </c>
      <c r="E154" t="s">
        <v>898</v>
      </c>
      <c r="F154" s="23">
        <v>2638591</v>
      </c>
    </row>
    <row r="155" spans="1:7" hidden="1">
      <c r="A155">
        <v>122010901</v>
      </c>
      <c r="B155" t="s">
        <v>730</v>
      </c>
      <c r="C155" s="54">
        <v>43585</v>
      </c>
      <c r="D155">
        <v>7462</v>
      </c>
      <c r="E155" t="s">
        <v>898</v>
      </c>
      <c r="F155" s="23">
        <v>173985</v>
      </c>
    </row>
    <row r="156" spans="1:7" hidden="1">
      <c r="A156">
        <v>122010901</v>
      </c>
      <c r="B156" t="s">
        <v>730</v>
      </c>
      <c r="C156" s="54">
        <v>43585</v>
      </c>
      <c r="D156">
        <v>7464</v>
      </c>
      <c r="E156" t="s">
        <v>898</v>
      </c>
      <c r="F156" s="23">
        <v>2909091</v>
      </c>
    </row>
    <row r="157" spans="1:7" hidden="1">
      <c r="A157">
        <v>122010901</v>
      </c>
      <c r="B157" t="s">
        <v>730</v>
      </c>
      <c r="C157" s="54">
        <v>43585</v>
      </c>
      <c r="D157">
        <v>7504</v>
      </c>
      <c r="E157" t="s">
        <v>898</v>
      </c>
      <c r="F157" s="23">
        <v>665046</v>
      </c>
    </row>
    <row r="158" spans="1:7" hidden="1">
      <c r="A158">
        <v>122010901</v>
      </c>
      <c r="B158" t="s">
        <v>730</v>
      </c>
      <c r="C158" s="54">
        <v>43616</v>
      </c>
      <c r="D158">
        <v>7110</v>
      </c>
      <c r="E158" t="s">
        <v>1632</v>
      </c>
      <c r="F158" s="23">
        <v>1228030</v>
      </c>
    </row>
    <row r="159" spans="1:7" hidden="1">
      <c r="A159">
        <v>122010901</v>
      </c>
      <c r="B159" t="s">
        <v>730</v>
      </c>
      <c r="C159" s="54">
        <v>43616</v>
      </c>
      <c r="D159">
        <v>7111</v>
      </c>
      <c r="E159" t="s">
        <v>1075</v>
      </c>
      <c r="G159" s="23">
        <v>11222445</v>
      </c>
    </row>
    <row r="160" spans="1:7" hidden="1">
      <c r="A160">
        <v>122010901</v>
      </c>
      <c r="B160" t="s">
        <v>730</v>
      </c>
      <c r="C160" s="54">
        <v>43616</v>
      </c>
      <c r="D160">
        <v>8222</v>
      </c>
      <c r="E160" t="s">
        <v>898</v>
      </c>
      <c r="F160" s="23">
        <v>16932200</v>
      </c>
    </row>
    <row r="161" spans="1:7" hidden="1">
      <c r="A161">
        <v>122010901</v>
      </c>
      <c r="B161" t="s">
        <v>730</v>
      </c>
      <c r="C161" s="54">
        <v>43616</v>
      </c>
      <c r="D161">
        <v>8241</v>
      </c>
      <c r="E161" t="s">
        <v>898</v>
      </c>
      <c r="F161" s="23">
        <v>129091</v>
      </c>
    </row>
    <row r="162" spans="1:7" hidden="1">
      <c r="A162">
        <v>122010901</v>
      </c>
      <c r="B162" t="s">
        <v>730</v>
      </c>
      <c r="C162" s="54">
        <v>43616</v>
      </c>
      <c r="D162">
        <v>8257</v>
      </c>
      <c r="E162" t="s">
        <v>898</v>
      </c>
      <c r="F162" s="23">
        <v>343145</v>
      </c>
    </row>
    <row r="163" spans="1:7" hidden="1">
      <c r="A163">
        <v>122010901</v>
      </c>
      <c r="B163" t="s">
        <v>730</v>
      </c>
      <c r="C163" s="54">
        <v>43616</v>
      </c>
      <c r="D163">
        <v>8293</v>
      </c>
      <c r="E163" t="s">
        <v>898</v>
      </c>
      <c r="F163" s="23">
        <v>520455</v>
      </c>
    </row>
    <row r="164" spans="1:7" hidden="1">
      <c r="A164">
        <v>122010901</v>
      </c>
      <c r="B164" t="s">
        <v>730</v>
      </c>
      <c r="C164" s="54">
        <v>43646</v>
      </c>
      <c r="D164">
        <v>8315</v>
      </c>
      <c r="E164" t="s">
        <v>1633</v>
      </c>
      <c r="F164" s="23">
        <v>1228030</v>
      </c>
    </row>
    <row r="165" spans="1:7" hidden="1">
      <c r="A165">
        <v>122010901</v>
      </c>
      <c r="B165" t="s">
        <v>730</v>
      </c>
      <c r="C165" s="54">
        <v>43646</v>
      </c>
      <c r="D165">
        <v>8316</v>
      </c>
      <c r="E165" t="s">
        <v>1634</v>
      </c>
      <c r="G165" s="23">
        <v>11222445</v>
      </c>
    </row>
    <row r="166" spans="1:7" hidden="1">
      <c r="A166">
        <v>122010901</v>
      </c>
      <c r="B166" t="s">
        <v>730</v>
      </c>
      <c r="C166" s="54">
        <v>43646</v>
      </c>
      <c r="D166">
        <v>9335</v>
      </c>
      <c r="E166" t="s">
        <v>898</v>
      </c>
      <c r="F166" s="23">
        <v>7038637</v>
      </c>
    </row>
    <row r="167" spans="1:7" hidden="1">
      <c r="A167">
        <v>122010901</v>
      </c>
      <c r="B167" t="s">
        <v>730</v>
      </c>
      <c r="C167" s="54">
        <v>43646</v>
      </c>
      <c r="D167">
        <v>9372</v>
      </c>
      <c r="E167" t="s">
        <v>898</v>
      </c>
      <c r="F167" s="23">
        <v>2580697</v>
      </c>
    </row>
    <row r="168" spans="1:7" hidden="1">
      <c r="A168">
        <v>122010901</v>
      </c>
      <c r="B168" t="s">
        <v>730</v>
      </c>
      <c r="C168" s="54">
        <v>43646</v>
      </c>
      <c r="D168">
        <v>9374</v>
      </c>
      <c r="E168" t="s">
        <v>898</v>
      </c>
      <c r="F168" s="23">
        <v>1156046</v>
      </c>
    </row>
    <row r="169" spans="1:7" hidden="1">
      <c r="A169">
        <v>122010901</v>
      </c>
      <c r="B169" t="s">
        <v>730</v>
      </c>
      <c r="C169" s="54">
        <v>43646</v>
      </c>
      <c r="D169">
        <v>9412</v>
      </c>
      <c r="E169" t="s">
        <v>898</v>
      </c>
      <c r="F169" s="23">
        <v>3315780</v>
      </c>
    </row>
    <row r="170" spans="1:7" hidden="1">
      <c r="A170">
        <v>122020100</v>
      </c>
      <c r="B170" t="s">
        <v>1010</v>
      </c>
      <c r="C170" s="54">
        <v>43556</v>
      </c>
      <c r="D170" t="s">
        <v>1073</v>
      </c>
      <c r="F170" s="23">
        <v>17838304206</v>
      </c>
      <c r="G170" s="23" t="s">
        <v>1074</v>
      </c>
    </row>
    <row r="171" spans="1:7" hidden="1">
      <c r="A171">
        <v>122030101</v>
      </c>
      <c r="B171" t="s">
        <v>1060</v>
      </c>
      <c r="C171" s="54">
        <v>43556</v>
      </c>
      <c r="D171" t="s">
        <v>1073</v>
      </c>
      <c r="F171" s="23">
        <v>325160413</v>
      </c>
      <c r="G171" s="23" t="s">
        <v>1074</v>
      </c>
    </row>
    <row r="172" spans="1:7" hidden="1">
      <c r="A172">
        <v>122030101</v>
      </c>
      <c r="B172" t="s">
        <v>1060</v>
      </c>
      <c r="C172" s="54">
        <v>43616</v>
      </c>
      <c r="D172">
        <v>8222</v>
      </c>
      <c r="E172" t="s">
        <v>898</v>
      </c>
      <c r="F172" s="23">
        <v>8331390</v>
      </c>
    </row>
    <row r="173" spans="1:7" hidden="1">
      <c r="A173">
        <v>122030101</v>
      </c>
      <c r="B173" t="s">
        <v>1060</v>
      </c>
      <c r="C173" s="54">
        <v>43616</v>
      </c>
      <c r="D173">
        <v>8267</v>
      </c>
      <c r="E173" t="s">
        <v>898</v>
      </c>
      <c r="F173" s="23">
        <v>1800000</v>
      </c>
    </row>
    <row r="174" spans="1:7">
      <c r="A174">
        <v>122030200</v>
      </c>
      <c r="B174" t="s">
        <v>1061</v>
      </c>
      <c r="C174" s="54">
        <v>43556</v>
      </c>
      <c r="D174" t="s">
        <v>1073</v>
      </c>
      <c r="F174" s="23">
        <v>7090909</v>
      </c>
      <c r="G174" s="23" t="s">
        <v>1074</v>
      </c>
    </row>
    <row r="175" spans="1:7">
      <c r="A175">
        <v>122039900</v>
      </c>
      <c r="B175" t="s">
        <v>1011</v>
      </c>
      <c r="C175" s="54">
        <v>43556</v>
      </c>
      <c r="D175" t="s">
        <v>1073</v>
      </c>
      <c r="F175" s="23">
        <v>226746157</v>
      </c>
      <c r="G175" s="23" t="s">
        <v>1074</v>
      </c>
    </row>
    <row r="176" spans="1:7">
      <c r="A176">
        <v>122039900</v>
      </c>
      <c r="B176" t="s">
        <v>1011</v>
      </c>
      <c r="C176" s="54">
        <v>43585</v>
      </c>
      <c r="D176">
        <v>5647</v>
      </c>
      <c r="E176" t="s">
        <v>1635</v>
      </c>
      <c r="G176" s="23">
        <v>3041725</v>
      </c>
    </row>
    <row r="177" spans="1:7">
      <c r="A177">
        <v>122039900</v>
      </c>
      <c r="B177" t="s">
        <v>1011</v>
      </c>
      <c r="C177" s="54">
        <v>43616</v>
      </c>
      <c r="D177">
        <v>7112</v>
      </c>
      <c r="E177" t="s">
        <v>1636</v>
      </c>
      <c r="G177" s="23">
        <v>3041725</v>
      </c>
    </row>
    <row r="178" spans="1:7">
      <c r="A178">
        <v>122039900</v>
      </c>
      <c r="B178" t="s">
        <v>1011</v>
      </c>
      <c r="C178" s="54">
        <v>43646</v>
      </c>
      <c r="D178">
        <v>8409</v>
      </c>
      <c r="E178" t="s">
        <v>1637</v>
      </c>
      <c r="G178" s="23">
        <v>3041725</v>
      </c>
    </row>
    <row r="179" spans="1:7" hidden="1">
      <c r="A179">
        <v>122040100</v>
      </c>
      <c r="B179" t="s">
        <v>1012</v>
      </c>
      <c r="C179" s="54">
        <v>43556</v>
      </c>
      <c r="D179" t="s">
        <v>1073</v>
      </c>
      <c r="F179" s="23">
        <v>2406563686</v>
      </c>
      <c r="G179" s="23" t="s">
        <v>1074</v>
      </c>
    </row>
    <row r="180" spans="1:7" hidden="1">
      <c r="A180">
        <v>122040100</v>
      </c>
      <c r="B180" t="s">
        <v>1012</v>
      </c>
      <c r="C180" s="54">
        <v>43556</v>
      </c>
      <c r="D180">
        <v>6551</v>
      </c>
      <c r="E180" t="s">
        <v>1638</v>
      </c>
      <c r="G180" s="23">
        <v>845288463</v>
      </c>
    </row>
    <row r="181" spans="1:7" hidden="1">
      <c r="A181">
        <v>122040100</v>
      </c>
      <c r="B181" t="s">
        <v>1012</v>
      </c>
      <c r="C181" s="54">
        <v>43556</v>
      </c>
      <c r="D181">
        <v>6551</v>
      </c>
      <c r="E181" t="s">
        <v>1638</v>
      </c>
      <c r="G181" s="23">
        <v>319727339</v>
      </c>
    </row>
    <row r="182" spans="1:7" hidden="1">
      <c r="A182">
        <v>122040100</v>
      </c>
      <c r="B182" t="s">
        <v>1012</v>
      </c>
      <c r="C182" s="54">
        <v>43556</v>
      </c>
      <c r="D182">
        <v>6551</v>
      </c>
      <c r="E182" t="s">
        <v>1638</v>
      </c>
      <c r="G182" s="23">
        <v>1241547884</v>
      </c>
    </row>
    <row r="183" spans="1:7" hidden="1">
      <c r="A183">
        <v>122040100</v>
      </c>
      <c r="B183" t="s">
        <v>1012</v>
      </c>
      <c r="C183" s="54">
        <v>43585</v>
      </c>
      <c r="D183">
        <v>6553</v>
      </c>
      <c r="E183" t="s">
        <v>1085</v>
      </c>
      <c r="F183" s="23">
        <v>908368570</v>
      </c>
    </row>
    <row r="184" spans="1:7" hidden="1">
      <c r="A184">
        <v>122040100</v>
      </c>
      <c r="B184" t="s">
        <v>1012</v>
      </c>
      <c r="C184" s="54">
        <v>43585</v>
      </c>
      <c r="D184">
        <v>6553</v>
      </c>
      <c r="E184" t="s">
        <v>1085</v>
      </c>
      <c r="F184" s="23">
        <v>289915276</v>
      </c>
    </row>
    <row r="185" spans="1:7" hidden="1">
      <c r="A185">
        <v>122040100</v>
      </c>
      <c r="B185" t="s">
        <v>1012</v>
      </c>
      <c r="C185" s="54">
        <v>43586</v>
      </c>
      <c r="D185">
        <v>7180</v>
      </c>
      <c r="E185" t="s">
        <v>1062</v>
      </c>
      <c r="G185" s="23">
        <v>908368570</v>
      </c>
    </row>
    <row r="186" spans="1:7" hidden="1">
      <c r="A186">
        <v>122040100</v>
      </c>
      <c r="B186" t="s">
        <v>1012</v>
      </c>
      <c r="C186" s="54">
        <v>43586</v>
      </c>
      <c r="D186">
        <v>7180</v>
      </c>
      <c r="E186" t="s">
        <v>1062</v>
      </c>
      <c r="G186" s="23">
        <v>289915276</v>
      </c>
    </row>
    <row r="187" spans="1:7" hidden="1">
      <c r="A187">
        <v>122040100</v>
      </c>
      <c r="B187" t="s">
        <v>1012</v>
      </c>
      <c r="C187" s="54">
        <v>43616</v>
      </c>
      <c r="D187">
        <v>7516</v>
      </c>
      <c r="E187" t="s">
        <v>1639</v>
      </c>
      <c r="F187" s="23">
        <v>878349593</v>
      </c>
    </row>
    <row r="188" spans="1:7" hidden="1">
      <c r="A188">
        <v>122040100</v>
      </c>
      <c r="B188" t="s">
        <v>1012</v>
      </c>
      <c r="C188" s="54">
        <v>43616</v>
      </c>
      <c r="D188">
        <v>7516</v>
      </c>
      <c r="E188" t="s">
        <v>1639</v>
      </c>
      <c r="F188" s="23">
        <v>260948595</v>
      </c>
    </row>
    <row r="189" spans="1:7" hidden="1">
      <c r="A189">
        <v>122040100</v>
      </c>
      <c r="B189" t="s">
        <v>1012</v>
      </c>
      <c r="C189" s="54">
        <v>43617</v>
      </c>
      <c r="D189">
        <v>8318</v>
      </c>
      <c r="E189" t="s">
        <v>1640</v>
      </c>
      <c r="G189" s="23">
        <v>878349593</v>
      </c>
    </row>
    <row r="190" spans="1:7" hidden="1">
      <c r="A190">
        <v>122040100</v>
      </c>
      <c r="B190" t="s">
        <v>1012</v>
      </c>
      <c r="C190" s="54">
        <v>43617</v>
      </c>
      <c r="D190">
        <v>8318</v>
      </c>
      <c r="E190" t="s">
        <v>1640</v>
      </c>
      <c r="G190" s="23">
        <v>260948595</v>
      </c>
    </row>
    <row r="191" spans="1:7" hidden="1">
      <c r="A191">
        <v>122040100</v>
      </c>
      <c r="B191" t="s">
        <v>1012</v>
      </c>
      <c r="C191" s="54">
        <v>43646</v>
      </c>
      <c r="D191">
        <v>8761</v>
      </c>
      <c r="E191" t="s">
        <v>1641</v>
      </c>
      <c r="F191" s="23">
        <v>891156449</v>
      </c>
    </row>
    <row r="192" spans="1:7" hidden="1">
      <c r="A192">
        <v>122040100</v>
      </c>
      <c r="B192" t="s">
        <v>1012</v>
      </c>
      <c r="C192" s="54">
        <v>43646</v>
      </c>
      <c r="D192">
        <v>8761</v>
      </c>
      <c r="E192" t="s">
        <v>1641</v>
      </c>
      <c r="F192" s="23">
        <v>231981914</v>
      </c>
    </row>
    <row r="193" spans="1:7" hidden="1">
      <c r="A193">
        <v>122040200</v>
      </c>
      <c r="B193" t="s">
        <v>834</v>
      </c>
      <c r="C193" s="54">
        <v>43556</v>
      </c>
      <c r="D193" t="s">
        <v>1073</v>
      </c>
      <c r="F193" s="23">
        <v>120000004</v>
      </c>
      <c r="G193" s="23" t="s">
        <v>1074</v>
      </c>
    </row>
    <row r="194" spans="1:7" hidden="1">
      <c r="A194">
        <v>122040200</v>
      </c>
      <c r="B194" t="s">
        <v>834</v>
      </c>
      <c r="C194" s="54">
        <v>43585</v>
      </c>
      <c r="D194">
        <v>6259</v>
      </c>
      <c r="E194" t="s">
        <v>1642</v>
      </c>
      <c r="G194" s="23">
        <v>4017858</v>
      </c>
    </row>
    <row r="195" spans="1:7" hidden="1">
      <c r="A195">
        <v>122040200</v>
      </c>
      <c r="B195" t="s">
        <v>834</v>
      </c>
      <c r="C195" s="54">
        <v>43616</v>
      </c>
      <c r="D195">
        <v>7185</v>
      </c>
      <c r="E195" t="s">
        <v>1643</v>
      </c>
      <c r="G195" s="23">
        <v>4017858</v>
      </c>
    </row>
    <row r="196" spans="1:7" hidden="1">
      <c r="A196">
        <v>122040200</v>
      </c>
      <c r="B196" t="s">
        <v>834</v>
      </c>
      <c r="C196" s="54">
        <v>43646</v>
      </c>
      <c r="D196">
        <v>8408</v>
      </c>
      <c r="E196" t="s">
        <v>1644</v>
      </c>
      <c r="G196" s="23">
        <v>4017858</v>
      </c>
    </row>
    <row r="197" spans="1:7" hidden="1">
      <c r="A197">
        <v>122050200</v>
      </c>
      <c r="B197" t="s">
        <v>1013</v>
      </c>
      <c r="C197" s="54">
        <v>43556</v>
      </c>
      <c r="D197" t="s">
        <v>1073</v>
      </c>
      <c r="F197" s="23">
        <v>27542761689</v>
      </c>
      <c r="G197" s="23" t="s">
        <v>1074</v>
      </c>
    </row>
    <row r="198" spans="1:7" hidden="1">
      <c r="A198">
        <v>122050200</v>
      </c>
      <c r="B198" t="s">
        <v>1013</v>
      </c>
      <c r="C198" s="54">
        <v>43585</v>
      </c>
      <c r="D198">
        <v>5645</v>
      </c>
      <c r="E198" t="s">
        <v>1630</v>
      </c>
      <c r="F198" s="23">
        <v>40102722</v>
      </c>
    </row>
    <row r="199" spans="1:7" hidden="1">
      <c r="A199">
        <v>122050200</v>
      </c>
      <c r="B199" t="s">
        <v>1013</v>
      </c>
      <c r="C199" s="54">
        <v>43585</v>
      </c>
      <c r="D199">
        <v>5646</v>
      </c>
      <c r="E199" t="s">
        <v>1631</v>
      </c>
      <c r="G199" s="23">
        <v>18267166</v>
      </c>
    </row>
    <row r="200" spans="1:7" hidden="1">
      <c r="A200">
        <v>122050200</v>
      </c>
      <c r="B200" t="s">
        <v>1013</v>
      </c>
      <c r="C200" s="54">
        <v>43616</v>
      </c>
      <c r="D200">
        <v>7110</v>
      </c>
      <c r="E200" t="s">
        <v>1632</v>
      </c>
      <c r="F200" s="23">
        <v>40102722</v>
      </c>
    </row>
    <row r="201" spans="1:7" hidden="1">
      <c r="A201">
        <v>122050200</v>
      </c>
      <c r="B201" t="s">
        <v>1013</v>
      </c>
      <c r="C201" s="54">
        <v>43616</v>
      </c>
      <c r="D201">
        <v>7111</v>
      </c>
      <c r="E201" t="s">
        <v>1075</v>
      </c>
      <c r="G201" s="23">
        <v>18267166</v>
      </c>
    </row>
    <row r="202" spans="1:7" hidden="1">
      <c r="A202">
        <v>122050200</v>
      </c>
      <c r="B202" t="s">
        <v>1013</v>
      </c>
      <c r="C202" s="54">
        <v>43646</v>
      </c>
      <c r="D202">
        <v>8315</v>
      </c>
      <c r="E202" t="s">
        <v>1633</v>
      </c>
      <c r="F202" s="23">
        <v>40102722</v>
      </c>
    </row>
    <row r="203" spans="1:7" hidden="1">
      <c r="A203">
        <v>122050200</v>
      </c>
      <c r="B203" t="s">
        <v>1013</v>
      </c>
      <c r="C203" s="54">
        <v>43646</v>
      </c>
      <c r="D203">
        <v>8316</v>
      </c>
      <c r="E203" t="s">
        <v>1634</v>
      </c>
      <c r="G203" s="23">
        <v>18267166</v>
      </c>
    </row>
    <row r="204" spans="1:7" hidden="1">
      <c r="A204">
        <v>122010101</v>
      </c>
      <c r="B204" t="s">
        <v>729</v>
      </c>
      <c r="C204" s="54">
        <v>43647</v>
      </c>
      <c r="D204" t="s">
        <v>1073</v>
      </c>
      <c r="F204" s="23">
        <v>458738135</v>
      </c>
      <c r="G204" s="23" t="s">
        <v>1074</v>
      </c>
    </row>
    <row r="205" spans="1:7" hidden="1">
      <c r="A205">
        <v>122010101</v>
      </c>
      <c r="B205" t="s">
        <v>729</v>
      </c>
      <c r="C205" s="54">
        <v>43677</v>
      </c>
      <c r="D205">
        <v>9527</v>
      </c>
      <c r="E205" t="s">
        <v>1876</v>
      </c>
      <c r="F205" s="23">
        <v>1370565</v>
      </c>
    </row>
    <row r="206" spans="1:7" hidden="1">
      <c r="A206">
        <v>122010101</v>
      </c>
      <c r="B206" t="s">
        <v>729</v>
      </c>
      <c r="C206" s="54">
        <v>43677</v>
      </c>
      <c r="D206">
        <v>9528</v>
      </c>
      <c r="E206" t="s">
        <v>1877</v>
      </c>
      <c r="G206" s="23">
        <v>6573461</v>
      </c>
    </row>
    <row r="207" spans="1:7" hidden="1">
      <c r="A207">
        <v>122010101</v>
      </c>
      <c r="B207" t="s">
        <v>729</v>
      </c>
      <c r="C207" s="54">
        <v>43677</v>
      </c>
      <c r="D207">
        <v>14226</v>
      </c>
      <c r="E207" t="s">
        <v>898</v>
      </c>
      <c r="F207" s="23">
        <v>2181818</v>
      </c>
    </row>
    <row r="208" spans="1:7" hidden="1">
      <c r="A208">
        <v>122010101</v>
      </c>
      <c r="B208" t="s">
        <v>729</v>
      </c>
      <c r="C208" s="54">
        <v>43677</v>
      </c>
      <c r="D208">
        <v>14261</v>
      </c>
      <c r="E208" t="s">
        <v>898</v>
      </c>
      <c r="F208" s="23">
        <v>1281818</v>
      </c>
    </row>
    <row r="209" spans="1:7" hidden="1">
      <c r="A209">
        <v>122010101</v>
      </c>
      <c r="B209" t="s">
        <v>729</v>
      </c>
      <c r="C209" s="54">
        <v>43677</v>
      </c>
      <c r="D209">
        <v>14272</v>
      </c>
      <c r="E209" t="s">
        <v>898</v>
      </c>
      <c r="F209" s="23">
        <v>1082728</v>
      </c>
    </row>
    <row r="210" spans="1:7" hidden="1">
      <c r="A210">
        <v>122010101</v>
      </c>
      <c r="B210" t="s">
        <v>729</v>
      </c>
      <c r="C210" s="54">
        <v>43677</v>
      </c>
      <c r="D210">
        <v>14278</v>
      </c>
      <c r="E210" t="s">
        <v>898</v>
      </c>
      <c r="F210" s="23">
        <v>526818</v>
      </c>
    </row>
    <row r="211" spans="1:7" hidden="1">
      <c r="A211">
        <v>122010101</v>
      </c>
      <c r="B211" t="s">
        <v>729</v>
      </c>
      <c r="C211" s="54">
        <v>43677</v>
      </c>
      <c r="D211">
        <v>14297</v>
      </c>
      <c r="E211" t="s">
        <v>898</v>
      </c>
      <c r="F211" s="23">
        <v>2027273</v>
      </c>
    </row>
    <row r="212" spans="1:7" hidden="1">
      <c r="A212">
        <v>122010101</v>
      </c>
      <c r="B212" t="s">
        <v>729</v>
      </c>
      <c r="C212" s="54">
        <v>43708</v>
      </c>
      <c r="D212">
        <v>10731</v>
      </c>
      <c r="E212" t="s">
        <v>1878</v>
      </c>
      <c r="F212" s="23">
        <v>1370565</v>
      </c>
    </row>
    <row r="213" spans="1:7" hidden="1">
      <c r="A213">
        <v>122010101</v>
      </c>
      <c r="B213" t="s">
        <v>729</v>
      </c>
      <c r="C213" s="54">
        <v>43708</v>
      </c>
      <c r="D213">
        <v>10732</v>
      </c>
      <c r="E213" t="s">
        <v>1879</v>
      </c>
      <c r="G213" s="23">
        <v>6573461</v>
      </c>
    </row>
    <row r="214" spans="1:7" hidden="1">
      <c r="A214">
        <v>122010101</v>
      </c>
      <c r="B214" t="s">
        <v>729</v>
      </c>
      <c r="C214" s="54">
        <v>43708</v>
      </c>
      <c r="D214">
        <v>14808</v>
      </c>
      <c r="E214" t="s">
        <v>898</v>
      </c>
      <c r="F214" s="23">
        <v>2509091</v>
      </c>
    </row>
    <row r="215" spans="1:7" hidden="1">
      <c r="A215">
        <v>122010101</v>
      </c>
      <c r="B215" t="s">
        <v>729</v>
      </c>
      <c r="C215" s="54">
        <v>43738</v>
      </c>
      <c r="D215">
        <v>12366</v>
      </c>
      <c r="E215" t="s">
        <v>1880</v>
      </c>
      <c r="F215" s="23">
        <v>1370565</v>
      </c>
    </row>
    <row r="216" spans="1:7" hidden="1">
      <c r="A216">
        <v>122010101</v>
      </c>
      <c r="B216" t="s">
        <v>729</v>
      </c>
      <c r="C216" s="54">
        <v>43738</v>
      </c>
      <c r="D216">
        <v>12367</v>
      </c>
      <c r="E216" t="s">
        <v>1881</v>
      </c>
      <c r="G216" s="23">
        <v>6573461</v>
      </c>
    </row>
    <row r="217" spans="1:7" hidden="1">
      <c r="A217">
        <v>122010101</v>
      </c>
      <c r="B217" t="s">
        <v>729</v>
      </c>
      <c r="C217" s="54">
        <v>43738</v>
      </c>
      <c r="D217">
        <v>14710</v>
      </c>
      <c r="E217" t="s">
        <v>898</v>
      </c>
      <c r="F217" s="23">
        <v>2727273</v>
      </c>
    </row>
    <row r="218" spans="1:7" hidden="1">
      <c r="A218">
        <v>122010201</v>
      </c>
      <c r="B218" t="s">
        <v>724</v>
      </c>
      <c r="C218" s="54">
        <v>43647</v>
      </c>
      <c r="D218" t="s">
        <v>1073</v>
      </c>
      <c r="F218" s="23">
        <v>112292620</v>
      </c>
      <c r="G218" s="23" t="s">
        <v>1074</v>
      </c>
    </row>
    <row r="219" spans="1:7" hidden="1">
      <c r="A219">
        <v>122010201</v>
      </c>
      <c r="B219" t="s">
        <v>724</v>
      </c>
      <c r="C219" s="54">
        <v>43677</v>
      </c>
      <c r="D219">
        <v>9527</v>
      </c>
      <c r="E219" t="s">
        <v>1876</v>
      </c>
      <c r="F219" s="23">
        <v>336602</v>
      </c>
    </row>
    <row r="220" spans="1:7" hidden="1">
      <c r="A220">
        <v>122010201</v>
      </c>
      <c r="B220" t="s">
        <v>724</v>
      </c>
      <c r="C220" s="54">
        <v>43677</v>
      </c>
      <c r="D220">
        <v>9528</v>
      </c>
      <c r="E220" t="s">
        <v>1877</v>
      </c>
      <c r="G220" s="23">
        <v>4267918</v>
      </c>
    </row>
    <row r="221" spans="1:7" hidden="1">
      <c r="A221">
        <v>122010201</v>
      </c>
      <c r="B221" t="s">
        <v>724</v>
      </c>
      <c r="C221" s="54">
        <v>43677</v>
      </c>
      <c r="D221">
        <v>14226</v>
      </c>
      <c r="E221" t="s">
        <v>898</v>
      </c>
      <c r="F221" s="23">
        <v>5927273</v>
      </c>
    </row>
    <row r="222" spans="1:7" hidden="1">
      <c r="A222">
        <v>122010201</v>
      </c>
      <c r="B222" t="s">
        <v>724</v>
      </c>
      <c r="C222" s="54">
        <v>43708</v>
      </c>
      <c r="D222">
        <v>10731</v>
      </c>
      <c r="E222" t="s">
        <v>1878</v>
      </c>
      <c r="F222" s="23">
        <v>336602</v>
      </c>
    </row>
    <row r="223" spans="1:7" hidden="1">
      <c r="A223">
        <v>122010201</v>
      </c>
      <c r="B223" t="s">
        <v>724</v>
      </c>
      <c r="C223" s="54">
        <v>43708</v>
      </c>
      <c r="D223">
        <v>10732</v>
      </c>
      <c r="E223" t="s">
        <v>1879</v>
      </c>
      <c r="G223" s="23">
        <v>4267918</v>
      </c>
    </row>
    <row r="224" spans="1:7" hidden="1">
      <c r="A224">
        <v>122010201</v>
      </c>
      <c r="B224" t="s">
        <v>724</v>
      </c>
      <c r="C224" s="54">
        <v>43708</v>
      </c>
      <c r="D224">
        <v>14808</v>
      </c>
      <c r="E224" t="s">
        <v>898</v>
      </c>
      <c r="F224" s="23">
        <v>1292522</v>
      </c>
    </row>
    <row r="225" spans="1:7" hidden="1">
      <c r="A225">
        <v>122010201</v>
      </c>
      <c r="B225" t="s">
        <v>724</v>
      </c>
      <c r="C225" s="54">
        <v>43708</v>
      </c>
      <c r="D225">
        <v>14823</v>
      </c>
      <c r="E225" t="s">
        <v>898</v>
      </c>
      <c r="F225" s="23">
        <v>200000</v>
      </c>
    </row>
    <row r="226" spans="1:7" hidden="1">
      <c r="A226">
        <v>122010201</v>
      </c>
      <c r="B226" t="s">
        <v>724</v>
      </c>
      <c r="C226" s="54">
        <v>43738</v>
      </c>
      <c r="D226">
        <v>12366</v>
      </c>
      <c r="E226" t="s">
        <v>1880</v>
      </c>
      <c r="F226" s="23">
        <v>336602</v>
      </c>
    </row>
    <row r="227" spans="1:7" hidden="1">
      <c r="A227">
        <v>122010201</v>
      </c>
      <c r="B227" t="s">
        <v>724</v>
      </c>
      <c r="C227" s="54">
        <v>43738</v>
      </c>
      <c r="D227">
        <v>12367</v>
      </c>
      <c r="E227" t="s">
        <v>1881</v>
      </c>
      <c r="G227" s="23">
        <v>4267918</v>
      </c>
    </row>
    <row r="228" spans="1:7" hidden="1">
      <c r="A228">
        <v>122010201</v>
      </c>
      <c r="B228" t="s">
        <v>724</v>
      </c>
      <c r="C228" s="54">
        <v>43738</v>
      </c>
      <c r="D228">
        <v>14710</v>
      </c>
      <c r="E228" t="s">
        <v>898</v>
      </c>
      <c r="F228" s="23">
        <v>6363636</v>
      </c>
    </row>
    <row r="229" spans="1:7" hidden="1">
      <c r="A229">
        <v>122010301</v>
      </c>
      <c r="B229" t="s">
        <v>256</v>
      </c>
      <c r="C229" s="54">
        <v>43647</v>
      </c>
      <c r="D229" t="s">
        <v>1073</v>
      </c>
      <c r="F229" s="23">
        <v>412886649</v>
      </c>
      <c r="G229" s="23" t="s">
        <v>1074</v>
      </c>
    </row>
    <row r="230" spans="1:7" hidden="1">
      <c r="A230">
        <v>122010301</v>
      </c>
      <c r="B230" t="s">
        <v>256</v>
      </c>
      <c r="C230" s="54">
        <v>43677</v>
      </c>
      <c r="D230">
        <v>9527</v>
      </c>
      <c r="E230" t="s">
        <v>1876</v>
      </c>
      <c r="F230" s="23">
        <v>1638368</v>
      </c>
    </row>
    <row r="231" spans="1:7" hidden="1">
      <c r="A231">
        <v>122010301</v>
      </c>
      <c r="B231" t="s">
        <v>256</v>
      </c>
      <c r="C231" s="54">
        <v>43677</v>
      </c>
      <c r="D231">
        <v>9528</v>
      </c>
      <c r="E231" t="s">
        <v>1877</v>
      </c>
      <c r="G231" s="23">
        <v>16017273</v>
      </c>
    </row>
    <row r="232" spans="1:7" hidden="1">
      <c r="A232">
        <v>122010301</v>
      </c>
      <c r="B232" t="s">
        <v>256</v>
      </c>
      <c r="C232" s="54">
        <v>43700</v>
      </c>
      <c r="D232">
        <v>10736</v>
      </c>
      <c r="E232" t="s">
        <v>1882</v>
      </c>
      <c r="F232" s="23">
        <v>92699791</v>
      </c>
    </row>
    <row r="233" spans="1:7" hidden="1">
      <c r="A233">
        <v>122010301</v>
      </c>
      <c r="B233" t="s">
        <v>256</v>
      </c>
      <c r="C233" s="54">
        <v>43708</v>
      </c>
      <c r="D233">
        <v>10731</v>
      </c>
      <c r="E233" t="s">
        <v>1878</v>
      </c>
      <c r="F233" s="23">
        <v>1638368</v>
      </c>
    </row>
    <row r="234" spans="1:7" hidden="1">
      <c r="A234">
        <v>122010301</v>
      </c>
      <c r="B234" t="s">
        <v>256</v>
      </c>
      <c r="C234" s="54">
        <v>43708</v>
      </c>
      <c r="D234">
        <v>10732</v>
      </c>
      <c r="E234" t="s">
        <v>1879</v>
      </c>
      <c r="G234" s="23">
        <v>16017273</v>
      </c>
    </row>
    <row r="235" spans="1:7" hidden="1">
      <c r="A235">
        <v>122010301</v>
      </c>
      <c r="B235" t="s">
        <v>256</v>
      </c>
      <c r="C235" s="54">
        <v>43738</v>
      </c>
      <c r="D235">
        <v>12366</v>
      </c>
      <c r="E235" t="s">
        <v>1880</v>
      </c>
      <c r="F235" s="23">
        <v>1638368</v>
      </c>
    </row>
    <row r="236" spans="1:7" hidden="1">
      <c r="A236">
        <v>122010301</v>
      </c>
      <c r="B236" t="s">
        <v>256</v>
      </c>
      <c r="C236" s="54">
        <v>43738</v>
      </c>
      <c r="D236">
        <v>12367</v>
      </c>
      <c r="E236" t="s">
        <v>1881</v>
      </c>
      <c r="G236" s="23">
        <v>16017273</v>
      </c>
    </row>
    <row r="237" spans="1:7" hidden="1">
      <c r="A237">
        <v>122010301</v>
      </c>
      <c r="B237" t="s">
        <v>256</v>
      </c>
      <c r="C237" s="54">
        <v>43738</v>
      </c>
      <c r="D237">
        <v>14513</v>
      </c>
      <c r="E237" t="s">
        <v>1883</v>
      </c>
      <c r="G237" s="23">
        <v>149469018</v>
      </c>
    </row>
    <row r="238" spans="1:7" hidden="1">
      <c r="A238">
        <v>122010301</v>
      </c>
      <c r="B238" t="s">
        <v>256</v>
      </c>
      <c r="C238" s="54">
        <v>43738</v>
      </c>
      <c r="D238">
        <v>14514</v>
      </c>
      <c r="E238" t="s">
        <v>1884</v>
      </c>
      <c r="G238" s="23">
        <v>28592608</v>
      </c>
    </row>
    <row r="239" spans="1:7" hidden="1">
      <c r="A239">
        <v>122010401</v>
      </c>
      <c r="B239" t="s">
        <v>728</v>
      </c>
      <c r="C239" s="54">
        <v>43647</v>
      </c>
      <c r="D239" t="s">
        <v>1073</v>
      </c>
      <c r="F239" s="23">
        <v>68983897</v>
      </c>
      <c r="G239" s="23" t="s">
        <v>1074</v>
      </c>
    </row>
    <row r="240" spans="1:7" hidden="1">
      <c r="A240">
        <v>122010401</v>
      </c>
      <c r="B240" t="s">
        <v>728</v>
      </c>
      <c r="C240" s="54">
        <v>43677</v>
      </c>
      <c r="D240">
        <v>9527</v>
      </c>
      <c r="E240" t="s">
        <v>1876</v>
      </c>
      <c r="F240" s="23">
        <v>208503</v>
      </c>
    </row>
    <row r="241" spans="1:7" hidden="1">
      <c r="A241">
        <v>122010401</v>
      </c>
      <c r="B241" t="s">
        <v>728</v>
      </c>
      <c r="C241" s="54">
        <v>43677</v>
      </c>
      <c r="D241">
        <v>9528</v>
      </c>
      <c r="E241" t="s">
        <v>1877</v>
      </c>
      <c r="G241" s="23">
        <v>773154</v>
      </c>
    </row>
    <row r="242" spans="1:7" hidden="1">
      <c r="A242">
        <v>122010401</v>
      </c>
      <c r="B242" t="s">
        <v>728</v>
      </c>
      <c r="C242" s="54">
        <v>43708</v>
      </c>
      <c r="D242">
        <v>10731</v>
      </c>
      <c r="E242" t="s">
        <v>1878</v>
      </c>
      <c r="F242" s="23">
        <v>208503</v>
      </c>
    </row>
    <row r="243" spans="1:7" hidden="1">
      <c r="A243">
        <v>122010401</v>
      </c>
      <c r="B243" t="s">
        <v>728</v>
      </c>
      <c r="C243" s="54">
        <v>43708</v>
      </c>
      <c r="D243">
        <v>10732</v>
      </c>
      <c r="E243" t="s">
        <v>1879</v>
      </c>
      <c r="G243" s="23">
        <v>773154</v>
      </c>
    </row>
    <row r="244" spans="1:7" hidden="1">
      <c r="A244">
        <v>122010401</v>
      </c>
      <c r="B244" t="s">
        <v>728</v>
      </c>
      <c r="C244" s="54">
        <v>43708</v>
      </c>
      <c r="D244">
        <v>14808</v>
      </c>
      <c r="E244" t="s">
        <v>898</v>
      </c>
      <c r="F244" s="23">
        <v>2636364</v>
      </c>
    </row>
    <row r="245" spans="1:7" hidden="1">
      <c r="A245">
        <v>122010401</v>
      </c>
      <c r="B245" t="s">
        <v>728</v>
      </c>
      <c r="C245" s="54">
        <v>43738</v>
      </c>
      <c r="D245">
        <v>12366</v>
      </c>
      <c r="E245" t="s">
        <v>1880</v>
      </c>
      <c r="F245" s="23">
        <v>208503</v>
      </c>
    </row>
    <row r="246" spans="1:7" hidden="1">
      <c r="A246">
        <v>122010401</v>
      </c>
      <c r="B246" t="s">
        <v>728</v>
      </c>
      <c r="C246" s="54">
        <v>43738</v>
      </c>
      <c r="D246">
        <v>12367</v>
      </c>
      <c r="E246" t="s">
        <v>1881</v>
      </c>
      <c r="G246" s="23">
        <v>773154</v>
      </c>
    </row>
    <row r="247" spans="1:7" hidden="1">
      <c r="A247">
        <v>122010501</v>
      </c>
      <c r="B247" t="s">
        <v>255</v>
      </c>
      <c r="C247" s="54">
        <v>43647</v>
      </c>
      <c r="D247" t="s">
        <v>1073</v>
      </c>
      <c r="F247" s="23">
        <v>232828196</v>
      </c>
      <c r="G247" s="23" t="s">
        <v>1074</v>
      </c>
    </row>
    <row r="248" spans="1:7" hidden="1">
      <c r="A248">
        <v>122010501</v>
      </c>
      <c r="B248" t="s">
        <v>255</v>
      </c>
      <c r="C248" s="54">
        <v>43677</v>
      </c>
      <c r="D248">
        <v>9527</v>
      </c>
      <c r="E248" t="s">
        <v>1876</v>
      </c>
      <c r="F248" s="23">
        <v>696781</v>
      </c>
    </row>
    <row r="249" spans="1:7" hidden="1">
      <c r="A249">
        <v>122010501</v>
      </c>
      <c r="B249" t="s">
        <v>255</v>
      </c>
      <c r="C249" s="54">
        <v>43677</v>
      </c>
      <c r="D249">
        <v>9528</v>
      </c>
      <c r="E249" t="s">
        <v>1877</v>
      </c>
      <c r="G249" s="23">
        <v>2837414</v>
      </c>
    </row>
    <row r="250" spans="1:7" hidden="1">
      <c r="A250">
        <v>122010501</v>
      </c>
      <c r="B250" t="s">
        <v>255</v>
      </c>
      <c r="C250" s="54">
        <v>43708</v>
      </c>
      <c r="D250">
        <v>10731</v>
      </c>
      <c r="E250" t="s">
        <v>1878</v>
      </c>
      <c r="F250" s="23">
        <v>696781</v>
      </c>
    </row>
    <row r="251" spans="1:7" hidden="1">
      <c r="A251">
        <v>122010501</v>
      </c>
      <c r="B251" t="s">
        <v>255</v>
      </c>
      <c r="C251" s="54">
        <v>43708</v>
      </c>
      <c r="D251">
        <v>10732</v>
      </c>
      <c r="E251" t="s">
        <v>1879</v>
      </c>
      <c r="G251" s="23">
        <v>2837414</v>
      </c>
    </row>
    <row r="252" spans="1:7" hidden="1">
      <c r="A252">
        <v>122010501</v>
      </c>
      <c r="B252" t="s">
        <v>255</v>
      </c>
      <c r="C252" s="54">
        <v>43738</v>
      </c>
      <c r="D252">
        <v>12366</v>
      </c>
      <c r="E252" t="s">
        <v>1880</v>
      </c>
      <c r="F252" s="23">
        <v>696781</v>
      </c>
    </row>
    <row r="253" spans="1:7" hidden="1">
      <c r="A253">
        <v>122010501</v>
      </c>
      <c r="B253" t="s">
        <v>255</v>
      </c>
      <c r="C253" s="54">
        <v>43738</v>
      </c>
      <c r="D253">
        <v>12367</v>
      </c>
      <c r="E253" t="s">
        <v>1881</v>
      </c>
      <c r="G253" s="23">
        <v>2837414</v>
      </c>
    </row>
    <row r="254" spans="1:7" hidden="1">
      <c r="A254">
        <v>122010701</v>
      </c>
      <c r="B254" t="s">
        <v>725</v>
      </c>
      <c r="C254" s="54">
        <v>43647</v>
      </c>
      <c r="D254" t="s">
        <v>1073</v>
      </c>
      <c r="F254" s="23">
        <v>285497973</v>
      </c>
      <c r="G254" s="23" t="s">
        <v>1074</v>
      </c>
    </row>
    <row r="255" spans="1:7" hidden="1">
      <c r="A255">
        <v>122010701</v>
      </c>
      <c r="B255" t="s">
        <v>725</v>
      </c>
      <c r="C255" s="54">
        <v>43677</v>
      </c>
      <c r="D255">
        <v>9527</v>
      </c>
      <c r="E255" t="s">
        <v>1876</v>
      </c>
      <c r="F255" s="23">
        <v>654775</v>
      </c>
    </row>
    <row r="256" spans="1:7" hidden="1">
      <c r="A256">
        <v>122010701</v>
      </c>
      <c r="B256" t="s">
        <v>725</v>
      </c>
      <c r="C256" s="54">
        <v>43677</v>
      </c>
      <c r="D256">
        <v>9528</v>
      </c>
      <c r="E256" t="s">
        <v>1877</v>
      </c>
      <c r="G256" s="23">
        <v>578530</v>
      </c>
    </row>
    <row r="257" spans="1:7" hidden="1">
      <c r="A257">
        <v>122010701</v>
      </c>
      <c r="B257" t="s">
        <v>725</v>
      </c>
      <c r="C257" s="54">
        <v>43708</v>
      </c>
      <c r="D257">
        <v>10731</v>
      </c>
      <c r="E257" t="s">
        <v>1878</v>
      </c>
      <c r="F257" s="23">
        <v>654775</v>
      </c>
    </row>
    <row r="258" spans="1:7" hidden="1">
      <c r="A258">
        <v>122010701</v>
      </c>
      <c r="B258" t="s">
        <v>725</v>
      </c>
      <c r="C258" s="54">
        <v>43708</v>
      </c>
      <c r="D258">
        <v>10732</v>
      </c>
      <c r="E258" t="s">
        <v>1879</v>
      </c>
      <c r="G258" s="23">
        <v>578530</v>
      </c>
    </row>
    <row r="259" spans="1:7" hidden="1">
      <c r="A259">
        <v>122010701</v>
      </c>
      <c r="B259" t="s">
        <v>725</v>
      </c>
      <c r="C259" s="54">
        <v>43738</v>
      </c>
      <c r="D259">
        <v>12366</v>
      </c>
      <c r="E259" t="s">
        <v>1880</v>
      </c>
      <c r="F259" s="23">
        <v>654775</v>
      </c>
    </row>
    <row r="260" spans="1:7" hidden="1">
      <c r="A260">
        <v>122010701</v>
      </c>
      <c r="B260" t="s">
        <v>725</v>
      </c>
      <c r="C260" s="54">
        <v>43738</v>
      </c>
      <c r="D260">
        <v>12367</v>
      </c>
      <c r="E260" t="s">
        <v>1881</v>
      </c>
      <c r="G260" s="23">
        <v>578530</v>
      </c>
    </row>
    <row r="261" spans="1:7" hidden="1">
      <c r="A261">
        <v>122010701</v>
      </c>
      <c r="B261" t="s">
        <v>725</v>
      </c>
      <c r="C261" s="54">
        <v>43738</v>
      </c>
      <c r="D261">
        <v>14763</v>
      </c>
      <c r="E261" t="s">
        <v>898</v>
      </c>
      <c r="F261" s="23">
        <v>43132727</v>
      </c>
    </row>
    <row r="262" spans="1:7" hidden="1">
      <c r="A262">
        <v>122010801</v>
      </c>
      <c r="B262" t="s">
        <v>727</v>
      </c>
      <c r="C262" s="54">
        <v>43647</v>
      </c>
      <c r="D262" t="s">
        <v>1073</v>
      </c>
      <c r="F262" s="23">
        <v>60810242</v>
      </c>
      <c r="G262" s="23" t="s">
        <v>1074</v>
      </c>
    </row>
    <row r="263" spans="1:7" hidden="1">
      <c r="A263">
        <v>122010801</v>
      </c>
      <c r="B263" t="s">
        <v>727</v>
      </c>
      <c r="C263" s="54">
        <v>43677</v>
      </c>
      <c r="D263">
        <v>9527</v>
      </c>
      <c r="E263" t="s">
        <v>1876</v>
      </c>
      <c r="F263" s="23">
        <v>291494</v>
      </c>
    </row>
    <row r="264" spans="1:7" hidden="1">
      <c r="A264">
        <v>122010801</v>
      </c>
      <c r="B264" t="s">
        <v>727</v>
      </c>
      <c r="C264" s="54">
        <v>43677</v>
      </c>
      <c r="D264">
        <v>9528</v>
      </c>
      <c r="E264" t="s">
        <v>1877</v>
      </c>
      <c r="G264" s="23">
        <v>3702602</v>
      </c>
    </row>
    <row r="265" spans="1:7" hidden="1">
      <c r="A265">
        <v>122010801</v>
      </c>
      <c r="B265" t="s">
        <v>727</v>
      </c>
      <c r="C265" s="54">
        <v>43677</v>
      </c>
      <c r="D265">
        <v>14226</v>
      </c>
      <c r="E265" t="s">
        <v>898</v>
      </c>
      <c r="F265" s="23">
        <v>10909091</v>
      </c>
    </row>
    <row r="266" spans="1:7" hidden="1">
      <c r="A266">
        <v>122010801</v>
      </c>
      <c r="B266" t="s">
        <v>727</v>
      </c>
      <c r="C266" s="54">
        <v>43708</v>
      </c>
      <c r="D266">
        <v>10731</v>
      </c>
      <c r="E266" t="s">
        <v>1878</v>
      </c>
      <c r="F266" s="23">
        <v>291494</v>
      </c>
    </row>
    <row r="267" spans="1:7" hidden="1">
      <c r="A267">
        <v>122010801</v>
      </c>
      <c r="B267" t="s">
        <v>727</v>
      </c>
      <c r="C267" s="54">
        <v>43708</v>
      </c>
      <c r="D267">
        <v>10732</v>
      </c>
      <c r="E267" t="s">
        <v>1879</v>
      </c>
      <c r="G267" s="23">
        <v>3702602</v>
      </c>
    </row>
    <row r="268" spans="1:7" hidden="1">
      <c r="A268">
        <v>122010801</v>
      </c>
      <c r="B268" t="s">
        <v>727</v>
      </c>
      <c r="C268" s="54">
        <v>43738</v>
      </c>
      <c r="D268">
        <v>12366</v>
      </c>
      <c r="E268" t="s">
        <v>1880</v>
      </c>
      <c r="F268" s="23">
        <v>291494</v>
      </c>
    </row>
    <row r="269" spans="1:7" hidden="1">
      <c r="A269">
        <v>122010801</v>
      </c>
      <c r="B269" t="s">
        <v>727</v>
      </c>
      <c r="C269" s="54">
        <v>43738</v>
      </c>
      <c r="D269">
        <v>12367</v>
      </c>
      <c r="E269" t="s">
        <v>1881</v>
      </c>
      <c r="G269" s="23">
        <v>3702602</v>
      </c>
    </row>
    <row r="270" spans="1:7" hidden="1">
      <c r="A270">
        <v>122010901</v>
      </c>
      <c r="B270" t="s">
        <v>730</v>
      </c>
      <c r="C270" s="54">
        <v>43647</v>
      </c>
      <c r="D270" t="s">
        <v>1073</v>
      </c>
      <c r="F270" s="23">
        <v>429776210</v>
      </c>
      <c r="G270" s="23" t="s">
        <v>1074</v>
      </c>
    </row>
    <row r="271" spans="1:7" hidden="1">
      <c r="A271">
        <v>122010901</v>
      </c>
      <c r="B271" t="s">
        <v>730</v>
      </c>
      <c r="C271" s="54">
        <v>43677</v>
      </c>
      <c r="D271">
        <v>9527</v>
      </c>
      <c r="E271" t="s">
        <v>1876</v>
      </c>
      <c r="F271" s="23">
        <v>1228030</v>
      </c>
    </row>
    <row r="272" spans="1:7" hidden="1">
      <c r="A272">
        <v>122010901</v>
      </c>
      <c r="B272" t="s">
        <v>730</v>
      </c>
      <c r="C272" s="54">
        <v>43677</v>
      </c>
      <c r="D272">
        <v>9528</v>
      </c>
      <c r="E272" t="s">
        <v>1877</v>
      </c>
      <c r="G272" s="23">
        <v>11222445</v>
      </c>
    </row>
    <row r="273" spans="1:7" hidden="1">
      <c r="A273">
        <v>122010901</v>
      </c>
      <c r="B273" t="s">
        <v>730</v>
      </c>
      <c r="C273" s="54">
        <v>43677</v>
      </c>
      <c r="D273">
        <v>14263</v>
      </c>
      <c r="E273" t="s">
        <v>898</v>
      </c>
      <c r="F273" s="23">
        <v>1701173</v>
      </c>
    </row>
    <row r="274" spans="1:7" hidden="1">
      <c r="A274">
        <v>122010901</v>
      </c>
      <c r="B274" t="s">
        <v>730</v>
      </c>
      <c r="C274" s="54">
        <v>43677</v>
      </c>
      <c r="D274">
        <v>14265</v>
      </c>
      <c r="E274" t="s">
        <v>898</v>
      </c>
      <c r="F274" s="23">
        <v>13636</v>
      </c>
    </row>
    <row r="275" spans="1:7" hidden="1">
      <c r="A275">
        <v>122010901</v>
      </c>
      <c r="B275" t="s">
        <v>730</v>
      </c>
      <c r="C275" s="54">
        <v>43677</v>
      </c>
      <c r="D275">
        <v>14297</v>
      </c>
      <c r="E275" t="s">
        <v>898</v>
      </c>
      <c r="F275" s="23">
        <v>280000</v>
      </c>
    </row>
    <row r="276" spans="1:7" hidden="1">
      <c r="A276">
        <v>122010901</v>
      </c>
      <c r="B276" t="s">
        <v>730</v>
      </c>
      <c r="C276" s="54">
        <v>43708</v>
      </c>
      <c r="D276">
        <v>10731</v>
      </c>
      <c r="E276" t="s">
        <v>1878</v>
      </c>
      <c r="F276" s="23">
        <v>1228030</v>
      </c>
    </row>
    <row r="277" spans="1:7" hidden="1">
      <c r="A277">
        <v>122010901</v>
      </c>
      <c r="B277" t="s">
        <v>730</v>
      </c>
      <c r="C277" s="54">
        <v>43708</v>
      </c>
      <c r="D277">
        <v>10732</v>
      </c>
      <c r="E277" t="s">
        <v>1879</v>
      </c>
      <c r="G277" s="23">
        <v>11222445</v>
      </c>
    </row>
    <row r="278" spans="1:7" hidden="1">
      <c r="A278">
        <v>122010901</v>
      </c>
      <c r="B278" t="s">
        <v>730</v>
      </c>
      <c r="C278" s="54">
        <v>43708</v>
      </c>
      <c r="D278">
        <v>14808</v>
      </c>
      <c r="E278" t="s">
        <v>898</v>
      </c>
      <c r="F278" s="23">
        <v>1792818</v>
      </c>
    </row>
    <row r="279" spans="1:7" hidden="1">
      <c r="A279">
        <v>122010901</v>
      </c>
      <c r="B279" t="s">
        <v>730</v>
      </c>
      <c r="C279" s="54">
        <v>43708</v>
      </c>
      <c r="D279">
        <v>14850</v>
      </c>
      <c r="E279" t="s">
        <v>898</v>
      </c>
      <c r="F279" s="23">
        <v>2034994</v>
      </c>
    </row>
    <row r="280" spans="1:7" hidden="1">
      <c r="A280">
        <v>122010901</v>
      </c>
      <c r="B280" t="s">
        <v>730</v>
      </c>
      <c r="C280" s="54">
        <v>43738</v>
      </c>
      <c r="D280">
        <v>12366</v>
      </c>
      <c r="E280" t="s">
        <v>1880</v>
      </c>
      <c r="F280" s="23">
        <v>1228030</v>
      </c>
    </row>
    <row r="281" spans="1:7" hidden="1">
      <c r="A281">
        <v>122010901</v>
      </c>
      <c r="B281" t="s">
        <v>730</v>
      </c>
      <c r="C281" s="54">
        <v>43738</v>
      </c>
      <c r="D281">
        <v>12367</v>
      </c>
      <c r="E281" t="s">
        <v>1881</v>
      </c>
      <c r="G281" s="23">
        <v>11222445</v>
      </c>
    </row>
    <row r="282" spans="1:7" hidden="1">
      <c r="A282">
        <v>122010901</v>
      </c>
      <c r="B282" t="s">
        <v>730</v>
      </c>
      <c r="C282" s="54">
        <v>43738</v>
      </c>
      <c r="D282">
        <v>14710</v>
      </c>
      <c r="E282" t="s">
        <v>898</v>
      </c>
      <c r="F282" s="23">
        <v>83090</v>
      </c>
    </row>
    <row r="283" spans="1:7" hidden="1">
      <c r="A283">
        <v>122010901</v>
      </c>
      <c r="B283" t="s">
        <v>730</v>
      </c>
      <c r="C283" s="54">
        <v>43738</v>
      </c>
      <c r="D283">
        <v>14751</v>
      </c>
      <c r="E283" t="s">
        <v>898</v>
      </c>
      <c r="F283" s="23">
        <v>108082</v>
      </c>
    </row>
    <row r="284" spans="1:7" hidden="1">
      <c r="A284">
        <v>122010901</v>
      </c>
      <c r="B284" t="s">
        <v>730</v>
      </c>
      <c r="C284" s="54">
        <v>43738</v>
      </c>
      <c r="D284">
        <v>14789</v>
      </c>
      <c r="E284" t="s">
        <v>898</v>
      </c>
      <c r="F284" s="23">
        <v>27273</v>
      </c>
    </row>
    <row r="285" spans="1:7" hidden="1">
      <c r="A285">
        <v>122020100</v>
      </c>
      <c r="B285" t="s">
        <v>1010</v>
      </c>
      <c r="C285" s="54">
        <v>43647</v>
      </c>
      <c r="D285" t="s">
        <v>1073</v>
      </c>
      <c r="F285" s="23">
        <v>17838304206</v>
      </c>
      <c r="G285" s="23" t="s">
        <v>1074</v>
      </c>
    </row>
    <row r="286" spans="1:7" hidden="1">
      <c r="A286">
        <v>122030101</v>
      </c>
      <c r="B286" t="s">
        <v>1060</v>
      </c>
      <c r="C286" s="54">
        <v>43647</v>
      </c>
      <c r="D286" t="s">
        <v>1073</v>
      </c>
      <c r="F286" s="23">
        <v>335291803</v>
      </c>
      <c r="G286" s="23" t="s">
        <v>1074</v>
      </c>
    </row>
    <row r="287" spans="1:7" hidden="1">
      <c r="A287">
        <v>122030101</v>
      </c>
      <c r="B287" t="s">
        <v>1060</v>
      </c>
      <c r="C287" s="54">
        <v>43738</v>
      </c>
      <c r="D287">
        <v>14710</v>
      </c>
      <c r="E287" t="s">
        <v>898</v>
      </c>
      <c r="F287" s="23">
        <v>1365727</v>
      </c>
    </row>
    <row r="288" spans="1:7">
      <c r="A288">
        <v>122030200</v>
      </c>
      <c r="B288" t="s">
        <v>1061</v>
      </c>
      <c r="C288" s="54">
        <v>43647</v>
      </c>
      <c r="D288" t="s">
        <v>1073</v>
      </c>
      <c r="F288" s="23">
        <v>7090909</v>
      </c>
      <c r="G288" s="23" t="s">
        <v>1074</v>
      </c>
    </row>
    <row r="289" spans="1:7">
      <c r="A289">
        <v>122039900</v>
      </c>
      <c r="B289" t="s">
        <v>1011</v>
      </c>
      <c r="C289" s="54">
        <v>43647</v>
      </c>
      <c r="D289" t="s">
        <v>1073</v>
      </c>
      <c r="F289" s="23">
        <v>235871332</v>
      </c>
      <c r="G289" s="23" t="s">
        <v>1074</v>
      </c>
    </row>
    <row r="290" spans="1:7">
      <c r="A290">
        <v>122039900</v>
      </c>
      <c r="B290" t="s">
        <v>1011</v>
      </c>
      <c r="C290" s="54">
        <v>43677</v>
      </c>
      <c r="D290">
        <v>9619</v>
      </c>
      <c r="E290" t="s">
        <v>1885</v>
      </c>
      <c r="G290" s="23">
        <v>3041725</v>
      </c>
    </row>
    <row r="291" spans="1:7">
      <c r="A291">
        <v>122039900</v>
      </c>
      <c r="B291" t="s">
        <v>1011</v>
      </c>
      <c r="C291" s="54">
        <v>43708</v>
      </c>
      <c r="D291">
        <v>10733</v>
      </c>
      <c r="E291" t="s">
        <v>1886</v>
      </c>
      <c r="G291" s="23">
        <v>3041725</v>
      </c>
    </row>
    <row r="292" spans="1:7">
      <c r="A292">
        <v>122039900</v>
      </c>
      <c r="B292" t="s">
        <v>1011</v>
      </c>
      <c r="C292" s="54">
        <v>43738</v>
      </c>
      <c r="D292">
        <v>13395</v>
      </c>
      <c r="E292" t="s">
        <v>1887</v>
      </c>
      <c r="G292" s="23">
        <v>3041725</v>
      </c>
    </row>
    <row r="293" spans="1:7" hidden="1">
      <c r="A293">
        <v>122050200</v>
      </c>
      <c r="B293" t="s">
        <v>1013</v>
      </c>
      <c r="C293" s="54">
        <v>43647</v>
      </c>
      <c r="D293" t="s">
        <v>1073</v>
      </c>
      <c r="F293" s="23">
        <v>27608268357</v>
      </c>
      <c r="G293" s="23" t="s">
        <v>1074</v>
      </c>
    </row>
    <row r="294" spans="1:7" hidden="1">
      <c r="A294">
        <v>122050200</v>
      </c>
      <c r="B294" t="s">
        <v>1013</v>
      </c>
      <c r="C294" s="54">
        <v>43677</v>
      </c>
      <c r="D294">
        <v>9527</v>
      </c>
      <c r="E294" t="s">
        <v>1876</v>
      </c>
      <c r="F294" s="23">
        <v>40102722</v>
      </c>
    </row>
    <row r="295" spans="1:7" hidden="1">
      <c r="A295">
        <v>122050200</v>
      </c>
      <c r="B295" t="s">
        <v>1013</v>
      </c>
      <c r="C295" s="54">
        <v>43677</v>
      </c>
      <c r="D295">
        <v>9528</v>
      </c>
      <c r="E295" t="s">
        <v>1877</v>
      </c>
      <c r="G295" s="23">
        <v>18267166</v>
      </c>
    </row>
    <row r="296" spans="1:7" hidden="1">
      <c r="A296">
        <v>122050200</v>
      </c>
      <c r="B296" t="s">
        <v>1013</v>
      </c>
      <c r="C296" s="54">
        <v>43708</v>
      </c>
      <c r="D296">
        <v>10731</v>
      </c>
      <c r="E296" t="s">
        <v>1878</v>
      </c>
      <c r="F296" s="23">
        <v>40102722</v>
      </c>
    </row>
    <row r="297" spans="1:7" hidden="1">
      <c r="A297">
        <v>122050200</v>
      </c>
      <c r="B297" t="s">
        <v>1013</v>
      </c>
      <c r="C297" s="54">
        <v>43708</v>
      </c>
      <c r="D297">
        <v>10732</v>
      </c>
      <c r="E297" t="s">
        <v>1879</v>
      </c>
      <c r="G297" s="23">
        <v>18267166</v>
      </c>
    </row>
    <row r="298" spans="1:7" hidden="1">
      <c r="A298">
        <v>122050200</v>
      </c>
      <c r="B298" t="s">
        <v>1013</v>
      </c>
      <c r="C298" s="54">
        <v>43738</v>
      </c>
      <c r="D298">
        <v>12366</v>
      </c>
      <c r="E298" t="s">
        <v>1880</v>
      </c>
      <c r="F298" s="23">
        <v>40102722</v>
      </c>
    </row>
    <row r="299" spans="1:7" hidden="1">
      <c r="A299">
        <v>122050200</v>
      </c>
      <c r="B299" t="s">
        <v>1013</v>
      </c>
      <c r="C299" s="54">
        <v>43738</v>
      </c>
      <c r="D299">
        <v>12367</v>
      </c>
      <c r="E299" t="s">
        <v>1881</v>
      </c>
      <c r="G299" s="23">
        <v>18267166</v>
      </c>
    </row>
    <row r="300" spans="1:7" ht="15" hidden="1">
      <c r="A300" s="55">
        <v>122010101</v>
      </c>
      <c r="B300" s="55" t="s">
        <v>729</v>
      </c>
      <c r="C300" s="56">
        <v>43739</v>
      </c>
      <c r="D300" s="55" t="s">
        <v>1073</v>
      </c>
      <c r="E300" s="55"/>
      <c r="F300" s="57">
        <v>455466266</v>
      </c>
      <c r="G300" s="55" t="s">
        <v>1074</v>
      </c>
    </row>
    <row r="301" spans="1:7" ht="15" hidden="1">
      <c r="A301" s="55">
        <v>122010101</v>
      </c>
      <c r="B301" s="55" t="s">
        <v>729</v>
      </c>
      <c r="C301" s="56">
        <v>43769</v>
      </c>
      <c r="D301" s="55">
        <v>14902</v>
      </c>
      <c r="E301" s="55" t="s">
        <v>4028</v>
      </c>
      <c r="F301" s="57">
        <v>1370565</v>
      </c>
      <c r="G301" s="55"/>
    </row>
    <row r="302" spans="1:7" ht="15" hidden="1">
      <c r="A302" s="55">
        <v>122010101</v>
      </c>
      <c r="B302" s="55" t="s">
        <v>729</v>
      </c>
      <c r="C302" s="56">
        <v>43769</v>
      </c>
      <c r="D302" s="55">
        <v>14903</v>
      </c>
      <c r="E302" s="55" t="s">
        <v>4029</v>
      </c>
      <c r="F302" s="55"/>
      <c r="G302" s="57">
        <v>6573461</v>
      </c>
    </row>
    <row r="303" spans="1:7" ht="15" hidden="1">
      <c r="A303" s="55">
        <v>122010101</v>
      </c>
      <c r="B303" s="55" t="s">
        <v>729</v>
      </c>
      <c r="C303" s="56">
        <v>43769</v>
      </c>
      <c r="D303" s="55">
        <v>21723</v>
      </c>
      <c r="E303" s="55" t="s">
        <v>898</v>
      </c>
      <c r="F303" s="57">
        <v>13105455</v>
      </c>
      <c r="G303" s="55"/>
    </row>
    <row r="304" spans="1:7" ht="15" hidden="1">
      <c r="A304" s="55">
        <v>122010101</v>
      </c>
      <c r="B304" s="55" t="s">
        <v>729</v>
      </c>
      <c r="C304" s="56">
        <v>43799</v>
      </c>
      <c r="D304" s="55">
        <v>16573</v>
      </c>
      <c r="E304" s="55" t="s">
        <v>4030</v>
      </c>
      <c r="F304" s="57">
        <v>1370565</v>
      </c>
      <c r="G304" s="55"/>
    </row>
    <row r="305" spans="1:7" ht="15" hidden="1">
      <c r="A305" s="55">
        <v>122010101</v>
      </c>
      <c r="B305" s="55" t="s">
        <v>729</v>
      </c>
      <c r="C305" s="56">
        <v>43799</v>
      </c>
      <c r="D305" s="55">
        <v>16574</v>
      </c>
      <c r="E305" s="55" t="s">
        <v>4031</v>
      </c>
      <c r="F305" s="55"/>
      <c r="G305" s="57">
        <v>6573461</v>
      </c>
    </row>
    <row r="306" spans="1:7" ht="15" hidden="1">
      <c r="A306" s="55">
        <v>122010101</v>
      </c>
      <c r="B306" s="55" t="s">
        <v>729</v>
      </c>
      <c r="C306" s="56">
        <v>43799</v>
      </c>
      <c r="D306" s="55">
        <v>21820</v>
      </c>
      <c r="E306" s="55" t="s">
        <v>898</v>
      </c>
      <c r="F306" s="57">
        <v>1151364</v>
      </c>
      <c r="G306" s="55"/>
    </row>
    <row r="307" spans="1:7" ht="15" hidden="1">
      <c r="A307" s="55">
        <v>122010101</v>
      </c>
      <c r="B307" s="55" t="s">
        <v>729</v>
      </c>
      <c r="C307" s="56">
        <v>43799</v>
      </c>
      <c r="D307" s="55">
        <v>21829</v>
      </c>
      <c r="E307" s="55" t="s">
        <v>898</v>
      </c>
      <c r="F307" s="57">
        <v>1227273</v>
      </c>
      <c r="G307" s="55"/>
    </row>
    <row r="308" spans="1:7" ht="15" hidden="1">
      <c r="A308" s="55">
        <v>122010101</v>
      </c>
      <c r="B308" s="55" t="s">
        <v>729</v>
      </c>
      <c r="C308" s="56">
        <v>43799</v>
      </c>
      <c r="D308" s="55">
        <v>21862</v>
      </c>
      <c r="E308" s="55" t="s">
        <v>898</v>
      </c>
      <c r="F308" s="57">
        <v>136364</v>
      </c>
      <c r="G308" s="55"/>
    </row>
    <row r="309" spans="1:7" ht="15" hidden="1">
      <c r="A309" s="55">
        <v>122010101</v>
      </c>
      <c r="B309" s="55" t="s">
        <v>729</v>
      </c>
      <c r="C309" s="56">
        <v>43830</v>
      </c>
      <c r="D309" s="55">
        <v>1844</v>
      </c>
      <c r="E309" s="55" t="s">
        <v>4032</v>
      </c>
      <c r="F309" s="55"/>
      <c r="G309" s="57">
        <v>15076215</v>
      </c>
    </row>
    <row r="310" spans="1:7" ht="15" hidden="1">
      <c r="A310" s="55">
        <v>122010101</v>
      </c>
      <c r="B310" s="55" t="s">
        <v>729</v>
      </c>
      <c r="C310" s="56">
        <v>43830</v>
      </c>
      <c r="D310" s="55">
        <v>18635</v>
      </c>
      <c r="E310" s="55" t="s">
        <v>4033</v>
      </c>
      <c r="F310" s="57">
        <v>8115747</v>
      </c>
      <c r="G310" s="55"/>
    </row>
    <row r="311" spans="1:7" ht="15" hidden="1">
      <c r="A311" s="55">
        <v>122010101</v>
      </c>
      <c r="B311" s="55" t="s">
        <v>729</v>
      </c>
      <c r="C311" s="56">
        <v>43830</v>
      </c>
      <c r="D311" s="55">
        <v>18635</v>
      </c>
      <c r="E311" s="55" t="s">
        <v>4033</v>
      </c>
      <c r="F311" s="55"/>
      <c r="G311" s="57">
        <v>1190454</v>
      </c>
    </row>
    <row r="312" spans="1:7" ht="15" hidden="1">
      <c r="A312" s="55">
        <v>122010101</v>
      </c>
      <c r="B312" s="55" t="s">
        <v>729</v>
      </c>
      <c r="C312" s="56">
        <v>43830</v>
      </c>
      <c r="D312" s="55">
        <v>18919</v>
      </c>
      <c r="E312" s="55" t="s">
        <v>4034</v>
      </c>
      <c r="F312" s="57">
        <v>72308071</v>
      </c>
      <c r="G312" s="55"/>
    </row>
    <row r="313" spans="1:7" ht="15" hidden="1">
      <c r="A313" s="55">
        <v>122010101</v>
      </c>
      <c r="B313" s="55" t="s">
        <v>729</v>
      </c>
      <c r="C313" s="56">
        <v>43830</v>
      </c>
      <c r="D313" s="55">
        <v>18920</v>
      </c>
      <c r="E313" s="55" t="s">
        <v>4035</v>
      </c>
      <c r="F313" s="57">
        <v>13138101</v>
      </c>
      <c r="G313" s="55"/>
    </row>
    <row r="314" spans="1:7" ht="15" hidden="1">
      <c r="A314" s="55">
        <v>122010101</v>
      </c>
      <c r="B314" s="55" t="s">
        <v>729</v>
      </c>
      <c r="C314" s="56">
        <v>43830</v>
      </c>
      <c r="D314" s="55">
        <v>18921</v>
      </c>
      <c r="E314" s="55" t="s">
        <v>4036</v>
      </c>
      <c r="F314" s="55"/>
      <c r="G314" s="57">
        <v>68678391</v>
      </c>
    </row>
    <row r="315" spans="1:7" ht="15" hidden="1">
      <c r="A315" s="55">
        <v>122010101</v>
      </c>
      <c r="B315" s="55" t="s">
        <v>729</v>
      </c>
      <c r="C315" s="56">
        <v>43830</v>
      </c>
      <c r="D315" s="55">
        <v>22148</v>
      </c>
      <c r="E315" s="55" t="s">
        <v>898</v>
      </c>
      <c r="F315" s="57">
        <v>1416795</v>
      </c>
      <c r="G315" s="55"/>
    </row>
    <row r="316" spans="1:7" ht="15" hidden="1">
      <c r="A316" s="55">
        <v>122010101</v>
      </c>
      <c r="B316" s="55" t="s">
        <v>729</v>
      </c>
      <c r="C316" s="56">
        <v>43830</v>
      </c>
      <c r="D316" s="55">
        <v>22158</v>
      </c>
      <c r="E316" s="55" t="s">
        <v>898</v>
      </c>
      <c r="F316" s="57">
        <v>1005517</v>
      </c>
      <c r="G316" s="55"/>
    </row>
    <row r="317" spans="1:7" ht="15" hidden="1">
      <c r="A317" s="55">
        <v>122010201</v>
      </c>
      <c r="B317" s="55" t="s">
        <v>724</v>
      </c>
      <c r="C317" s="56">
        <v>43739</v>
      </c>
      <c r="D317" s="55" t="s">
        <v>1073</v>
      </c>
      <c r="E317" s="55"/>
      <c r="F317" s="57">
        <v>114282103</v>
      </c>
      <c r="G317" s="55" t="s">
        <v>1074</v>
      </c>
    </row>
    <row r="318" spans="1:7" ht="15" hidden="1">
      <c r="A318" s="55">
        <v>122010201</v>
      </c>
      <c r="B318" s="55" t="s">
        <v>724</v>
      </c>
      <c r="C318" s="56">
        <v>43769</v>
      </c>
      <c r="D318" s="55">
        <v>14902</v>
      </c>
      <c r="E318" s="55" t="s">
        <v>4028</v>
      </c>
      <c r="F318" s="57">
        <v>336602</v>
      </c>
      <c r="G318" s="55"/>
    </row>
    <row r="319" spans="1:7" ht="15" hidden="1">
      <c r="A319" s="55">
        <v>122010201</v>
      </c>
      <c r="B319" s="55" t="s">
        <v>724</v>
      </c>
      <c r="C319" s="56">
        <v>43769</v>
      </c>
      <c r="D319" s="55">
        <v>14903</v>
      </c>
      <c r="E319" s="55" t="s">
        <v>4029</v>
      </c>
      <c r="F319" s="55"/>
      <c r="G319" s="57">
        <v>4267918</v>
      </c>
    </row>
    <row r="320" spans="1:7" ht="15" hidden="1">
      <c r="A320" s="55">
        <v>122010201</v>
      </c>
      <c r="B320" s="55" t="s">
        <v>724</v>
      </c>
      <c r="C320" s="56">
        <v>43769</v>
      </c>
      <c r="D320" s="55">
        <v>21723</v>
      </c>
      <c r="E320" s="55" t="s">
        <v>898</v>
      </c>
      <c r="F320" s="57">
        <v>9690909</v>
      </c>
      <c r="G320" s="55"/>
    </row>
    <row r="321" spans="1:7" ht="15" hidden="1">
      <c r="A321" s="55">
        <v>122010201</v>
      </c>
      <c r="B321" s="55" t="s">
        <v>724</v>
      </c>
      <c r="C321" s="56">
        <v>43799</v>
      </c>
      <c r="D321" s="55">
        <v>16573</v>
      </c>
      <c r="E321" s="55" t="s">
        <v>4030</v>
      </c>
      <c r="F321" s="57">
        <v>336602</v>
      </c>
      <c r="G321" s="55"/>
    </row>
    <row r="322" spans="1:7" ht="15" hidden="1">
      <c r="A322" s="55">
        <v>122010201</v>
      </c>
      <c r="B322" s="55" t="s">
        <v>724</v>
      </c>
      <c r="C322" s="56">
        <v>43799</v>
      </c>
      <c r="D322" s="55">
        <v>16574</v>
      </c>
      <c r="E322" s="55" t="s">
        <v>4031</v>
      </c>
      <c r="F322" s="55"/>
      <c r="G322" s="57">
        <v>4267918</v>
      </c>
    </row>
    <row r="323" spans="1:7" ht="15" hidden="1">
      <c r="A323" s="55">
        <v>122010201</v>
      </c>
      <c r="B323" s="55" t="s">
        <v>724</v>
      </c>
      <c r="C323" s="56">
        <v>43799</v>
      </c>
      <c r="D323" s="55">
        <v>21820</v>
      </c>
      <c r="E323" s="55" t="s">
        <v>898</v>
      </c>
      <c r="F323" s="57">
        <v>2963636</v>
      </c>
      <c r="G323" s="55"/>
    </row>
    <row r="324" spans="1:7" ht="15" hidden="1">
      <c r="A324" s="55">
        <v>122010201</v>
      </c>
      <c r="B324" s="55" t="s">
        <v>724</v>
      </c>
      <c r="C324" s="56">
        <v>43799</v>
      </c>
      <c r="D324" s="55">
        <v>21873</v>
      </c>
      <c r="E324" s="55" t="s">
        <v>898</v>
      </c>
      <c r="F324" s="57">
        <v>4976381</v>
      </c>
      <c r="G324" s="55"/>
    </row>
    <row r="325" spans="1:7" ht="15" hidden="1">
      <c r="A325" s="55">
        <v>122010201</v>
      </c>
      <c r="B325" s="55" t="s">
        <v>724</v>
      </c>
      <c r="C325" s="56">
        <v>43830</v>
      </c>
      <c r="D325" s="55">
        <v>1844</v>
      </c>
      <c r="E325" s="55" t="s">
        <v>4032</v>
      </c>
      <c r="F325" s="55"/>
      <c r="G325" s="57">
        <v>3702622</v>
      </c>
    </row>
    <row r="326" spans="1:7" ht="15" hidden="1">
      <c r="A326" s="55">
        <v>122010201</v>
      </c>
      <c r="B326" s="55" t="s">
        <v>724</v>
      </c>
      <c r="C326" s="56">
        <v>43830</v>
      </c>
      <c r="D326" s="55">
        <v>18635</v>
      </c>
      <c r="E326" s="55" t="s">
        <v>4033</v>
      </c>
      <c r="F326" s="55"/>
      <c r="G326" s="57">
        <v>1395097</v>
      </c>
    </row>
    <row r="327" spans="1:7" ht="15" hidden="1">
      <c r="A327" s="55">
        <v>122010201</v>
      </c>
      <c r="B327" s="55" t="s">
        <v>724</v>
      </c>
      <c r="C327" s="56">
        <v>43830</v>
      </c>
      <c r="D327" s="55">
        <v>18919</v>
      </c>
      <c r="E327" s="55" t="s">
        <v>4034</v>
      </c>
      <c r="F327" s="57">
        <v>46947098</v>
      </c>
      <c r="G327" s="55"/>
    </row>
    <row r="328" spans="1:7" ht="15" hidden="1">
      <c r="A328" s="55">
        <v>122010201</v>
      </c>
      <c r="B328" s="55" t="s">
        <v>724</v>
      </c>
      <c r="C328" s="56">
        <v>43830</v>
      </c>
      <c r="D328" s="55">
        <v>18920</v>
      </c>
      <c r="E328" s="55" t="s">
        <v>4035</v>
      </c>
      <c r="F328" s="57">
        <v>2995299</v>
      </c>
      <c r="G328" s="55"/>
    </row>
    <row r="329" spans="1:7" ht="15" hidden="1">
      <c r="A329" s="55">
        <v>122010201</v>
      </c>
      <c r="B329" s="55" t="s">
        <v>724</v>
      </c>
      <c r="C329" s="56">
        <v>43830</v>
      </c>
      <c r="D329" s="55">
        <v>18921</v>
      </c>
      <c r="E329" s="55" t="s">
        <v>4036</v>
      </c>
      <c r="F329" s="55"/>
      <c r="G329" s="57">
        <v>38440039</v>
      </c>
    </row>
    <row r="330" spans="1:7" ht="15" hidden="1">
      <c r="A330" s="55">
        <v>122010301</v>
      </c>
      <c r="B330" s="55" t="s">
        <v>256</v>
      </c>
      <c r="C330" s="56">
        <v>43739</v>
      </c>
      <c r="D330" s="55" t="s">
        <v>1073</v>
      </c>
      <c r="E330" s="55"/>
      <c r="F330" s="57">
        <v>284388099</v>
      </c>
      <c r="G330" s="55" t="s">
        <v>1074</v>
      </c>
    </row>
    <row r="331" spans="1:7" ht="15" hidden="1">
      <c r="A331" s="55">
        <v>122010301</v>
      </c>
      <c r="B331" s="55" t="s">
        <v>256</v>
      </c>
      <c r="C331" s="56">
        <v>43769</v>
      </c>
      <c r="D331" s="55">
        <v>14902</v>
      </c>
      <c r="E331" s="55" t="s">
        <v>4028</v>
      </c>
      <c r="F331" s="57">
        <v>1638368</v>
      </c>
      <c r="G331" s="55"/>
    </row>
    <row r="332" spans="1:7" ht="15" hidden="1">
      <c r="A332" s="55">
        <v>122010301</v>
      </c>
      <c r="B332" s="55" t="s">
        <v>256</v>
      </c>
      <c r="C332" s="56">
        <v>43769</v>
      </c>
      <c r="D332" s="55">
        <v>14903</v>
      </c>
      <c r="E332" s="55" t="s">
        <v>4029</v>
      </c>
      <c r="F332" s="55"/>
      <c r="G332" s="57">
        <v>16017273</v>
      </c>
    </row>
    <row r="333" spans="1:7" ht="15" hidden="1">
      <c r="A333" s="55">
        <v>122010301</v>
      </c>
      <c r="B333" s="55" t="s">
        <v>256</v>
      </c>
      <c r="C333" s="56">
        <v>43799</v>
      </c>
      <c r="D333" s="55">
        <v>16573</v>
      </c>
      <c r="E333" s="55" t="s">
        <v>4030</v>
      </c>
      <c r="F333" s="57">
        <v>1638368</v>
      </c>
      <c r="G333" s="55"/>
    </row>
    <row r="334" spans="1:7" ht="15" hidden="1">
      <c r="A334" s="55">
        <v>122010301</v>
      </c>
      <c r="B334" s="55" t="s">
        <v>256</v>
      </c>
      <c r="C334" s="56">
        <v>43799</v>
      </c>
      <c r="D334" s="55">
        <v>16574</v>
      </c>
      <c r="E334" s="55" t="s">
        <v>4031</v>
      </c>
      <c r="F334" s="55"/>
      <c r="G334" s="57">
        <v>16017273</v>
      </c>
    </row>
    <row r="335" spans="1:7" ht="15" hidden="1">
      <c r="A335" s="55">
        <v>122010301</v>
      </c>
      <c r="B335" s="55" t="s">
        <v>256</v>
      </c>
      <c r="C335" s="56">
        <v>43830</v>
      </c>
      <c r="D335" s="55">
        <v>1844</v>
      </c>
      <c r="E335" s="55" t="s">
        <v>4032</v>
      </c>
      <c r="F335" s="55"/>
      <c r="G335" s="57">
        <v>18022048</v>
      </c>
    </row>
    <row r="336" spans="1:7" ht="15" hidden="1">
      <c r="A336" s="55">
        <v>122010301</v>
      </c>
      <c r="B336" s="55" t="s">
        <v>256</v>
      </c>
      <c r="C336" s="56">
        <v>43830</v>
      </c>
      <c r="D336" s="55">
        <v>18919</v>
      </c>
      <c r="E336" s="55" t="s">
        <v>4034</v>
      </c>
      <c r="F336" s="57">
        <v>176190003</v>
      </c>
      <c r="G336" s="55"/>
    </row>
    <row r="337" spans="1:7" ht="15" hidden="1">
      <c r="A337" s="55">
        <v>122010301</v>
      </c>
      <c r="B337" s="55" t="s">
        <v>256</v>
      </c>
      <c r="C337" s="56">
        <v>43830</v>
      </c>
      <c r="D337" s="55">
        <v>18920</v>
      </c>
      <c r="E337" s="55" t="s">
        <v>4035</v>
      </c>
      <c r="F337" s="57">
        <v>9023187</v>
      </c>
      <c r="G337" s="55"/>
    </row>
    <row r="338" spans="1:7" ht="15" hidden="1">
      <c r="A338" s="55">
        <v>122010301</v>
      </c>
      <c r="B338" s="55" t="s">
        <v>256</v>
      </c>
      <c r="C338" s="56">
        <v>43830</v>
      </c>
      <c r="D338" s="55">
        <v>18921</v>
      </c>
      <c r="E338" s="55" t="s">
        <v>4036</v>
      </c>
      <c r="F338" s="55"/>
      <c r="G338" s="57">
        <v>97896427</v>
      </c>
    </row>
    <row r="339" spans="1:7" ht="15" hidden="1">
      <c r="A339" s="55">
        <v>122010301</v>
      </c>
      <c r="B339" s="55" t="s">
        <v>256</v>
      </c>
      <c r="C339" s="56">
        <v>43830</v>
      </c>
      <c r="D339" s="55">
        <v>20906</v>
      </c>
      <c r="E339" s="55" t="s">
        <v>1105</v>
      </c>
      <c r="F339" s="57">
        <v>61450286</v>
      </c>
      <c r="G339" s="55"/>
    </row>
    <row r="340" spans="1:7" ht="15" hidden="1">
      <c r="A340" s="55">
        <v>122010301</v>
      </c>
      <c r="B340" s="55" t="s">
        <v>256</v>
      </c>
      <c r="C340" s="56">
        <v>43830</v>
      </c>
      <c r="D340" s="55">
        <v>20906</v>
      </c>
      <c r="E340" s="55" t="s">
        <v>1130</v>
      </c>
      <c r="F340" s="57">
        <v>224288694</v>
      </c>
      <c r="G340" s="55"/>
    </row>
    <row r="341" spans="1:7" ht="15" hidden="1">
      <c r="A341" s="55">
        <v>122010301</v>
      </c>
      <c r="B341" s="55" t="s">
        <v>256</v>
      </c>
      <c r="C341" s="56">
        <v>43830</v>
      </c>
      <c r="D341" s="55">
        <v>20906</v>
      </c>
      <c r="E341" s="55" t="s">
        <v>1138</v>
      </c>
      <c r="F341" s="57">
        <v>210316873</v>
      </c>
      <c r="G341" s="55"/>
    </row>
    <row r="342" spans="1:7" ht="15" hidden="1">
      <c r="A342" s="55">
        <v>122010301</v>
      </c>
      <c r="B342" s="55" t="s">
        <v>256</v>
      </c>
      <c r="C342" s="56">
        <v>43830</v>
      </c>
      <c r="D342" s="55">
        <v>20906</v>
      </c>
      <c r="E342" s="55" t="s">
        <v>1245</v>
      </c>
      <c r="F342" s="57">
        <v>184407240</v>
      </c>
      <c r="G342" s="55"/>
    </row>
    <row r="343" spans="1:7" ht="15" hidden="1">
      <c r="A343" s="55">
        <v>122010301</v>
      </c>
      <c r="B343" s="55" t="s">
        <v>256</v>
      </c>
      <c r="C343" s="56">
        <v>43830</v>
      </c>
      <c r="D343" s="55">
        <v>20906</v>
      </c>
      <c r="E343" s="55" t="s">
        <v>1254</v>
      </c>
      <c r="F343" s="57">
        <v>177748854</v>
      </c>
      <c r="G343" s="55"/>
    </row>
    <row r="344" spans="1:7" ht="15" hidden="1">
      <c r="A344" s="55">
        <v>122010301</v>
      </c>
      <c r="B344" s="55" t="s">
        <v>256</v>
      </c>
      <c r="C344" s="56">
        <v>43830</v>
      </c>
      <c r="D344" s="55">
        <v>20906</v>
      </c>
      <c r="E344" s="55" t="s">
        <v>1276</v>
      </c>
      <c r="F344" s="57">
        <v>184556475</v>
      </c>
      <c r="G344" s="55"/>
    </row>
    <row r="345" spans="1:7" ht="15" hidden="1">
      <c r="A345" s="55">
        <v>122010301</v>
      </c>
      <c r="B345" s="55" t="s">
        <v>256</v>
      </c>
      <c r="C345" s="56">
        <v>43830</v>
      </c>
      <c r="D345" s="55">
        <v>20906</v>
      </c>
      <c r="E345" s="55" t="s">
        <v>1289</v>
      </c>
      <c r="F345" s="57">
        <v>209265120</v>
      </c>
      <c r="G345" s="55"/>
    </row>
    <row r="346" spans="1:7" ht="15" hidden="1">
      <c r="A346" s="55">
        <v>122010301</v>
      </c>
      <c r="B346" s="55" t="s">
        <v>256</v>
      </c>
      <c r="C346" s="56">
        <v>43830</v>
      </c>
      <c r="D346" s="55">
        <v>20906</v>
      </c>
      <c r="E346" s="55" t="s">
        <v>1313</v>
      </c>
      <c r="F346" s="57">
        <v>184101387</v>
      </c>
      <c r="G346" s="55"/>
    </row>
    <row r="347" spans="1:7" ht="15" hidden="1">
      <c r="A347" s="55">
        <v>122010301</v>
      </c>
      <c r="B347" s="55" t="s">
        <v>256</v>
      </c>
      <c r="C347" s="56">
        <v>43830</v>
      </c>
      <c r="D347" s="55">
        <v>20906</v>
      </c>
      <c r="E347" s="55" t="s">
        <v>1484</v>
      </c>
      <c r="F347" s="57">
        <v>6307510</v>
      </c>
      <c r="G347" s="55"/>
    </row>
    <row r="348" spans="1:7" ht="15" hidden="1">
      <c r="A348" s="55">
        <v>122010401</v>
      </c>
      <c r="B348" s="55" t="s">
        <v>728</v>
      </c>
      <c r="C348" s="56">
        <v>43739</v>
      </c>
      <c r="D348" s="55" t="s">
        <v>1073</v>
      </c>
      <c r="E348" s="55"/>
      <c r="F348" s="57">
        <v>69926308</v>
      </c>
      <c r="G348" s="55" t="s">
        <v>1074</v>
      </c>
    </row>
    <row r="349" spans="1:7" ht="15" hidden="1">
      <c r="A349" s="55">
        <v>122010401</v>
      </c>
      <c r="B349" s="55" t="s">
        <v>728</v>
      </c>
      <c r="C349" s="56">
        <v>43769</v>
      </c>
      <c r="D349" s="55">
        <v>14902</v>
      </c>
      <c r="E349" s="55" t="s">
        <v>4028</v>
      </c>
      <c r="F349" s="57">
        <v>208503</v>
      </c>
      <c r="G349" s="55"/>
    </row>
    <row r="350" spans="1:7" ht="15" hidden="1">
      <c r="A350" s="55">
        <v>122010401</v>
      </c>
      <c r="B350" s="55" t="s">
        <v>728</v>
      </c>
      <c r="C350" s="56">
        <v>43769</v>
      </c>
      <c r="D350" s="55">
        <v>14903</v>
      </c>
      <c r="E350" s="55" t="s">
        <v>4029</v>
      </c>
      <c r="F350" s="55"/>
      <c r="G350" s="57">
        <v>773154</v>
      </c>
    </row>
    <row r="351" spans="1:7" ht="15" hidden="1">
      <c r="A351" s="55">
        <v>122010401</v>
      </c>
      <c r="B351" s="55" t="s">
        <v>728</v>
      </c>
      <c r="C351" s="56">
        <v>43799</v>
      </c>
      <c r="D351" s="55">
        <v>16573</v>
      </c>
      <c r="E351" s="55" t="s">
        <v>4030</v>
      </c>
      <c r="F351" s="57">
        <v>208503</v>
      </c>
      <c r="G351" s="55"/>
    </row>
    <row r="352" spans="1:7" ht="15" hidden="1">
      <c r="A352" s="55">
        <v>122010401</v>
      </c>
      <c r="B352" s="55" t="s">
        <v>728</v>
      </c>
      <c r="C352" s="56">
        <v>43799</v>
      </c>
      <c r="D352" s="55">
        <v>16574</v>
      </c>
      <c r="E352" s="55" t="s">
        <v>4031</v>
      </c>
      <c r="F352" s="55"/>
      <c r="G352" s="57">
        <v>773154</v>
      </c>
    </row>
    <row r="353" spans="1:7" ht="15" hidden="1">
      <c r="A353" s="55">
        <v>122010401</v>
      </c>
      <c r="B353" s="55" t="s">
        <v>728</v>
      </c>
      <c r="C353" s="56">
        <v>43830</v>
      </c>
      <c r="D353" s="55">
        <v>1844</v>
      </c>
      <c r="E353" s="55" t="s">
        <v>4032</v>
      </c>
      <c r="F353" s="55"/>
      <c r="G353" s="57">
        <v>2293533</v>
      </c>
    </row>
    <row r="354" spans="1:7" ht="15" hidden="1">
      <c r="A354" s="55">
        <v>122010401</v>
      </c>
      <c r="B354" s="55" t="s">
        <v>728</v>
      </c>
      <c r="C354" s="56">
        <v>43830</v>
      </c>
      <c r="D354" s="55">
        <v>18635</v>
      </c>
      <c r="E354" s="55" t="s">
        <v>4033</v>
      </c>
      <c r="F354" s="55"/>
      <c r="G354" s="57">
        <v>2636364</v>
      </c>
    </row>
    <row r="355" spans="1:7" ht="15" hidden="1">
      <c r="A355" s="55">
        <v>122010401</v>
      </c>
      <c r="B355" s="55" t="s">
        <v>728</v>
      </c>
      <c r="C355" s="56">
        <v>43830</v>
      </c>
      <c r="D355" s="55">
        <v>18919</v>
      </c>
      <c r="E355" s="55" t="s">
        <v>4034</v>
      </c>
      <c r="F355" s="57">
        <v>8504694</v>
      </c>
      <c r="G355" s="55"/>
    </row>
    <row r="356" spans="1:7" ht="15" hidden="1">
      <c r="A356" s="55">
        <v>122010401</v>
      </c>
      <c r="B356" s="55" t="s">
        <v>728</v>
      </c>
      <c r="C356" s="56">
        <v>43830</v>
      </c>
      <c r="D356" s="55">
        <v>18920</v>
      </c>
      <c r="E356" s="55" t="s">
        <v>4035</v>
      </c>
      <c r="F356" s="57">
        <v>2033720</v>
      </c>
      <c r="G356" s="55"/>
    </row>
    <row r="357" spans="1:7" ht="15" hidden="1">
      <c r="A357" s="55">
        <v>122010401</v>
      </c>
      <c r="B357" s="55" t="s">
        <v>728</v>
      </c>
      <c r="C357" s="56">
        <v>43830</v>
      </c>
      <c r="D357" s="55">
        <v>18921</v>
      </c>
      <c r="E357" s="55" t="s">
        <v>4036</v>
      </c>
      <c r="F357" s="55"/>
      <c r="G357" s="57">
        <v>8552606</v>
      </c>
    </row>
    <row r="358" spans="1:7" ht="15" hidden="1">
      <c r="A358" s="55">
        <v>122010501</v>
      </c>
      <c r="B358" s="55" t="s">
        <v>255</v>
      </c>
      <c r="C358" s="56">
        <v>43739</v>
      </c>
      <c r="D358" s="55" t="s">
        <v>1073</v>
      </c>
      <c r="E358" s="55"/>
      <c r="F358" s="57">
        <v>226406297</v>
      </c>
      <c r="G358" s="55" t="s">
        <v>1074</v>
      </c>
    </row>
    <row r="359" spans="1:7" ht="15" hidden="1">
      <c r="A359" s="55">
        <v>122010501</v>
      </c>
      <c r="B359" s="55" t="s">
        <v>255</v>
      </c>
      <c r="C359" s="56">
        <v>43769</v>
      </c>
      <c r="D359" s="55">
        <v>14902</v>
      </c>
      <c r="E359" s="55" t="s">
        <v>4028</v>
      </c>
      <c r="F359" s="57">
        <v>696781</v>
      </c>
      <c r="G359" s="55"/>
    </row>
    <row r="360" spans="1:7" ht="15" hidden="1">
      <c r="A360" s="55">
        <v>122010501</v>
      </c>
      <c r="B360" s="55" t="s">
        <v>255</v>
      </c>
      <c r="C360" s="56">
        <v>43769</v>
      </c>
      <c r="D360" s="55">
        <v>14903</v>
      </c>
      <c r="E360" s="55" t="s">
        <v>4029</v>
      </c>
      <c r="F360" s="55"/>
      <c r="G360" s="57">
        <v>2837414</v>
      </c>
    </row>
    <row r="361" spans="1:7" ht="15" hidden="1">
      <c r="A361" s="55">
        <v>122010501</v>
      </c>
      <c r="B361" s="55" t="s">
        <v>255</v>
      </c>
      <c r="C361" s="56">
        <v>43799</v>
      </c>
      <c r="D361" s="55">
        <v>16573</v>
      </c>
      <c r="E361" s="55" t="s">
        <v>4030</v>
      </c>
      <c r="F361" s="57">
        <v>696781</v>
      </c>
      <c r="G361" s="55"/>
    </row>
    <row r="362" spans="1:7" ht="15" hidden="1">
      <c r="A362" s="55">
        <v>122010501</v>
      </c>
      <c r="B362" s="55" t="s">
        <v>255</v>
      </c>
      <c r="C362" s="56">
        <v>43799</v>
      </c>
      <c r="D362" s="55">
        <v>16574</v>
      </c>
      <c r="E362" s="55" t="s">
        <v>4031</v>
      </c>
      <c r="F362" s="55"/>
      <c r="G362" s="57">
        <v>2837414</v>
      </c>
    </row>
    <row r="363" spans="1:7" ht="15" hidden="1">
      <c r="A363" s="55">
        <v>122010501</v>
      </c>
      <c r="B363" s="55" t="s">
        <v>255</v>
      </c>
      <c r="C363" s="56">
        <v>43830</v>
      </c>
      <c r="D363" s="55">
        <v>1844</v>
      </c>
      <c r="E363" s="55" t="s">
        <v>4032</v>
      </c>
      <c r="F363" s="55"/>
      <c r="G363" s="57">
        <v>7664591</v>
      </c>
    </row>
    <row r="364" spans="1:7" ht="15" hidden="1">
      <c r="A364" s="55">
        <v>122010501</v>
      </c>
      <c r="B364" s="55" t="s">
        <v>255</v>
      </c>
      <c r="C364" s="56">
        <v>43830</v>
      </c>
      <c r="D364" s="55">
        <v>18635</v>
      </c>
      <c r="E364" s="55" t="s">
        <v>4033</v>
      </c>
      <c r="F364" s="55"/>
      <c r="G364" s="57">
        <v>3090909</v>
      </c>
    </row>
    <row r="365" spans="1:7" ht="15" hidden="1">
      <c r="A365" s="55">
        <v>122010501</v>
      </c>
      <c r="B365" s="55" t="s">
        <v>255</v>
      </c>
      <c r="C365" s="56">
        <v>43830</v>
      </c>
      <c r="D365" s="55">
        <v>18919</v>
      </c>
      <c r="E365" s="55" t="s">
        <v>4034</v>
      </c>
      <c r="F365" s="57">
        <v>31211554</v>
      </c>
      <c r="G365" s="55"/>
    </row>
    <row r="366" spans="1:7" ht="15" hidden="1">
      <c r="A366" s="55">
        <v>122010501</v>
      </c>
      <c r="B366" s="55" t="s">
        <v>255</v>
      </c>
      <c r="C366" s="56">
        <v>43830</v>
      </c>
      <c r="D366" s="55">
        <v>18920</v>
      </c>
      <c r="E366" s="55" t="s">
        <v>4035</v>
      </c>
      <c r="F366" s="57">
        <v>6729441</v>
      </c>
      <c r="G366" s="55"/>
    </row>
    <row r="367" spans="1:7" ht="15" hidden="1">
      <c r="A367" s="55">
        <v>122010501</v>
      </c>
      <c r="B367" s="55" t="s">
        <v>255</v>
      </c>
      <c r="C367" s="56">
        <v>43830</v>
      </c>
      <c r="D367" s="55">
        <v>18921</v>
      </c>
      <c r="E367" s="55" t="s">
        <v>4036</v>
      </c>
      <c r="F367" s="55"/>
      <c r="G367" s="57">
        <v>30941516</v>
      </c>
    </row>
    <row r="368" spans="1:7" ht="15" hidden="1">
      <c r="A368" s="55">
        <v>122010701</v>
      </c>
      <c r="B368" s="55" t="s">
        <v>725</v>
      </c>
      <c r="C368" s="56">
        <v>43739</v>
      </c>
      <c r="D368" s="55" t="s">
        <v>1073</v>
      </c>
      <c r="E368" s="55"/>
      <c r="F368" s="57">
        <v>328859435</v>
      </c>
      <c r="G368" s="55" t="s">
        <v>1074</v>
      </c>
    </row>
    <row r="369" spans="1:7" ht="15" hidden="1">
      <c r="A369" s="55">
        <v>122010701</v>
      </c>
      <c r="B369" s="55" t="s">
        <v>725</v>
      </c>
      <c r="C369" s="56">
        <v>43769</v>
      </c>
      <c r="D369" s="55">
        <v>14902</v>
      </c>
      <c r="E369" s="55" t="s">
        <v>4028</v>
      </c>
      <c r="F369" s="57">
        <v>654775</v>
      </c>
      <c r="G369" s="55"/>
    </row>
    <row r="370" spans="1:7" ht="15" hidden="1">
      <c r="A370" s="55">
        <v>122010701</v>
      </c>
      <c r="B370" s="55" t="s">
        <v>725</v>
      </c>
      <c r="C370" s="56">
        <v>43769</v>
      </c>
      <c r="D370" s="55">
        <v>14903</v>
      </c>
      <c r="E370" s="55" t="s">
        <v>4029</v>
      </c>
      <c r="F370" s="55"/>
      <c r="G370" s="57">
        <v>578530</v>
      </c>
    </row>
    <row r="371" spans="1:7" ht="15" hidden="1">
      <c r="A371" s="55">
        <v>122010701</v>
      </c>
      <c r="B371" s="55" t="s">
        <v>725</v>
      </c>
      <c r="C371" s="56">
        <v>43769</v>
      </c>
      <c r="D371" s="55">
        <v>21777</v>
      </c>
      <c r="E371" s="55" t="s">
        <v>898</v>
      </c>
      <c r="F371" s="57">
        <v>57973491</v>
      </c>
      <c r="G371" s="55"/>
    </row>
    <row r="372" spans="1:7" ht="15" hidden="1">
      <c r="A372" s="55">
        <v>122010701</v>
      </c>
      <c r="B372" s="55" t="s">
        <v>725</v>
      </c>
      <c r="C372" s="56">
        <v>43799</v>
      </c>
      <c r="D372" s="55">
        <v>16573</v>
      </c>
      <c r="E372" s="55" t="s">
        <v>4030</v>
      </c>
      <c r="F372" s="57">
        <v>654775</v>
      </c>
      <c r="G372" s="55"/>
    </row>
    <row r="373" spans="1:7" ht="15" hidden="1">
      <c r="A373" s="55">
        <v>122010701</v>
      </c>
      <c r="B373" s="55" t="s">
        <v>725</v>
      </c>
      <c r="C373" s="56">
        <v>43799</v>
      </c>
      <c r="D373" s="55">
        <v>16574</v>
      </c>
      <c r="E373" s="55" t="s">
        <v>4031</v>
      </c>
      <c r="F373" s="55"/>
      <c r="G373" s="57">
        <v>578530</v>
      </c>
    </row>
    <row r="374" spans="1:7" ht="15" hidden="1">
      <c r="A374" s="55">
        <v>122010701</v>
      </c>
      <c r="B374" s="55" t="s">
        <v>725</v>
      </c>
      <c r="C374" s="56">
        <v>43830</v>
      </c>
      <c r="D374" s="55">
        <v>1844</v>
      </c>
      <c r="E374" s="55" t="s">
        <v>4032</v>
      </c>
      <c r="F374" s="55"/>
      <c r="G374" s="57">
        <v>7202525</v>
      </c>
    </row>
    <row r="375" spans="1:7" ht="15" hidden="1">
      <c r="A375" s="55">
        <v>122010701</v>
      </c>
      <c r="B375" s="55" t="s">
        <v>725</v>
      </c>
      <c r="C375" s="56">
        <v>43830</v>
      </c>
      <c r="D375" s="55">
        <v>18919</v>
      </c>
      <c r="E375" s="55" t="s">
        <v>4034</v>
      </c>
      <c r="F375" s="57">
        <v>6363830</v>
      </c>
      <c r="G375" s="55"/>
    </row>
    <row r="376" spans="1:7" ht="15" hidden="1">
      <c r="A376" s="55">
        <v>122010701</v>
      </c>
      <c r="B376" s="55" t="s">
        <v>725</v>
      </c>
      <c r="C376" s="56">
        <v>43830</v>
      </c>
      <c r="D376" s="55">
        <v>18920</v>
      </c>
      <c r="E376" s="55" t="s">
        <v>4035</v>
      </c>
      <c r="F376" s="57">
        <v>6912720</v>
      </c>
      <c r="G376" s="55"/>
    </row>
    <row r="377" spans="1:7" ht="15" hidden="1">
      <c r="A377" s="55">
        <v>122010701</v>
      </c>
      <c r="B377" s="55" t="s">
        <v>725</v>
      </c>
      <c r="C377" s="56">
        <v>43830</v>
      </c>
      <c r="D377" s="55">
        <v>18921</v>
      </c>
      <c r="E377" s="55" t="s">
        <v>4036</v>
      </c>
      <c r="F377" s="55"/>
      <c r="G377" s="57">
        <v>6929025</v>
      </c>
    </row>
    <row r="378" spans="1:7" ht="15" hidden="1">
      <c r="A378" s="55">
        <v>122010801</v>
      </c>
      <c r="B378" s="55" t="s">
        <v>727</v>
      </c>
      <c r="C378" s="56">
        <v>43739</v>
      </c>
      <c r="D378" s="55" t="s">
        <v>1073</v>
      </c>
      <c r="E378" s="55"/>
      <c r="F378" s="57">
        <v>61486009</v>
      </c>
      <c r="G378" s="55" t="s">
        <v>1074</v>
      </c>
    </row>
    <row r="379" spans="1:7" ht="15" hidden="1">
      <c r="A379" s="55">
        <v>122010801</v>
      </c>
      <c r="B379" s="55" t="s">
        <v>727</v>
      </c>
      <c r="C379" s="56">
        <v>43769</v>
      </c>
      <c r="D379" s="55">
        <v>14902</v>
      </c>
      <c r="E379" s="55" t="s">
        <v>4028</v>
      </c>
      <c r="F379" s="57">
        <v>291494</v>
      </c>
      <c r="G379" s="55"/>
    </row>
    <row r="380" spans="1:7" ht="15" hidden="1">
      <c r="A380" s="55">
        <v>122010801</v>
      </c>
      <c r="B380" s="55" t="s">
        <v>727</v>
      </c>
      <c r="C380" s="56">
        <v>43769</v>
      </c>
      <c r="D380" s="55">
        <v>14903</v>
      </c>
      <c r="E380" s="55" t="s">
        <v>4029</v>
      </c>
      <c r="F380" s="55"/>
      <c r="G380" s="57">
        <v>3702602</v>
      </c>
    </row>
    <row r="381" spans="1:7" ht="15" hidden="1">
      <c r="A381" s="55">
        <v>122010801</v>
      </c>
      <c r="B381" s="55" t="s">
        <v>727</v>
      </c>
      <c r="C381" s="56">
        <v>43799</v>
      </c>
      <c r="D381" s="55">
        <v>16573</v>
      </c>
      <c r="E381" s="55" t="s">
        <v>4030</v>
      </c>
      <c r="F381" s="57">
        <v>291494</v>
      </c>
      <c r="G381" s="55"/>
    </row>
    <row r="382" spans="1:7" ht="15" hidden="1">
      <c r="A382" s="55">
        <v>122010801</v>
      </c>
      <c r="B382" s="55" t="s">
        <v>727</v>
      </c>
      <c r="C382" s="56">
        <v>43799</v>
      </c>
      <c r="D382" s="55">
        <v>16574</v>
      </c>
      <c r="E382" s="55" t="s">
        <v>4031</v>
      </c>
      <c r="F382" s="55"/>
      <c r="G382" s="57">
        <v>3702602</v>
      </c>
    </row>
    <row r="383" spans="1:7" ht="15" hidden="1">
      <c r="A383" s="55">
        <v>122010801</v>
      </c>
      <c r="B383" s="55" t="s">
        <v>727</v>
      </c>
      <c r="C383" s="56">
        <v>43799</v>
      </c>
      <c r="D383" s="55">
        <v>21862</v>
      </c>
      <c r="E383" s="55" t="s">
        <v>898</v>
      </c>
      <c r="F383" s="57">
        <v>4522727</v>
      </c>
      <c r="G383" s="55"/>
    </row>
    <row r="384" spans="1:7" ht="15" hidden="1">
      <c r="A384" s="55">
        <v>122010801</v>
      </c>
      <c r="B384" s="55" t="s">
        <v>727</v>
      </c>
      <c r="C384" s="56">
        <v>43830</v>
      </c>
      <c r="D384" s="55">
        <v>1844</v>
      </c>
      <c r="E384" s="55" t="s">
        <v>4032</v>
      </c>
      <c r="F384" s="55"/>
      <c r="G384" s="57">
        <v>3206434</v>
      </c>
    </row>
    <row r="385" spans="1:7" ht="15" hidden="1">
      <c r="A385" s="55">
        <v>122010801</v>
      </c>
      <c r="B385" s="55" t="s">
        <v>727</v>
      </c>
      <c r="C385" s="56">
        <v>43830</v>
      </c>
      <c r="D385" s="55">
        <v>18919</v>
      </c>
      <c r="E385" s="55" t="s">
        <v>4034</v>
      </c>
      <c r="F385" s="57">
        <v>40728622</v>
      </c>
      <c r="G385" s="55"/>
    </row>
    <row r="386" spans="1:7" ht="15" hidden="1">
      <c r="A386" s="55">
        <v>122010801</v>
      </c>
      <c r="B386" s="55" t="s">
        <v>727</v>
      </c>
      <c r="C386" s="56">
        <v>43830</v>
      </c>
      <c r="D386" s="55">
        <v>18920</v>
      </c>
      <c r="E386" s="55" t="s">
        <v>4035</v>
      </c>
      <c r="F386" s="57">
        <v>2283962</v>
      </c>
      <c r="G386" s="55"/>
    </row>
    <row r="387" spans="1:7" ht="15" hidden="1">
      <c r="A387" s="55">
        <v>122010801</v>
      </c>
      <c r="B387" s="55" t="s">
        <v>727</v>
      </c>
      <c r="C387" s="56">
        <v>43830</v>
      </c>
      <c r="D387" s="55">
        <v>18921</v>
      </c>
      <c r="E387" s="55" t="s">
        <v>4036</v>
      </c>
      <c r="F387" s="55"/>
      <c r="G387" s="57">
        <v>19473460</v>
      </c>
    </row>
    <row r="388" spans="1:7" ht="15" hidden="1">
      <c r="A388" s="55">
        <v>122010901</v>
      </c>
      <c r="B388" s="55" t="s">
        <v>730</v>
      </c>
      <c r="C388" s="56">
        <v>43739</v>
      </c>
      <c r="D388" s="55" t="s">
        <v>1073</v>
      </c>
      <c r="E388" s="55"/>
      <c r="F388" s="57">
        <v>405834031</v>
      </c>
      <c r="G388" s="55" t="s">
        <v>1074</v>
      </c>
    </row>
    <row r="389" spans="1:7" ht="15" hidden="1">
      <c r="A389" s="55">
        <v>122010901</v>
      </c>
      <c r="B389" s="55" t="s">
        <v>730</v>
      </c>
      <c r="C389" s="56">
        <v>43769</v>
      </c>
      <c r="D389" s="55">
        <v>14902</v>
      </c>
      <c r="E389" s="55" t="s">
        <v>4028</v>
      </c>
      <c r="F389" s="57">
        <v>1228030</v>
      </c>
      <c r="G389" s="55"/>
    </row>
    <row r="390" spans="1:7" ht="15" hidden="1">
      <c r="A390" s="55">
        <v>122010901</v>
      </c>
      <c r="B390" s="55" t="s">
        <v>730</v>
      </c>
      <c r="C390" s="56">
        <v>43769</v>
      </c>
      <c r="D390" s="55">
        <v>14903</v>
      </c>
      <c r="E390" s="55" t="s">
        <v>4029</v>
      </c>
      <c r="F390" s="55"/>
      <c r="G390" s="57">
        <v>11222445</v>
      </c>
    </row>
    <row r="391" spans="1:7" ht="15" hidden="1">
      <c r="A391" s="55">
        <v>122010901</v>
      </c>
      <c r="B391" s="55" t="s">
        <v>730</v>
      </c>
      <c r="C391" s="56">
        <v>43769</v>
      </c>
      <c r="D391" s="55">
        <v>21723</v>
      </c>
      <c r="E391" s="55" t="s">
        <v>898</v>
      </c>
      <c r="F391" s="57">
        <v>4551288</v>
      </c>
      <c r="G391" s="55"/>
    </row>
    <row r="392" spans="1:7" ht="15" hidden="1">
      <c r="A392" s="55">
        <v>122010901</v>
      </c>
      <c r="B392" s="55" t="s">
        <v>730</v>
      </c>
      <c r="C392" s="56">
        <v>43769</v>
      </c>
      <c r="D392" s="55">
        <v>21732</v>
      </c>
      <c r="E392" s="55" t="s">
        <v>898</v>
      </c>
      <c r="F392" s="57">
        <v>38410</v>
      </c>
      <c r="G392" s="55"/>
    </row>
    <row r="393" spans="1:7" ht="15" hidden="1">
      <c r="A393" s="55">
        <v>122010901</v>
      </c>
      <c r="B393" s="55" t="s">
        <v>730</v>
      </c>
      <c r="C393" s="56">
        <v>43769</v>
      </c>
      <c r="D393" s="55">
        <v>21738</v>
      </c>
      <c r="E393" s="55" t="s">
        <v>898</v>
      </c>
      <c r="F393" s="57">
        <v>28636</v>
      </c>
      <c r="G393" s="55"/>
    </row>
    <row r="394" spans="1:7" ht="15" hidden="1">
      <c r="A394" s="55">
        <v>122010901</v>
      </c>
      <c r="B394" s="55" t="s">
        <v>730</v>
      </c>
      <c r="C394" s="56">
        <v>43769</v>
      </c>
      <c r="D394" s="55">
        <v>21765</v>
      </c>
      <c r="E394" s="55" t="s">
        <v>898</v>
      </c>
      <c r="F394" s="57">
        <v>849223</v>
      </c>
      <c r="G394" s="55"/>
    </row>
    <row r="395" spans="1:7" ht="15" hidden="1">
      <c r="A395" s="55">
        <v>122010901</v>
      </c>
      <c r="B395" s="55" t="s">
        <v>730</v>
      </c>
      <c r="C395" s="56">
        <v>43799</v>
      </c>
      <c r="D395" s="55">
        <v>16573</v>
      </c>
      <c r="E395" s="55" t="s">
        <v>4030</v>
      </c>
      <c r="F395" s="57">
        <v>1228030</v>
      </c>
      <c r="G395" s="55"/>
    </row>
    <row r="396" spans="1:7" ht="15" hidden="1">
      <c r="A396" s="55">
        <v>122010901</v>
      </c>
      <c r="B396" s="55" t="s">
        <v>730</v>
      </c>
      <c r="C396" s="56">
        <v>43799</v>
      </c>
      <c r="D396" s="55">
        <v>16574</v>
      </c>
      <c r="E396" s="55" t="s">
        <v>4031</v>
      </c>
      <c r="F396" s="55"/>
      <c r="G396" s="57">
        <v>11222445</v>
      </c>
    </row>
    <row r="397" spans="1:7" ht="15" hidden="1">
      <c r="A397" s="55">
        <v>122010901</v>
      </c>
      <c r="B397" s="55" t="s">
        <v>730</v>
      </c>
      <c r="C397" s="56">
        <v>43799</v>
      </c>
      <c r="D397" s="55">
        <v>21820</v>
      </c>
      <c r="E397" s="55" t="s">
        <v>898</v>
      </c>
      <c r="F397" s="57">
        <v>160727</v>
      </c>
      <c r="G397" s="55"/>
    </row>
    <row r="398" spans="1:7" ht="15" hidden="1">
      <c r="A398" s="55">
        <v>122010901</v>
      </c>
      <c r="B398" s="55" t="s">
        <v>730</v>
      </c>
      <c r="C398" s="56">
        <v>43799</v>
      </c>
      <c r="D398" s="55">
        <v>21858</v>
      </c>
      <c r="E398" s="55" t="s">
        <v>898</v>
      </c>
      <c r="F398" s="57">
        <v>187664</v>
      </c>
      <c r="G398" s="55"/>
    </row>
    <row r="399" spans="1:7" ht="15" hidden="1">
      <c r="A399" s="55">
        <v>122010901</v>
      </c>
      <c r="B399" s="55" t="s">
        <v>730</v>
      </c>
      <c r="C399" s="56">
        <v>43799</v>
      </c>
      <c r="D399" s="55">
        <v>21860</v>
      </c>
      <c r="E399" s="55" t="s">
        <v>898</v>
      </c>
      <c r="F399" s="57">
        <v>72831</v>
      </c>
      <c r="G399" s="55"/>
    </row>
    <row r="400" spans="1:7" ht="15" hidden="1">
      <c r="A400" s="55">
        <v>122010901</v>
      </c>
      <c r="B400" s="55" t="s">
        <v>730</v>
      </c>
      <c r="C400" s="56">
        <v>43799</v>
      </c>
      <c r="D400" s="55">
        <v>21877</v>
      </c>
      <c r="E400" s="55" t="s">
        <v>898</v>
      </c>
      <c r="F400" s="57">
        <v>27000</v>
      </c>
      <c r="G400" s="55"/>
    </row>
    <row r="401" spans="1:7" ht="15" hidden="1">
      <c r="A401" s="55">
        <v>122010901</v>
      </c>
      <c r="B401" s="55" t="s">
        <v>730</v>
      </c>
      <c r="C401" s="56">
        <v>43799</v>
      </c>
      <c r="D401" s="55">
        <v>21895</v>
      </c>
      <c r="E401" s="55" t="s">
        <v>898</v>
      </c>
      <c r="F401" s="57">
        <v>281454</v>
      </c>
      <c r="G401" s="55"/>
    </row>
    <row r="402" spans="1:7" ht="15" hidden="1">
      <c r="A402" s="55">
        <v>122010901</v>
      </c>
      <c r="B402" s="55" t="s">
        <v>730</v>
      </c>
      <c r="C402" s="56">
        <v>43830</v>
      </c>
      <c r="D402" s="55">
        <v>1844</v>
      </c>
      <c r="E402" s="55" t="s">
        <v>4032</v>
      </c>
      <c r="F402" s="55"/>
      <c r="G402" s="57">
        <v>13508330</v>
      </c>
    </row>
    <row r="403" spans="1:7" ht="15" hidden="1">
      <c r="A403" s="55">
        <v>122010901</v>
      </c>
      <c r="B403" s="55" t="s">
        <v>730</v>
      </c>
      <c r="C403" s="56">
        <v>43830</v>
      </c>
      <c r="D403" s="55">
        <v>18635</v>
      </c>
      <c r="E403" s="55" t="s">
        <v>4033</v>
      </c>
      <c r="F403" s="57">
        <v>2636364</v>
      </c>
      <c r="G403" s="55"/>
    </row>
    <row r="404" spans="1:7" ht="15" hidden="1">
      <c r="A404" s="55">
        <v>122010901</v>
      </c>
      <c r="B404" s="55" t="s">
        <v>730</v>
      </c>
      <c r="C404" s="56">
        <v>43830</v>
      </c>
      <c r="D404" s="55">
        <v>18635</v>
      </c>
      <c r="E404" s="55" t="s">
        <v>4033</v>
      </c>
      <c r="F404" s="55"/>
      <c r="G404" s="57">
        <v>7708291</v>
      </c>
    </row>
    <row r="405" spans="1:7" ht="15" hidden="1">
      <c r="A405" s="55">
        <v>122010901</v>
      </c>
      <c r="B405" s="55" t="s">
        <v>730</v>
      </c>
      <c r="C405" s="56">
        <v>43830</v>
      </c>
      <c r="D405" s="55">
        <v>18919</v>
      </c>
      <c r="E405" s="55" t="s">
        <v>4034</v>
      </c>
      <c r="F405" s="57">
        <v>123446895</v>
      </c>
      <c r="G405" s="55"/>
    </row>
    <row r="406" spans="1:7" ht="15" hidden="1">
      <c r="A406" s="55">
        <v>122010901</v>
      </c>
      <c r="B406" s="55" t="s">
        <v>730</v>
      </c>
      <c r="C406" s="56">
        <v>43830</v>
      </c>
      <c r="D406" s="55">
        <v>18920</v>
      </c>
      <c r="E406" s="55" t="s">
        <v>4035</v>
      </c>
      <c r="F406" s="57">
        <v>10970911</v>
      </c>
      <c r="G406" s="55"/>
    </row>
    <row r="407" spans="1:7" ht="15" hidden="1">
      <c r="A407" s="55">
        <v>122010901</v>
      </c>
      <c r="B407" s="55" t="s">
        <v>730</v>
      </c>
      <c r="C407" s="56">
        <v>43830</v>
      </c>
      <c r="D407" s="55">
        <v>18921</v>
      </c>
      <c r="E407" s="55" t="s">
        <v>4036</v>
      </c>
      <c r="F407" s="55"/>
      <c r="G407" s="57">
        <v>109831016</v>
      </c>
    </row>
    <row r="408" spans="1:7" ht="15" hidden="1">
      <c r="A408" s="55">
        <v>122010901</v>
      </c>
      <c r="B408" s="55" t="s">
        <v>730</v>
      </c>
      <c r="C408" s="56">
        <v>43830</v>
      </c>
      <c r="D408" s="55">
        <v>22148</v>
      </c>
      <c r="E408" s="55" t="s">
        <v>898</v>
      </c>
      <c r="F408" s="57">
        <v>197701</v>
      </c>
      <c r="G408" s="55"/>
    </row>
    <row r="409" spans="1:7" ht="15" hidden="1">
      <c r="A409" s="55">
        <v>122010901</v>
      </c>
      <c r="B409" s="55" t="s">
        <v>730</v>
      </c>
      <c r="C409" s="56">
        <v>43830</v>
      </c>
      <c r="D409" s="55">
        <v>22188</v>
      </c>
      <c r="E409" s="55" t="s">
        <v>898</v>
      </c>
      <c r="F409" s="57">
        <v>54545</v>
      </c>
      <c r="G409" s="55"/>
    </row>
    <row r="410" spans="1:7" ht="15" hidden="1">
      <c r="A410" s="55">
        <v>122020100</v>
      </c>
      <c r="B410" s="55" t="s">
        <v>1010</v>
      </c>
      <c r="C410" s="56">
        <v>43739</v>
      </c>
      <c r="D410" s="55" t="s">
        <v>1073</v>
      </c>
      <c r="E410" s="55"/>
      <c r="F410" s="57">
        <v>17838304206</v>
      </c>
      <c r="G410" s="55" t="s">
        <v>1074</v>
      </c>
    </row>
    <row r="411" spans="1:7" ht="15" hidden="1">
      <c r="A411" s="55">
        <v>122020100</v>
      </c>
      <c r="B411" s="55" t="s">
        <v>1010</v>
      </c>
      <c r="C411" s="56">
        <v>43830</v>
      </c>
      <c r="D411" s="55">
        <v>19324</v>
      </c>
      <c r="E411" s="55" t="s">
        <v>4037</v>
      </c>
      <c r="F411" s="55"/>
      <c r="G411" s="57">
        <v>589601111</v>
      </c>
    </row>
    <row r="412" spans="1:7" ht="15" hidden="1">
      <c r="A412" s="55">
        <v>122020100</v>
      </c>
      <c r="B412" s="55" t="s">
        <v>1010</v>
      </c>
      <c r="C412" s="56">
        <v>43830</v>
      </c>
      <c r="D412" s="55">
        <v>20611</v>
      </c>
      <c r="E412" s="55" t="s">
        <v>4038</v>
      </c>
      <c r="F412" s="55"/>
      <c r="G412" s="57">
        <v>7802254166</v>
      </c>
    </row>
    <row r="413" spans="1:7" ht="15" hidden="1">
      <c r="A413" s="55">
        <v>122020100</v>
      </c>
      <c r="B413" s="55" t="s">
        <v>1010</v>
      </c>
      <c r="C413" s="56">
        <v>43830</v>
      </c>
      <c r="D413" s="55">
        <v>22173</v>
      </c>
      <c r="E413" s="55" t="s">
        <v>898</v>
      </c>
      <c r="F413" s="57">
        <v>4721257648</v>
      </c>
      <c r="G413" s="55"/>
    </row>
    <row r="414" spans="1:7" ht="15" hidden="1">
      <c r="A414" s="55">
        <v>122030101</v>
      </c>
      <c r="B414" s="55" t="s">
        <v>1060</v>
      </c>
      <c r="C414" s="56">
        <v>43739</v>
      </c>
      <c r="D414" s="55" t="s">
        <v>1073</v>
      </c>
      <c r="E414" s="55"/>
      <c r="F414" s="57">
        <v>336657530</v>
      </c>
      <c r="G414" s="55" t="s">
        <v>1074</v>
      </c>
    </row>
    <row r="415" spans="1:7" ht="15" hidden="1">
      <c r="A415" s="55">
        <v>122030101</v>
      </c>
      <c r="B415" s="55" t="s">
        <v>1060</v>
      </c>
      <c r="C415" s="56">
        <v>43799</v>
      </c>
      <c r="D415" s="55">
        <v>21820</v>
      </c>
      <c r="E415" s="55" t="s">
        <v>898</v>
      </c>
      <c r="F415" s="57">
        <v>700000</v>
      </c>
      <c r="G415" s="55"/>
    </row>
    <row r="416" spans="1:7" ht="15" hidden="1">
      <c r="A416" s="55">
        <v>122030101</v>
      </c>
      <c r="B416" s="55" t="s">
        <v>1060</v>
      </c>
      <c r="C416" s="56">
        <v>43830</v>
      </c>
      <c r="D416" s="55">
        <v>18635</v>
      </c>
      <c r="E416" s="55" t="s">
        <v>4033</v>
      </c>
      <c r="F416" s="57">
        <v>1195097</v>
      </c>
      <c r="G416" s="55"/>
    </row>
    <row r="417" spans="1:7" ht="15">
      <c r="A417" s="55">
        <v>122030200</v>
      </c>
      <c r="B417" s="55" t="s">
        <v>1061</v>
      </c>
      <c r="C417" s="56">
        <v>43739</v>
      </c>
      <c r="D417" s="55" t="s">
        <v>1073</v>
      </c>
      <c r="E417" s="55"/>
      <c r="F417" s="57">
        <v>7090909</v>
      </c>
      <c r="G417" s="55" t="s">
        <v>1074</v>
      </c>
    </row>
    <row r="418" spans="1:7" ht="15">
      <c r="A418" s="55">
        <v>122030200</v>
      </c>
      <c r="B418" s="55" t="s">
        <v>1061</v>
      </c>
      <c r="C418" s="56">
        <v>43769</v>
      </c>
      <c r="D418" s="55">
        <v>21777</v>
      </c>
      <c r="E418" s="55" t="s">
        <v>898</v>
      </c>
      <c r="F418" s="57">
        <v>700000</v>
      </c>
      <c r="G418" s="55"/>
    </row>
    <row r="419" spans="1:7" ht="15">
      <c r="A419" s="55">
        <v>122039900</v>
      </c>
      <c r="B419" s="55" t="s">
        <v>1011</v>
      </c>
      <c r="C419" s="56">
        <v>43739</v>
      </c>
      <c r="D419" s="55" t="s">
        <v>1073</v>
      </c>
      <c r="E419" s="55"/>
      <c r="F419" s="57">
        <v>244996507</v>
      </c>
      <c r="G419" s="55" t="s">
        <v>1074</v>
      </c>
    </row>
    <row r="420" spans="1:7" ht="15">
      <c r="A420" s="55">
        <v>122039900</v>
      </c>
      <c r="B420" s="55" t="s">
        <v>1011</v>
      </c>
      <c r="C420" s="56">
        <v>43769</v>
      </c>
      <c r="D420" s="55">
        <v>15098</v>
      </c>
      <c r="E420" s="55" t="s">
        <v>4039</v>
      </c>
      <c r="F420" s="55"/>
      <c r="G420" s="57">
        <v>3041725</v>
      </c>
    </row>
    <row r="421" spans="1:7" ht="15">
      <c r="A421" s="55">
        <v>122039900</v>
      </c>
      <c r="B421" s="55" t="s">
        <v>1011</v>
      </c>
      <c r="C421" s="56">
        <v>43799</v>
      </c>
      <c r="D421" s="55">
        <v>16575</v>
      </c>
      <c r="E421" s="55" t="s">
        <v>4040</v>
      </c>
      <c r="F421" s="55"/>
      <c r="G421" s="57">
        <v>3041725</v>
      </c>
    </row>
    <row r="422" spans="1:7" ht="15">
      <c r="A422" s="55">
        <v>122039900</v>
      </c>
      <c r="B422" s="55" t="s">
        <v>1011</v>
      </c>
      <c r="C422" s="56">
        <v>43830</v>
      </c>
      <c r="D422" s="55">
        <v>19024</v>
      </c>
      <c r="E422" s="55" t="s">
        <v>4041</v>
      </c>
      <c r="F422" s="55"/>
      <c r="G422" s="57">
        <v>3041725</v>
      </c>
    </row>
    <row r="423" spans="1:7" ht="15" hidden="1">
      <c r="A423" s="55">
        <v>122040100</v>
      </c>
      <c r="B423" s="55" t="s">
        <v>1012</v>
      </c>
      <c r="C423" s="56">
        <v>43739</v>
      </c>
      <c r="D423" s="55" t="s">
        <v>1073</v>
      </c>
      <c r="E423" s="55"/>
      <c r="F423" s="57">
        <v>928233173</v>
      </c>
      <c r="G423" s="55" t="s">
        <v>1074</v>
      </c>
    </row>
    <row r="424" spans="1:7" ht="15" hidden="1">
      <c r="A424" s="55">
        <v>122040100</v>
      </c>
      <c r="B424" s="55" t="s">
        <v>1012</v>
      </c>
      <c r="C424" s="56">
        <v>43769</v>
      </c>
      <c r="D424" s="55">
        <v>15099</v>
      </c>
      <c r="E424" s="55" t="s">
        <v>1640</v>
      </c>
      <c r="F424" s="55"/>
      <c r="G424" s="57">
        <v>780220331</v>
      </c>
    </row>
    <row r="425" spans="1:7" ht="15" hidden="1">
      <c r="A425" s="55">
        <v>122040100</v>
      </c>
      <c r="B425" s="55" t="s">
        <v>1012</v>
      </c>
      <c r="C425" s="56">
        <v>43769</v>
      </c>
      <c r="D425" s="55">
        <v>15099</v>
      </c>
      <c r="E425" s="55" t="s">
        <v>1640</v>
      </c>
      <c r="F425" s="55"/>
      <c r="G425" s="57">
        <v>148012842</v>
      </c>
    </row>
    <row r="426" spans="1:7" ht="15" hidden="1">
      <c r="A426" s="55">
        <v>122040100</v>
      </c>
      <c r="B426" s="55" t="s">
        <v>1012</v>
      </c>
      <c r="C426" s="56">
        <v>43769</v>
      </c>
      <c r="D426" s="55">
        <v>16070</v>
      </c>
      <c r="E426" s="55" t="s">
        <v>1888</v>
      </c>
      <c r="F426" s="57">
        <v>836160442</v>
      </c>
      <c r="G426" s="55"/>
    </row>
    <row r="427" spans="1:7" ht="15" hidden="1">
      <c r="A427" s="55">
        <v>122040100</v>
      </c>
      <c r="B427" s="55" t="s">
        <v>1012</v>
      </c>
      <c r="C427" s="56">
        <v>43770</v>
      </c>
      <c r="D427" s="55">
        <v>16582</v>
      </c>
      <c r="E427" s="55" t="s">
        <v>1640</v>
      </c>
      <c r="F427" s="55"/>
      <c r="G427" s="57">
        <v>836160442</v>
      </c>
    </row>
    <row r="428" spans="1:7" ht="15" hidden="1">
      <c r="A428" s="55">
        <v>122040100</v>
      </c>
      <c r="B428" s="55" t="s">
        <v>1012</v>
      </c>
      <c r="C428" s="56">
        <v>43799</v>
      </c>
      <c r="D428" s="55">
        <v>16951</v>
      </c>
      <c r="E428" s="55" t="s">
        <v>1888</v>
      </c>
      <c r="F428" s="57">
        <v>747835041</v>
      </c>
      <c r="G428" s="55"/>
    </row>
    <row r="429" spans="1:7" ht="15" hidden="1">
      <c r="A429" s="55">
        <v>122040100</v>
      </c>
      <c r="B429" s="55" t="s">
        <v>1012</v>
      </c>
      <c r="C429" s="56">
        <v>43800</v>
      </c>
      <c r="D429" s="55">
        <v>18638</v>
      </c>
      <c r="E429" s="55" t="s">
        <v>4042</v>
      </c>
      <c r="F429" s="55"/>
      <c r="G429" s="57">
        <v>747835041</v>
      </c>
    </row>
    <row r="430" spans="1:7" ht="15" hidden="1">
      <c r="A430" s="55">
        <v>122040100</v>
      </c>
      <c r="B430" s="55" t="s">
        <v>1012</v>
      </c>
      <c r="C430" s="56">
        <v>43830</v>
      </c>
      <c r="D430" s="55">
        <v>18637</v>
      </c>
      <c r="E430" s="55" t="s">
        <v>4043</v>
      </c>
      <c r="F430" s="57">
        <v>872597224</v>
      </c>
      <c r="G430" s="55"/>
    </row>
    <row r="431" spans="1:7" ht="15" hidden="1">
      <c r="A431" s="55">
        <v>122040200</v>
      </c>
      <c r="B431" s="55" t="s">
        <v>834</v>
      </c>
      <c r="C431" s="56">
        <v>43739</v>
      </c>
      <c r="D431" s="55" t="s">
        <v>1073</v>
      </c>
      <c r="E431" s="55"/>
      <c r="F431" s="57">
        <v>95892856</v>
      </c>
      <c r="G431" s="55" t="s">
        <v>1074</v>
      </c>
    </row>
    <row r="432" spans="1:7" ht="15" hidden="1">
      <c r="A432" s="55">
        <v>122040200</v>
      </c>
      <c r="B432" s="55" t="s">
        <v>834</v>
      </c>
      <c r="C432" s="56">
        <v>43769</v>
      </c>
      <c r="D432" s="55">
        <v>15011</v>
      </c>
      <c r="E432" s="55" t="s">
        <v>4044</v>
      </c>
      <c r="F432" s="55"/>
      <c r="G432" s="57">
        <v>4017858</v>
      </c>
    </row>
    <row r="433" spans="1:7" ht="15" hidden="1">
      <c r="A433" s="55">
        <v>122040200</v>
      </c>
      <c r="B433" s="55" t="s">
        <v>834</v>
      </c>
      <c r="C433" s="56">
        <v>43799</v>
      </c>
      <c r="D433" s="55">
        <v>16578</v>
      </c>
      <c r="E433" s="55" t="s">
        <v>4045</v>
      </c>
      <c r="F433" s="55"/>
      <c r="G433" s="57">
        <v>4017858</v>
      </c>
    </row>
    <row r="434" spans="1:7" ht="15" hidden="1">
      <c r="A434" s="55">
        <v>122040200</v>
      </c>
      <c r="B434" s="55" t="s">
        <v>834</v>
      </c>
      <c r="C434" s="56">
        <v>43830</v>
      </c>
      <c r="D434" s="55">
        <v>18641</v>
      </c>
      <c r="E434" s="55" t="s">
        <v>4046</v>
      </c>
      <c r="F434" s="55"/>
      <c r="G434" s="57">
        <v>4017858</v>
      </c>
    </row>
    <row r="435" spans="1:7" ht="15" hidden="1">
      <c r="A435" s="55">
        <v>122050200</v>
      </c>
      <c r="B435" s="55" t="s">
        <v>1013</v>
      </c>
      <c r="C435" s="56">
        <v>43739</v>
      </c>
      <c r="D435" s="55" t="s">
        <v>1073</v>
      </c>
      <c r="E435" s="55"/>
      <c r="F435" s="57">
        <v>27673775025</v>
      </c>
      <c r="G435" s="55" t="s">
        <v>1074</v>
      </c>
    </row>
    <row r="436" spans="1:7" ht="15" hidden="1">
      <c r="A436" s="55">
        <v>122050200</v>
      </c>
      <c r="B436" s="55" t="s">
        <v>1013</v>
      </c>
      <c r="C436" s="56">
        <v>43769</v>
      </c>
      <c r="D436" s="55">
        <v>14902</v>
      </c>
      <c r="E436" s="55" t="s">
        <v>4028</v>
      </c>
      <c r="F436" s="57">
        <v>40102722</v>
      </c>
      <c r="G436" s="55"/>
    </row>
    <row r="437" spans="1:7" ht="15" hidden="1">
      <c r="A437" s="55">
        <v>122050200</v>
      </c>
      <c r="B437" s="55" t="s">
        <v>1013</v>
      </c>
      <c r="C437" s="56">
        <v>43769</v>
      </c>
      <c r="D437" s="55">
        <v>14903</v>
      </c>
      <c r="E437" s="55" t="s">
        <v>4029</v>
      </c>
      <c r="F437" s="55"/>
      <c r="G437" s="57">
        <v>18267166</v>
      </c>
    </row>
    <row r="438" spans="1:7" ht="15" hidden="1">
      <c r="A438" s="55">
        <v>122050200</v>
      </c>
      <c r="B438" s="55" t="s">
        <v>1013</v>
      </c>
      <c r="C438" s="56">
        <v>43799</v>
      </c>
      <c r="D438" s="55">
        <v>16573</v>
      </c>
      <c r="E438" s="55" t="s">
        <v>4030</v>
      </c>
      <c r="F438" s="57">
        <v>40102722</v>
      </c>
      <c r="G438" s="55"/>
    </row>
    <row r="439" spans="1:7" ht="15" hidden="1">
      <c r="A439" s="55">
        <v>122050200</v>
      </c>
      <c r="B439" s="55" t="s">
        <v>1013</v>
      </c>
      <c r="C439" s="56">
        <v>43799</v>
      </c>
      <c r="D439" s="55">
        <v>16574</v>
      </c>
      <c r="E439" s="55" t="s">
        <v>4031</v>
      </c>
      <c r="F439" s="55"/>
      <c r="G439" s="57">
        <v>18267166</v>
      </c>
    </row>
    <row r="440" spans="1:7" ht="15" hidden="1">
      <c r="A440" s="55">
        <v>122050200</v>
      </c>
      <c r="B440" s="55" t="s">
        <v>1013</v>
      </c>
      <c r="C440" s="56">
        <v>43830</v>
      </c>
      <c r="D440" s="55">
        <v>1844</v>
      </c>
      <c r="E440" s="55" t="s">
        <v>4032</v>
      </c>
      <c r="F440" s="55"/>
      <c r="G440" s="57">
        <v>441129942</v>
      </c>
    </row>
    <row r="441" spans="1:7" ht="15" hidden="1">
      <c r="A441" s="55">
        <v>122050200</v>
      </c>
      <c r="B441" s="55" t="s">
        <v>1013</v>
      </c>
      <c r="C441" s="56">
        <v>43830</v>
      </c>
      <c r="D441" s="55">
        <v>18919</v>
      </c>
      <c r="E441" s="55" t="s">
        <v>4034</v>
      </c>
      <c r="F441" s="57">
        <v>200938826</v>
      </c>
      <c r="G441" s="55"/>
    </row>
    <row r="442" spans="1:7" ht="15" hidden="1">
      <c r="A442" s="55">
        <v>122050200</v>
      </c>
      <c r="B442" s="55" t="s">
        <v>1013</v>
      </c>
      <c r="C442" s="56">
        <v>43830</v>
      </c>
      <c r="D442" s="55">
        <v>18922</v>
      </c>
      <c r="E442" s="55" t="s">
        <v>4047</v>
      </c>
      <c r="F442" s="57">
        <v>425351763</v>
      </c>
      <c r="G442" s="55"/>
    </row>
    <row r="443" spans="1:7" ht="15" hidden="1">
      <c r="A443" s="55">
        <v>122050200</v>
      </c>
      <c r="B443" s="55" t="s">
        <v>1013</v>
      </c>
      <c r="C443" s="56">
        <v>43830</v>
      </c>
      <c r="D443" s="55">
        <v>18923</v>
      </c>
      <c r="E443" s="55" t="s">
        <v>4048</v>
      </c>
      <c r="F443" s="55"/>
      <c r="G443" s="57">
        <v>215073962</v>
      </c>
    </row>
  </sheetData>
  <autoFilter ref="A1:G443" xr:uid="{00000000-0009-0000-0000-000015000000}">
    <filterColumn colId="1">
      <filters>
        <filter val="(-)Amortización Intangibles"/>
        <filter val="Registro de Marcas"/>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C72BD-4869-5C4C-A625-5E397BFAFC39}">
  <dimension ref="A1:D38"/>
  <sheetViews>
    <sheetView showGridLines="0" workbookViewId="0">
      <selection activeCell="G27" sqref="G27"/>
    </sheetView>
  </sheetViews>
  <sheetFormatPr baseColWidth="10" defaultRowHeight="13"/>
  <cols>
    <col min="1" max="1" width="10.83203125" style="257"/>
    <col min="2" max="2" width="5.6640625" customWidth="1"/>
    <col min="3" max="3" width="74.5" customWidth="1"/>
  </cols>
  <sheetData>
    <row r="1" spans="2:4" ht="14" thickBot="1"/>
    <row r="2" spans="2:4" ht="14" thickTop="1">
      <c r="B2" s="328"/>
      <c r="C2" s="330"/>
      <c r="D2" s="331"/>
    </row>
    <row r="3" spans="2:4" ht="18">
      <c r="B3" s="332"/>
      <c r="C3" s="560" t="s">
        <v>4918</v>
      </c>
      <c r="D3" s="334"/>
    </row>
    <row r="4" spans="2:4">
      <c r="B4" s="332"/>
      <c r="C4" s="561"/>
      <c r="D4" s="334"/>
    </row>
    <row r="5" spans="2:4" ht="16">
      <c r="B5" s="332"/>
      <c r="C5" s="562" t="s">
        <v>4919</v>
      </c>
      <c r="D5" s="334"/>
    </row>
    <row r="6" spans="2:4" ht="16">
      <c r="B6" s="332"/>
      <c r="C6" s="562"/>
      <c r="D6" s="334"/>
    </row>
    <row r="7" spans="2:4" ht="16">
      <c r="B7" s="332"/>
      <c r="C7" s="563" t="s">
        <v>4920</v>
      </c>
      <c r="D7" s="334"/>
    </row>
    <row r="8" spans="2:4" ht="16">
      <c r="B8" s="332"/>
      <c r="C8" s="564"/>
      <c r="D8" s="334"/>
    </row>
    <row r="9" spans="2:4" ht="17">
      <c r="B9" s="332"/>
      <c r="C9" s="565" t="s">
        <v>4921</v>
      </c>
      <c r="D9" s="334"/>
    </row>
    <row r="10" spans="2:4" ht="16">
      <c r="B10" s="332"/>
      <c r="C10" s="564"/>
      <c r="D10" s="334"/>
    </row>
    <row r="11" spans="2:4" ht="17">
      <c r="B11" s="332"/>
      <c r="C11" s="565" t="s">
        <v>4922</v>
      </c>
      <c r="D11" s="334"/>
    </row>
    <row r="12" spans="2:4" ht="16">
      <c r="B12" s="332"/>
      <c r="C12" s="564"/>
      <c r="D12" s="334"/>
    </row>
    <row r="13" spans="2:4" ht="17">
      <c r="B13" s="332"/>
      <c r="C13" s="565" t="s">
        <v>4923</v>
      </c>
      <c r="D13" s="334"/>
    </row>
    <row r="14" spans="2:4" ht="16">
      <c r="B14" s="332"/>
      <c r="C14" s="566"/>
      <c r="D14" s="334"/>
    </row>
    <row r="15" spans="2:4" ht="17">
      <c r="B15" s="332"/>
      <c r="C15" s="565" t="s">
        <v>4924</v>
      </c>
      <c r="D15" s="334"/>
    </row>
    <row r="16" spans="2:4" ht="16">
      <c r="B16" s="332"/>
      <c r="C16" s="564"/>
      <c r="D16" s="334"/>
    </row>
    <row r="17" spans="2:4" ht="17">
      <c r="B17" s="332"/>
      <c r="C17" s="565" t="s">
        <v>4925</v>
      </c>
      <c r="D17" s="334"/>
    </row>
    <row r="18" spans="2:4" ht="16">
      <c r="B18" s="332"/>
      <c r="C18" s="564"/>
      <c r="D18" s="334"/>
    </row>
    <row r="19" spans="2:4" ht="17">
      <c r="B19" s="332"/>
      <c r="C19" s="567" t="s">
        <v>4926</v>
      </c>
      <c r="D19" s="334"/>
    </row>
    <row r="20" spans="2:4" ht="15" customHeight="1">
      <c r="B20" s="332"/>
      <c r="C20" s="567"/>
      <c r="D20" s="334"/>
    </row>
    <row r="21" spans="2:4" ht="17">
      <c r="B21" s="332"/>
      <c r="C21" s="565" t="s">
        <v>4927</v>
      </c>
      <c r="D21" s="334"/>
    </row>
    <row r="22" spans="2:4" ht="17">
      <c r="B22" s="332"/>
      <c r="C22" s="565" t="s">
        <v>4928</v>
      </c>
      <c r="D22" s="334"/>
    </row>
    <row r="23" spans="2:4" ht="17" customHeight="1">
      <c r="B23" s="332"/>
      <c r="C23" s="565" t="s">
        <v>4929</v>
      </c>
      <c r="D23" s="334"/>
    </row>
    <row r="24" spans="2:4" ht="17">
      <c r="B24" s="332"/>
      <c r="C24" s="565" t="s">
        <v>4930</v>
      </c>
      <c r="D24" s="334"/>
    </row>
    <row r="25" spans="2:4" ht="17">
      <c r="B25" s="332"/>
      <c r="C25" s="565" t="s">
        <v>4931</v>
      </c>
      <c r="D25" s="334"/>
    </row>
    <row r="26" spans="2:4" ht="17">
      <c r="B26" s="332"/>
      <c r="C26" s="565" t="s">
        <v>4932</v>
      </c>
      <c r="D26" s="334"/>
    </row>
    <row r="27" spans="2:4" ht="17">
      <c r="B27" s="332"/>
      <c r="C27" s="565" t="s">
        <v>4933</v>
      </c>
      <c r="D27" s="334"/>
    </row>
    <row r="28" spans="2:4" ht="17">
      <c r="B28" s="332"/>
      <c r="C28" s="565" t="s">
        <v>4934</v>
      </c>
      <c r="D28" s="334"/>
    </row>
    <row r="29" spans="2:4" ht="17">
      <c r="B29" s="332"/>
      <c r="C29" s="565" t="s">
        <v>4935</v>
      </c>
      <c r="D29" s="334"/>
    </row>
    <row r="30" spans="2:4" ht="17">
      <c r="B30" s="332"/>
      <c r="C30" s="565" t="s">
        <v>4936</v>
      </c>
      <c r="D30" s="334"/>
    </row>
    <row r="31" spans="2:4" ht="16">
      <c r="B31" s="332"/>
      <c r="C31" s="567"/>
      <c r="D31" s="334"/>
    </row>
    <row r="32" spans="2:4" ht="15">
      <c r="B32" s="332"/>
      <c r="C32" s="568" t="s">
        <v>4937</v>
      </c>
      <c r="D32" s="334"/>
    </row>
    <row r="33" spans="2:4" ht="15">
      <c r="B33" s="332"/>
      <c r="C33" s="569" t="s">
        <v>4938</v>
      </c>
      <c r="D33" s="334"/>
    </row>
    <row r="34" spans="2:4" ht="14">
      <c r="B34" s="332"/>
      <c r="C34" s="570" t="s">
        <v>4939</v>
      </c>
      <c r="D34" s="334"/>
    </row>
    <row r="35" spans="2:4">
      <c r="B35" s="332"/>
      <c r="C35" s="333"/>
      <c r="D35" s="334"/>
    </row>
    <row r="36" spans="2:4">
      <c r="B36" s="332"/>
      <c r="C36" s="333"/>
      <c r="D36" s="334"/>
    </row>
    <row r="37" spans="2:4" ht="14" thickBot="1">
      <c r="B37" s="339"/>
      <c r="C37" s="341"/>
      <c r="D37" s="342"/>
    </row>
    <row r="38" spans="2:4" ht="14" thickTop="1"/>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E218B-B6B1-49AA-9FDA-E78732848D9C}">
  <dimension ref="A1:G75"/>
  <sheetViews>
    <sheetView topLeftCell="A37" workbookViewId="0">
      <selection activeCell="C58" sqref="C58"/>
    </sheetView>
  </sheetViews>
  <sheetFormatPr baseColWidth="10" defaultColWidth="11.5" defaultRowHeight="13"/>
  <cols>
    <col min="1" max="1" width="58.1640625" style="116" customWidth="1"/>
    <col min="2" max="2" width="8.6640625" style="116" customWidth="1"/>
    <col min="3" max="3" width="30.6640625" style="116" customWidth="1"/>
    <col min="4" max="4" width="11.5" style="116"/>
    <col min="5" max="5" width="20.1640625" style="116" customWidth="1"/>
    <col min="6" max="6" width="16.5" style="116" bestFit="1" customWidth="1"/>
    <col min="7" max="7" width="13.5" style="116" bestFit="1" customWidth="1"/>
    <col min="8" max="16384" width="11.5" style="116"/>
  </cols>
  <sheetData>
    <row r="1" spans="1:5" ht="35">
      <c r="A1" s="451" t="s">
        <v>4741</v>
      </c>
      <c r="B1" s="451"/>
      <c r="C1" s="451"/>
      <c r="D1" s="127"/>
      <c r="E1" s="127"/>
    </row>
    <row r="2" spans="1:5" ht="35">
      <c r="A2" s="128"/>
      <c r="B2" s="128"/>
      <c r="C2" s="128"/>
      <c r="D2" s="128"/>
    </row>
    <row r="3" spans="1:5" s="129" customFormat="1" ht="14">
      <c r="A3" s="452" t="s">
        <v>4791</v>
      </c>
      <c r="B3" s="452"/>
      <c r="C3" s="452"/>
    </row>
    <row r="4" spans="1:5" s="130" customFormat="1" ht="15">
      <c r="A4" s="130" t="s">
        <v>4742</v>
      </c>
      <c r="B4" s="130" t="s">
        <v>4743</v>
      </c>
      <c r="C4" s="131" t="s">
        <v>4744</v>
      </c>
      <c r="E4" s="130" t="s">
        <v>257</v>
      </c>
    </row>
    <row r="5" spans="1:5" s="129" customFormat="1" ht="15">
      <c r="A5" s="132" t="s">
        <v>1034</v>
      </c>
      <c r="B5" s="133">
        <v>10</v>
      </c>
      <c r="C5" s="134">
        <f>SUMIF(COMPARATIVO!H:H,A5,COMPARATIVO!AP:AP)</f>
        <v>68636116147</v>
      </c>
      <c r="D5" s="135"/>
      <c r="E5" s="136"/>
    </row>
    <row r="6" spans="1:5" s="129" customFormat="1" ht="15">
      <c r="A6" s="132" t="s">
        <v>1035</v>
      </c>
      <c r="B6" s="133">
        <v>11</v>
      </c>
      <c r="C6" s="134">
        <f>SUMIF(COMPARATIVO!H:H,A6,COMPARATIVO!AP:AP)</f>
        <v>7118963058</v>
      </c>
      <c r="D6" s="135"/>
      <c r="E6" s="136"/>
    </row>
    <row r="7" spans="1:5" s="129" customFormat="1" ht="45">
      <c r="A7" s="132" t="s">
        <v>1036</v>
      </c>
      <c r="B7" s="133">
        <v>12</v>
      </c>
      <c r="C7" s="134">
        <f>SUMIF(COMPARATIVO!H:H,A7,COMPARATIVO!AP:AP)</f>
        <v>9734112131</v>
      </c>
      <c r="D7" s="135"/>
      <c r="E7" s="136"/>
    </row>
    <row r="8" spans="1:5" s="129" customFormat="1" ht="15">
      <c r="A8" s="132" t="s">
        <v>1586</v>
      </c>
      <c r="B8" s="133">
        <v>13</v>
      </c>
      <c r="C8" s="134">
        <f>SUMIF(COMPARATIVO!H:H,A8,COMPARATIVO!AQ:AQ)</f>
        <v>959204675</v>
      </c>
      <c r="D8" s="135"/>
      <c r="E8" s="136"/>
    </row>
    <row r="9" spans="1:5" s="129" customFormat="1" ht="15">
      <c r="A9" s="132" t="s">
        <v>1037</v>
      </c>
      <c r="B9" s="133">
        <v>14</v>
      </c>
      <c r="C9" s="134">
        <f>SUMIF(COMPARATIVO!H:H,A9,COMPARATIVO!AP:AP)</f>
        <v>11669520323</v>
      </c>
      <c r="D9" s="135"/>
      <c r="E9" s="136"/>
    </row>
    <row r="10" spans="1:5" s="129" customFormat="1" ht="15">
      <c r="A10" s="132" t="s">
        <v>4745</v>
      </c>
      <c r="B10" s="133">
        <v>15</v>
      </c>
      <c r="C10" s="134">
        <f>SUMIF(COMPARATIVO!H:H,A10,COMPARATIVO!AP:AP)</f>
        <v>0</v>
      </c>
      <c r="D10" s="135"/>
      <c r="E10" s="136"/>
    </row>
    <row r="11" spans="1:5" s="129" customFormat="1" ht="30">
      <c r="A11" s="132" t="s">
        <v>4746</v>
      </c>
      <c r="B11" s="133">
        <v>16</v>
      </c>
      <c r="C11" s="134">
        <f>SUMIF(COMPARATIVO!H:H,A11,COMPARATIVO!AP:AP)</f>
        <v>0</v>
      </c>
      <c r="D11" s="135"/>
      <c r="E11" s="136"/>
    </row>
    <row r="12" spans="1:5" s="140" customFormat="1" ht="16">
      <c r="A12" s="137" t="s">
        <v>4747</v>
      </c>
      <c r="B12" s="138"/>
      <c r="C12" s="139"/>
      <c r="D12" s="140">
        <v>48</v>
      </c>
      <c r="E12" s="141">
        <f>SUM(C5:C11)</f>
        <v>98117916334</v>
      </c>
    </row>
    <row r="13" spans="1:5" s="129" customFormat="1" ht="15">
      <c r="A13" s="132" t="s">
        <v>1038</v>
      </c>
      <c r="B13" s="133">
        <v>17</v>
      </c>
      <c r="C13" s="134">
        <f>SUMIF(COMPARATIVO!H:H,A13,COMPARATIVO!AP:AP)</f>
        <v>712333518</v>
      </c>
      <c r="D13" s="135"/>
      <c r="E13" s="136"/>
    </row>
    <row r="14" spans="1:5" s="140" customFormat="1" ht="16">
      <c r="A14" s="137" t="s">
        <v>4748</v>
      </c>
      <c r="B14" s="138"/>
      <c r="C14" s="139"/>
      <c r="D14" s="140">
        <v>59</v>
      </c>
      <c r="E14" s="141">
        <f>+E12-C13</f>
        <v>97405582816</v>
      </c>
    </row>
    <row r="15" spans="1:5" s="129" customFormat="1" ht="30">
      <c r="A15" s="132" t="s">
        <v>4749</v>
      </c>
      <c r="B15" s="133">
        <v>18</v>
      </c>
      <c r="C15" s="134">
        <f>SUMIF(COMPARATIVO!H:H,A15,COMPARATIVO!AP:AP)</f>
        <v>0</v>
      </c>
      <c r="D15" s="135"/>
      <c r="E15" s="136"/>
    </row>
    <row r="16" spans="1:5" s="129" customFormat="1" ht="15">
      <c r="A16" s="132" t="s">
        <v>4750</v>
      </c>
      <c r="B16" s="133">
        <v>19</v>
      </c>
      <c r="C16" s="134">
        <f>SUMIF(COMPARATIVO!H:H,A16,COMPARATIVO!AP:AP)</f>
        <v>0</v>
      </c>
      <c r="D16" s="135"/>
      <c r="E16" s="136"/>
    </row>
    <row r="17" spans="1:5" s="129" customFormat="1" ht="15">
      <c r="A17" s="132" t="s">
        <v>4751</v>
      </c>
      <c r="B17" s="133">
        <v>20</v>
      </c>
      <c r="C17" s="134">
        <f>SUMIF(COMPARATIVO!H:H,A17,COMPARATIVO!AP:AP)</f>
        <v>0</v>
      </c>
      <c r="D17" s="135"/>
      <c r="E17" s="136"/>
    </row>
    <row r="18" spans="1:5" s="129" customFormat="1" ht="15">
      <c r="A18" s="132" t="s">
        <v>4752</v>
      </c>
      <c r="B18" s="133">
        <v>21</v>
      </c>
      <c r="C18" s="134">
        <f>SUMIF(COMPARATIVO!H:H,A18,COMPARATIVO!AP:AP)</f>
        <v>0</v>
      </c>
      <c r="D18" s="135"/>
      <c r="E18" s="136"/>
    </row>
    <row r="19" spans="1:5" s="129" customFormat="1" ht="30">
      <c r="A19" s="132" t="s">
        <v>4753</v>
      </c>
      <c r="B19" s="133">
        <v>22</v>
      </c>
      <c r="C19" s="134">
        <f>SUMIF(COMPARATIVO!H:H,A19,COMPARATIVO!AP:AP)</f>
        <v>0</v>
      </c>
      <c r="D19" s="135"/>
      <c r="E19" s="136"/>
    </row>
    <row r="20" spans="1:5" s="140" customFormat="1" ht="16">
      <c r="A20" s="137" t="s">
        <v>4754</v>
      </c>
      <c r="B20" s="138"/>
      <c r="C20" s="139"/>
      <c r="D20" s="140">
        <v>60</v>
      </c>
      <c r="E20" s="141">
        <f>+E14-C15-C16-C17-C18-C19</f>
        <v>97405582816</v>
      </c>
    </row>
    <row r="21" spans="1:5" s="140" customFormat="1" ht="15">
      <c r="A21" s="130" t="s">
        <v>4755</v>
      </c>
      <c r="B21" s="142"/>
      <c r="C21" s="142"/>
      <c r="D21" s="142"/>
      <c r="E21" s="142"/>
    </row>
    <row r="22" spans="1:5" s="140" customFormat="1" ht="16">
      <c r="A22" s="137" t="s">
        <v>1039</v>
      </c>
      <c r="B22" s="138"/>
      <c r="C22" s="139"/>
      <c r="D22" s="140">
        <v>61</v>
      </c>
      <c r="E22" s="141">
        <f>SUMIF(COMPARATIVO!H:H,A22,COMPARATIVO!AP:AP)</f>
        <v>69508385261</v>
      </c>
    </row>
    <row r="23" spans="1:5" s="140" customFormat="1" ht="46">
      <c r="A23" s="132" t="s">
        <v>4756</v>
      </c>
      <c r="B23" s="143">
        <v>23</v>
      </c>
      <c r="C23" s="134">
        <f>SUMIF(COMPARATIVO!H:H,A23,COMPARATIVO!AP:AP)</f>
        <v>0</v>
      </c>
      <c r="D23" s="144"/>
      <c r="E23" s="145"/>
    </row>
    <row r="24" spans="1:5" s="140" customFormat="1" ht="31">
      <c r="A24" s="132" t="s">
        <v>4757</v>
      </c>
      <c r="B24" s="143">
        <v>24</v>
      </c>
      <c r="C24" s="134">
        <f>SUMIF(COMPARATIVO!H:H,A24,COMPARATIVO!AP:AP)</f>
        <v>0</v>
      </c>
      <c r="D24" s="144"/>
      <c r="E24" s="145"/>
    </row>
    <row r="25" spans="1:5" s="140" customFormat="1" ht="31">
      <c r="A25" s="132" t="s">
        <v>4758</v>
      </c>
      <c r="B25" s="143">
        <v>25</v>
      </c>
      <c r="C25" s="134">
        <f>SUMIF(COMPARATIVO!H:H,A25,COMPARATIVO!AP:AP)</f>
        <v>0</v>
      </c>
      <c r="D25" s="144"/>
      <c r="E25" s="145"/>
    </row>
    <row r="26" spans="1:5" s="140" customFormat="1" ht="16">
      <c r="A26" s="132" t="s">
        <v>4759</v>
      </c>
      <c r="B26" s="143">
        <v>26</v>
      </c>
      <c r="C26" s="134">
        <f>SUMIF(COMPARATIVO!H:H,A26,COMPARATIVO!AP:AP)</f>
        <v>0</v>
      </c>
      <c r="D26" s="144"/>
      <c r="E26" s="145"/>
    </row>
    <row r="27" spans="1:5" s="140" customFormat="1" ht="31">
      <c r="A27" s="132" t="s">
        <v>4760</v>
      </c>
      <c r="B27" s="143">
        <v>27</v>
      </c>
      <c r="C27" s="134">
        <f>SUMIF(COMPARATIVO!H:H,A27,COMPARATIVO!AP:AP)</f>
        <v>0</v>
      </c>
      <c r="D27" s="144"/>
      <c r="E27" s="145"/>
    </row>
    <row r="28" spans="1:5" s="140" customFormat="1" ht="16">
      <c r="A28" s="132" t="s">
        <v>4761</v>
      </c>
      <c r="B28" s="143">
        <v>28</v>
      </c>
      <c r="C28" s="134">
        <f>SUMIF(COMPARATIVO!H:H,A28,COMPARATIVO!AP:AP)</f>
        <v>0</v>
      </c>
      <c r="D28" s="144"/>
      <c r="E28" s="145"/>
    </row>
    <row r="29" spans="1:5" s="140" customFormat="1" ht="15">
      <c r="A29" s="140" t="s">
        <v>4762</v>
      </c>
      <c r="B29" s="138"/>
      <c r="C29" s="139"/>
      <c r="D29" s="140">
        <v>62</v>
      </c>
      <c r="E29" s="141">
        <f>+E22-C23-C24-C25-C26-C27-C28</f>
        <v>69508385261</v>
      </c>
    </row>
    <row r="30" spans="1:5" s="140" customFormat="1" ht="15">
      <c r="A30" s="142" t="s">
        <v>4763</v>
      </c>
      <c r="B30" s="138"/>
      <c r="C30" s="139"/>
      <c r="D30" s="144"/>
      <c r="E30" s="145"/>
    </row>
    <row r="31" spans="1:5" s="129" customFormat="1" ht="30">
      <c r="A31" s="132" t="s">
        <v>1040</v>
      </c>
      <c r="B31" s="133">
        <v>29</v>
      </c>
      <c r="C31" s="134">
        <f>SUMIF(COMPARATIVO!H:H,A31,COMPARATIVO!AP:AP)</f>
        <v>2309997546</v>
      </c>
      <c r="D31" s="135"/>
      <c r="E31" s="136"/>
    </row>
    <row r="32" spans="1:5" s="129" customFormat="1" ht="15">
      <c r="A32" s="132" t="s">
        <v>1041</v>
      </c>
      <c r="B32" s="133">
        <v>30</v>
      </c>
      <c r="C32" s="134">
        <f>SUMIF(COMPARATIVO!H:H,A32,COMPARATIVO!AP:AP)</f>
        <v>240214937</v>
      </c>
      <c r="D32" s="135"/>
      <c r="E32" s="136"/>
    </row>
    <row r="33" spans="1:5" s="129" customFormat="1" ht="15">
      <c r="A33" s="132" t="s">
        <v>1042</v>
      </c>
      <c r="B33" s="133">
        <v>31</v>
      </c>
      <c r="C33" s="134">
        <f>SUMIF(COMPARATIVO!H:H,A33,COMPARATIVO!AP:AP)</f>
        <v>453992526</v>
      </c>
      <c r="D33" s="135"/>
      <c r="E33" s="136"/>
    </row>
    <row r="34" spans="1:5" s="129" customFormat="1" ht="30">
      <c r="A34" s="132" t="s">
        <v>1043</v>
      </c>
      <c r="B34" s="133">
        <v>32</v>
      </c>
      <c r="C34" s="134">
        <f>SUMIF(COMPARATIVO!H:H,A34,COMPARATIVO!AP:AP)</f>
        <v>943204169</v>
      </c>
      <c r="D34" s="135"/>
      <c r="E34" s="136"/>
    </row>
    <row r="35" spans="1:5" s="129" customFormat="1" ht="15">
      <c r="A35" s="132" t="s">
        <v>4764</v>
      </c>
      <c r="B35" s="133">
        <v>33</v>
      </c>
      <c r="C35" s="134">
        <f>SUMIF(COMPARATIVO!H:H,A35,COMPARATIVO!AP:AP)</f>
        <v>0</v>
      </c>
      <c r="D35" s="135"/>
      <c r="E35" s="136"/>
    </row>
    <row r="36" spans="1:5" s="129" customFormat="1" ht="30">
      <c r="A36" s="132" t="s">
        <v>1044</v>
      </c>
      <c r="B36" s="133">
        <v>34</v>
      </c>
      <c r="C36" s="134">
        <f>SUMIF(COMPARATIVO!H:H,A36,COMPARATIVO!AP:AP)</f>
        <v>2390857648</v>
      </c>
      <c r="D36" s="135"/>
      <c r="E36" s="136"/>
    </row>
    <row r="37" spans="1:5" s="129" customFormat="1" ht="15">
      <c r="A37" s="132" t="s">
        <v>1045</v>
      </c>
      <c r="B37" s="133">
        <v>35</v>
      </c>
      <c r="C37" s="134">
        <f>SUMIF(COMPARATIVO!H:H,A37,COMPARATIVO!AP:AP)</f>
        <v>502339191</v>
      </c>
      <c r="D37" s="135"/>
      <c r="E37" s="136"/>
    </row>
    <row r="38" spans="1:5" s="129" customFormat="1" ht="15">
      <c r="A38" s="132" t="s">
        <v>1046</v>
      </c>
      <c r="B38" s="133">
        <v>36</v>
      </c>
      <c r="C38" s="134">
        <f>SUMIF(COMPARATIVO!H:H,A38,COMPARATIVO!AP:AP)</f>
        <v>2554359308</v>
      </c>
      <c r="D38" s="135"/>
      <c r="E38" s="136"/>
    </row>
    <row r="39" spans="1:5" s="129" customFormat="1" ht="15">
      <c r="A39" s="132" t="s">
        <v>1047</v>
      </c>
      <c r="B39" s="133">
        <v>37</v>
      </c>
      <c r="C39" s="134">
        <f>SUMIF(COMPARATIVO!H:H,A39,COMPARATIVO!AP:AP)</f>
        <v>79488721</v>
      </c>
      <c r="D39" s="135"/>
      <c r="E39" s="136"/>
    </row>
    <row r="40" spans="1:5" s="129" customFormat="1" ht="15">
      <c r="A40" s="132" t="s">
        <v>1048</v>
      </c>
      <c r="B40" s="133">
        <v>38</v>
      </c>
      <c r="C40" s="134">
        <f>SUMIF(COMPARATIVO!H:H,A40,COMPARATIVO!AP:AP)</f>
        <v>632317142</v>
      </c>
      <c r="D40" s="135"/>
      <c r="E40" s="136"/>
    </row>
    <row r="41" spans="1:5" s="129" customFormat="1" ht="15">
      <c r="A41" s="132" t="s">
        <v>4765</v>
      </c>
      <c r="B41" s="133">
        <v>39</v>
      </c>
      <c r="C41" s="134">
        <f>SUMIF(COMPARATIVO!H:H,A41,COMPARATIVO!AP:AP)</f>
        <v>0</v>
      </c>
      <c r="D41" s="135"/>
      <c r="E41" s="136"/>
    </row>
    <row r="42" spans="1:5" s="129" customFormat="1" ht="15">
      <c r="A42" s="132" t="s">
        <v>1049</v>
      </c>
      <c r="B42" s="133">
        <v>40</v>
      </c>
      <c r="C42" s="134">
        <f>SUMIF(COMPARATIVO!H:H,A42,COMPARATIVO!AP:AP)</f>
        <v>0</v>
      </c>
      <c r="D42" s="135"/>
      <c r="E42" s="136"/>
    </row>
    <row r="43" spans="1:5" s="129" customFormat="1" ht="15">
      <c r="A43" s="132" t="s">
        <v>1050</v>
      </c>
      <c r="B43" s="133">
        <v>41</v>
      </c>
      <c r="C43" s="134">
        <f>SUMIF(COMPARATIVO!H:H,A43,COMPARATIVO!AP:AP)</f>
        <v>70859864</v>
      </c>
      <c r="D43" s="135"/>
      <c r="E43" s="136"/>
    </row>
    <row r="44" spans="1:5" s="129" customFormat="1" ht="15">
      <c r="A44" s="132" t="s">
        <v>4766</v>
      </c>
      <c r="B44" s="133">
        <v>42</v>
      </c>
      <c r="C44" s="134">
        <f>SUMIF(COMPARATIVO!H:H,A44,COMPARATIVO!AP:AP)</f>
        <v>0</v>
      </c>
      <c r="D44" s="135"/>
      <c r="E44" s="136"/>
    </row>
    <row r="45" spans="1:5" s="129" customFormat="1" ht="30">
      <c r="A45" s="132" t="s">
        <v>4767</v>
      </c>
      <c r="B45" s="133">
        <v>43</v>
      </c>
      <c r="C45" s="134">
        <f>SUMIF(COMPARATIVO!H:H,A45,COMPARATIVO!AP:AP)</f>
        <v>0</v>
      </c>
      <c r="D45" s="135"/>
      <c r="E45" s="136"/>
    </row>
    <row r="46" spans="1:5" s="129" customFormat="1" ht="15">
      <c r="A46" s="132" t="s">
        <v>4768</v>
      </c>
      <c r="B46" s="133">
        <v>44</v>
      </c>
      <c r="C46" s="134">
        <f>SUMIF(COMPARATIVO!H:H,A46,COMPARATIVO!AP:AP)</f>
        <v>0</v>
      </c>
      <c r="D46" s="135"/>
      <c r="E46" s="136"/>
    </row>
    <row r="47" spans="1:5" s="129" customFormat="1" ht="15">
      <c r="A47" s="132" t="s">
        <v>4769</v>
      </c>
      <c r="B47" s="133">
        <v>45</v>
      </c>
      <c r="C47" s="134">
        <f>SUMIF(COMPARATIVO!H:H,A47,COMPARATIVO!AP:AP)</f>
        <v>0</v>
      </c>
      <c r="D47" s="135"/>
      <c r="E47" s="136"/>
    </row>
    <row r="48" spans="1:5" s="129" customFormat="1" ht="15">
      <c r="A48" s="132" t="s">
        <v>1051</v>
      </c>
      <c r="B48" s="133">
        <v>46</v>
      </c>
      <c r="C48" s="134">
        <f>SUMIF(COMPARATIVO!H:H,A48,COMPARATIVO!AP:AP)</f>
        <v>55183585</v>
      </c>
      <c r="D48" s="135"/>
      <c r="E48" s="136"/>
    </row>
    <row r="49" spans="1:7" s="129" customFormat="1" ht="16.5" customHeight="1">
      <c r="A49" s="132" t="s">
        <v>1052</v>
      </c>
      <c r="B49" s="133">
        <v>47</v>
      </c>
      <c r="C49" s="134">
        <f>SUMIF(COMPARATIVO!H:H,A49,COMPARATIVO!AP:AP)</f>
        <v>1573698255</v>
      </c>
      <c r="D49" s="135"/>
      <c r="E49" s="136"/>
    </row>
    <row r="50" spans="1:7" s="129" customFormat="1" ht="18" customHeight="1">
      <c r="A50" s="132" t="s">
        <v>4770</v>
      </c>
      <c r="B50" s="133">
        <v>48</v>
      </c>
      <c r="C50" s="134">
        <f>SUMIF(COMPARATIVO!H:H,A50,COMPARATIVO!AP:AP)</f>
        <v>0</v>
      </c>
      <c r="D50" s="135"/>
      <c r="E50" s="136"/>
    </row>
    <row r="51" spans="1:7" s="129" customFormat="1" ht="33" customHeight="1">
      <c r="A51" s="132" t="s">
        <v>4771</v>
      </c>
      <c r="B51" s="133">
        <v>49</v>
      </c>
      <c r="C51" s="134">
        <f>SUMIF(COMPARATIVO!H:H,A51,COMPARATIVO!AP:AP)</f>
        <v>0</v>
      </c>
      <c r="D51" s="135"/>
      <c r="E51" s="136"/>
    </row>
    <row r="52" spans="1:7" s="129" customFormat="1" ht="36" customHeight="1">
      <c r="A52" s="132" t="s">
        <v>1053</v>
      </c>
      <c r="B52" s="133">
        <v>50</v>
      </c>
      <c r="C52" s="134">
        <f>SUMIF(COMPARATIVO!H:H,A52,COMPARATIVO!AP:AP)</f>
        <v>15664831953</v>
      </c>
      <c r="D52" s="135"/>
      <c r="E52" s="136"/>
      <c r="G52" s="146"/>
    </row>
    <row r="53" spans="1:7" s="140" customFormat="1" ht="16.5" customHeight="1">
      <c r="A53" s="137" t="s">
        <v>4772</v>
      </c>
      <c r="B53" s="138"/>
      <c r="C53" s="139"/>
      <c r="D53" s="140">
        <v>63</v>
      </c>
      <c r="E53" s="141">
        <f>+C31+C32+C33+C34+C35+C36+BY3731+C39+C40+C41+C42+C43+C44+C45+C46+C47+C48+C49+C50+C51+C52+C37+C38</f>
        <v>27471344845</v>
      </c>
      <c r="G53" s="147"/>
    </row>
    <row r="54" spans="1:7" s="129" customFormat="1" ht="45" customHeight="1">
      <c r="A54" s="132" t="s">
        <v>4773</v>
      </c>
      <c r="B54" s="133">
        <v>51</v>
      </c>
      <c r="C54" s="134">
        <f>SUMIF(COMPARATIVO!H:H,A54,COMPARATIVO!AP:AP)</f>
        <v>0</v>
      </c>
      <c r="D54" s="135"/>
      <c r="E54" s="136"/>
    </row>
    <row r="55" spans="1:7" s="129" customFormat="1" ht="30.75" customHeight="1">
      <c r="A55" s="132" t="s">
        <v>4774</v>
      </c>
      <c r="B55" s="133">
        <v>52</v>
      </c>
      <c r="C55" s="134">
        <f>SUMIF(COMPARATIVO!H:H,A55,COMPARATIVO!AP:AP)</f>
        <v>0</v>
      </c>
      <c r="D55" s="135"/>
      <c r="E55" s="136"/>
    </row>
    <row r="56" spans="1:7" s="129" customFormat="1" ht="30" customHeight="1">
      <c r="A56" s="132" t="s">
        <v>4775</v>
      </c>
      <c r="B56" s="133">
        <v>53</v>
      </c>
      <c r="C56" s="134">
        <f>SUMIF(COMPARATIVO!H:H,A56,COMPARATIVO!AP:AP)</f>
        <v>0</v>
      </c>
      <c r="D56" s="135"/>
      <c r="E56" s="136"/>
    </row>
    <row r="57" spans="1:7" s="129" customFormat="1" ht="16.5" customHeight="1">
      <c r="A57" s="132" t="s">
        <v>4776</v>
      </c>
      <c r="B57" s="133">
        <v>54</v>
      </c>
      <c r="C57" s="134">
        <f>+C48</f>
        <v>55183585</v>
      </c>
      <c r="D57" s="135"/>
      <c r="E57" s="136"/>
    </row>
    <row r="58" spans="1:7" s="129" customFormat="1" ht="32.25" customHeight="1">
      <c r="A58" s="148" t="s">
        <v>4777</v>
      </c>
      <c r="B58" s="133">
        <v>55</v>
      </c>
      <c r="C58" s="134">
        <f>SUMIF(COMPARATIVO!H:H,A58,COMPARATIVO!AP:AP)</f>
        <v>0</v>
      </c>
      <c r="D58" s="135"/>
      <c r="E58" s="136"/>
    </row>
    <row r="59" spans="1:7" s="129" customFormat="1" ht="30" customHeight="1">
      <c r="A59" s="148" t="s">
        <v>4778</v>
      </c>
      <c r="B59" s="133">
        <v>56</v>
      </c>
      <c r="C59" s="134">
        <f>SUMIF(COMPARATIVO!H:H,A59,COMPARATIVO!AP:AP)</f>
        <v>0</v>
      </c>
      <c r="D59" s="135"/>
      <c r="E59" s="136"/>
    </row>
    <row r="60" spans="1:7" s="129" customFormat="1" ht="16.5" customHeight="1">
      <c r="A60" s="132" t="s">
        <v>4779</v>
      </c>
      <c r="B60" s="133">
        <v>57</v>
      </c>
      <c r="C60" s="134">
        <f>+IRACIS!D14-IRACIS!D21+COMPARATIVO!AP396</f>
        <v>70799557.99000001</v>
      </c>
      <c r="D60" s="135"/>
      <c r="E60" s="136"/>
    </row>
    <row r="61" spans="1:7" s="140" customFormat="1" ht="16.5" customHeight="1">
      <c r="A61" s="137" t="s">
        <v>4780</v>
      </c>
      <c r="B61" s="138"/>
      <c r="C61" s="139"/>
      <c r="D61" s="140">
        <v>64</v>
      </c>
      <c r="E61" s="141">
        <f>+E53-C54-C55-C56-C57-C58-C59-C60</f>
        <v>27345361702.009998</v>
      </c>
    </row>
    <row r="62" spans="1:7" s="130" customFormat="1" ht="16.5" customHeight="1">
      <c r="A62" s="130" t="s">
        <v>4781</v>
      </c>
      <c r="C62" s="131" t="s">
        <v>4782</v>
      </c>
      <c r="E62" s="130" t="s">
        <v>4783</v>
      </c>
    </row>
    <row r="63" spans="1:7" s="129" customFormat="1" ht="19.5" customHeight="1">
      <c r="A63" s="132" t="s">
        <v>4784</v>
      </c>
      <c r="B63" s="133">
        <v>65</v>
      </c>
      <c r="C63" s="134">
        <f>+E14-E22-E53</f>
        <v>425852710</v>
      </c>
      <c r="D63" s="129">
        <v>67</v>
      </c>
      <c r="E63" s="134">
        <f>+C63</f>
        <v>425852710</v>
      </c>
    </row>
    <row r="64" spans="1:7" s="129" customFormat="1" ht="19.5" customHeight="1">
      <c r="A64" s="132" t="s">
        <v>4785</v>
      </c>
      <c r="B64" s="133">
        <v>66</v>
      </c>
      <c r="C64" s="134">
        <f>+E20-E29-E61</f>
        <v>551835852.99000168</v>
      </c>
      <c r="D64" s="129">
        <v>68</v>
      </c>
      <c r="E64" s="134">
        <f>+C64</f>
        <v>551835852.99000168</v>
      </c>
      <c r="G64" s="146"/>
    </row>
    <row r="65" spans="1:7" s="129" customFormat="1" ht="19.5" customHeight="1">
      <c r="A65" s="132" t="s">
        <v>176</v>
      </c>
      <c r="B65" s="133"/>
      <c r="C65" s="134"/>
      <c r="E65" s="146">
        <f>+E64*0.1</f>
        <v>55183585.299000174</v>
      </c>
      <c r="G65" s="146"/>
    </row>
    <row r="66" spans="1:7" s="129" customFormat="1" ht="19.5" customHeight="1">
      <c r="A66" s="132" t="s">
        <v>4786</v>
      </c>
      <c r="B66" s="133"/>
      <c r="C66" s="134">
        <v>0</v>
      </c>
      <c r="E66" s="70">
        <f>+IRACIS!C26</f>
        <v>8430464</v>
      </c>
    </row>
    <row r="67" spans="1:7" s="129" customFormat="1" ht="19.5" customHeight="1">
      <c r="A67" s="132" t="s">
        <v>4787</v>
      </c>
      <c r="B67" s="133"/>
      <c r="C67" s="134">
        <v>0</v>
      </c>
      <c r="E67" s="146">
        <f>+IRACIS!C27-E69</f>
        <v>154483888</v>
      </c>
    </row>
    <row r="68" spans="1:7" s="129" customFormat="1" ht="19.5" customHeight="1">
      <c r="A68" s="132" t="s">
        <v>4788</v>
      </c>
      <c r="B68" s="133"/>
      <c r="C68" s="134">
        <v>0</v>
      </c>
    </row>
    <row r="69" spans="1:7" s="129" customFormat="1" ht="19.5" customHeight="1">
      <c r="A69" s="132" t="s">
        <v>4789</v>
      </c>
      <c r="B69" s="133"/>
      <c r="C69" s="134">
        <v>0</v>
      </c>
      <c r="E69" s="149">
        <v>29541920</v>
      </c>
    </row>
    <row r="70" spans="1:7" s="129" customFormat="1" ht="16.5" customHeight="1" thickBot="1">
      <c r="A70" s="150" t="s">
        <v>4790</v>
      </c>
      <c r="B70" s="151"/>
      <c r="C70" s="152">
        <f>SUM(C65:C69)</f>
        <v>0</v>
      </c>
      <c r="E70" s="153">
        <f>+E65-E66-E67-E68-E69</f>
        <v>-137272686.70099983</v>
      </c>
      <c r="F70" s="146">
        <f>+COMPARATIVO!AP77</f>
        <v>137272687</v>
      </c>
      <c r="G70" s="146">
        <f>+E70+F70</f>
        <v>0.29900017380714417</v>
      </c>
    </row>
    <row r="71" spans="1:7" s="129" customFormat="1" ht="15" thickTop="1">
      <c r="B71" s="133"/>
      <c r="C71" s="134"/>
    </row>
    <row r="72" spans="1:7" s="129" customFormat="1" ht="14">
      <c r="B72" s="133"/>
      <c r="C72" s="134"/>
    </row>
    <row r="73" spans="1:7" s="129" customFormat="1" ht="14">
      <c r="B73" s="133"/>
      <c r="C73" s="134"/>
      <c r="E73" s="146">
        <f>+E65</f>
        <v>55183585.299000174</v>
      </c>
    </row>
    <row r="74" spans="1:7" s="129" customFormat="1" ht="14">
      <c r="B74" s="133"/>
      <c r="C74" s="134"/>
      <c r="E74" s="146">
        <f>+C48</f>
        <v>55183585</v>
      </c>
    </row>
    <row r="75" spans="1:7" s="129" customFormat="1" ht="14">
      <c r="B75" s="133"/>
      <c r="C75" s="134"/>
      <c r="E75" s="146">
        <f>+E73-E74</f>
        <v>0.29900017380714417</v>
      </c>
    </row>
  </sheetData>
  <mergeCells count="2">
    <mergeCell ref="A1:C1"/>
    <mergeCell ref="A3:C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2:AR423"/>
  <sheetViews>
    <sheetView zoomScale="115" zoomScaleNormal="115" zoomScalePageLayoutView="125" workbookViewId="0">
      <pane xSplit="8" ySplit="4" topLeftCell="AH369" activePane="bottomRight" state="frozen"/>
      <selection pane="topRight" activeCell="I1" sqref="I1"/>
      <selection pane="bottomLeft" activeCell="A5" sqref="A5"/>
      <selection pane="bottomRight" activeCell="AP372" sqref="AP372"/>
    </sheetView>
  </sheetViews>
  <sheetFormatPr baseColWidth="10" defaultRowHeight="13"/>
  <cols>
    <col min="1" max="1" width="7.5" customWidth="1"/>
    <col min="2" max="2" width="8.5" hidden="1" customWidth="1"/>
    <col min="3" max="3" width="11" customWidth="1"/>
    <col min="4" max="4" width="34.6640625" customWidth="1"/>
    <col min="5" max="5" width="13.5" customWidth="1"/>
    <col min="6" max="6" width="4.5" customWidth="1"/>
    <col min="7" max="7" width="9" customWidth="1"/>
    <col min="8" max="8" width="26.33203125" customWidth="1"/>
    <col min="9" max="9" width="17" style="23" customWidth="1"/>
    <col min="10" max="10" width="4.6640625" style="23" customWidth="1"/>
    <col min="11" max="11" width="17.83203125" style="23" customWidth="1"/>
    <col min="12" max="12" width="5.33203125" style="23" customWidth="1"/>
    <col min="13" max="13" width="17.83203125" style="23" customWidth="1"/>
    <col min="14" max="14" width="5.33203125" style="23" customWidth="1"/>
    <col min="15" max="15" width="18.1640625" style="23" customWidth="1"/>
    <col min="16" max="16" width="20.5" style="23" customWidth="1"/>
    <col min="17" max="17" width="4.83203125" style="23" customWidth="1"/>
    <col min="18" max="18" width="21.5" style="23" customWidth="1"/>
    <col min="19" max="19" width="3.83203125" style="23" customWidth="1"/>
    <col min="20" max="20" width="17.5" style="23" customWidth="1"/>
    <col min="21" max="21" width="19.1640625" style="23" customWidth="1"/>
    <col min="22" max="22" width="4.6640625" style="23" customWidth="1"/>
    <col min="23" max="23" width="19.6640625" style="23" customWidth="1"/>
    <col min="24" max="24" width="5.33203125" style="23" customWidth="1"/>
    <col min="25" max="25" width="19.1640625" style="23" customWidth="1"/>
    <col min="26" max="26" width="19.33203125" style="23" customWidth="1"/>
    <col min="27" max="27" width="5.1640625" style="23" customWidth="1"/>
    <col min="28" max="28" width="19.6640625" style="23" customWidth="1"/>
    <col min="29" max="29" width="4.5" style="23" customWidth="1"/>
    <col min="30" max="30" width="18.5" style="23" customWidth="1"/>
    <col min="31" max="31" width="5.5" style="23" customWidth="1"/>
    <col min="32" max="32" width="18.5" style="23" customWidth="1"/>
    <col min="33" max="33" width="4.6640625" style="23" customWidth="1"/>
    <col min="34" max="34" width="18.1640625" style="23" customWidth="1"/>
    <col min="35" max="35" width="2.5" style="23" customWidth="1"/>
    <col min="36" max="36" width="2.83203125" style="23" customWidth="1"/>
    <col min="37" max="37" width="1.6640625" style="23" customWidth="1"/>
    <col min="38" max="38" width="3.5" style="23" customWidth="1"/>
    <col min="39" max="39" width="3.33203125" style="23" customWidth="1"/>
    <col min="40" max="40" width="3" style="23" customWidth="1"/>
    <col min="41" max="41" width="2.6640625" style="23" customWidth="1"/>
    <col min="42" max="42" width="16.83203125" style="23" customWidth="1"/>
    <col min="43" max="43" width="5.5" customWidth="1"/>
    <col min="44" max="44" width="13.83203125" bestFit="1" customWidth="1"/>
  </cols>
  <sheetData>
    <row r="2" spans="1:42">
      <c r="A2" t="s">
        <v>901</v>
      </c>
    </row>
    <row r="3" spans="1:42" ht="12.75" customHeight="1"/>
    <row r="4" spans="1:42" s="35" customFormat="1" ht="12.75" customHeight="1">
      <c r="A4" s="35" t="s">
        <v>467</v>
      </c>
      <c r="B4" s="35" t="s">
        <v>468</v>
      </c>
      <c r="C4" s="35" t="s">
        <v>469</v>
      </c>
      <c r="D4" s="35" t="s">
        <v>470</v>
      </c>
      <c r="E4" s="35" t="s">
        <v>800</v>
      </c>
      <c r="F4" s="35" t="s">
        <v>805</v>
      </c>
      <c r="G4" s="35" t="s">
        <v>310</v>
      </c>
      <c r="H4" s="35">
        <v>101</v>
      </c>
      <c r="I4" s="36">
        <v>42735</v>
      </c>
      <c r="J4" s="36"/>
      <c r="K4" s="36">
        <v>42825</v>
      </c>
      <c r="L4" s="36"/>
      <c r="M4" s="36">
        <v>42460</v>
      </c>
      <c r="N4" s="36"/>
      <c r="O4" s="36">
        <v>42094</v>
      </c>
      <c r="P4" s="36">
        <v>42916</v>
      </c>
      <c r="Q4" s="36"/>
      <c r="R4" s="36">
        <v>42551</v>
      </c>
      <c r="S4" s="36"/>
      <c r="T4" s="36">
        <v>42185</v>
      </c>
      <c r="U4" s="36">
        <v>43008</v>
      </c>
      <c r="V4" s="36"/>
      <c r="W4" s="36">
        <v>42643</v>
      </c>
      <c r="X4" s="36"/>
      <c r="Y4" s="36">
        <v>42277</v>
      </c>
      <c r="Z4" s="36">
        <v>43100</v>
      </c>
      <c r="AA4" s="36"/>
      <c r="AB4" s="36">
        <v>43190</v>
      </c>
      <c r="AC4" s="36"/>
      <c r="AD4" s="36">
        <v>43281</v>
      </c>
      <c r="AE4" s="36"/>
      <c r="AF4" s="36">
        <v>43373</v>
      </c>
      <c r="AG4" s="36"/>
      <c r="AH4" s="36">
        <v>43465</v>
      </c>
      <c r="AI4" s="36"/>
      <c r="AJ4" s="36">
        <v>43555</v>
      </c>
      <c r="AK4" s="36"/>
      <c r="AL4" s="36">
        <v>43646</v>
      </c>
      <c r="AM4" s="36"/>
      <c r="AN4" s="36">
        <v>43738</v>
      </c>
      <c r="AO4" s="36"/>
      <c r="AP4" s="36">
        <v>43830</v>
      </c>
    </row>
    <row r="5" spans="1:42" ht="12.75" customHeight="1"/>
    <row r="6" spans="1:42" s="37" customFormat="1" ht="15" customHeight="1">
      <c r="D6" s="37" t="s">
        <v>507</v>
      </c>
      <c r="I6" s="38">
        <f>+I7+I127</f>
        <v>126386519399.3</v>
      </c>
      <c r="J6" s="38"/>
      <c r="K6" s="38">
        <f>+K7+K127</f>
        <v>132533316758</v>
      </c>
      <c r="L6" s="38"/>
      <c r="M6" s="38">
        <f t="shared" ref="M6:U6" si="0">+M7+M127</f>
        <v>129129011437</v>
      </c>
      <c r="N6" s="38">
        <f t="shared" si="0"/>
        <v>0</v>
      </c>
      <c r="O6" s="38">
        <f t="shared" si="0"/>
        <v>104450633966</v>
      </c>
      <c r="P6" s="38">
        <f t="shared" si="0"/>
        <v>135274423634</v>
      </c>
      <c r="Q6" s="38">
        <f t="shared" si="0"/>
        <v>0</v>
      </c>
      <c r="R6" s="38">
        <f t="shared" si="0"/>
        <v>127688028081</v>
      </c>
      <c r="S6" s="38">
        <f t="shared" si="0"/>
        <v>0</v>
      </c>
      <c r="T6" s="38">
        <f t="shared" si="0"/>
        <v>112488592838</v>
      </c>
      <c r="U6" s="38">
        <f t="shared" si="0"/>
        <v>137746393118</v>
      </c>
      <c r="V6" s="38"/>
      <c r="W6" s="38">
        <f>+W7+W127</f>
        <v>138454988198</v>
      </c>
      <c r="X6" s="38"/>
      <c r="Y6" s="38">
        <f>+Y7+Y127</f>
        <v>119868471673</v>
      </c>
      <c r="Z6" s="38">
        <f>+Z7+Z127</f>
        <v>164412552797</v>
      </c>
      <c r="AA6" s="38"/>
      <c r="AB6" s="38">
        <f>+AB7+AB127</f>
        <v>163532457882</v>
      </c>
      <c r="AC6" s="38"/>
      <c r="AD6" s="38">
        <f>+AD7+AD127</f>
        <v>140746799436</v>
      </c>
      <c r="AE6" s="38">
        <f>+AE7+AE127</f>
        <v>0</v>
      </c>
      <c r="AF6" s="38">
        <f>+AF7+AF127</f>
        <v>153412216588</v>
      </c>
      <c r="AG6" s="38"/>
      <c r="AH6" s="38">
        <f>+AH7+AH127</f>
        <v>159319023084</v>
      </c>
      <c r="AI6" s="38"/>
      <c r="AJ6" s="38">
        <f>+AJ7+AJ127</f>
        <v>158889235628</v>
      </c>
      <c r="AK6" s="38">
        <f>+AK7+AK127</f>
        <v>0</v>
      </c>
      <c r="AL6" s="38">
        <f>+AL7+AL127</f>
        <v>154456130736</v>
      </c>
      <c r="AM6" s="38"/>
      <c r="AN6" s="38">
        <f>+AN7+AN127</f>
        <v>164630204050</v>
      </c>
      <c r="AO6" s="38"/>
      <c r="AP6" s="38">
        <f>+AP7+AP127</f>
        <v>157326137932</v>
      </c>
    </row>
    <row r="7" spans="1:42" s="37" customFormat="1" ht="15" customHeight="1">
      <c r="D7" s="37" t="s">
        <v>508</v>
      </c>
      <c r="I7" s="38">
        <f>+I8+I59+I109+I117</f>
        <v>67992143137.300003</v>
      </c>
      <c r="J7" s="38"/>
      <c r="K7" s="38">
        <f>+K8+K59+K109+K117</f>
        <v>76371437581</v>
      </c>
      <c r="L7" s="38"/>
      <c r="M7" s="38">
        <f t="shared" ref="M7:U7" si="1">+M8+M59+M109+M117</f>
        <v>77071565369</v>
      </c>
      <c r="N7" s="38">
        <f t="shared" si="1"/>
        <v>0</v>
      </c>
      <c r="O7" s="38">
        <f t="shared" si="1"/>
        <v>52761938580</v>
      </c>
      <c r="P7" s="38">
        <f t="shared" si="1"/>
        <v>78607103407</v>
      </c>
      <c r="Q7" s="38">
        <f t="shared" si="1"/>
        <v>0</v>
      </c>
      <c r="R7" s="38">
        <f t="shared" si="1"/>
        <v>73349655367</v>
      </c>
      <c r="S7" s="38">
        <f t="shared" si="1"/>
        <v>0</v>
      </c>
      <c r="T7" s="38">
        <f t="shared" si="1"/>
        <v>51318816268</v>
      </c>
      <c r="U7" s="38">
        <f t="shared" si="1"/>
        <v>78811560767</v>
      </c>
      <c r="V7" s="38"/>
      <c r="W7" s="38">
        <f>+W8+W59+W109+W117</f>
        <v>82898035697</v>
      </c>
      <c r="X7" s="38"/>
      <c r="Y7" s="38">
        <f>+Y8+Y59+Y109+Y117</f>
        <v>73298939146</v>
      </c>
      <c r="Z7" s="38">
        <f>+Z8+Z59+Z109+Z117</f>
        <v>83060087929</v>
      </c>
      <c r="AA7" s="38"/>
      <c r="AB7" s="38">
        <f>+AB8+AB59+AB109+AB117</f>
        <v>89230209337</v>
      </c>
      <c r="AC7" s="38"/>
      <c r="AD7" s="38">
        <f>+AD8+AD59+AD109+AD117</f>
        <v>66964929679</v>
      </c>
      <c r="AE7" s="38">
        <f>+AE8+AE59+AE109+AE117</f>
        <v>0</v>
      </c>
      <c r="AF7" s="38">
        <f>+AF8+AF59+AF109+AF117</f>
        <v>81574552400</v>
      </c>
      <c r="AG7" s="38"/>
      <c r="AH7" s="38">
        <f>+AH8+AH59+AH109+AH117</f>
        <v>83046872475</v>
      </c>
      <c r="AI7" s="38"/>
      <c r="AJ7" s="38">
        <f>+AJ8+AJ59+AJ109+AJ117</f>
        <v>68801899829</v>
      </c>
      <c r="AK7" s="38">
        <f>+AK8+AK59+AK109+AK117</f>
        <v>0</v>
      </c>
      <c r="AL7" s="38">
        <f>+AL8+AL59+AL109+AL117</f>
        <v>64762683359</v>
      </c>
      <c r="AM7" s="38"/>
      <c r="AN7" s="38">
        <f>+AN8+AN59+AN109+AN117</f>
        <v>73725996157</v>
      </c>
      <c r="AO7" s="38"/>
      <c r="AP7" s="38">
        <f>+AP8+AP59+AP109+AP117</f>
        <v>64815062970</v>
      </c>
    </row>
    <row r="8" spans="1:42" s="37" customFormat="1" ht="15" customHeight="1">
      <c r="D8" s="37" t="s">
        <v>509</v>
      </c>
      <c r="I8" s="38">
        <f>+I9+I26</f>
        <v>1963546149</v>
      </c>
      <c r="J8" s="38"/>
      <c r="K8" s="38">
        <f>+K9+K26</f>
        <v>3065790598</v>
      </c>
      <c r="L8" s="38"/>
      <c r="M8" s="38">
        <f t="shared" ref="M8:T8" si="2">+M9+M26</f>
        <v>1679017330</v>
      </c>
      <c r="N8" s="38">
        <f t="shared" si="2"/>
        <v>0</v>
      </c>
      <c r="O8" s="38">
        <f t="shared" si="2"/>
        <v>3375272924</v>
      </c>
      <c r="P8" s="38">
        <f t="shared" si="2"/>
        <v>2447106697</v>
      </c>
      <c r="Q8" s="38">
        <f t="shared" si="2"/>
        <v>0</v>
      </c>
      <c r="R8" s="38">
        <f t="shared" si="2"/>
        <v>2251726713</v>
      </c>
      <c r="S8" s="38">
        <f t="shared" si="2"/>
        <v>0</v>
      </c>
      <c r="T8" s="38">
        <f t="shared" si="2"/>
        <v>2471762369</v>
      </c>
      <c r="U8" s="38">
        <f>+U9+U26+U56</f>
        <v>9979192908</v>
      </c>
      <c r="V8" s="38"/>
      <c r="W8" s="38">
        <f>+W9+W26+W56</f>
        <v>1295300027</v>
      </c>
      <c r="X8" s="38"/>
      <c r="Y8" s="38">
        <f>+Y9+Y26+Y56</f>
        <v>1103348625</v>
      </c>
      <c r="Z8" s="38">
        <f>+Z9+Z26+Z56</f>
        <v>4057088631</v>
      </c>
      <c r="AA8" s="38"/>
      <c r="AB8" s="38">
        <f>+AB9+AB26+AB56</f>
        <v>7879020629</v>
      </c>
      <c r="AC8" s="38"/>
      <c r="AD8" s="38">
        <f>+AD9+AD26+AD56</f>
        <v>2268487628</v>
      </c>
      <c r="AE8" s="38">
        <f>+AE9+AE26+AE56</f>
        <v>0</v>
      </c>
      <c r="AF8" s="38">
        <f>+AF9+AF26+AF56</f>
        <v>2718425076</v>
      </c>
      <c r="AG8" s="38"/>
      <c r="AH8" s="38">
        <f>+AH9+AH26+AH56</f>
        <v>5087562037</v>
      </c>
      <c r="AI8" s="38"/>
      <c r="AJ8" s="38">
        <f>+AJ9+AJ26+AJ56</f>
        <v>4573204079</v>
      </c>
      <c r="AK8" s="38">
        <f>+AK9+AK26+AK56</f>
        <v>0</v>
      </c>
      <c r="AL8" s="38">
        <f>+AL9+AL26+AL56</f>
        <v>4829093874</v>
      </c>
      <c r="AM8" s="38"/>
      <c r="AN8" s="38">
        <f>+AN9+AN26+AN56</f>
        <v>6389296915</v>
      </c>
      <c r="AO8" s="38"/>
      <c r="AP8" s="38">
        <f>+AP9+AP26+AP56</f>
        <v>5446049951</v>
      </c>
    </row>
    <row r="9" spans="1:42" s="37" customFormat="1" ht="15" customHeight="1">
      <c r="D9" s="37" t="s">
        <v>510</v>
      </c>
      <c r="I9" s="38">
        <f>SUM(I10:I24)</f>
        <v>891946792</v>
      </c>
      <c r="J9" s="38"/>
      <c r="K9" s="38">
        <f>SUM(K10:K24)</f>
        <v>1750270987</v>
      </c>
      <c r="L9" s="38"/>
      <c r="M9" s="38">
        <f t="shared" ref="M9:T9" si="3">SUM(M10:M24)</f>
        <v>622743003</v>
      </c>
      <c r="N9" s="38">
        <f t="shared" si="3"/>
        <v>0</v>
      </c>
      <c r="O9" s="38">
        <f t="shared" si="3"/>
        <v>1451541140</v>
      </c>
      <c r="P9" s="38">
        <f t="shared" si="3"/>
        <v>1646571680</v>
      </c>
      <c r="Q9" s="38">
        <f t="shared" si="3"/>
        <v>0</v>
      </c>
      <c r="R9" s="38">
        <f t="shared" si="3"/>
        <v>644921614</v>
      </c>
      <c r="S9" s="38">
        <f t="shared" si="3"/>
        <v>0</v>
      </c>
      <c r="T9" s="38">
        <f t="shared" si="3"/>
        <v>2471762369</v>
      </c>
      <c r="U9" s="38">
        <f>SUM(U10:U25)</f>
        <v>1937313990</v>
      </c>
      <c r="V9" s="38"/>
      <c r="W9" s="38">
        <f>SUM(W10:W25)</f>
        <v>559891109</v>
      </c>
      <c r="X9" s="38"/>
      <c r="Y9" s="38">
        <f>SUM(Y10:Y25)</f>
        <v>489216836</v>
      </c>
      <c r="Z9" s="38">
        <f>SUM(Z10:Z25)</f>
        <v>2804193446</v>
      </c>
      <c r="AA9" s="38"/>
      <c r="AB9" s="38">
        <f>SUM(AB10:AB25)</f>
        <v>5967006436</v>
      </c>
      <c r="AC9" s="38"/>
      <c r="AD9" s="38">
        <f>SUM(AD10:AD25)</f>
        <v>1647822224</v>
      </c>
      <c r="AE9" s="38">
        <f>SUM(AE10:AE25)</f>
        <v>0</v>
      </c>
      <c r="AF9" s="38">
        <f>SUM(AF10:AF25)</f>
        <v>594144234</v>
      </c>
      <c r="AG9" s="38"/>
      <c r="AH9" s="38">
        <f>SUM(AH10:AH25)</f>
        <v>2264521525</v>
      </c>
      <c r="AI9" s="38"/>
      <c r="AJ9" s="38">
        <f>SUM(AJ10:AJ25)</f>
        <v>1144080284</v>
      </c>
      <c r="AK9" s="38">
        <f>SUM(AK10:AK25)</f>
        <v>0</v>
      </c>
      <c r="AL9" s="38">
        <f>SUM(AL10:AL25)</f>
        <v>2064191494</v>
      </c>
      <c r="AM9" s="38"/>
      <c r="AN9" s="38">
        <f>SUM(AN10:AN25)</f>
        <v>2222697250</v>
      </c>
      <c r="AO9" s="38"/>
      <c r="AP9" s="38">
        <f>SUM(AP10:AP25)</f>
        <v>2085228700</v>
      </c>
    </row>
    <row r="10" spans="1:42" ht="15" customHeight="1">
      <c r="D10" t="s">
        <v>474</v>
      </c>
      <c r="E10" t="s">
        <v>740</v>
      </c>
      <c r="F10" t="s">
        <v>1027</v>
      </c>
      <c r="I10" s="23">
        <v>0</v>
      </c>
      <c r="K10" s="23">
        <v>62325690</v>
      </c>
      <c r="M10" s="23">
        <v>201247207</v>
      </c>
      <c r="O10" s="23">
        <v>209510995</v>
      </c>
      <c r="P10" s="23">
        <v>180835020</v>
      </c>
      <c r="R10" s="23">
        <v>121831004</v>
      </c>
      <c r="T10" s="23">
        <v>2471762369</v>
      </c>
      <c r="U10" s="23">
        <v>83287879</v>
      </c>
      <c r="W10" s="23">
        <v>8293768</v>
      </c>
      <c r="Y10" s="23">
        <v>77929718</v>
      </c>
      <c r="Z10" s="23">
        <v>6339444</v>
      </c>
      <c r="AB10" s="23">
        <v>46081958</v>
      </c>
      <c r="AD10" s="23">
        <v>-137640917</v>
      </c>
      <c r="AF10" s="23">
        <v>0</v>
      </c>
      <c r="AH10" s="23">
        <v>3369013</v>
      </c>
      <c r="AJ10" s="23">
        <v>-67258348</v>
      </c>
      <c r="AL10" s="23">
        <v>400021103</v>
      </c>
      <c r="AN10" s="23">
        <v>504298530</v>
      </c>
      <c r="AP10" s="23">
        <v>10457051</v>
      </c>
    </row>
    <row r="11" spans="1:42" ht="15" customHeight="1">
      <c r="D11" t="s">
        <v>475</v>
      </c>
      <c r="E11" t="s">
        <v>740</v>
      </c>
      <c r="F11" t="s">
        <v>1027</v>
      </c>
      <c r="I11" s="23">
        <v>44251695</v>
      </c>
      <c r="K11" s="23">
        <v>670696220</v>
      </c>
      <c r="M11" s="23">
        <v>2406325</v>
      </c>
      <c r="O11" s="23">
        <v>194234726</v>
      </c>
      <c r="P11" s="23">
        <v>0</v>
      </c>
      <c r="R11" s="23">
        <v>127137535</v>
      </c>
      <c r="U11" s="23">
        <v>12863063</v>
      </c>
      <c r="W11" s="23">
        <v>642160</v>
      </c>
      <c r="Y11" s="23">
        <v>1627309</v>
      </c>
      <c r="Z11" s="23">
        <v>959755</v>
      </c>
      <c r="AB11" s="23">
        <v>-11665557</v>
      </c>
      <c r="AD11" s="23">
        <v>-11990212</v>
      </c>
      <c r="AF11" s="23">
        <v>0</v>
      </c>
      <c r="AH11" s="23">
        <v>0</v>
      </c>
      <c r="AJ11" s="23">
        <v>214178850</v>
      </c>
      <c r="AL11" s="23">
        <v>576024065</v>
      </c>
      <c r="AN11" s="23">
        <v>718971072</v>
      </c>
      <c r="AP11" s="92">
        <v>644233</v>
      </c>
    </row>
    <row r="12" spans="1:42" ht="15" customHeight="1">
      <c r="D12" t="s">
        <v>476</v>
      </c>
      <c r="E12" t="s">
        <v>740</v>
      </c>
      <c r="F12" t="s">
        <v>1027</v>
      </c>
      <c r="I12" s="23">
        <v>219848511</v>
      </c>
      <c r="K12" s="23">
        <v>113948657</v>
      </c>
      <c r="M12" s="23">
        <v>61024264</v>
      </c>
      <c r="O12" s="23">
        <v>902220</v>
      </c>
      <c r="P12" s="23">
        <v>102393273</v>
      </c>
      <c r="R12" s="23">
        <v>77008325</v>
      </c>
      <c r="U12" s="23">
        <v>90835344</v>
      </c>
      <c r="W12" s="23">
        <v>87887410</v>
      </c>
      <c r="Y12" s="23">
        <v>104089954</v>
      </c>
      <c r="Z12" s="23">
        <v>185574717</v>
      </c>
      <c r="AB12" s="23">
        <v>139786520</v>
      </c>
      <c r="AD12" s="23">
        <v>141615803</v>
      </c>
      <c r="AF12" s="23">
        <v>92078605</v>
      </c>
      <c r="AH12" s="23">
        <v>141860314</v>
      </c>
      <c r="AJ12" s="23">
        <v>60203406</v>
      </c>
      <c r="AL12" s="23">
        <v>65505687</v>
      </c>
      <c r="AN12" s="23">
        <v>56759598</v>
      </c>
      <c r="AP12" s="23">
        <v>52693724</v>
      </c>
    </row>
    <row r="13" spans="1:42" ht="15" customHeight="1">
      <c r="D13" t="s">
        <v>477</v>
      </c>
      <c r="E13" t="s">
        <v>740</v>
      </c>
      <c r="F13" t="s">
        <v>1027</v>
      </c>
      <c r="I13" s="23">
        <v>37450683</v>
      </c>
      <c r="K13" s="23">
        <v>36662367</v>
      </c>
      <c r="M13" s="23">
        <v>20903477</v>
      </c>
      <c r="O13" s="23">
        <v>3425094</v>
      </c>
      <c r="P13" s="23">
        <v>3967183</v>
      </c>
      <c r="R13" s="23">
        <v>4411262</v>
      </c>
      <c r="U13" s="23">
        <v>255691920</v>
      </c>
      <c r="W13" s="23">
        <v>3965017</v>
      </c>
      <c r="Y13" s="23">
        <v>19397867</v>
      </c>
      <c r="Z13" s="23">
        <v>11235629</v>
      </c>
      <c r="AB13" s="23">
        <v>3959062</v>
      </c>
      <c r="AD13" s="23">
        <v>4069242</v>
      </c>
      <c r="AF13" s="23">
        <v>5751768</v>
      </c>
      <c r="AH13" s="23">
        <v>0</v>
      </c>
      <c r="AJ13" s="23">
        <v>4410426</v>
      </c>
      <c r="AL13" s="23">
        <v>4416966</v>
      </c>
      <c r="AN13" s="23">
        <v>4552303</v>
      </c>
      <c r="AP13" s="92">
        <v>4596682</v>
      </c>
    </row>
    <row r="14" spans="1:42" ht="15" customHeight="1">
      <c r="D14" t="s">
        <v>478</v>
      </c>
      <c r="E14" t="s">
        <v>740</v>
      </c>
      <c r="F14" t="s">
        <v>1027</v>
      </c>
      <c r="I14" s="23">
        <v>21728512</v>
      </c>
      <c r="K14" s="23">
        <v>52044065</v>
      </c>
      <c r="M14" s="23">
        <v>22662151</v>
      </c>
      <c r="O14" s="23">
        <v>49350541</v>
      </c>
      <c r="P14" s="23">
        <v>18180310</v>
      </c>
      <c r="R14" s="23">
        <v>56348517</v>
      </c>
      <c r="U14" s="23">
        <v>27296601</v>
      </c>
      <c r="W14" s="23">
        <v>11516099</v>
      </c>
      <c r="Y14" s="23">
        <v>19807966</v>
      </c>
      <c r="Z14" s="23">
        <v>-3584197</v>
      </c>
      <c r="AB14" s="23">
        <v>21013885</v>
      </c>
      <c r="AD14" s="23">
        <v>25228486</v>
      </c>
      <c r="AF14" s="23">
        <v>60253001</v>
      </c>
      <c r="AH14" s="23">
        <v>127609200</v>
      </c>
      <c r="AJ14" s="23">
        <v>207605575</v>
      </c>
      <c r="AL14" s="23">
        <v>175683688</v>
      </c>
      <c r="AN14" s="23">
        <v>147884312</v>
      </c>
      <c r="AP14" s="23">
        <v>28466193</v>
      </c>
    </row>
    <row r="15" spans="1:42" ht="15" customHeight="1">
      <c r="D15" t="s">
        <v>479</v>
      </c>
      <c r="E15" t="s">
        <v>740</v>
      </c>
      <c r="F15" t="s">
        <v>952</v>
      </c>
      <c r="I15" s="23">
        <v>0</v>
      </c>
      <c r="K15" s="23">
        <v>0</v>
      </c>
      <c r="M15" s="23">
        <v>44000000</v>
      </c>
      <c r="O15" s="23">
        <v>0</v>
      </c>
      <c r="P15" s="23">
        <v>195079718</v>
      </c>
      <c r="AB15" s="23">
        <v>3733722994</v>
      </c>
      <c r="AH15" s="23">
        <v>334335714</v>
      </c>
      <c r="AL15" s="23">
        <v>340466537</v>
      </c>
      <c r="AP15" s="23">
        <v>1189266625</v>
      </c>
    </row>
    <row r="16" spans="1:42" ht="15" customHeight="1">
      <c r="D16" t="s">
        <v>480</v>
      </c>
      <c r="E16" t="s">
        <v>740</v>
      </c>
      <c r="F16" t="s">
        <v>950</v>
      </c>
      <c r="I16" s="23">
        <v>315885702</v>
      </c>
      <c r="K16" s="23">
        <v>154164280</v>
      </c>
      <c r="M16" s="23">
        <v>157223505</v>
      </c>
      <c r="O16" s="23">
        <v>742041773</v>
      </c>
      <c r="P16" s="23">
        <v>691258101</v>
      </c>
      <c r="R16" s="23">
        <v>160535455</v>
      </c>
      <c r="U16" s="23">
        <v>298927887</v>
      </c>
      <c r="W16" s="23">
        <v>300963499</v>
      </c>
      <c r="Y16" s="23">
        <v>174627752</v>
      </c>
      <c r="Z16" s="23">
        <v>812928850</v>
      </c>
      <c r="AB16" s="23">
        <v>476566820</v>
      </c>
      <c r="AD16" s="23">
        <v>694372125</v>
      </c>
      <c r="AF16" s="23">
        <v>58517308</v>
      </c>
      <c r="AH16" s="23">
        <v>668661433</v>
      </c>
      <c r="AJ16" s="23">
        <v>362308112</v>
      </c>
      <c r="AL16" s="23">
        <v>224335457</v>
      </c>
      <c r="AN16" s="23">
        <v>403464257</v>
      </c>
      <c r="AP16" s="23">
        <v>289025677</v>
      </c>
    </row>
    <row r="17" spans="4:42" ht="15" customHeight="1">
      <c r="D17" t="s">
        <v>481</v>
      </c>
      <c r="E17" t="s">
        <v>740</v>
      </c>
      <c r="F17" t="s">
        <v>952</v>
      </c>
      <c r="I17" s="23">
        <v>37574099</v>
      </c>
      <c r="K17" s="23">
        <v>80032443</v>
      </c>
      <c r="M17" s="23">
        <v>53155212</v>
      </c>
      <c r="O17" s="23">
        <v>131160761</v>
      </c>
      <c r="P17" s="23">
        <v>95842234</v>
      </c>
      <c r="R17" s="23">
        <v>33163755</v>
      </c>
      <c r="U17" s="23">
        <v>78517267</v>
      </c>
      <c r="W17" s="23">
        <v>62298271</v>
      </c>
      <c r="Y17" s="23">
        <v>21517822</v>
      </c>
      <c r="Z17" s="23">
        <v>128993947</v>
      </c>
      <c r="AB17" s="23">
        <v>74621216</v>
      </c>
      <c r="AD17" s="23">
        <v>104808557</v>
      </c>
      <c r="AF17" s="23">
        <v>58080523</v>
      </c>
      <c r="AH17" s="23">
        <v>243230508</v>
      </c>
      <c r="AJ17" s="23">
        <v>60396724</v>
      </c>
      <c r="AL17" s="23">
        <v>79631782</v>
      </c>
      <c r="AN17" s="23">
        <v>110158380</v>
      </c>
      <c r="AP17" s="23">
        <v>134971186</v>
      </c>
    </row>
    <row r="18" spans="4:42" ht="15" customHeight="1">
      <c r="D18" t="s">
        <v>482</v>
      </c>
      <c r="E18" t="s">
        <v>740</v>
      </c>
      <c r="F18" t="s">
        <v>1027</v>
      </c>
      <c r="I18" s="23">
        <v>0</v>
      </c>
      <c r="K18" s="23">
        <v>453915432</v>
      </c>
      <c r="M18" s="23">
        <v>14520702</v>
      </c>
      <c r="O18" s="23">
        <v>0</v>
      </c>
      <c r="P18" s="23">
        <v>22273666</v>
      </c>
      <c r="U18" s="23">
        <v>697483975</v>
      </c>
      <c r="Z18" s="23">
        <v>1191212386</v>
      </c>
      <c r="AB18" s="23">
        <v>1184449338</v>
      </c>
      <c r="AD18" s="23">
        <v>28513500</v>
      </c>
      <c r="AF18" s="23">
        <v>70746567</v>
      </c>
      <c r="AH18" s="23">
        <v>0</v>
      </c>
      <c r="AJ18" s="23">
        <v>3832</v>
      </c>
      <c r="AP18" s="92"/>
    </row>
    <row r="19" spans="4:42" ht="15" customHeight="1">
      <c r="D19" t="s">
        <v>483</v>
      </c>
      <c r="E19" t="s">
        <v>740</v>
      </c>
      <c r="F19" s="97" t="s">
        <v>1028</v>
      </c>
      <c r="I19" s="23">
        <v>16792438</v>
      </c>
      <c r="K19" s="23">
        <v>93020551</v>
      </c>
      <c r="M19" s="23">
        <v>41755611</v>
      </c>
      <c r="O19" s="23">
        <v>109812962</v>
      </c>
      <c r="P19" s="23">
        <v>313764333</v>
      </c>
      <c r="R19" s="23">
        <v>49300747</v>
      </c>
      <c r="U19" s="23">
        <v>165676257</v>
      </c>
      <c r="W19" s="23">
        <v>54793740</v>
      </c>
      <c r="Y19" s="23">
        <v>62040262</v>
      </c>
      <c r="Z19" s="23">
        <v>108228376</v>
      </c>
      <c r="AB19" s="23">
        <v>81613202</v>
      </c>
      <c r="AD19" s="23">
        <v>254805207</v>
      </c>
      <c r="AF19" s="23">
        <v>26226121</v>
      </c>
      <c r="AH19" s="23">
        <v>242396721</v>
      </c>
      <c r="AJ19" s="23">
        <v>11736321</v>
      </c>
      <c r="AL19" s="23">
        <v>25243303</v>
      </c>
      <c r="AN19" s="23">
        <v>23597203</v>
      </c>
      <c r="AP19" s="23">
        <v>32399340</v>
      </c>
    </row>
    <row r="20" spans="4:42" ht="15" customHeight="1">
      <c r="D20" t="s">
        <v>1627</v>
      </c>
      <c r="E20" t="s">
        <v>740</v>
      </c>
      <c r="F20" t="s">
        <v>1027</v>
      </c>
      <c r="I20" s="23">
        <v>6029140</v>
      </c>
      <c r="K20" s="23">
        <v>10098881</v>
      </c>
      <c r="M20" s="23">
        <v>3837775</v>
      </c>
      <c r="O20" s="23">
        <v>11100212</v>
      </c>
      <c r="P20" s="23">
        <v>18108541</v>
      </c>
      <c r="R20" s="23">
        <v>10851470</v>
      </c>
      <c r="U20" s="23">
        <v>14618923</v>
      </c>
      <c r="W20" s="23">
        <v>12278631</v>
      </c>
      <c r="Y20" s="23">
        <v>8178186</v>
      </c>
      <c r="Z20" s="23">
        <v>32012202</v>
      </c>
      <c r="AB20" s="23">
        <v>22523594</v>
      </c>
      <c r="AD20" s="23">
        <v>9806257</v>
      </c>
      <c r="AF20" s="23">
        <v>34026139</v>
      </c>
      <c r="AH20" s="23">
        <v>13694425</v>
      </c>
      <c r="AJ20" s="23">
        <v>33497443</v>
      </c>
      <c r="AL20" s="23">
        <v>52994807</v>
      </c>
      <c r="AN20" s="23">
        <v>54823524</v>
      </c>
      <c r="AP20" s="23">
        <v>68141757</v>
      </c>
    </row>
    <row r="21" spans="4:42" ht="15" customHeight="1">
      <c r="D21" t="s">
        <v>484</v>
      </c>
      <c r="E21" t="s">
        <v>740</v>
      </c>
      <c r="F21" t="s">
        <v>1027</v>
      </c>
      <c r="I21" s="23">
        <v>0</v>
      </c>
      <c r="K21" s="23">
        <v>-32361790</v>
      </c>
      <c r="M21" s="23">
        <v>0</v>
      </c>
      <c r="O21" s="23">
        <v>0</v>
      </c>
      <c r="P21" s="23">
        <v>0</v>
      </c>
      <c r="U21" s="23">
        <v>-31021036</v>
      </c>
      <c r="W21" s="23">
        <v>9868770</v>
      </c>
      <c r="Z21" s="23">
        <v>-111175872</v>
      </c>
      <c r="AB21" s="23">
        <v>36057556</v>
      </c>
      <c r="AD21" s="23">
        <v>328637822</v>
      </c>
      <c r="AF21" s="23">
        <v>94868855</v>
      </c>
      <c r="AH21" s="23">
        <v>0</v>
      </c>
      <c r="AJ21" s="23">
        <v>-289666056</v>
      </c>
      <c r="AL21" s="23">
        <v>-272294804</v>
      </c>
      <c r="AN21" s="23">
        <v>-117947462</v>
      </c>
    </row>
    <row r="22" spans="4:42" ht="15" customHeight="1">
      <c r="D22" t="s">
        <v>485</v>
      </c>
      <c r="E22" t="s">
        <v>740</v>
      </c>
      <c r="F22" t="s">
        <v>1027</v>
      </c>
      <c r="I22" s="23">
        <v>0</v>
      </c>
      <c r="K22" s="23">
        <v>7345292</v>
      </c>
      <c r="M22" s="23">
        <v>6774</v>
      </c>
      <c r="O22" s="23">
        <v>1856</v>
      </c>
      <c r="P22" s="23">
        <v>0</v>
      </c>
      <c r="R22" s="23">
        <v>4333544</v>
      </c>
      <c r="U22" s="23">
        <v>99622446</v>
      </c>
      <c r="W22" s="23">
        <v>5668477</v>
      </c>
      <c r="Z22" s="23">
        <v>8192457</v>
      </c>
      <c r="AB22" s="23">
        <v>119193193</v>
      </c>
      <c r="AD22" s="23">
        <v>19120680</v>
      </c>
      <c r="AH22" s="23">
        <v>0</v>
      </c>
      <c r="AJ22" s="23">
        <v>-86959204</v>
      </c>
      <c r="AL22" s="23">
        <v>-130395701</v>
      </c>
      <c r="AN22" s="23">
        <v>14922146</v>
      </c>
      <c r="AP22" s="92"/>
    </row>
    <row r="23" spans="4:42" ht="15" customHeight="1">
      <c r="D23" t="s">
        <v>486</v>
      </c>
      <c r="E23" t="s">
        <v>740</v>
      </c>
      <c r="F23" t="s">
        <v>1027</v>
      </c>
      <c r="I23" s="23">
        <v>15717825</v>
      </c>
      <c r="K23" s="23">
        <v>7325449</v>
      </c>
      <c r="M23" s="23">
        <v>0</v>
      </c>
      <c r="O23" s="23">
        <v>0</v>
      </c>
      <c r="P23" s="23">
        <v>4443469</v>
      </c>
      <c r="U23" s="23">
        <v>-3614182</v>
      </c>
      <c r="W23" s="23">
        <v>1715267</v>
      </c>
      <c r="Z23" s="23">
        <v>8440420</v>
      </c>
      <c r="AB23" s="23">
        <v>8014720</v>
      </c>
      <c r="AD23" s="23">
        <v>10641731</v>
      </c>
      <c r="AF23" s="23">
        <v>12882667</v>
      </c>
      <c r="AH23" s="23">
        <v>9739187</v>
      </c>
      <c r="AJ23" s="23">
        <v>13422345</v>
      </c>
      <c r="AL23" s="23">
        <v>25945235</v>
      </c>
      <c r="AN23" s="23">
        <v>27336256</v>
      </c>
      <c r="AP23" s="23">
        <v>13587071</v>
      </c>
    </row>
    <row r="24" spans="4:42" ht="15" customHeight="1">
      <c r="D24" t="s">
        <v>487</v>
      </c>
      <c r="E24" t="s">
        <v>740</v>
      </c>
      <c r="F24" t="s">
        <v>1027</v>
      </c>
      <c r="I24" s="23">
        <v>176668187</v>
      </c>
      <c r="K24" s="23">
        <v>41053450</v>
      </c>
      <c r="M24" s="23">
        <v>0</v>
      </c>
      <c r="O24" s="23">
        <v>0</v>
      </c>
      <c r="P24" s="23">
        <v>425832</v>
      </c>
      <c r="Z24" s="23">
        <v>130224076</v>
      </c>
      <c r="AB24" s="23">
        <v>22157381</v>
      </c>
      <c r="AD24" s="23">
        <v>140528876</v>
      </c>
      <c r="AF24" s="23">
        <v>2197758</v>
      </c>
      <c r="AH24" s="23">
        <v>84359351</v>
      </c>
      <c r="AJ24" s="23">
        <v>65904059</v>
      </c>
      <c r="AL24" s="23">
        <v>21354641</v>
      </c>
      <c r="AN24" s="23">
        <v>7823943</v>
      </c>
      <c r="AP24" s="23">
        <v>46301275</v>
      </c>
    </row>
    <row r="25" spans="4:42" ht="15" customHeight="1">
      <c r="D25" t="s">
        <v>917</v>
      </c>
      <c r="E25" t="s">
        <v>740</v>
      </c>
      <c r="F25" t="s">
        <v>1027</v>
      </c>
      <c r="P25" s="23">
        <v>0</v>
      </c>
      <c r="U25" s="23">
        <v>147127646</v>
      </c>
      <c r="Z25" s="23">
        <v>294611256</v>
      </c>
      <c r="AB25" s="23">
        <v>8910554</v>
      </c>
      <c r="AD25" s="23">
        <v>35305067</v>
      </c>
      <c r="AF25" s="23">
        <v>78514922</v>
      </c>
      <c r="AH25" s="23">
        <v>395265659</v>
      </c>
      <c r="AJ25" s="23">
        <v>554296799</v>
      </c>
      <c r="AL25" s="23">
        <v>475258728</v>
      </c>
      <c r="AN25" s="23">
        <v>266053188</v>
      </c>
      <c r="AP25" s="92">
        <v>214677886</v>
      </c>
    </row>
    <row r="26" spans="4:42" s="37" customFormat="1" ht="15" customHeight="1">
      <c r="D26" s="37" t="s">
        <v>511</v>
      </c>
      <c r="I26" s="38">
        <f>SUM(I27:I48)</f>
        <v>1071599357</v>
      </c>
      <c r="J26" s="38"/>
      <c r="K26" s="38">
        <f>SUM(K27:K48)</f>
        <v>1315519611</v>
      </c>
      <c r="L26" s="38"/>
      <c r="M26" s="38">
        <f>SUM(M27:M48)</f>
        <v>1056274327</v>
      </c>
      <c r="N26" s="38">
        <f t="shared" ref="N26:Y26" si="4">SUM(N27:N48)</f>
        <v>0</v>
      </c>
      <c r="O26" s="38">
        <f t="shared" si="4"/>
        <v>1923731784</v>
      </c>
      <c r="P26" s="38">
        <f t="shared" si="4"/>
        <v>800535017</v>
      </c>
      <c r="Q26" s="38">
        <f t="shared" si="4"/>
        <v>0</v>
      </c>
      <c r="R26" s="38">
        <f t="shared" si="4"/>
        <v>1606805099</v>
      </c>
      <c r="S26" s="38">
        <f t="shared" si="4"/>
        <v>0</v>
      </c>
      <c r="T26" s="38">
        <f t="shared" si="4"/>
        <v>0</v>
      </c>
      <c r="U26" s="38">
        <f t="shared" si="4"/>
        <v>2816428918</v>
      </c>
      <c r="V26" s="38"/>
      <c r="W26" s="38">
        <f t="shared" si="4"/>
        <v>735408918</v>
      </c>
      <c r="X26" s="38"/>
      <c r="Y26" s="38">
        <f t="shared" si="4"/>
        <v>614131789</v>
      </c>
      <c r="Z26" s="38">
        <f>SUM(Z27:Z49)</f>
        <v>1252895185</v>
      </c>
      <c r="AA26" s="38"/>
      <c r="AB26" s="38">
        <f>SUM(AB27:AB49)</f>
        <v>1912014193</v>
      </c>
      <c r="AC26" s="38"/>
      <c r="AD26" s="38">
        <f>SUM(AD27:AD49)</f>
        <v>620665404</v>
      </c>
      <c r="AE26" s="38">
        <f>SUM(AE27:AE49)</f>
        <v>0</v>
      </c>
      <c r="AF26" s="38">
        <f>SUM(AF27:AF50)</f>
        <v>2124280842</v>
      </c>
      <c r="AG26" s="38">
        <f>SUM(AG27:AG50)</f>
        <v>0</v>
      </c>
      <c r="AH26" s="38">
        <f>SUM(AH27:AH51)</f>
        <v>2823040512</v>
      </c>
      <c r="AI26" s="38"/>
      <c r="AJ26" s="38">
        <f>SUM(AJ27:AJ51)</f>
        <v>3429123795</v>
      </c>
      <c r="AK26" s="38">
        <f>SUM(AK27:AK51)</f>
        <v>0</v>
      </c>
      <c r="AL26" s="38">
        <f>SUM(AL27:AL53)</f>
        <v>2764902380</v>
      </c>
      <c r="AM26" s="38"/>
      <c r="AN26" s="38">
        <f>SUM(AN27:AN55)</f>
        <v>4166599665</v>
      </c>
      <c r="AO26" s="38"/>
      <c r="AP26" s="38">
        <f>SUM(AP27:AP55)</f>
        <v>3360821251</v>
      </c>
    </row>
    <row r="27" spans="4:42" ht="15" customHeight="1">
      <c r="D27" t="s">
        <v>488</v>
      </c>
      <c r="E27" t="s">
        <v>740</v>
      </c>
      <c r="F27" t="s">
        <v>1028</v>
      </c>
      <c r="I27" s="23">
        <v>7230931</v>
      </c>
      <c r="K27" s="23">
        <v>23110483</v>
      </c>
      <c r="M27" s="23">
        <v>32397725</v>
      </c>
      <c r="O27" s="23">
        <v>58270724</v>
      </c>
      <c r="P27" s="23">
        <v>6829857</v>
      </c>
      <c r="R27" s="23">
        <v>6036912</v>
      </c>
      <c r="U27" s="23">
        <v>14456207</v>
      </c>
      <c r="W27" s="23">
        <v>1902973</v>
      </c>
      <c r="Y27" s="23">
        <v>30699563</v>
      </c>
      <c r="Z27" s="23">
        <v>2378114</v>
      </c>
      <c r="AB27" s="23">
        <v>5813584</v>
      </c>
      <c r="AD27" s="23">
        <v>2026669</v>
      </c>
      <c r="AF27" s="23">
        <v>-5263803</v>
      </c>
      <c r="AH27" s="23">
        <v>133435208</v>
      </c>
      <c r="AJ27" s="23">
        <v>130651759</v>
      </c>
      <c r="AL27" s="23">
        <v>28731255</v>
      </c>
      <c r="AN27" s="23">
        <v>36645036</v>
      </c>
      <c r="AP27" s="23">
        <v>-4367302</v>
      </c>
    </row>
    <row r="28" spans="4:42" ht="15" customHeight="1">
      <c r="D28" t="s">
        <v>489</v>
      </c>
      <c r="E28" t="s">
        <v>740</v>
      </c>
      <c r="F28" t="s">
        <v>1028</v>
      </c>
      <c r="I28" s="23">
        <v>12938283</v>
      </c>
      <c r="K28" s="23">
        <v>20280559</v>
      </c>
      <c r="M28" s="23">
        <v>7034086</v>
      </c>
      <c r="O28" s="23">
        <v>1161478935</v>
      </c>
      <c r="P28" s="23">
        <v>43162109</v>
      </c>
      <c r="R28" s="23">
        <v>23142868</v>
      </c>
      <c r="U28" s="23">
        <v>8109273</v>
      </c>
      <c r="W28" s="23">
        <v>18048351</v>
      </c>
      <c r="Y28" s="23">
        <v>20495810</v>
      </c>
      <c r="Z28" s="23">
        <v>-7714643</v>
      </c>
      <c r="AB28" s="23">
        <v>6222074</v>
      </c>
      <c r="AD28" s="23">
        <v>23408725</v>
      </c>
      <c r="AF28" s="23">
        <v>4182451</v>
      </c>
      <c r="AH28" s="23">
        <v>23264036</v>
      </c>
      <c r="AJ28" s="23">
        <v>-43824304</v>
      </c>
      <c r="AL28" s="23">
        <v>35620530</v>
      </c>
      <c r="AN28" s="23">
        <v>4830779</v>
      </c>
      <c r="AP28" s="92">
        <v>24823328</v>
      </c>
    </row>
    <row r="29" spans="4:42" ht="15" customHeight="1">
      <c r="D29" t="s">
        <v>490</v>
      </c>
      <c r="E29" t="s">
        <v>740</v>
      </c>
      <c r="F29" t="s">
        <v>954</v>
      </c>
      <c r="I29" s="23">
        <v>12107122</v>
      </c>
      <c r="K29" s="23">
        <v>20585082</v>
      </c>
      <c r="M29" s="23">
        <v>32591373</v>
      </c>
      <c r="O29" s="23">
        <v>41205677</v>
      </c>
      <c r="P29" s="23">
        <v>32916854</v>
      </c>
      <c r="R29" s="23">
        <v>13344479</v>
      </c>
      <c r="U29" s="23">
        <v>866006869</v>
      </c>
      <c r="W29" s="23">
        <v>17622034</v>
      </c>
      <c r="Y29" s="23">
        <v>46994097</v>
      </c>
      <c r="Z29" s="23">
        <v>27950767</v>
      </c>
      <c r="AB29" s="23">
        <v>680407548</v>
      </c>
      <c r="AD29" s="23">
        <v>10608555</v>
      </c>
      <c r="AF29" s="23">
        <v>-2642178</v>
      </c>
      <c r="AH29" s="23">
        <v>138918820</v>
      </c>
      <c r="AJ29" s="23">
        <v>610288419</v>
      </c>
      <c r="AL29" s="23">
        <v>-46140980</v>
      </c>
      <c r="AN29" s="23">
        <v>220628084</v>
      </c>
      <c r="AP29" s="23">
        <v>228406863</v>
      </c>
    </row>
    <row r="30" spans="4:42" ht="15" customHeight="1">
      <c r="D30" t="s">
        <v>491</v>
      </c>
      <c r="E30" t="s">
        <v>740</v>
      </c>
      <c r="F30" t="s">
        <v>954</v>
      </c>
      <c r="I30" s="23">
        <v>-31060276</v>
      </c>
      <c r="K30" s="23">
        <v>-28671633</v>
      </c>
      <c r="M30" s="23">
        <v>264881126</v>
      </c>
      <c r="O30" s="23">
        <v>23681721</v>
      </c>
      <c r="P30" s="23">
        <v>-25588270</v>
      </c>
      <c r="R30" s="23">
        <v>46344705</v>
      </c>
      <c r="U30" s="23">
        <v>-19544219</v>
      </c>
      <c r="W30" s="23">
        <v>39521822</v>
      </c>
      <c r="Y30" s="23">
        <v>80788898</v>
      </c>
      <c r="Z30" s="23">
        <v>81264172</v>
      </c>
      <c r="AB30" s="23">
        <v>155109160</v>
      </c>
      <c r="AD30" s="23">
        <v>131655093</v>
      </c>
      <c r="AF30" s="23">
        <v>69911504</v>
      </c>
      <c r="AH30" s="23">
        <v>-24131683</v>
      </c>
      <c r="AJ30" s="23">
        <v>95228703</v>
      </c>
      <c r="AL30" s="23">
        <v>-407348448</v>
      </c>
      <c r="AN30" s="23">
        <v>46502343</v>
      </c>
      <c r="AP30" s="92">
        <v>1358526017</v>
      </c>
    </row>
    <row r="31" spans="4:42" ht="15" customHeight="1">
      <c r="D31" t="s">
        <v>492</v>
      </c>
      <c r="E31" t="s">
        <v>740</v>
      </c>
      <c r="F31" t="s">
        <v>909</v>
      </c>
      <c r="I31" s="23">
        <v>11729923</v>
      </c>
      <c r="K31" s="23">
        <v>31499943</v>
      </c>
      <c r="M31" s="23">
        <v>2182878</v>
      </c>
      <c r="O31" s="23">
        <v>2471498</v>
      </c>
      <c r="P31" s="23">
        <v>94217410</v>
      </c>
      <c r="R31" s="23">
        <v>10538230</v>
      </c>
      <c r="U31" s="23">
        <v>581680047</v>
      </c>
      <c r="W31" s="23">
        <v>12893939</v>
      </c>
      <c r="Y31" s="23">
        <v>194450385</v>
      </c>
      <c r="Z31" s="23">
        <v>3736455</v>
      </c>
      <c r="AB31" s="23">
        <v>3080633</v>
      </c>
      <c r="AD31" s="23">
        <v>-2295342</v>
      </c>
      <c r="AF31" s="23">
        <v>631218</v>
      </c>
      <c r="AH31" s="23">
        <v>10830316</v>
      </c>
      <c r="AJ31" s="23">
        <v>-175062308</v>
      </c>
      <c r="AL31" s="23">
        <v>555700000</v>
      </c>
      <c r="AN31" s="23">
        <v>53160914</v>
      </c>
      <c r="AP31" s="23">
        <v>66259220</v>
      </c>
    </row>
    <row r="32" spans="4:42" ht="15" customHeight="1">
      <c r="D32" t="s">
        <v>493</v>
      </c>
      <c r="E32" t="s">
        <v>740</v>
      </c>
      <c r="F32" t="s">
        <v>909</v>
      </c>
      <c r="I32" s="23">
        <v>21217464</v>
      </c>
      <c r="K32" s="23">
        <v>173265173</v>
      </c>
      <c r="M32" s="23">
        <v>7613337</v>
      </c>
      <c r="O32" s="23">
        <v>16491668</v>
      </c>
      <c r="P32" s="23">
        <v>76624762</v>
      </c>
      <c r="R32" s="23">
        <v>7206927</v>
      </c>
      <c r="U32" s="23">
        <v>16678087</v>
      </c>
      <c r="W32" s="23">
        <v>19393700</v>
      </c>
      <c r="Y32" s="23">
        <v>9321698</v>
      </c>
      <c r="Z32" s="23">
        <v>13779624</v>
      </c>
      <c r="AB32" s="23">
        <v>11111061</v>
      </c>
      <c r="AD32" s="23">
        <v>23414545</v>
      </c>
      <c r="AF32" s="23">
        <v>101137420</v>
      </c>
      <c r="AH32" s="23">
        <v>8733632</v>
      </c>
      <c r="AJ32" s="23">
        <v>63891344</v>
      </c>
      <c r="AL32" s="23">
        <v>260795339</v>
      </c>
      <c r="AN32" s="23">
        <v>12393275</v>
      </c>
      <c r="AP32" s="92">
        <v>40264949</v>
      </c>
    </row>
    <row r="33" spans="4:42" ht="15" customHeight="1">
      <c r="D33" t="s">
        <v>494</v>
      </c>
      <c r="E33" t="s">
        <v>740</v>
      </c>
      <c r="F33" t="s">
        <v>955</v>
      </c>
      <c r="I33" s="23">
        <v>11711077</v>
      </c>
      <c r="K33" s="23">
        <v>3041757</v>
      </c>
      <c r="M33" s="23">
        <v>245904466</v>
      </c>
      <c r="O33" s="23">
        <v>15115202</v>
      </c>
      <c r="P33" s="23">
        <v>-954046</v>
      </c>
      <c r="R33" s="23">
        <v>4311872</v>
      </c>
      <c r="U33" s="23">
        <v>29323572</v>
      </c>
      <c r="W33" s="23">
        <v>-6536857</v>
      </c>
      <c r="Y33" s="23">
        <v>-2012428</v>
      </c>
      <c r="Z33" s="23">
        <v>-3172360</v>
      </c>
      <c r="AB33" s="23">
        <v>1933805</v>
      </c>
      <c r="AD33" s="23">
        <v>-37806921</v>
      </c>
      <c r="AF33" s="23">
        <v>-32613935</v>
      </c>
      <c r="AH33" s="23">
        <v>19115843</v>
      </c>
      <c r="AJ33" s="23">
        <v>-113162827</v>
      </c>
      <c r="AL33" s="23">
        <v>-76788666</v>
      </c>
      <c r="AN33" s="23">
        <v>243126130</v>
      </c>
      <c r="AP33" s="23">
        <v>42923191</v>
      </c>
    </row>
    <row r="34" spans="4:42" ht="15" customHeight="1">
      <c r="D34" t="s">
        <v>495</v>
      </c>
      <c r="E34" t="s">
        <v>740</v>
      </c>
      <c r="F34" t="s">
        <v>955</v>
      </c>
      <c r="I34" s="23">
        <v>22189161</v>
      </c>
      <c r="K34" s="23">
        <v>-35062127</v>
      </c>
      <c r="M34" s="23">
        <v>23787379</v>
      </c>
      <c r="O34" s="23">
        <v>137284705</v>
      </c>
      <c r="P34" s="23">
        <v>104634719</v>
      </c>
      <c r="R34" s="23">
        <v>28754772</v>
      </c>
      <c r="U34" s="23">
        <v>16737707</v>
      </c>
      <c r="W34" s="23">
        <v>15859583</v>
      </c>
      <c r="Y34" s="23">
        <v>28477303</v>
      </c>
      <c r="Z34" s="23">
        <v>74758094</v>
      </c>
      <c r="AB34" s="23">
        <v>272964106</v>
      </c>
      <c r="AD34" s="23">
        <v>22476736</v>
      </c>
      <c r="AF34" s="23">
        <v>184126840</v>
      </c>
      <c r="AH34" s="23">
        <v>100651626</v>
      </c>
      <c r="AJ34" s="23">
        <v>106358768</v>
      </c>
      <c r="AL34" s="23">
        <v>251984572</v>
      </c>
      <c r="AN34" s="23">
        <v>351974184</v>
      </c>
      <c r="AP34" s="92">
        <v>129087930</v>
      </c>
    </row>
    <row r="35" spans="4:42" ht="15" customHeight="1">
      <c r="D35" t="s">
        <v>496</v>
      </c>
      <c r="E35" t="s">
        <v>740</v>
      </c>
      <c r="F35" t="s">
        <v>907</v>
      </c>
      <c r="I35" s="23">
        <v>38368295</v>
      </c>
      <c r="K35" s="23">
        <v>245935911</v>
      </c>
      <c r="M35" s="23">
        <v>15746714</v>
      </c>
      <c r="O35" s="23">
        <v>82160327</v>
      </c>
      <c r="P35" s="23">
        <v>93246444</v>
      </c>
      <c r="R35" s="23">
        <v>555066204</v>
      </c>
      <c r="U35" s="23">
        <v>1125898161</v>
      </c>
      <c r="W35" s="23">
        <v>364735764</v>
      </c>
      <c r="Y35" s="23">
        <v>19346401</v>
      </c>
      <c r="Z35" s="23">
        <v>19204122</v>
      </c>
      <c r="AB35" s="23">
        <v>21858504</v>
      </c>
      <c r="AD35" s="23">
        <v>103666132</v>
      </c>
      <c r="AF35" s="23">
        <v>11566440</v>
      </c>
      <c r="AH35" s="23">
        <v>1470889914</v>
      </c>
      <c r="AJ35" s="23">
        <v>1382106920</v>
      </c>
      <c r="AL35" s="23">
        <v>504702348</v>
      </c>
      <c r="AN35" s="23">
        <v>1958898108</v>
      </c>
      <c r="AP35" s="23">
        <v>128775323</v>
      </c>
    </row>
    <row r="36" spans="4:42" ht="15" customHeight="1">
      <c r="D36" t="s">
        <v>497</v>
      </c>
      <c r="E36" t="s">
        <v>740</v>
      </c>
      <c r="F36" t="s">
        <v>907</v>
      </c>
      <c r="I36" s="23">
        <v>27330138</v>
      </c>
      <c r="K36" s="23">
        <v>35238601</v>
      </c>
      <c r="M36" s="23">
        <v>171220912</v>
      </c>
      <c r="O36" s="23">
        <v>175878503</v>
      </c>
      <c r="P36" s="23">
        <v>28575091</v>
      </c>
      <c r="R36" s="23">
        <v>41448827</v>
      </c>
      <c r="U36" s="23">
        <v>10050442</v>
      </c>
      <c r="W36" s="23">
        <v>11017505</v>
      </c>
      <c r="Y36" s="23">
        <v>20425303</v>
      </c>
      <c r="Z36" s="23">
        <v>14683970</v>
      </c>
      <c r="AB36" s="23">
        <v>33694488</v>
      </c>
      <c r="AD36" s="23">
        <v>25738395</v>
      </c>
      <c r="AF36" s="23">
        <v>-68111376</v>
      </c>
      <c r="AH36" s="23">
        <v>126357842</v>
      </c>
      <c r="AJ36" s="23">
        <v>408110304</v>
      </c>
      <c r="AL36" s="23">
        <v>23921756</v>
      </c>
      <c r="AN36" s="23">
        <v>22567604</v>
      </c>
      <c r="AP36" s="92">
        <v>33697251</v>
      </c>
    </row>
    <row r="37" spans="4:42" ht="15" customHeight="1">
      <c r="D37" t="s">
        <v>498</v>
      </c>
      <c r="E37" t="s">
        <v>740</v>
      </c>
      <c r="F37" t="s">
        <v>908</v>
      </c>
      <c r="I37" s="23">
        <v>3208888</v>
      </c>
      <c r="K37" s="23">
        <v>72276587</v>
      </c>
      <c r="M37" s="23">
        <v>1319027</v>
      </c>
      <c r="O37" s="23">
        <v>3357855</v>
      </c>
      <c r="P37" s="23">
        <v>38409265</v>
      </c>
      <c r="R37" s="23">
        <v>8826436</v>
      </c>
      <c r="U37" s="23">
        <v>56505822</v>
      </c>
      <c r="W37" s="23">
        <v>15698400</v>
      </c>
      <c r="Y37" s="23">
        <v>4787621</v>
      </c>
      <c r="Z37" s="23">
        <v>91502741</v>
      </c>
      <c r="AB37" s="23">
        <v>130627290</v>
      </c>
      <c r="AD37" s="23">
        <v>145473558</v>
      </c>
      <c r="AF37" s="23">
        <v>39708729</v>
      </c>
      <c r="AH37" s="23">
        <v>104381743</v>
      </c>
      <c r="AJ37" s="23">
        <v>62381526</v>
      </c>
      <c r="AL37" s="23">
        <v>89571734</v>
      </c>
      <c r="AN37" s="23">
        <v>88021812</v>
      </c>
      <c r="AP37" s="23">
        <v>27712677</v>
      </c>
    </row>
    <row r="38" spans="4:42" ht="15" customHeight="1">
      <c r="D38" t="s">
        <v>499</v>
      </c>
      <c r="E38" t="s">
        <v>740</v>
      </c>
      <c r="F38" t="s">
        <v>908</v>
      </c>
      <c r="I38" s="23">
        <v>19482611</v>
      </c>
      <c r="K38" s="23">
        <v>5874209</v>
      </c>
      <c r="M38" s="23">
        <v>6341192</v>
      </c>
      <c r="O38" s="23">
        <v>38178397</v>
      </c>
      <c r="P38" s="23">
        <v>17357512</v>
      </c>
      <c r="R38" s="23">
        <v>4051414</v>
      </c>
      <c r="U38" s="23">
        <v>11460344</v>
      </c>
      <c r="W38" s="23">
        <v>13521819</v>
      </c>
      <c r="Y38" s="23">
        <v>19130411</v>
      </c>
      <c r="Z38" s="23">
        <v>42834249</v>
      </c>
      <c r="AB38" s="23">
        <v>7620188</v>
      </c>
      <c r="AD38" s="23">
        <v>10860395</v>
      </c>
      <c r="AF38" s="23">
        <v>11387449</v>
      </c>
      <c r="AH38" s="23">
        <v>20774051</v>
      </c>
      <c r="AJ38" s="23">
        <v>299433846</v>
      </c>
      <c r="AL38" s="23">
        <v>697114870</v>
      </c>
      <c r="AN38" s="23">
        <v>296871405</v>
      </c>
      <c r="AP38" s="92">
        <v>295241612</v>
      </c>
    </row>
    <row r="39" spans="4:42" ht="15" customHeight="1">
      <c r="D39" t="s">
        <v>500</v>
      </c>
      <c r="E39" t="s">
        <v>740</v>
      </c>
      <c r="F39" t="s">
        <v>933</v>
      </c>
      <c r="I39" s="23">
        <v>392070870</v>
      </c>
      <c r="K39" s="23">
        <v>501608458</v>
      </c>
      <c r="M39" s="23">
        <v>7495145</v>
      </c>
      <c r="O39" s="23">
        <v>11002260</v>
      </c>
      <c r="P39" s="23">
        <v>31078863</v>
      </c>
      <c r="R39" s="23">
        <v>18574753</v>
      </c>
      <c r="U39" s="23">
        <v>23064941</v>
      </c>
      <c r="W39" s="23">
        <v>18059279</v>
      </c>
      <c r="Y39" s="23">
        <v>-86197702</v>
      </c>
      <c r="Z39" s="23">
        <v>12906354</v>
      </c>
      <c r="AB39" s="23">
        <v>50269999</v>
      </c>
      <c r="AD39" s="23">
        <v>5159118</v>
      </c>
      <c r="AF39" s="23">
        <v>-24518778</v>
      </c>
      <c r="AH39" s="23">
        <v>213254468</v>
      </c>
      <c r="AJ39" s="23">
        <v>140152544</v>
      </c>
      <c r="AL39" s="23">
        <v>139931248</v>
      </c>
      <c r="AN39" s="23">
        <v>253213485</v>
      </c>
      <c r="AP39" s="23">
        <v>173512868</v>
      </c>
    </row>
    <row r="40" spans="4:42" ht="15" customHeight="1">
      <c r="D40" t="s">
        <v>501</v>
      </c>
      <c r="E40" t="s">
        <v>740</v>
      </c>
      <c r="F40" t="s">
        <v>948</v>
      </c>
      <c r="I40" s="23">
        <v>20536608</v>
      </c>
      <c r="K40" s="23">
        <v>18642454</v>
      </c>
      <c r="M40" s="23">
        <v>124000256</v>
      </c>
      <c r="O40" s="23">
        <v>21051773</v>
      </c>
      <c r="P40" s="23">
        <v>18306103</v>
      </c>
      <c r="R40" s="23">
        <v>100378382</v>
      </c>
      <c r="U40" s="23">
        <v>10157860</v>
      </c>
      <c r="W40" s="23">
        <v>94263135</v>
      </c>
      <c r="Y40" s="23">
        <v>1694152</v>
      </c>
      <c r="Z40" s="23">
        <v>169104171</v>
      </c>
      <c r="AB40" s="23">
        <v>65176151</v>
      </c>
      <c r="AD40" s="23">
        <v>29826433</v>
      </c>
      <c r="AF40" s="23">
        <v>65911817</v>
      </c>
      <c r="AH40" s="23">
        <v>9668718</v>
      </c>
      <c r="AJ40" s="23">
        <v>67600884</v>
      </c>
      <c r="AL40" s="23">
        <v>49461076</v>
      </c>
      <c r="AN40" s="23">
        <v>18030758</v>
      </c>
      <c r="AP40" s="92">
        <v>28353210</v>
      </c>
    </row>
    <row r="41" spans="4:42" ht="15" customHeight="1">
      <c r="D41" t="s">
        <v>502</v>
      </c>
      <c r="E41" t="s">
        <v>740</v>
      </c>
      <c r="F41" s="98" t="s">
        <v>949</v>
      </c>
      <c r="I41" s="23">
        <v>42401334</v>
      </c>
      <c r="K41" s="23">
        <v>4363430</v>
      </c>
      <c r="M41" s="23">
        <v>59396081</v>
      </c>
      <c r="O41" s="23">
        <v>4209921</v>
      </c>
      <c r="P41" s="23">
        <v>3541352</v>
      </c>
      <c r="R41" s="23">
        <v>1049560</v>
      </c>
      <c r="U41" s="23">
        <v>18300162</v>
      </c>
      <c r="W41" s="23">
        <v>3591397</v>
      </c>
      <c r="Y41" s="23">
        <v>129265232</v>
      </c>
      <c r="Z41" s="23">
        <v>5906974</v>
      </c>
      <c r="AB41" s="23">
        <v>36912676</v>
      </c>
      <c r="AD41" s="23">
        <v>5986808</v>
      </c>
      <c r="AF41" s="23">
        <v>8818081</v>
      </c>
      <c r="AH41" s="23">
        <v>13140014</v>
      </c>
      <c r="AJ41" s="23">
        <v>-2685770</v>
      </c>
      <c r="AL41" s="23">
        <v>56106906</v>
      </c>
      <c r="AN41" s="23">
        <v>3723393</v>
      </c>
      <c r="AP41" s="23">
        <v>138542811</v>
      </c>
    </row>
    <row r="42" spans="4:42" ht="15" customHeight="1">
      <c r="D42" t="s">
        <v>503</v>
      </c>
      <c r="E42" t="s">
        <v>740</v>
      </c>
      <c r="F42" s="98" t="s">
        <v>949</v>
      </c>
      <c r="I42" s="23">
        <v>176780141</v>
      </c>
      <c r="K42" s="23">
        <v>64130121</v>
      </c>
      <c r="M42" s="23">
        <v>3624720</v>
      </c>
      <c r="O42" s="23">
        <v>13821456</v>
      </c>
      <c r="P42" s="23">
        <v>52466661</v>
      </c>
      <c r="R42" s="23">
        <v>11288696</v>
      </c>
      <c r="U42" s="23">
        <v>18799417</v>
      </c>
      <c r="W42" s="23">
        <v>23606408</v>
      </c>
      <c r="Y42" s="23">
        <v>31275396</v>
      </c>
      <c r="Z42" s="23">
        <v>550961104</v>
      </c>
      <c r="AB42" s="23">
        <v>142416337</v>
      </c>
      <c r="AD42" s="23">
        <v>102319896</v>
      </c>
      <c r="AF42" s="23">
        <v>11682246</v>
      </c>
      <c r="AH42" s="23">
        <v>5806905</v>
      </c>
      <c r="AJ42" s="23">
        <v>83704455</v>
      </c>
      <c r="AL42" s="23">
        <v>21345229</v>
      </c>
      <c r="AN42" s="23">
        <v>24335028</v>
      </c>
      <c r="AP42" s="92">
        <v>22781367</v>
      </c>
    </row>
    <row r="43" spans="4:42" ht="15" customHeight="1">
      <c r="D43" t="s">
        <v>1624</v>
      </c>
      <c r="E43" t="s">
        <v>740</v>
      </c>
      <c r="F43" t="s">
        <v>1028</v>
      </c>
      <c r="I43" s="23">
        <v>19738005</v>
      </c>
      <c r="K43" s="23">
        <v>6665082</v>
      </c>
      <c r="M43" s="23">
        <v>10730268</v>
      </c>
      <c r="O43" s="23">
        <v>38861629</v>
      </c>
      <c r="P43" s="23">
        <v>116709928</v>
      </c>
      <c r="R43" s="23">
        <v>14733536</v>
      </c>
      <c r="U43" s="23">
        <v>3002502</v>
      </c>
      <c r="W43" s="23">
        <v>20243530</v>
      </c>
      <c r="Y43" s="23">
        <v>10730268</v>
      </c>
      <c r="Z43" s="23">
        <v>2947209</v>
      </c>
      <c r="AB43" s="23">
        <v>4258705</v>
      </c>
      <c r="AD43" s="23">
        <v>1939011</v>
      </c>
      <c r="AF43" s="23">
        <v>4140722</v>
      </c>
      <c r="AH43" s="23">
        <v>3764387</v>
      </c>
      <c r="AJ43" s="23">
        <v>106332200</v>
      </c>
      <c r="AL43" s="23">
        <v>84392218</v>
      </c>
      <c r="AN43" s="23">
        <v>214135</v>
      </c>
    </row>
    <row r="44" spans="4:42" ht="15" customHeight="1">
      <c r="D44" t="s">
        <v>504</v>
      </c>
      <c r="E44" t="s">
        <v>740</v>
      </c>
      <c r="F44" t="s">
        <v>933</v>
      </c>
      <c r="I44" s="23">
        <v>228035387</v>
      </c>
      <c r="K44" s="23">
        <v>84606323</v>
      </c>
      <c r="M44" s="23">
        <v>26599426</v>
      </c>
      <c r="O44" s="23">
        <v>70288554</v>
      </c>
      <c r="P44" s="23">
        <v>29447521</v>
      </c>
      <c r="R44" s="23">
        <v>16887625</v>
      </c>
      <c r="U44" s="23">
        <v>13518604</v>
      </c>
      <c r="W44" s="23">
        <v>34019097</v>
      </c>
      <c r="Y44" s="23">
        <v>35235595</v>
      </c>
      <c r="Z44" s="23">
        <v>46352755</v>
      </c>
      <c r="AB44" s="23">
        <v>20015956</v>
      </c>
      <c r="AD44" s="23">
        <v>17353087</v>
      </c>
      <c r="AF44" s="23">
        <v>39461951</v>
      </c>
      <c r="AH44" s="23">
        <v>43061383</v>
      </c>
      <c r="AJ44" s="23">
        <v>69980217</v>
      </c>
      <c r="AL44" s="23">
        <v>72846801</v>
      </c>
      <c r="AN44" s="23">
        <v>158454165</v>
      </c>
      <c r="AP44" s="92">
        <v>225522266</v>
      </c>
    </row>
    <row r="45" spans="4:42" ht="15" customHeight="1">
      <c r="D45" t="s">
        <v>505</v>
      </c>
      <c r="E45" t="s">
        <v>740</v>
      </c>
      <c r="F45" t="s">
        <v>948</v>
      </c>
      <c r="I45" s="23">
        <v>21072432</v>
      </c>
      <c r="K45" s="23">
        <v>48047362</v>
      </c>
      <c r="M45" s="23">
        <v>4930000</v>
      </c>
      <c r="O45" s="23">
        <v>6796270</v>
      </c>
      <c r="P45" s="23">
        <v>24817877</v>
      </c>
      <c r="R45" s="23">
        <v>685262853</v>
      </c>
      <c r="U45" s="23">
        <v>-2246657</v>
      </c>
      <c r="W45" s="23">
        <v>5935313</v>
      </c>
      <c r="Y45" s="23">
        <v>10466016</v>
      </c>
      <c r="Z45" s="23">
        <v>52341576</v>
      </c>
      <c r="AB45" s="23">
        <v>28464931</v>
      </c>
      <c r="AD45" s="23">
        <v>-4358071</v>
      </c>
      <c r="AF45" s="23">
        <v>-208744</v>
      </c>
      <c r="AH45" s="23">
        <v>28431217</v>
      </c>
      <c r="AJ45" s="23">
        <v>12370245</v>
      </c>
      <c r="AL45" s="23">
        <v>5253099</v>
      </c>
      <c r="AN45" s="23">
        <v>31543039</v>
      </c>
      <c r="AP45" s="23">
        <v>96549907</v>
      </c>
    </row>
    <row r="46" spans="4:42" ht="15" customHeight="1">
      <c r="D46" s="40" t="s">
        <v>4026</v>
      </c>
      <c r="E46" t="s">
        <v>740</v>
      </c>
      <c r="F46" t="s">
        <v>1028</v>
      </c>
      <c r="I46" s="23">
        <v>7681258</v>
      </c>
      <c r="K46" s="23">
        <v>7519756</v>
      </c>
      <c r="M46" s="23">
        <v>6986580</v>
      </c>
      <c r="O46" s="23">
        <v>2124709</v>
      </c>
      <c r="P46" s="23">
        <v>7415099</v>
      </c>
      <c r="R46" s="23">
        <v>7613838</v>
      </c>
      <c r="U46" s="23">
        <v>7544350</v>
      </c>
      <c r="W46" s="23">
        <v>7409390</v>
      </c>
      <c r="Y46" s="23">
        <v>3869852</v>
      </c>
      <c r="Z46" s="23">
        <v>39791324</v>
      </c>
      <c r="AB46" s="23">
        <v>39566188</v>
      </c>
      <c r="AD46" s="23">
        <v>6452098</v>
      </c>
      <c r="AF46" s="23">
        <v>6455207</v>
      </c>
      <c r="AH46" s="23">
        <v>6527009</v>
      </c>
      <c r="AJ46" s="23">
        <v>6769280</v>
      </c>
      <c r="AL46" s="23">
        <v>-13360353</v>
      </c>
      <c r="AN46" s="23">
        <v>-13769724</v>
      </c>
      <c r="AP46" s="92"/>
    </row>
    <row r="47" spans="4:42" ht="15" customHeight="1">
      <c r="D47" t="s">
        <v>1629</v>
      </c>
      <c r="E47" t="s">
        <v>740</v>
      </c>
      <c r="F47" t="s">
        <v>1028</v>
      </c>
      <c r="I47" s="23">
        <v>2463782</v>
      </c>
      <c r="K47" s="23">
        <v>2221782</v>
      </c>
      <c r="M47" s="23">
        <v>1491636</v>
      </c>
      <c r="P47" s="23">
        <v>5868519</v>
      </c>
      <c r="R47" s="23">
        <v>1942210</v>
      </c>
      <c r="U47" s="23">
        <v>5868519</v>
      </c>
      <c r="W47" s="23">
        <v>2314210</v>
      </c>
      <c r="Y47" s="23">
        <v>4887918</v>
      </c>
      <c r="Z47" s="23">
        <v>6603163</v>
      </c>
      <c r="AB47" s="23">
        <v>6383163</v>
      </c>
      <c r="AD47" s="23">
        <v>6355712</v>
      </c>
      <c r="AF47" s="23">
        <v>4883342</v>
      </c>
      <c r="AH47" s="23">
        <v>8373900</v>
      </c>
      <c r="AJ47" s="23">
        <v>6902689</v>
      </c>
      <c r="AL47" s="23">
        <v>5374097</v>
      </c>
      <c r="AN47" s="23">
        <v>6224655</v>
      </c>
      <c r="AP47" s="23">
        <v>5489518</v>
      </c>
    </row>
    <row r="48" spans="4:42" ht="15" customHeight="1">
      <c r="D48" t="s">
        <v>506</v>
      </c>
      <c r="E48" t="s">
        <v>740</v>
      </c>
      <c r="F48" t="s">
        <v>1028</v>
      </c>
      <c r="I48" s="23">
        <v>4365923</v>
      </c>
      <c r="K48" s="23">
        <v>10340298</v>
      </c>
      <c r="M48" s="23">
        <v>0</v>
      </c>
      <c r="P48" s="23">
        <v>1451387</v>
      </c>
      <c r="U48" s="23">
        <v>1056908</v>
      </c>
      <c r="W48" s="23">
        <v>2288126</v>
      </c>
      <c r="Z48" s="23">
        <v>2808250</v>
      </c>
      <c r="AB48" s="23">
        <v>186058998</v>
      </c>
      <c r="AD48" s="23">
        <v>-16802241</v>
      </c>
      <c r="AF48" s="23">
        <v>4118644</v>
      </c>
      <c r="AH48" s="23">
        <v>24693986</v>
      </c>
      <c r="AJ48" s="23">
        <v>-27429302</v>
      </c>
      <c r="AL48" s="23">
        <v>-114404315</v>
      </c>
      <c r="AN48" s="23">
        <v>20924453</v>
      </c>
    </row>
    <row r="49" spans="4:42" ht="15" customHeight="1">
      <c r="D49" t="s">
        <v>1001</v>
      </c>
      <c r="E49" t="s">
        <v>740</v>
      </c>
      <c r="F49" t="s">
        <v>1028</v>
      </c>
      <c r="Z49" s="23">
        <v>1967000</v>
      </c>
      <c r="AB49" s="23">
        <v>2048648</v>
      </c>
      <c r="AD49" s="23">
        <v>7207013</v>
      </c>
      <c r="AF49" s="23">
        <v>9643670</v>
      </c>
      <c r="AH49" s="23">
        <v>291266680</v>
      </c>
      <c r="AJ49" s="23">
        <v>93465159</v>
      </c>
      <c r="AL49" s="23">
        <v>95789618</v>
      </c>
      <c r="AN49" s="23">
        <v>96699635</v>
      </c>
      <c r="AP49" s="23">
        <v>24077254</v>
      </c>
    </row>
    <row r="50" spans="4:42" ht="15" customHeight="1">
      <c r="D50" t="s">
        <v>1082</v>
      </c>
      <c r="E50" t="s">
        <v>740</v>
      </c>
      <c r="F50" t="s">
        <v>1028</v>
      </c>
      <c r="AF50" s="23">
        <v>1679871925</v>
      </c>
      <c r="AH50" s="23">
        <v>281497</v>
      </c>
      <c r="AJ50" s="23">
        <v>3154044</v>
      </c>
      <c r="AL50" s="23">
        <v>15566815</v>
      </c>
      <c r="AN50" s="23">
        <v>9804154</v>
      </c>
      <c r="AP50" s="92">
        <v>30116024</v>
      </c>
    </row>
    <row r="51" spans="4:42" ht="15" customHeight="1">
      <c r="D51" t="s">
        <v>1089</v>
      </c>
      <c r="E51" t="s">
        <v>740</v>
      </c>
      <c r="F51" t="s">
        <v>1889</v>
      </c>
      <c r="AH51" s="23">
        <v>41549000</v>
      </c>
      <c r="AJ51" s="23">
        <v>42405000</v>
      </c>
      <c r="AL51" s="23">
        <v>239635934</v>
      </c>
      <c r="AN51" s="23">
        <v>158444946</v>
      </c>
      <c r="AP51" s="23">
        <v>187071946</v>
      </c>
    </row>
    <row r="52" spans="4:42" ht="15" customHeight="1">
      <c r="D52" t="s">
        <v>1625</v>
      </c>
      <c r="E52" t="s">
        <v>740</v>
      </c>
      <c r="F52" t="s">
        <v>1028</v>
      </c>
      <c r="AL52" s="23">
        <v>26784591</v>
      </c>
      <c r="AN52" s="23">
        <v>30683066</v>
      </c>
      <c r="AP52" s="92">
        <v>11644898</v>
      </c>
    </row>
    <row r="53" spans="4:42" ht="15" customHeight="1">
      <c r="D53" t="s">
        <v>1626</v>
      </c>
      <c r="E53" t="s">
        <v>740</v>
      </c>
      <c r="F53" t="s">
        <v>1028</v>
      </c>
      <c r="AL53" s="23">
        <v>162315106</v>
      </c>
      <c r="AN53" s="23">
        <v>22345189</v>
      </c>
      <c r="AP53" s="23">
        <v>31654509</v>
      </c>
    </row>
    <row r="54" spans="4:42" ht="15" customHeight="1">
      <c r="D54" t="s">
        <v>1713</v>
      </c>
      <c r="E54" t="s">
        <v>740</v>
      </c>
      <c r="F54" t="s">
        <v>1028</v>
      </c>
      <c r="AN54" s="23">
        <v>3978000</v>
      </c>
      <c r="AP54" s="23">
        <v>6278000</v>
      </c>
    </row>
    <row r="55" spans="4:42" ht="15" customHeight="1">
      <c r="D55" t="s">
        <v>1714</v>
      </c>
      <c r="E55" t="s">
        <v>740</v>
      </c>
      <c r="F55" t="s">
        <v>1028</v>
      </c>
      <c r="AN55" s="23">
        <v>6131614</v>
      </c>
      <c r="AP55" s="23">
        <v>7875614</v>
      </c>
    </row>
    <row r="56" spans="4:42" s="37" customFormat="1" ht="15" customHeight="1">
      <c r="D56" s="37" t="s">
        <v>934</v>
      </c>
      <c r="I56" s="38"/>
      <c r="J56" s="38"/>
      <c r="K56" s="38"/>
      <c r="L56" s="38"/>
      <c r="M56" s="38"/>
      <c r="N56" s="38"/>
      <c r="O56" s="38"/>
      <c r="P56" s="38"/>
      <c r="Q56" s="38"/>
      <c r="R56" s="38"/>
      <c r="S56" s="38"/>
      <c r="T56" s="38"/>
      <c r="U56" s="38">
        <f>+U57</f>
        <v>5225450000</v>
      </c>
      <c r="V56" s="38"/>
      <c r="W56" s="38">
        <f>+W57</f>
        <v>0</v>
      </c>
      <c r="X56" s="38"/>
      <c r="Y56" s="38">
        <f>+Y57</f>
        <v>0</v>
      </c>
      <c r="Z56" s="38">
        <f>+Z57</f>
        <v>0</v>
      </c>
      <c r="AA56" s="38"/>
      <c r="AB56" s="38">
        <f>+AB57</f>
        <v>0</v>
      </c>
      <c r="AC56" s="38"/>
      <c r="AD56" s="38">
        <f>+AD57</f>
        <v>0</v>
      </c>
      <c r="AE56" s="38">
        <f>+AE57</f>
        <v>0</v>
      </c>
      <c r="AF56" s="38">
        <f>+AF57</f>
        <v>0</v>
      </c>
      <c r="AG56" s="38"/>
      <c r="AH56" s="38"/>
      <c r="AI56" s="38"/>
      <c r="AJ56" s="38"/>
      <c r="AK56" s="38"/>
      <c r="AL56" s="38"/>
      <c r="AM56" s="38"/>
      <c r="AN56" s="38"/>
      <c r="AO56" s="38"/>
      <c r="AP56" s="38"/>
    </row>
    <row r="57" spans="4:42" ht="15" customHeight="1">
      <c r="D57" t="s">
        <v>935</v>
      </c>
      <c r="E57" t="s">
        <v>969</v>
      </c>
      <c r="F57" t="s">
        <v>941</v>
      </c>
      <c r="U57" s="23">
        <v>5225450000</v>
      </c>
      <c r="W57" s="23">
        <v>0</v>
      </c>
      <c r="Y57" s="23">
        <v>0</v>
      </c>
      <c r="Z57" s="23">
        <v>0</v>
      </c>
      <c r="AB57" s="23">
        <v>0</v>
      </c>
    </row>
    <row r="58" spans="4:42" ht="15" customHeight="1"/>
    <row r="59" spans="4:42" s="37" customFormat="1" ht="15" customHeight="1">
      <c r="D59" s="37" t="s">
        <v>512</v>
      </c>
      <c r="I59" s="38">
        <f>+I60+I76+I82+I85</f>
        <v>52626726200.300003</v>
      </c>
      <c r="J59" s="38"/>
      <c r="K59" s="38">
        <f>+K60+K76+K82+K85</f>
        <v>58832344909</v>
      </c>
      <c r="L59" s="38"/>
      <c r="M59" s="38">
        <f t="shared" ref="M59:U59" si="5">+M60+M76+M82+M85</f>
        <v>60550421253</v>
      </c>
      <c r="N59" s="38">
        <f t="shared" si="5"/>
        <v>0</v>
      </c>
      <c r="O59" s="38">
        <f t="shared" si="5"/>
        <v>35924361228</v>
      </c>
      <c r="P59" s="38">
        <f t="shared" si="5"/>
        <v>60531126179</v>
      </c>
      <c r="Q59" s="38">
        <f t="shared" si="5"/>
        <v>0</v>
      </c>
      <c r="R59" s="38">
        <f t="shared" si="5"/>
        <v>59950657080</v>
      </c>
      <c r="S59" s="38">
        <f t="shared" si="5"/>
        <v>0</v>
      </c>
      <c r="T59" s="38">
        <f t="shared" si="5"/>
        <v>34145010337</v>
      </c>
      <c r="U59" s="38">
        <f t="shared" si="5"/>
        <v>51823040921</v>
      </c>
      <c r="V59" s="38"/>
      <c r="W59" s="38">
        <f>+W60+W76+W82+W85</f>
        <v>67194867724</v>
      </c>
      <c r="X59" s="38"/>
      <c r="Y59" s="38">
        <f>+Y60+Y76+Y82+Y85</f>
        <v>56507558565</v>
      </c>
      <c r="Z59" s="38">
        <f>+Z60+Z76+Z82+Z85</f>
        <v>59626223421</v>
      </c>
      <c r="AA59" s="38"/>
      <c r="AB59" s="38">
        <f>+AB60+AB76+AB82+AB85</f>
        <v>51766586717</v>
      </c>
      <c r="AC59" s="38"/>
      <c r="AD59" s="38">
        <f>+AD60+AD76+AD82+AD85</f>
        <v>42864734191</v>
      </c>
      <c r="AE59" s="38">
        <f>+AE60+AE76+AE82+AE85</f>
        <v>0</v>
      </c>
      <c r="AF59" s="38">
        <f>+AF60+AF76+AF82+AF85</f>
        <v>51370434501</v>
      </c>
      <c r="AG59" s="38">
        <f>+AG60+AG76+AG82+AG85</f>
        <v>0</v>
      </c>
      <c r="AH59" s="38">
        <f>+AH60+AH76+AH82+AH85</f>
        <v>45266287172</v>
      </c>
      <c r="AI59" s="38"/>
      <c r="AJ59" s="38">
        <f>+AJ60+AJ76+AJ82+AJ85</f>
        <v>38294931038</v>
      </c>
      <c r="AK59" s="38">
        <f>+AK60+AK76+AK82+AK85</f>
        <v>0</v>
      </c>
      <c r="AL59" s="38">
        <f>+AL60+AL76+AL82+AL85</f>
        <v>33888854915</v>
      </c>
      <c r="AM59" s="38"/>
      <c r="AN59" s="38">
        <f>+AN60+AN76+AN82+AN85</f>
        <v>37224403544</v>
      </c>
      <c r="AO59" s="38"/>
      <c r="AP59" s="38">
        <f>+AP60+AP76+AP82+AP85</f>
        <v>36761432627</v>
      </c>
    </row>
    <row r="60" spans="4:42" s="37" customFormat="1" ht="15" customHeight="1">
      <c r="D60" s="37" t="s">
        <v>513</v>
      </c>
      <c r="I60" s="38">
        <f>SUM(I61:I74)</f>
        <v>24833503691</v>
      </c>
      <c r="J60" s="38"/>
      <c r="K60" s="38">
        <f>SUM(K61:K74)</f>
        <v>24306017262</v>
      </c>
      <c r="L60" s="38"/>
      <c r="M60" s="38">
        <f t="shared" ref="M60:U60" si="6">SUM(M61:M74)</f>
        <v>30882280872</v>
      </c>
      <c r="N60" s="38">
        <f t="shared" si="6"/>
        <v>0</v>
      </c>
      <c r="O60" s="38">
        <f t="shared" si="6"/>
        <v>30460861186</v>
      </c>
      <c r="P60" s="38">
        <f t="shared" si="6"/>
        <v>26156562190</v>
      </c>
      <c r="Q60" s="38">
        <f t="shared" si="6"/>
        <v>0</v>
      </c>
      <c r="R60" s="38">
        <f t="shared" si="6"/>
        <v>29986487123</v>
      </c>
      <c r="S60" s="38">
        <f t="shared" si="6"/>
        <v>0</v>
      </c>
      <c r="T60" s="38">
        <f t="shared" si="6"/>
        <v>29419147841</v>
      </c>
      <c r="U60" s="38">
        <f t="shared" si="6"/>
        <v>26041709189</v>
      </c>
      <c r="V60" s="38"/>
      <c r="W60" s="38">
        <f>SUM(W61:W74)</f>
        <v>31578736653</v>
      </c>
      <c r="X60" s="38"/>
      <c r="Y60" s="38">
        <f>SUM(Y61:Y74)</f>
        <v>31238878884</v>
      </c>
      <c r="Z60" s="38">
        <f>SUM(Z61:Z74)</f>
        <v>28841155456</v>
      </c>
      <c r="AA60" s="38"/>
      <c r="AB60" s="38">
        <f>SUM(AB61:AB74)</f>
        <v>21317591980</v>
      </c>
      <c r="AC60" s="38"/>
      <c r="AD60" s="38">
        <f>SUM(AD61:AD74)</f>
        <v>23546193514</v>
      </c>
      <c r="AE60" s="38">
        <f>SUM(AE61:AE74)</f>
        <v>0</v>
      </c>
      <c r="AF60" s="38">
        <f>SUM(AF61:AF74)</f>
        <v>25857196145</v>
      </c>
      <c r="AG60" s="38">
        <f>SUM(AG61:AG74)</f>
        <v>0</v>
      </c>
      <c r="AH60" s="38">
        <f>SUM(AH61:AH74)</f>
        <v>29608110089</v>
      </c>
      <c r="AI60" s="38"/>
      <c r="AJ60" s="38">
        <f>SUM(AJ61:AJ74)</f>
        <v>30915876262</v>
      </c>
      <c r="AK60" s="38">
        <f>SUM(AK61:AK74)</f>
        <v>0</v>
      </c>
      <c r="AL60" s="38">
        <f>SUM(AL61:AL74)</f>
        <v>28271427793</v>
      </c>
      <c r="AM60" s="38"/>
      <c r="AN60" s="38">
        <f>SUM(AN61:AN74)</f>
        <v>27253058977</v>
      </c>
      <c r="AO60" s="38"/>
      <c r="AP60" s="38">
        <f>SUM(AP61:AP74)</f>
        <v>24996297742</v>
      </c>
    </row>
    <row r="61" spans="4:42" ht="15" customHeight="1">
      <c r="D61" t="s">
        <v>514</v>
      </c>
      <c r="E61" t="s">
        <v>1514</v>
      </c>
      <c r="F61" t="s">
        <v>913</v>
      </c>
      <c r="I61" s="23">
        <v>33922926131</v>
      </c>
      <c r="K61" s="23">
        <v>33741321407</v>
      </c>
      <c r="M61" s="23">
        <v>37609710922</v>
      </c>
      <c r="O61" s="23">
        <v>33869703214</v>
      </c>
      <c r="P61" s="23">
        <v>35385530918</v>
      </c>
      <c r="R61" s="23">
        <v>36349593402</v>
      </c>
      <c r="T61" s="23">
        <v>32838481826</v>
      </c>
      <c r="U61" s="23">
        <v>34242088325</v>
      </c>
      <c r="W61" s="23">
        <v>37451286758</v>
      </c>
      <c r="Y61" s="23">
        <v>34761554895</v>
      </c>
      <c r="Z61" s="23">
        <v>37662827900</v>
      </c>
      <c r="AB61" s="23">
        <v>38730061847</v>
      </c>
      <c r="AD61" s="23">
        <v>38972461369</v>
      </c>
      <c r="AF61" s="23">
        <v>40074268085</v>
      </c>
      <c r="AH61" s="41">
        <v>40379078964</v>
      </c>
      <c r="AJ61" s="23">
        <v>41806798682</v>
      </c>
      <c r="AL61" s="23">
        <v>40331762830</v>
      </c>
      <c r="AN61" s="23">
        <v>37805698462</v>
      </c>
      <c r="AP61" s="41">
        <v>35859824448</v>
      </c>
    </row>
    <row r="62" spans="4:42" ht="15" customHeight="1">
      <c r="D62" t="s">
        <v>515</v>
      </c>
      <c r="E62" t="s">
        <v>1514</v>
      </c>
      <c r="F62" t="s">
        <v>756</v>
      </c>
      <c r="I62" s="23">
        <v>-136325289</v>
      </c>
      <c r="K62" s="23">
        <v>-170406612</v>
      </c>
      <c r="M62" s="23">
        <v>-197536598</v>
      </c>
      <c r="O62" s="23">
        <v>-44866704</v>
      </c>
      <c r="P62" s="23">
        <v>-204487935</v>
      </c>
      <c r="R62" s="23">
        <v>-244682486</v>
      </c>
      <c r="T62" s="23">
        <v>-89733408</v>
      </c>
      <c r="U62" s="23">
        <v>-238569258</v>
      </c>
      <c r="W62" s="23">
        <v>-291828374</v>
      </c>
      <c r="Y62" s="23">
        <v>-134600112</v>
      </c>
      <c r="Z62" s="23">
        <v>-238655724</v>
      </c>
      <c r="AB62" s="23">
        <v>-298319655</v>
      </c>
      <c r="AD62" s="23">
        <v>-357983586</v>
      </c>
      <c r="AF62" s="23">
        <v>-417647517</v>
      </c>
      <c r="AH62" s="41">
        <v>-281776618</v>
      </c>
      <c r="AJ62" s="23">
        <v>-281776618</v>
      </c>
      <c r="AL62" s="23">
        <v>-281776618</v>
      </c>
      <c r="AN62" s="23">
        <v>-281776618</v>
      </c>
      <c r="AP62" s="41">
        <v>-281776618</v>
      </c>
    </row>
    <row r="63" spans="4:42" ht="15" customHeight="1">
      <c r="D63" t="s">
        <v>516</v>
      </c>
      <c r="E63" t="s">
        <v>1514</v>
      </c>
      <c r="F63" t="s">
        <v>757</v>
      </c>
      <c r="I63" s="23">
        <v>-4132462532</v>
      </c>
      <c r="K63" s="23">
        <v>-2837094302</v>
      </c>
      <c r="M63" s="23">
        <v>-3217338692</v>
      </c>
      <c r="O63" s="23">
        <v>-3655822184</v>
      </c>
      <c r="P63" s="23">
        <v>-2678162020</v>
      </c>
      <c r="R63" s="23">
        <v>-3290039073</v>
      </c>
      <c r="T63" s="23">
        <v>-3576318677</v>
      </c>
      <c r="U63" s="23">
        <v>-2491427486</v>
      </c>
      <c r="W63" s="23">
        <v>-3178641904</v>
      </c>
      <c r="Y63" s="23">
        <v>-3668218389</v>
      </c>
      <c r="Z63" s="23">
        <v>-3403952300</v>
      </c>
      <c r="AB63" s="23">
        <v>-2315730465</v>
      </c>
      <c r="AD63" s="23">
        <v>-2116724428</v>
      </c>
      <c r="AF63" s="23">
        <v>-1517241271</v>
      </c>
      <c r="AH63" s="41">
        <v>-1999835122</v>
      </c>
      <c r="AJ63" s="23">
        <v>-2226700299</v>
      </c>
      <c r="AL63" s="23">
        <v>-2104934595</v>
      </c>
      <c r="AN63" s="23">
        <v>-1725884180</v>
      </c>
      <c r="AP63" s="41">
        <v>-1753131607</v>
      </c>
    </row>
    <row r="64" spans="4:42" ht="15" customHeight="1">
      <c r="D64" t="s">
        <v>517</v>
      </c>
      <c r="E64" t="s">
        <v>837</v>
      </c>
      <c r="F64" t="s">
        <v>755</v>
      </c>
      <c r="I64" s="23">
        <v>5775000</v>
      </c>
      <c r="K64" s="23">
        <v>16835000</v>
      </c>
      <c r="M64" s="23">
        <v>20863670</v>
      </c>
      <c r="O64" s="23">
        <v>200544360</v>
      </c>
      <c r="P64" s="23">
        <v>1550000</v>
      </c>
      <c r="R64" s="23">
        <v>20525600</v>
      </c>
      <c r="T64" s="23">
        <v>155415600</v>
      </c>
      <c r="W64" s="23">
        <v>20525600</v>
      </c>
      <c r="Y64" s="23">
        <v>188839990</v>
      </c>
      <c r="Z64" s="23">
        <v>58600000</v>
      </c>
      <c r="AB64" s="23">
        <v>93300000</v>
      </c>
      <c r="AD64" s="23">
        <v>577189091</v>
      </c>
      <c r="AF64" s="23">
        <v>40921423</v>
      </c>
      <c r="AH64" s="41">
        <v>11130000</v>
      </c>
      <c r="AL64" s="23">
        <v>63650000</v>
      </c>
      <c r="AN64" s="23">
        <v>86416000</v>
      </c>
      <c r="AP64" s="41">
        <v>63307000</v>
      </c>
    </row>
    <row r="65" spans="4:42" ht="15" customHeight="1">
      <c r="D65" t="s">
        <v>518</v>
      </c>
      <c r="E65" t="s">
        <v>1514</v>
      </c>
      <c r="F65" t="s">
        <v>900</v>
      </c>
      <c r="I65" s="23">
        <v>0</v>
      </c>
      <c r="K65" s="23">
        <v>0</v>
      </c>
      <c r="M65" s="23">
        <v>91302500</v>
      </c>
      <c r="O65" s="23">
        <v>91302500</v>
      </c>
      <c r="R65" s="23">
        <v>91302500</v>
      </c>
      <c r="T65" s="23">
        <v>91302500</v>
      </c>
      <c r="W65" s="23">
        <v>91302500</v>
      </c>
      <c r="Y65" s="23">
        <v>91302500</v>
      </c>
      <c r="Z65" s="23">
        <v>0</v>
      </c>
      <c r="AF65" s="23">
        <v>0</v>
      </c>
      <c r="AH65" s="41"/>
      <c r="AP65" s="41"/>
    </row>
    <row r="66" spans="4:42" ht="15" customHeight="1">
      <c r="D66" t="s">
        <v>519</v>
      </c>
      <c r="E66" t="s">
        <v>1514</v>
      </c>
      <c r="F66" t="s">
        <v>913</v>
      </c>
      <c r="I66" s="23">
        <v>-895789000</v>
      </c>
      <c r="K66" s="23">
        <v>-730203000</v>
      </c>
      <c r="M66" s="23">
        <v>-1198418000</v>
      </c>
      <c r="P66" s="23">
        <v>-592947000</v>
      </c>
      <c r="R66" s="23">
        <v>-1124648000</v>
      </c>
      <c r="U66" s="23">
        <v>-458732000</v>
      </c>
      <c r="W66" s="23">
        <v>-967566000</v>
      </c>
      <c r="Z66" s="23">
        <v>-326648000</v>
      </c>
      <c r="AB66" s="23">
        <v>-297590000</v>
      </c>
      <c r="AD66" s="23">
        <v>-195903000</v>
      </c>
      <c r="AF66" s="23">
        <v>-126864000</v>
      </c>
      <c r="AH66" s="41">
        <v>-50655000</v>
      </c>
      <c r="AP66" s="41"/>
    </row>
    <row r="67" spans="4:42" ht="15" customHeight="1">
      <c r="D67" t="s">
        <v>520</v>
      </c>
      <c r="E67" t="s">
        <v>1514</v>
      </c>
      <c r="F67" t="s">
        <v>913</v>
      </c>
      <c r="I67" s="23">
        <v>-1318993877</v>
      </c>
      <c r="K67" s="23">
        <v>-1247846047</v>
      </c>
      <c r="M67" s="23">
        <v>-2226302930</v>
      </c>
      <c r="P67" s="23">
        <v>-1185447739</v>
      </c>
      <c r="R67" s="23">
        <v>-1815564820</v>
      </c>
      <c r="U67" s="23">
        <v>-1065212757</v>
      </c>
      <c r="W67" s="23">
        <v>-1546341927</v>
      </c>
      <c r="Z67" s="23">
        <v>-1087447523</v>
      </c>
      <c r="AB67" s="23">
        <v>-962566169</v>
      </c>
      <c r="AD67" s="23">
        <v>-811375289</v>
      </c>
      <c r="AF67" s="23">
        <v>-768877756</v>
      </c>
      <c r="AH67" s="41">
        <v>-541533591</v>
      </c>
      <c r="AJ67" s="23">
        <v>-442715069</v>
      </c>
      <c r="AL67" s="23">
        <v>-170950724</v>
      </c>
      <c r="AN67" s="23">
        <v>-83955943</v>
      </c>
      <c r="AP67" s="41"/>
    </row>
    <row r="68" spans="4:42" ht="15" customHeight="1">
      <c r="D68" t="s">
        <v>521</v>
      </c>
      <c r="E68" t="s">
        <v>1514</v>
      </c>
      <c r="F68" t="s">
        <v>913</v>
      </c>
      <c r="I68" s="23">
        <v>-2612117222</v>
      </c>
      <c r="K68" s="23">
        <v>-4466589184</v>
      </c>
      <c r="M68" s="23">
        <v>0</v>
      </c>
      <c r="P68" s="23">
        <v>-4569474034</v>
      </c>
      <c r="U68" s="23">
        <v>-3949441435</v>
      </c>
      <c r="Z68" s="23">
        <v>-3823568897</v>
      </c>
      <c r="AB68" s="23">
        <v>-3593228976</v>
      </c>
      <c r="AD68" s="23">
        <v>-3379715687</v>
      </c>
      <c r="AF68" s="23">
        <v>-3157694943</v>
      </c>
      <c r="AH68" s="41">
        <v>-2847950260</v>
      </c>
      <c r="AJ68" s="23">
        <v>-2534910311</v>
      </c>
      <c r="AL68" s="23">
        <v>-2174448419</v>
      </c>
      <c r="AN68" s="23">
        <v>-1840629793</v>
      </c>
      <c r="AP68" s="41">
        <v>-1566788909</v>
      </c>
    </row>
    <row r="69" spans="4:42" ht="15" customHeight="1">
      <c r="D69" t="s">
        <v>1054</v>
      </c>
      <c r="E69" t="s">
        <v>1514</v>
      </c>
      <c r="F69" t="s">
        <v>913</v>
      </c>
      <c r="AB69" s="23">
        <v>-342383000</v>
      </c>
      <c r="AH69" s="41"/>
      <c r="AP69" s="41"/>
    </row>
    <row r="70" spans="4:42" ht="15" customHeight="1">
      <c r="D70" t="s">
        <v>1055</v>
      </c>
      <c r="E70" t="s">
        <v>1514</v>
      </c>
      <c r="F70" t="s">
        <v>913</v>
      </c>
      <c r="AB70" s="23">
        <v>-2394478612</v>
      </c>
      <c r="AH70" s="41"/>
      <c r="AP70" s="41"/>
    </row>
    <row r="71" spans="4:42" ht="15" customHeight="1">
      <c r="D71" t="s">
        <v>1056</v>
      </c>
      <c r="E71" t="s">
        <v>1514</v>
      </c>
      <c r="F71" t="s">
        <v>913</v>
      </c>
      <c r="AB71" s="23">
        <v>-7303924990</v>
      </c>
      <c r="AD71" s="23">
        <v>-5513381990</v>
      </c>
      <c r="AF71" s="23">
        <v>-3652367470</v>
      </c>
      <c r="AH71" s="41">
        <v>-1206960174</v>
      </c>
      <c r="AJ71" s="23">
        <v>-1174478174</v>
      </c>
      <c r="AL71" s="23">
        <v>-1114554174</v>
      </c>
      <c r="AN71" s="23">
        <v>-1066435674</v>
      </c>
      <c r="AP71" s="41">
        <v>-766633503</v>
      </c>
    </row>
    <row r="72" spans="4:42" ht="15" customHeight="1">
      <c r="D72" t="s">
        <v>1071</v>
      </c>
      <c r="E72" t="s">
        <v>1514</v>
      </c>
      <c r="F72" t="s">
        <v>913</v>
      </c>
      <c r="AD72" s="23">
        <v>-3637888316</v>
      </c>
      <c r="AF72" s="23">
        <v>-4229314546</v>
      </c>
      <c r="AH72" s="41">
        <v>-3431988265</v>
      </c>
      <c r="AJ72" s="23">
        <v>-3360814999</v>
      </c>
      <c r="AL72" s="23">
        <v>-4139758435</v>
      </c>
      <c r="AN72" s="23">
        <v>-3591753747</v>
      </c>
      <c r="AP72" s="41">
        <v>-4220407539</v>
      </c>
    </row>
    <row r="73" spans="4:42" ht="15" customHeight="1">
      <c r="D73" t="s">
        <v>1083</v>
      </c>
      <c r="E73" t="s">
        <v>1514</v>
      </c>
      <c r="F73" t="s">
        <v>913</v>
      </c>
      <c r="AF73" s="23">
        <v>-396072000</v>
      </c>
      <c r="AH73" s="41">
        <v>-429058000</v>
      </c>
      <c r="AJ73" s="23">
        <v>-909361000</v>
      </c>
      <c r="AL73" s="23">
        <v>-2147835900</v>
      </c>
      <c r="AN73" s="23">
        <v>-2048619530</v>
      </c>
      <c r="AP73" s="41">
        <v>-2342429430</v>
      </c>
    </row>
    <row r="74" spans="4:42" ht="15" customHeight="1">
      <c r="D74" t="s">
        <v>522</v>
      </c>
      <c r="E74" t="s">
        <v>837</v>
      </c>
      <c r="F74" t="s">
        <v>755</v>
      </c>
      <c r="I74" s="23">
        <v>490480</v>
      </c>
      <c r="K74" s="23">
        <v>0</v>
      </c>
      <c r="M74" s="23">
        <v>0</v>
      </c>
      <c r="U74" s="23">
        <v>3003800</v>
      </c>
      <c r="Z74" s="23">
        <v>0</v>
      </c>
      <c r="AB74" s="23">
        <v>2452000</v>
      </c>
      <c r="AD74" s="23">
        <v>9515350</v>
      </c>
      <c r="AF74" s="23">
        <v>8086140</v>
      </c>
      <c r="AH74" s="41">
        <v>7658155</v>
      </c>
      <c r="AJ74" s="23">
        <v>39834050</v>
      </c>
      <c r="AL74" s="23">
        <v>10273828</v>
      </c>
      <c r="AP74" s="41">
        <v>4333900</v>
      </c>
    </row>
    <row r="75" spans="4:42" ht="15" customHeight="1"/>
    <row r="76" spans="4:42" s="37" customFormat="1" ht="15" customHeight="1">
      <c r="D76" s="37" t="s">
        <v>523</v>
      </c>
      <c r="I76" s="38">
        <f>SUM(I77:I79)</f>
        <v>326331737.29999959</v>
      </c>
      <c r="J76" s="38"/>
      <c r="K76" s="38">
        <f>SUM(K77:K79)</f>
        <v>885113607</v>
      </c>
      <c r="L76" s="38"/>
      <c r="M76" s="38">
        <f>SUM(M77:M79)</f>
        <v>72092289</v>
      </c>
      <c r="N76" s="38">
        <f t="shared" ref="N76:Y76" si="7">SUM(N77:N79)</f>
        <v>0</v>
      </c>
      <c r="O76" s="38">
        <f t="shared" si="7"/>
        <v>290426720</v>
      </c>
      <c r="P76" s="38">
        <f t="shared" si="7"/>
        <v>1039742061</v>
      </c>
      <c r="Q76" s="38">
        <f t="shared" si="7"/>
        <v>0</v>
      </c>
      <c r="R76" s="38">
        <f t="shared" si="7"/>
        <v>245062544</v>
      </c>
      <c r="S76" s="38">
        <f t="shared" si="7"/>
        <v>0</v>
      </c>
      <c r="T76" s="38">
        <f t="shared" si="7"/>
        <v>377124311</v>
      </c>
      <c r="U76" s="38">
        <f t="shared" si="7"/>
        <v>1061250577</v>
      </c>
      <c r="V76" s="38"/>
      <c r="W76" s="38">
        <f t="shared" si="7"/>
        <v>696974335</v>
      </c>
      <c r="X76" s="38"/>
      <c r="Y76" s="38">
        <f t="shared" si="7"/>
        <v>217146321</v>
      </c>
      <c r="Z76" s="38">
        <f>SUM(Z77:Z80)</f>
        <v>829257473</v>
      </c>
      <c r="AA76" s="38"/>
      <c r="AB76" s="38">
        <f>SUM(AB77:AB80)</f>
        <v>1649236443</v>
      </c>
      <c r="AC76" s="38"/>
      <c r="AD76" s="38">
        <f>SUM(AD77:AD80)</f>
        <v>955787210</v>
      </c>
      <c r="AE76" s="38">
        <f>SUM(AE77:AE80)</f>
        <v>0</v>
      </c>
      <c r="AF76" s="38">
        <f>SUM(AF77:AF80)</f>
        <v>1496351727</v>
      </c>
      <c r="AG76" s="38">
        <f>SUM(AG77:AG80)</f>
        <v>0</v>
      </c>
      <c r="AH76" s="38">
        <f>SUM(AH77:AH80)</f>
        <v>1535559165</v>
      </c>
      <c r="AI76" s="38"/>
      <c r="AJ76" s="38">
        <f>SUM(AJ77:AJ80)</f>
        <v>775091265</v>
      </c>
      <c r="AK76" s="38">
        <f>SUM(AK77:AK80)</f>
        <v>0</v>
      </c>
      <c r="AL76" s="38">
        <f>SUM(AL77:AL80)</f>
        <v>687028213</v>
      </c>
      <c r="AM76" s="38"/>
      <c r="AN76" s="38">
        <f>SUM(AN77:AN80)</f>
        <v>1018678357</v>
      </c>
      <c r="AO76" s="38"/>
      <c r="AP76" s="38">
        <f>SUM(AP77:AP80)</f>
        <v>170294018</v>
      </c>
    </row>
    <row r="77" spans="4:42" ht="15" customHeight="1">
      <c r="D77" t="s">
        <v>524</v>
      </c>
      <c r="E77" t="s">
        <v>837</v>
      </c>
      <c r="F77" t="s">
        <v>803</v>
      </c>
      <c r="I77" s="23">
        <v>326331737.29999959</v>
      </c>
      <c r="K77" s="23">
        <v>326331737</v>
      </c>
      <c r="M77" s="23">
        <v>0</v>
      </c>
      <c r="O77" s="23">
        <v>102485650</v>
      </c>
      <c r="P77" s="23">
        <v>395285922</v>
      </c>
      <c r="R77" s="23">
        <v>177250734</v>
      </c>
      <c r="T77" s="23">
        <v>140705874</v>
      </c>
      <c r="U77" s="23">
        <v>395285922</v>
      </c>
      <c r="W77" s="23">
        <v>531752202</v>
      </c>
      <c r="Y77" s="23">
        <v>217146322</v>
      </c>
      <c r="Z77" s="23">
        <v>181768195</v>
      </c>
      <c r="AB77" s="23">
        <v>181768195</v>
      </c>
      <c r="AD77" s="23">
        <v>190063898</v>
      </c>
      <c r="AF77" s="23">
        <v>205617844</v>
      </c>
      <c r="AH77" s="41">
        <v>29641920</v>
      </c>
      <c r="AJ77" s="23">
        <v>29641920</v>
      </c>
      <c r="AL77" s="23">
        <v>68237892</v>
      </c>
      <c r="AN77" s="23">
        <v>145429836</v>
      </c>
      <c r="AP77" s="41">
        <v>137272687</v>
      </c>
    </row>
    <row r="78" spans="4:42" ht="15" customHeight="1">
      <c r="D78" t="s">
        <v>525</v>
      </c>
      <c r="E78" t="s">
        <v>837</v>
      </c>
      <c r="F78" t="s">
        <v>803</v>
      </c>
      <c r="I78" s="23">
        <v>0</v>
      </c>
      <c r="K78" s="23">
        <v>705968</v>
      </c>
      <c r="M78" s="23">
        <v>0</v>
      </c>
      <c r="P78" s="23">
        <v>1237311</v>
      </c>
      <c r="U78" s="23">
        <v>1750526</v>
      </c>
      <c r="Z78" s="23">
        <v>0</v>
      </c>
      <c r="AB78" s="23">
        <v>849493</v>
      </c>
      <c r="AD78" s="23">
        <v>1931294</v>
      </c>
      <c r="AF78" s="23">
        <v>3218660</v>
      </c>
      <c r="AH78" s="23">
        <v>0</v>
      </c>
      <c r="AJ78" s="23">
        <v>1644113</v>
      </c>
      <c r="AL78" s="23">
        <v>4110041</v>
      </c>
      <c r="AN78" s="23">
        <v>6211471</v>
      </c>
    </row>
    <row r="79" spans="4:42" ht="15" customHeight="1">
      <c r="D79" t="s">
        <v>526</v>
      </c>
      <c r="E79" t="s">
        <v>837</v>
      </c>
      <c r="F79" t="s">
        <v>803</v>
      </c>
      <c r="I79" s="23">
        <v>0</v>
      </c>
      <c r="K79" s="23">
        <v>558075902</v>
      </c>
      <c r="M79" s="23">
        <f>70406911+1685378</f>
        <v>72092289</v>
      </c>
      <c r="O79" s="23">
        <v>187941070</v>
      </c>
      <c r="P79" s="23">
        <v>643218828</v>
      </c>
      <c r="R79" s="23">
        <f>36144520+31667290</f>
        <v>67811810</v>
      </c>
      <c r="T79" s="23">
        <v>236418437</v>
      </c>
      <c r="U79" s="23">
        <v>664214129</v>
      </c>
      <c r="W79" s="23">
        <f>160793526+4428607</f>
        <v>165222133</v>
      </c>
      <c r="Y79" s="23">
        <v>-1</v>
      </c>
      <c r="Z79" s="23">
        <v>386321046</v>
      </c>
      <c r="AB79" s="23">
        <v>1171187743</v>
      </c>
      <c r="AD79" s="23">
        <v>331073274</v>
      </c>
      <c r="AF79" s="23">
        <f>827011779-50000-583</f>
        <v>826961196</v>
      </c>
      <c r="AH79" s="41">
        <v>997062578</v>
      </c>
      <c r="AJ79" s="23">
        <f>215039216+5766</f>
        <v>215044982</v>
      </c>
      <c r="AL79" s="23">
        <v>25984158</v>
      </c>
      <c r="AN79" s="23">
        <v>430181106</v>
      </c>
    </row>
    <row r="80" spans="4:42" ht="15" customHeight="1">
      <c r="D80" t="s">
        <v>1002</v>
      </c>
      <c r="E80" t="s">
        <v>837</v>
      </c>
      <c r="F80" t="s">
        <v>803</v>
      </c>
      <c r="Z80" s="23">
        <v>261168232</v>
      </c>
      <c r="AB80" s="23">
        <v>295431012</v>
      </c>
      <c r="AD80" s="23">
        <v>432718744</v>
      </c>
      <c r="AF80" s="23">
        <v>460554027</v>
      </c>
      <c r="AH80" s="41">
        <v>508854667</v>
      </c>
      <c r="AJ80" s="23">
        <v>528760250</v>
      </c>
      <c r="AL80" s="23">
        <v>588696122</v>
      </c>
      <c r="AN80" s="23">
        <v>436855944</v>
      </c>
      <c r="AP80" s="41">
        <v>33021331</v>
      </c>
    </row>
    <row r="81" spans="4:42" ht="15" customHeight="1"/>
    <row r="82" spans="4:42" s="37" customFormat="1" ht="15" customHeight="1">
      <c r="D82" s="37" t="s">
        <v>527</v>
      </c>
      <c r="I82" s="38">
        <f>+I83</f>
        <v>3862745</v>
      </c>
      <c r="J82" s="38"/>
      <c r="K82" s="38">
        <f>+K83</f>
        <v>7453028</v>
      </c>
      <c r="L82" s="38"/>
      <c r="M82" s="38">
        <f>+M83</f>
        <v>2552444</v>
      </c>
      <c r="N82" s="38">
        <f t="shared" ref="N82:AP82" si="8">+N83</f>
        <v>0</v>
      </c>
      <c r="O82" s="38">
        <f t="shared" si="8"/>
        <v>195001</v>
      </c>
      <c r="P82" s="38">
        <f t="shared" si="8"/>
        <v>410059</v>
      </c>
      <c r="Q82" s="38">
        <f t="shared" si="8"/>
        <v>0</v>
      </c>
      <c r="R82" s="38">
        <f t="shared" si="8"/>
        <v>2837591</v>
      </c>
      <c r="S82" s="38">
        <f t="shared" si="8"/>
        <v>0</v>
      </c>
      <c r="T82" s="38">
        <f t="shared" si="8"/>
        <v>138046</v>
      </c>
      <c r="U82" s="38">
        <f t="shared" si="8"/>
        <v>260000</v>
      </c>
      <c r="V82" s="38"/>
      <c r="W82" s="38">
        <f t="shared" si="8"/>
        <v>4182015</v>
      </c>
      <c r="X82" s="38"/>
      <c r="Y82" s="38">
        <f t="shared" si="8"/>
        <v>2030824</v>
      </c>
      <c r="Z82" s="38">
        <f t="shared" si="8"/>
        <v>260000</v>
      </c>
      <c r="AA82" s="38"/>
      <c r="AB82" s="38">
        <f t="shared" si="8"/>
        <v>27060</v>
      </c>
      <c r="AC82" s="38"/>
      <c r="AD82" s="38">
        <f t="shared" si="8"/>
        <v>520000</v>
      </c>
      <c r="AE82" s="38">
        <f t="shared" si="8"/>
        <v>0</v>
      </c>
      <c r="AF82" s="38">
        <f t="shared" si="8"/>
        <v>186000</v>
      </c>
      <c r="AG82" s="38">
        <f t="shared" si="8"/>
        <v>0</v>
      </c>
      <c r="AH82" s="38">
        <f t="shared" si="8"/>
        <v>4967996</v>
      </c>
      <c r="AI82" s="38"/>
      <c r="AJ82" s="38">
        <f t="shared" si="8"/>
        <v>2640145</v>
      </c>
      <c r="AK82" s="38">
        <f t="shared" si="8"/>
        <v>0</v>
      </c>
      <c r="AL82" s="38">
        <f t="shared" si="8"/>
        <v>8279684</v>
      </c>
      <c r="AM82" s="38"/>
      <c r="AN82" s="38">
        <f t="shared" si="8"/>
        <v>779544</v>
      </c>
      <c r="AO82" s="38"/>
      <c r="AP82" s="38">
        <f t="shared" si="8"/>
        <v>27850878</v>
      </c>
    </row>
    <row r="83" spans="4:42" ht="15" customHeight="1">
      <c r="D83" t="s">
        <v>528</v>
      </c>
      <c r="E83" t="s">
        <v>837</v>
      </c>
      <c r="F83" t="s">
        <v>807</v>
      </c>
      <c r="I83" s="23">
        <v>3862745</v>
      </c>
      <c r="K83" s="23">
        <v>7453028</v>
      </c>
      <c r="M83" s="23">
        <v>2552444</v>
      </c>
      <c r="O83" s="23">
        <v>195001</v>
      </c>
      <c r="P83" s="23">
        <v>410059</v>
      </c>
      <c r="R83" s="23">
        <v>2837591</v>
      </c>
      <c r="T83" s="23">
        <f>43546+94500</f>
        <v>138046</v>
      </c>
      <c r="U83" s="23">
        <v>260000</v>
      </c>
      <c r="W83" s="23">
        <v>4182015</v>
      </c>
      <c r="Y83" s="23">
        <v>2030824</v>
      </c>
      <c r="Z83" s="23">
        <v>260000</v>
      </c>
      <c r="AB83" s="23">
        <v>27060</v>
      </c>
      <c r="AD83" s="23">
        <v>520000</v>
      </c>
      <c r="AF83" s="23">
        <v>186000</v>
      </c>
      <c r="AH83" s="41">
        <f>3858452+1109544</f>
        <v>4967996</v>
      </c>
      <c r="AJ83" s="23">
        <f>1530601+1109544</f>
        <v>2640145</v>
      </c>
      <c r="AL83" s="23">
        <f>7170140+1109544</f>
        <v>8279684</v>
      </c>
      <c r="AN83" s="23">
        <f>-330000+1109544</f>
        <v>779544</v>
      </c>
      <c r="AP83" s="41">
        <v>27850878</v>
      </c>
    </row>
    <row r="84" spans="4:42" ht="15" customHeight="1"/>
    <row r="85" spans="4:42" s="37" customFormat="1" ht="15" customHeight="1">
      <c r="D85" s="37" t="s">
        <v>529</v>
      </c>
      <c r="I85" s="38">
        <f>SUM(I86:I104)</f>
        <v>27463028027</v>
      </c>
      <c r="J85" s="38"/>
      <c r="K85" s="38">
        <f>SUM(K86:K104)</f>
        <v>33633761012</v>
      </c>
      <c r="L85" s="38"/>
      <c r="M85" s="38">
        <f>SUM(M86:M104)</f>
        <v>29593495648</v>
      </c>
      <c r="N85" s="38">
        <f t="shared" ref="N85:T85" si="9">SUM(N86:N104)</f>
        <v>0</v>
      </c>
      <c r="O85" s="38">
        <f t="shared" si="9"/>
        <v>5172878321</v>
      </c>
      <c r="P85" s="38">
        <f t="shared" si="9"/>
        <v>33334411869</v>
      </c>
      <c r="Q85" s="38">
        <f t="shared" si="9"/>
        <v>0</v>
      </c>
      <c r="R85" s="38">
        <f t="shared" si="9"/>
        <v>29716269822</v>
      </c>
      <c r="S85" s="38">
        <f t="shared" si="9"/>
        <v>0</v>
      </c>
      <c r="T85" s="38">
        <f t="shared" si="9"/>
        <v>4348600139</v>
      </c>
      <c r="U85" s="38">
        <f>SUM(U86:U104)</f>
        <v>24719821155</v>
      </c>
      <c r="V85" s="38"/>
      <c r="W85" s="38">
        <f>SUM(W86:W104)</f>
        <v>34914974721</v>
      </c>
      <c r="X85" s="38"/>
      <c r="Y85" s="38">
        <f>SUM(Y86:Y104)</f>
        <v>25049502536</v>
      </c>
      <c r="Z85" s="38">
        <f>SUM(Z86:Z104)</f>
        <v>29955550492</v>
      </c>
      <c r="AA85" s="38"/>
      <c r="AB85" s="38">
        <f>SUM(AB86:AB104)</f>
        <v>28799731234</v>
      </c>
      <c r="AC85" s="38"/>
      <c r="AD85" s="38">
        <f>SUM(AD86:AD104)</f>
        <v>18362233467</v>
      </c>
      <c r="AE85" s="38">
        <f>SUM(AE86:AE104)</f>
        <v>0</v>
      </c>
      <c r="AF85" s="38">
        <f>SUM(AF86:AF104)</f>
        <v>24016700629</v>
      </c>
      <c r="AG85" s="38">
        <f>SUM(AG86:AG104)</f>
        <v>0</v>
      </c>
      <c r="AH85" s="38">
        <f>SUM(AH86:AH104)</f>
        <v>14117649922</v>
      </c>
      <c r="AI85" s="38"/>
      <c r="AJ85" s="38">
        <f>SUM(AJ86:AJ104)</f>
        <v>6601323366</v>
      </c>
      <c r="AK85" s="38">
        <f>SUM(AK86:AK104)</f>
        <v>0</v>
      </c>
      <c r="AL85" s="38">
        <f>SUM(AL86:AL104)</f>
        <v>4922119225</v>
      </c>
      <c r="AM85" s="38"/>
      <c r="AN85" s="38">
        <f>SUM(AN86:AN104)</f>
        <v>8951886666</v>
      </c>
      <c r="AO85" s="38"/>
      <c r="AP85" s="38">
        <f>SUM(AP86:AP107)</f>
        <v>11566989989</v>
      </c>
    </row>
    <row r="86" spans="4:42" ht="15" customHeight="1">
      <c r="D86" t="s">
        <v>530</v>
      </c>
      <c r="E86" t="s">
        <v>837</v>
      </c>
      <c r="F86" t="s">
        <v>804</v>
      </c>
      <c r="I86" s="23">
        <v>5181695533</v>
      </c>
      <c r="K86" s="23">
        <v>8601437941</v>
      </c>
      <c r="M86" s="23">
        <v>228310324</v>
      </c>
      <c r="O86" s="23">
        <v>356181687</v>
      </c>
      <c r="P86" s="23">
        <v>4343116530</v>
      </c>
      <c r="R86" s="23">
        <v>2565941801</v>
      </c>
      <c r="T86" s="23">
        <v>26608796</v>
      </c>
      <c r="U86" s="23">
        <v>4564979963</v>
      </c>
      <c r="W86" s="23">
        <v>3612789887</v>
      </c>
      <c r="Y86" s="23">
        <v>107389252</v>
      </c>
      <c r="Z86" s="23">
        <v>9787496043</v>
      </c>
      <c r="AB86" s="23">
        <v>1097056598</v>
      </c>
      <c r="AD86" s="23">
        <v>2978572520</v>
      </c>
      <c r="AF86" s="23">
        <v>3438855851</v>
      </c>
      <c r="AH86" s="41">
        <v>390572771</v>
      </c>
      <c r="AJ86" s="23">
        <v>666256629</v>
      </c>
      <c r="AL86" s="23">
        <v>629028143</v>
      </c>
      <c r="AN86" s="23">
        <v>1685017464</v>
      </c>
      <c r="AP86" s="41">
        <v>742963973</v>
      </c>
    </row>
    <row r="87" spans="4:42" ht="15" customHeight="1">
      <c r="D87" t="s">
        <v>874</v>
      </c>
      <c r="E87" t="s">
        <v>837</v>
      </c>
      <c r="F87" t="s">
        <v>807</v>
      </c>
      <c r="M87" s="23">
        <v>48455</v>
      </c>
      <c r="R87" s="23">
        <v>48455</v>
      </c>
      <c r="T87" s="23">
        <v>2600670</v>
      </c>
      <c r="U87" s="23">
        <v>180000</v>
      </c>
      <c r="Y87" s="23">
        <v>2600670</v>
      </c>
      <c r="Z87" s="23">
        <v>10084150</v>
      </c>
      <c r="AB87" s="23">
        <v>28084150</v>
      </c>
      <c r="AD87" s="23">
        <v>28084149</v>
      </c>
      <c r="AF87" s="23">
        <v>27612395</v>
      </c>
      <c r="AH87" s="41">
        <v>53084149</v>
      </c>
      <c r="AJ87" s="23">
        <v>73188808</v>
      </c>
      <c r="AL87" s="23">
        <v>28239662</v>
      </c>
      <c r="AN87" s="23">
        <v>28178239</v>
      </c>
    </row>
    <row r="88" spans="4:42" ht="15" customHeight="1">
      <c r="D88" t="s">
        <v>531</v>
      </c>
      <c r="E88" t="s">
        <v>837</v>
      </c>
      <c r="F88" t="s">
        <v>755</v>
      </c>
      <c r="I88" s="23">
        <v>1000000</v>
      </c>
      <c r="K88" s="23">
        <v>0</v>
      </c>
      <c r="M88" s="23">
        <v>0</v>
      </c>
      <c r="P88" s="23">
        <v>1000000</v>
      </c>
      <c r="R88" s="23">
        <v>3500000</v>
      </c>
      <c r="W88" s="23">
        <v>2000000</v>
      </c>
    </row>
    <row r="89" spans="4:42" ht="15" customHeight="1">
      <c r="D89" t="s">
        <v>532</v>
      </c>
      <c r="E89" t="s">
        <v>1088</v>
      </c>
      <c r="F89" t="s">
        <v>802</v>
      </c>
      <c r="I89" s="23">
        <v>11267212372</v>
      </c>
      <c r="K89" s="23">
        <v>13134087522</v>
      </c>
      <c r="M89" s="23">
        <v>28377575578</v>
      </c>
      <c r="O89" s="23">
        <v>4178430860</v>
      </c>
      <c r="P89" s="23">
        <v>15779881219</v>
      </c>
      <c r="R89" s="23">
        <v>26099117924</v>
      </c>
      <c r="T89" s="23">
        <v>3504634637</v>
      </c>
      <c r="U89" s="23">
        <v>17582659528</v>
      </c>
      <c r="W89" s="23">
        <v>20999127525</v>
      </c>
      <c r="Y89" s="23">
        <v>24020816104</v>
      </c>
      <c r="Z89" s="23">
        <v>15069855435</v>
      </c>
      <c r="AB89" s="23">
        <v>17457451925</v>
      </c>
      <c r="AD89" s="23">
        <v>13509906765</v>
      </c>
      <c r="AF89" s="23">
        <v>16811572840</v>
      </c>
      <c r="AH89" s="41">
        <v>10158445216</v>
      </c>
      <c r="AJ89" s="23">
        <v>2631833589</v>
      </c>
      <c r="AL89" s="23">
        <v>1159103249</v>
      </c>
      <c r="AN89" s="23">
        <v>4053859516</v>
      </c>
      <c r="AP89" s="41">
        <v>4364093300</v>
      </c>
    </row>
    <row r="90" spans="4:42" ht="15" customHeight="1">
      <c r="D90" t="s">
        <v>533</v>
      </c>
      <c r="E90" t="s">
        <v>837</v>
      </c>
      <c r="F90" t="s">
        <v>808</v>
      </c>
      <c r="I90" s="23">
        <v>775138615</v>
      </c>
      <c r="K90" s="23">
        <v>932156642</v>
      </c>
      <c r="M90" s="23">
        <v>670524500</v>
      </c>
      <c r="O90" s="23">
        <v>527089635</v>
      </c>
      <c r="P90" s="23">
        <f>932156642-50122236</f>
        <v>882034406</v>
      </c>
      <c r="R90" s="23">
        <v>670524500</v>
      </c>
      <c r="T90" s="23">
        <v>618388111</v>
      </c>
      <c r="U90" s="23">
        <v>1051666771</v>
      </c>
      <c r="W90" s="23">
        <v>664184100</v>
      </c>
      <c r="Y90" s="23">
        <v>658441972</v>
      </c>
      <c r="Z90" s="23">
        <v>1043658071</v>
      </c>
      <c r="AB90" s="23">
        <v>1067592711</v>
      </c>
      <c r="AD90" s="23">
        <v>1146780381</v>
      </c>
      <c r="AF90" s="23">
        <v>1396090150</v>
      </c>
      <c r="AH90" s="41">
        <v>1235940484</v>
      </c>
      <c r="AJ90" s="23">
        <v>871208984</v>
      </c>
      <c r="AL90" s="23">
        <v>745772899</v>
      </c>
      <c r="AN90" s="23">
        <v>719765866</v>
      </c>
      <c r="AP90" s="41">
        <v>1157426166</v>
      </c>
    </row>
    <row r="91" spans="4:42" ht="15" customHeight="1">
      <c r="D91" t="s">
        <v>534</v>
      </c>
      <c r="E91" t="s">
        <v>837</v>
      </c>
      <c r="F91" t="s">
        <v>808</v>
      </c>
      <c r="I91" s="23">
        <v>0</v>
      </c>
      <c r="K91" s="23">
        <v>54071937</v>
      </c>
      <c r="M91" s="23">
        <v>46767666</v>
      </c>
      <c r="O91" s="23">
        <v>1212666</v>
      </c>
      <c r="P91" s="23">
        <v>53921937</v>
      </c>
      <c r="R91" s="23">
        <v>46467666</v>
      </c>
      <c r="T91" s="23">
        <v>2462666</v>
      </c>
      <c r="U91" s="23">
        <v>53921937</v>
      </c>
      <c r="W91" s="23">
        <v>46622211</v>
      </c>
      <c r="Y91" s="23">
        <v>44217666</v>
      </c>
      <c r="Z91" s="23">
        <v>37462937</v>
      </c>
      <c r="AB91" s="23">
        <v>27227482</v>
      </c>
      <c r="AD91" s="23">
        <v>27262482</v>
      </c>
      <c r="AP91" s="41"/>
    </row>
    <row r="92" spans="4:42" ht="15" customHeight="1">
      <c r="D92" t="s">
        <v>878</v>
      </c>
      <c r="E92" t="s">
        <v>837</v>
      </c>
      <c r="F92" t="s">
        <v>808</v>
      </c>
      <c r="K92" s="23">
        <v>100104500</v>
      </c>
      <c r="O92" s="23">
        <v>0</v>
      </c>
      <c r="P92" s="23">
        <v>98304500</v>
      </c>
      <c r="U92" s="23">
        <v>71734500</v>
      </c>
      <c r="Z92" s="23">
        <v>93374479</v>
      </c>
      <c r="AB92" s="23">
        <v>161004797</v>
      </c>
      <c r="AD92" s="23">
        <v>204127797</v>
      </c>
      <c r="AP92" s="41"/>
    </row>
    <row r="93" spans="4:42" ht="15" customHeight="1">
      <c r="D93" t="s">
        <v>535</v>
      </c>
      <c r="E93" t="s">
        <v>837</v>
      </c>
      <c r="F93" t="s">
        <v>808</v>
      </c>
      <c r="I93" s="23">
        <v>28249686</v>
      </c>
      <c r="K93" s="23">
        <v>27616187</v>
      </c>
      <c r="M93" s="23">
        <v>82909554</v>
      </c>
      <c r="O93" s="23">
        <v>1524825</v>
      </c>
      <c r="P93" s="23">
        <v>24950886</v>
      </c>
      <c r="R93" s="23">
        <v>85278156</v>
      </c>
      <c r="T93" s="23">
        <v>45839816</v>
      </c>
      <c r="U93" s="23">
        <v>11386363</v>
      </c>
      <c r="W93" s="23">
        <v>81011633</v>
      </c>
      <c r="Y93" s="23">
        <v>54170517</v>
      </c>
      <c r="Z93" s="23">
        <v>42685990</v>
      </c>
      <c r="AB93" s="23">
        <v>3652046</v>
      </c>
      <c r="AD93" s="23">
        <v>-540227</v>
      </c>
      <c r="AF93" s="23">
        <v>19346657</v>
      </c>
      <c r="AH93" s="41">
        <v>9412504</v>
      </c>
      <c r="AJ93" s="23">
        <v>28320032</v>
      </c>
      <c r="AL93" s="23">
        <v>37777732</v>
      </c>
      <c r="AN93" s="23">
        <v>37524322</v>
      </c>
      <c r="AP93" s="41">
        <v>15136738</v>
      </c>
    </row>
    <row r="94" spans="4:42" ht="15" customHeight="1">
      <c r="D94" t="s">
        <v>536</v>
      </c>
      <c r="E94" t="s">
        <v>837</v>
      </c>
      <c r="F94" t="s">
        <v>808</v>
      </c>
      <c r="K94" s="23">
        <v>0</v>
      </c>
      <c r="M94" s="23">
        <v>486365</v>
      </c>
      <c r="O94" s="23">
        <v>577272</v>
      </c>
      <c r="P94" s="23">
        <v>-2765910</v>
      </c>
      <c r="R94" s="23">
        <v>486365</v>
      </c>
      <c r="T94" s="23">
        <v>22334</v>
      </c>
      <c r="U94" s="23">
        <v>318182</v>
      </c>
      <c r="W94" s="23">
        <v>-554545</v>
      </c>
      <c r="Y94" s="23">
        <v>263637</v>
      </c>
      <c r="Z94" s="23">
        <v>0</v>
      </c>
      <c r="AB94" s="23">
        <v>-318182</v>
      </c>
      <c r="AD94" s="23">
        <v>-409090</v>
      </c>
      <c r="AF94" s="23">
        <v>6054547</v>
      </c>
      <c r="AH94" s="41">
        <v>0</v>
      </c>
      <c r="AJ94" s="23">
        <v>288363</v>
      </c>
      <c r="AL94" s="23">
        <v>2867909</v>
      </c>
      <c r="AN94" s="23">
        <v>2867910</v>
      </c>
      <c r="AP94" s="41">
        <v>1579547</v>
      </c>
    </row>
    <row r="95" spans="4:42" ht="15" customHeight="1">
      <c r="D95" t="s">
        <v>537</v>
      </c>
      <c r="E95" t="s">
        <v>837</v>
      </c>
      <c r="F95" t="s">
        <v>808</v>
      </c>
      <c r="I95" s="23">
        <v>39939295</v>
      </c>
      <c r="K95" s="23">
        <v>44197071</v>
      </c>
      <c r="M95" s="23">
        <v>13602962</v>
      </c>
      <c r="P95" s="23">
        <v>54080106</v>
      </c>
      <c r="R95" s="23">
        <v>51722648</v>
      </c>
      <c r="U95" s="23">
        <v>68375656</v>
      </c>
      <c r="W95" s="23">
        <v>70743032</v>
      </c>
      <c r="Z95" s="23">
        <v>94714392</v>
      </c>
      <c r="AB95" s="23">
        <v>153752478</v>
      </c>
      <c r="AD95" s="23">
        <v>167872776</v>
      </c>
      <c r="AF95" s="23">
        <v>184838705</v>
      </c>
      <c r="AH95" s="41">
        <v>178946107</v>
      </c>
      <c r="AJ95" s="23">
        <v>179701551</v>
      </c>
      <c r="AL95" s="23">
        <v>178491562</v>
      </c>
      <c r="AN95" s="23">
        <v>178491562</v>
      </c>
      <c r="AP95" s="41">
        <v>178491562</v>
      </c>
    </row>
    <row r="96" spans="4:42" ht="15" customHeight="1">
      <c r="D96" t="s">
        <v>538</v>
      </c>
      <c r="E96" t="s">
        <v>837</v>
      </c>
      <c r="F96" t="s">
        <v>755</v>
      </c>
      <c r="I96" s="23">
        <v>676121</v>
      </c>
      <c r="K96" s="23">
        <v>226121</v>
      </c>
      <c r="M96" s="23">
        <v>1401741</v>
      </c>
      <c r="O96" s="23">
        <v>345000</v>
      </c>
      <c r="P96" s="23">
        <v>471077</v>
      </c>
      <c r="R96" s="23">
        <v>1376989</v>
      </c>
      <c r="T96" s="23">
        <v>323762</v>
      </c>
      <c r="U96" s="23">
        <v>3862210</v>
      </c>
      <c r="W96" s="23">
        <f>63838546+1376801</f>
        <v>65215347</v>
      </c>
      <c r="Y96" s="23">
        <v>747995</v>
      </c>
      <c r="Z96" s="23">
        <v>131035</v>
      </c>
      <c r="AB96" s="23">
        <v>3131035</v>
      </c>
      <c r="AD96" s="23">
        <v>2999008</v>
      </c>
      <c r="AF96" s="23">
        <v>0</v>
      </c>
      <c r="AH96" s="41">
        <v>4238403</v>
      </c>
      <c r="AJ96" s="23">
        <v>3418772</v>
      </c>
      <c r="AL96" s="23">
        <v>3165932</v>
      </c>
      <c r="AN96" s="23">
        <v>3165932</v>
      </c>
      <c r="AP96" s="41">
        <v>3165932</v>
      </c>
    </row>
    <row r="97" spans="4:42" ht="15" customHeight="1">
      <c r="D97" t="s">
        <v>539</v>
      </c>
      <c r="E97" t="s">
        <v>837</v>
      </c>
      <c r="F97" t="s">
        <v>806</v>
      </c>
      <c r="I97" s="23">
        <v>3300000</v>
      </c>
      <c r="K97" s="23">
        <v>3300000</v>
      </c>
      <c r="M97" s="23">
        <v>3300000</v>
      </c>
      <c r="R97" s="23">
        <v>3300000</v>
      </c>
      <c r="U97" s="23">
        <v>0</v>
      </c>
      <c r="W97" s="23">
        <v>3300000</v>
      </c>
      <c r="Y97" s="23">
        <v>3300000</v>
      </c>
      <c r="AF97" s="23">
        <v>0</v>
      </c>
      <c r="AH97" s="41"/>
      <c r="AP97" s="41"/>
    </row>
    <row r="98" spans="4:42" ht="15" customHeight="1">
      <c r="D98" t="s">
        <v>540</v>
      </c>
      <c r="E98" t="s">
        <v>837</v>
      </c>
      <c r="F98" t="s">
        <v>807</v>
      </c>
      <c r="I98" s="23">
        <v>72007107</v>
      </c>
      <c r="K98" s="23">
        <v>78470880</v>
      </c>
      <c r="M98" s="23">
        <v>70608007</v>
      </c>
      <c r="O98" s="23">
        <v>44028260</v>
      </c>
      <c r="P98" s="23">
        <v>91478671</v>
      </c>
      <c r="R98" s="23">
        <v>80617742</v>
      </c>
      <c r="T98" s="23">
        <v>55347659</v>
      </c>
      <c r="U98" s="23">
        <v>87771829</v>
      </c>
      <c r="W98" s="23">
        <v>77061687</v>
      </c>
      <c r="Y98" s="23">
        <v>55970607</v>
      </c>
      <c r="Z98" s="23">
        <v>82180079</v>
      </c>
      <c r="AB98" s="23">
        <v>112525842</v>
      </c>
      <c r="AD98" s="23">
        <v>124255454</v>
      </c>
      <c r="AF98" s="23">
        <v>117396549</v>
      </c>
      <c r="AH98" s="41">
        <v>142130333</v>
      </c>
      <c r="AJ98" s="23">
        <v>133645383</v>
      </c>
      <c r="AL98" s="23">
        <v>121396082</v>
      </c>
      <c r="AN98" s="23">
        <v>124968824</v>
      </c>
      <c r="AP98" s="41">
        <v>96817526</v>
      </c>
    </row>
    <row r="99" spans="4:42" ht="15" customHeight="1">
      <c r="D99" t="s">
        <v>541</v>
      </c>
      <c r="E99" t="s">
        <v>837</v>
      </c>
      <c r="F99" t="s">
        <v>808</v>
      </c>
      <c r="I99" s="23">
        <v>11086390</v>
      </c>
      <c r="K99" s="23">
        <v>7210890</v>
      </c>
      <c r="M99" s="23">
        <v>57059390</v>
      </c>
      <c r="O99" s="23">
        <v>60068577</v>
      </c>
      <c r="P99" s="23">
        <v>7210890</v>
      </c>
      <c r="R99" s="23">
        <v>32668390</v>
      </c>
      <c r="T99" s="23">
        <v>65577790</v>
      </c>
      <c r="U99" s="23">
        <v>3409530</v>
      </c>
      <c r="W99" s="23">
        <v>11086390</v>
      </c>
      <c r="Y99" s="23">
        <v>65577790</v>
      </c>
      <c r="Z99" s="23">
        <v>6831997</v>
      </c>
      <c r="AB99" s="23">
        <v>3030637</v>
      </c>
      <c r="AD99" s="23">
        <v>3030637</v>
      </c>
      <c r="AF99" s="23">
        <v>3030637</v>
      </c>
      <c r="AH99" s="41">
        <v>3030637</v>
      </c>
      <c r="AJ99" s="23">
        <v>3030637</v>
      </c>
      <c r="AL99" s="23">
        <v>3030637</v>
      </c>
      <c r="AN99" s="23">
        <v>3030637</v>
      </c>
      <c r="AP99" s="41">
        <v>3030637</v>
      </c>
    </row>
    <row r="100" spans="4:42" ht="15" customHeight="1">
      <c r="D100" t="s">
        <v>542</v>
      </c>
      <c r="E100" t="s">
        <v>837</v>
      </c>
      <c r="F100" t="s">
        <v>808</v>
      </c>
      <c r="I100" s="23">
        <v>70107196</v>
      </c>
      <c r="K100" s="23">
        <v>70107196</v>
      </c>
      <c r="M100" s="23">
        <v>8913289</v>
      </c>
      <c r="O100" s="23">
        <v>3419539</v>
      </c>
      <c r="P100" s="23">
        <v>76421276</v>
      </c>
      <c r="R100" s="23">
        <v>43231369</v>
      </c>
      <c r="T100" s="23">
        <v>26793898</v>
      </c>
      <c r="U100" s="23">
        <v>79097771</v>
      </c>
      <c r="W100" s="23">
        <v>66132196</v>
      </c>
      <c r="Y100" s="23">
        <v>36006326</v>
      </c>
      <c r="Z100" s="23">
        <v>76421276</v>
      </c>
      <c r="AB100" s="23">
        <v>98302998</v>
      </c>
      <c r="AD100" s="23">
        <v>98302998</v>
      </c>
      <c r="AF100" s="23">
        <v>65834481</v>
      </c>
      <c r="AH100" s="41">
        <v>62218101</v>
      </c>
      <c r="AJ100" s="23">
        <v>62218101</v>
      </c>
      <c r="AL100" s="23">
        <v>62218101</v>
      </c>
      <c r="AN100" s="23">
        <v>62218101</v>
      </c>
      <c r="AP100" s="41">
        <v>10411694</v>
      </c>
    </row>
    <row r="101" spans="4:42" ht="15" customHeight="1">
      <c r="D101" t="s">
        <v>543</v>
      </c>
      <c r="E101" t="s">
        <v>837</v>
      </c>
      <c r="F101" t="s">
        <v>809</v>
      </c>
      <c r="I101" s="23">
        <v>31987817</v>
      </c>
      <c r="K101" s="23">
        <v>31987817</v>
      </c>
      <c r="M101" s="23">
        <v>31987817</v>
      </c>
      <c r="P101" s="23">
        <v>31987817</v>
      </c>
      <c r="R101" s="23">
        <v>31987817</v>
      </c>
      <c r="U101" s="23">
        <v>31987817</v>
      </c>
      <c r="W101" s="23">
        <v>31987817</v>
      </c>
      <c r="Z101" s="23">
        <v>31987817</v>
      </c>
      <c r="AB101" s="23">
        <v>31987817</v>
      </c>
      <c r="AD101" s="23">
        <v>31987817</v>
      </c>
      <c r="AF101" s="23">
        <v>31987817</v>
      </c>
      <c r="AH101" s="41">
        <v>31987817</v>
      </c>
      <c r="AJ101" s="23">
        <v>31987817</v>
      </c>
      <c r="AL101" s="23">
        <v>31987817</v>
      </c>
      <c r="AN101" s="23">
        <v>31987817</v>
      </c>
      <c r="AP101" s="41">
        <v>31987817</v>
      </c>
    </row>
    <row r="102" spans="4:42" ht="15" customHeight="1">
      <c r="D102" t="s">
        <v>544</v>
      </c>
      <c r="E102" t="s">
        <v>1088</v>
      </c>
      <c r="F102" t="s">
        <v>802</v>
      </c>
      <c r="I102" s="23">
        <v>1980627895</v>
      </c>
      <c r="K102" s="23">
        <v>2548786308</v>
      </c>
      <c r="M102" s="23">
        <v>0</v>
      </c>
      <c r="P102" s="23">
        <v>3892318464</v>
      </c>
      <c r="U102" s="23">
        <v>1108469098</v>
      </c>
      <c r="W102" s="23">
        <v>6693074076</v>
      </c>
      <c r="Z102" s="23">
        <v>3578666791</v>
      </c>
      <c r="AB102" s="23">
        <v>6918897952</v>
      </c>
      <c r="AD102" s="23">
        <v>40000000</v>
      </c>
      <c r="AF102" s="23">
        <v>78880000</v>
      </c>
      <c r="AH102" s="41"/>
      <c r="AP102" s="41"/>
    </row>
    <row r="103" spans="4:42" ht="15" customHeight="1">
      <c r="D103" t="s">
        <v>545</v>
      </c>
      <c r="E103" t="s">
        <v>837</v>
      </c>
      <c r="F103" t="s">
        <v>808</v>
      </c>
      <c r="I103" s="23">
        <v>0</v>
      </c>
      <c r="K103" s="23">
        <v>0</v>
      </c>
      <c r="M103" s="23">
        <v>0</v>
      </c>
      <c r="P103" s="23">
        <v>0</v>
      </c>
      <c r="U103" s="23">
        <v>0</v>
      </c>
      <c r="W103" s="23">
        <v>2491193365</v>
      </c>
      <c r="AH103" s="41"/>
      <c r="AP103" s="41"/>
    </row>
    <row r="104" spans="4:42" ht="15" customHeight="1">
      <c r="D104" t="s">
        <v>546</v>
      </c>
      <c r="E104" t="s">
        <v>837</v>
      </c>
      <c r="F104" t="s">
        <v>755</v>
      </c>
      <c r="I104" s="23">
        <v>8000000000</v>
      </c>
      <c r="K104" s="23">
        <v>8000000000</v>
      </c>
      <c r="M104" s="23">
        <v>0</v>
      </c>
      <c r="P104" s="23">
        <v>8000000000</v>
      </c>
      <c r="U104" s="23">
        <v>0</v>
      </c>
      <c r="AB104" s="23">
        <v>1636350948</v>
      </c>
      <c r="AF104" s="23">
        <v>1835200000</v>
      </c>
      <c r="AH104" s="41">
        <v>1847643400</v>
      </c>
      <c r="AJ104" s="23">
        <v>1916224700</v>
      </c>
      <c r="AL104" s="23">
        <v>1919039500</v>
      </c>
      <c r="AN104" s="23">
        <v>2020810476</v>
      </c>
      <c r="AP104" s="41">
        <v>2105595030</v>
      </c>
    </row>
    <row r="105" spans="4:42" ht="15" customHeight="1">
      <c r="D105" t="s">
        <v>2511</v>
      </c>
      <c r="E105" t="s">
        <v>837</v>
      </c>
      <c r="F105" s="101" t="s">
        <v>4737</v>
      </c>
      <c r="AP105" s="41">
        <v>2719484311</v>
      </c>
    </row>
    <row r="106" spans="4:42" ht="15" customHeight="1">
      <c r="D106" t="s">
        <v>2514</v>
      </c>
      <c r="E106" t="s">
        <v>837</v>
      </c>
      <c r="F106" s="101" t="s">
        <v>4737</v>
      </c>
      <c r="AP106" s="41">
        <v>-182849120</v>
      </c>
    </row>
    <row r="107" spans="4:42" ht="15" customHeight="1">
      <c r="D107" t="s">
        <v>2512</v>
      </c>
      <c r="E107" t="s">
        <v>837</v>
      </c>
      <c r="F107" s="99" t="s">
        <v>806</v>
      </c>
      <c r="AP107" s="41">
        <v>319654876</v>
      </c>
    </row>
    <row r="108" spans="4:42" ht="15" customHeight="1"/>
    <row r="109" spans="4:42" s="37" customFormat="1" ht="15" customHeight="1">
      <c r="D109" s="37" t="s">
        <v>547</v>
      </c>
      <c r="I109" s="38">
        <f>+I110</f>
        <v>11687561888</v>
      </c>
      <c r="J109" s="38"/>
      <c r="K109" s="38">
        <f>+K110</f>
        <v>12728315355</v>
      </c>
      <c r="L109" s="38"/>
      <c r="M109" s="38">
        <f>+M110</f>
        <v>13542149911</v>
      </c>
      <c r="N109" s="38">
        <f t="shared" ref="N109:AP109" si="10">+N110</f>
        <v>0</v>
      </c>
      <c r="O109" s="38">
        <f t="shared" si="10"/>
        <v>13335729692</v>
      </c>
      <c r="P109" s="38">
        <f t="shared" si="10"/>
        <v>14017595283</v>
      </c>
      <c r="Q109" s="38">
        <f t="shared" si="10"/>
        <v>0</v>
      </c>
      <c r="R109" s="38">
        <f t="shared" si="10"/>
        <v>9903027698</v>
      </c>
      <c r="S109" s="38">
        <f t="shared" si="10"/>
        <v>0</v>
      </c>
      <c r="T109" s="38">
        <f t="shared" si="10"/>
        <v>14611830365</v>
      </c>
      <c r="U109" s="38">
        <f t="shared" si="10"/>
        <v>15559501210</v>
      </c>
      <c r="V109" s="38"/>
      <c r="W109" s="38">
        <f t="shared" si="10"/>
        <v>13157633282</v>
      </c>
      <c r="X109" s="38"/>
      <c r="Y109" s="38">
        <f t="shared" si="10"/>
        <v>15633350381</v>
      </c>
      <c r="Z109" s="38">
        <f t="shared" si="10"/>
        <v>18084227736</v>
      </c>
      <c r="AA109" s="38"/>
      <c r="AB109" s="38">
        <f t="shared" si="10"/>
        <v>27724700933</v>
      </c>
      <c r="AC109" s="38"/>
      <c r="AD109" s="38">
        <f t="shared" si="10"/>
        <v>20122685201</v>
      </c>
      <c r="AE109" s="38">
        <f t="shared" si="10"/>
        <v>0</v>
      </c>
      <c r="AF109" s="38">
        <f t="shared" si="10"/>
        <v>25689430629</v>
      </c>
      <c r="AG109" s="38">
        <f t="shared" si="10"/>
        <v>0</v>
      </c>
      <c r="AH109" s="38">
        <f t="shared" si="10"/>
        <v>31160415634</v>
      </c>
      <c r="AI109" s="38"/>
      <c r="AJ109" s="38">
        <f t="shared" si="10"/>
        <v>25446265691</v>
      </c>
      <c r="AK109" s="38">
        <f t="shared" si="10"/>
        <v>0</v>
      </c>
      <c r="AL109" s="38">
        <f t="shared" si="10"/>
        <v>24317487302</v>
      </c>
      <c r="AM109" s="38"/>
      <c r="AN109" s="38">
        <f t="shared" si="10"/>
        <v>28500635787</v>
      </c>
      <c r="AO109" s="38"/>
      <c r="AP109" s="38">
        <f t="shared" si="10"/>
        <v>21087498311</v>
      </c>
    </row>
    <row r="110" spans="4:42" s="37" customFormat="1" ht="15" customHeight="1">
      <c r="D110" s="37" t="s">
        <v>548</v>
      </c>
      <c r="I110" s="38">
        <f>SUM(I111:I115)</f>
        <v>11687561888</v>
      </c>
      <c r="J110" s="38"/>
      <c r="K110" s="38">
        <f>SUM(K111:K115)</f>
        <v>12728315355</v>
      </c>
      <c r="L110" s="38"/>
      <c r="M110" s="38">
        <f t="shared" ref="M110:U110" si="11">SUM(M111:M115)</f>
        <v>13542149911</v>
      </c>
      <c r="N110" s="38">
        <f t="shared" si="11"/>
        <v>0</v>
      </c>
      <c r="O110" s="38">
        <f t="shared" si="11"/>
        <v>13335729692</v>
      </c>
      <c r="P110" s="38">
        <f t="shared" si="11"/>
        <v>14017595283</v>
      </c>
      <c r="Q110" s="38">
        <f t="shared" si="11"/>
        <v>0</v>
      </c>
      <c r="R110" s="38">
        <f t="shared" si="11"/>
        <v>9903027698</v>
      </c>
      <c r="S110" s="38">
        <f t="shared" si="11"/>
        <v>0</v>
      </c>
      <c r="T110" s="38">
        <f t="shared" si="11"/>
        <v>14611830365</v>
      </c>
      <c r="U110" s="38">
        <f t="shared" si="11"/>
        <v>15559501210</v>
      </c>
      <c r="V110" s="38"/>
      <c r="W110" s="38">
        <f>SUM(W111:W115)</f>
        <v>13157633282</v>
      </c>
      <c r="X110" s="38"/>
      <c r="Y110" s="38">
        <f>SUM(Y111:Y115)</f>
        <v>15633350381</v>
      </c>
      <c r="Z110" s="38">
        <f>SUM(Z111:Z115)</f>
        <v>18084227736</v>
      </c>
      <c r="AA110" s="38"/>
      <c r="AB110" s="38">
        <f>SUM(AB111:AB115)</f>
        <v>27724700933</v>
      </c>
      <c r="AC110" s="38"/>
      <c r="AD110" s="38">
        <f>SUM(AD111:AD115)</f>
        <v>20122685201</v>
      </c>
      <c r="AE110" s="38">
        <f>SUM(AE111:AE115)</f>
        <v>0</v>
      </c>
      <c r="AF110" s="38">
        <f>SUM(AF111:AF115)</f>
        <v>25689430629</v>
      </c>
      <c r="AG110" s="38">
        <f>SUM(AG111:AG115)</f>
        <v>0</v>
      </c>
      <c r="AH110" s="38">
        <f>SUM(AH111:AH115)</f>
        <v>31160415634</v>
      </c>
      <c r="AI110" s="38"/>
      <c r="AJ110" s="38">
        <f>SUM(AJ111:AJ115)</f>
        <v>25446265691</v>
      </c>
      <c r="AK110" s="38">
        <f>SUM(AK111:AK115)</f>
        <v>0</v>
      </c>
      <c r="AL110" s="38">
        <f>SUM(AL111:AL115)</f>
        <v>24317487302</v>
      </c>
      <c r="AM110" s="38"/>
      <c r="AN110" s="38">
        <f>SUM(AN111:AN115)</f>
        <v>28500635787</v>
      </c>
      <c r="AO110" s="38"/>
      <c r="AP110" s="38">
        <f>SUM(AP111:AP115)</f>
        <v>21087498311</v>
      </c>
    </row>
    <row r="111" spans="4:42" ht="15" customHeight="1">
      <c r="D111" t="s">
        <v>549</v>
      </c>
      <c r="E111" t="s">
        <v>846</v>
      </c>
      <c r="F111" t="s">
        <v>549</v>
      </c>
      <c r="I111" s="23">
        <v>11268139933</v>
      </c>
      <c r="K111" s="23">
        <v>11433327909</v>
      </c>
      <c r="M111" s="23">
        <v>12705970056</v>
      </c>
      <c r="O111" s="23">
        <v>12754373695</v>
      </c>
      <c r="P111" s="23">
        <v>12424606215</v>
      </c>
      <c r="R111" s="23">
        <v>9193168858</v>
      </c>
      <c r="T111" s="23">
        <v>14033655743</v>
      </c>
      <c r="U111" s="23">
        <v>14073838553</v>
      </c>
      <c r="W111" s="23">
        <v>12241136935</v>
      </c>
      <c r="Y111" s="23">
        <v>14903586164</v>
      </c>
      <c r="Z111" s="23">
        <v>16893231041</v>
      </c>
      <c r="AB111" s="23">
        <v>26435351731</v>
      </c>
      <c r="AD111" s="23">
        <v>18671314936</v>
      </c>
      <c r="AF111" s="23">
        <v>24134296259</v>
      </c>
      <c r="AH111" s="41">
        <v>29773847442</v>
      </c>
      <c r="AJ111" s="23">
        <v>24018599003</v>
      </c>
      <c r="AL111" s="23">
        <v>22732172787</v>
      </c>
      <c r="AN111" s="23">
        <v>26737454666</v>
      </c>
      <c r="AP111" s="41">
        <v>19218187925</v>
      </c>
    </row>
    <row r="112" spans="4:42" ht="15" customHeight="1">
      <c r="D112" t="s">
        <v>550</v>
      </c>
      <c r="E112" t="s">
        <v>846</v>
      </c>
      <c r="F112" t="s">
        <v>549</v>
      </c>
      <c r="I112" s="23">
        <v>0</v>
      </c>
      <c r="K112" s="23">
        <v>805673680</v>
      </c>
      <c r="M112" s="23">
        <v>631578868</v>
      </c>
      <c r="O112" s="23">
        <v>397291175</v>
      </c>
      <c r="P112" s="23">
        <v>790899557</v>
      </c>
      <c r="R112" s="23">
        <v>479703052</v>
      </c>
      <c r="T112" s="23">
        <v>366775750</v>
      </c>
      <c r="U112" s="23">
        <v>632680956</v>
      </c>
      <c r="W112" s="23">
        <v>540555625</v>
      </c>
      <c r="Y112" s="23">
        <v>557904526</v>
      </c>
      <c r="Z112" s="23">
        <v>457387707</v>
      </c>
      <c r="AB112" s="23">
        <v>543456964</v>
      </c>
      <c r="AD112" s="23">
        <v>583485687</v>
      </c>
      <c r="AF112" s="23">
        <v>720111135</v>
      </c>
      <c r="AH112" s="41">
        <v>705603629</v>
      </c>
      <c r="AJ112" s="23">
        <v>678628811</v>
      </c>
      <c r="AL112" s="23">
        <v>696316273</v>
      </c>
      <c r="AN112" s="23">
        <v>711913263</v>
      </c>
      <c r="AP112" s="41">
        <v>675814983</v>
      </c>
    </row>
    <row r="113" spans="4:42" ht="15" customHeight="1">
      <c r="D113" t="s">
        <v>551</v>
      </c>
      <c r="E113" t="s">
        <v>846</v>
      </c>
      <c r="F113" t="s">
        <v>810</v>
      </c>
      <c r="I113" s="23">
        <v>103564327</v>
      </c>
      <c r="K113" s="23">
        <v>108220945</v>
      </c>
      <c r="M113" s="23">
        <v>204600987</v>
      </c>
      <c r="O113" s="23">
        <v>184064822</v>
      </c>
      <c r="P113" s="23">
        <v>118680760</v>
      </c>
      <c r="R113" s="23">
        <v>230155788</v>
      </c>
      <c r="T113" s="23">
        <v>211398872</v>
      </c>
      <c r="U113" s="23">
        <v>223923584</v>
      </c>
      <c r="W113" s="23">
        <v>117101149</v>
      </c>
      <c r="Y113" s="23">
        <v>171859691</v>
      </c>
      <c r="Z113" s="23">
        <v>143957590</v>
      </c>
      <c r="AB113" s="23">
        <v>237673731</v>
      </c>
      <c r="AD113" s="23">
        <v>170072611</v>
      </c>
      <c r="AF113" s="23">
        <v>182968925</v>
      </c>
      <c r="AH113" s="41">
        <v>188061140</v>
      </c>
      <c r="AJ113" s="23">
        <v>203266158</v>
      </c>
      <c r="AL113" s="23">
        <v>270220203</v>
      </c>
      <c r="AN113" s="23">
        <v>305838924</v>
      </c>
      <c r="AP113" s="41">
        <v>339594532</v>
      </c>
    </row>
    <row r="114" spans="4:42" ht="15" customHeight="1">
      <c r="D114" t="s">
        <v>552</v>
      </c>
      <c r="E114" t="s">
        <v>846</v>
      </c>
      <c r="F114" t="s">
        <v>810</v>
      </c>
      <c r="I114" s="23">
        <v>215569174</v>
      </c>
      <c r="K114" s="23">
        <v>259330599</v>
      </c>
      <c r="M114" s="23">
        <v>0</v>
      </c>
      <c r="P114" s="23">
        <v>550713274</v>
      </c>
      <c r="U114" s="23">
        <v>498480375</v>
      </c>
      <c r="W114" s="23">
        <v>157750158</v>
      </c>
      <c r="Z114" s="23">
        <v>431742521</v>
      </c>
      <c r="AB114" s="23">
        <v>359472199</v>
      </c>
      <c r="AD114" s="23">
        <v>512222910</v>
      </c>
      <c r="AF114" s="23">
        <v>564593115</v>
      </c>
      <c r="AH114" s="41">
        <v>405251640</v>
      </c>
      <c r="AJ114" s="23">
        <v>461521267</v>
      </c>
      <c r="AL114" s="23">
        <v>562138904</v>
      </c>
      <c r="AN114" s="23">
        <v>678490877</v>
      </c>
      <c r="AP114" s="41">
        <v>844902213</v>
      </c>
    </row>
    <row r="115" spans="4:42" ht="15" customHeight="1">
      <c r="D115" t="s">
        <v>553</v>
      </c>
      <c r="E115" t="s">
        <v>846</v>
      </c>
      <c r="F115" t="s">
        <v>811</v>
      </c>
      <c r="I115" s="23">
        <v>100288454</v>
      </c>
      <c r="K115" s="23">
        <v>121762222</v>
      </c>
      <c r="M115" s="23">
        <v>0</v>
      </c>
      <c r="P115" s="23">
        <v>132695477</v>
      </c>
      <c r="U115" s="23">
        <v>130577742</v>
      </c>
      <c r="W115" s="23">
        <v>101089415</v>
      </c>
      <c r="Z115" s="23">
        <v>157908877</v>
      </c>
      <c r="AB115" s="23">
        <v>148746308</v>
      </c>
      <c r="AD115" s="23">
        <v>185589057</v>
      </c>
      <c r="AF115" s="23">
        <v>87461195</v>
      </c>
      <c r="AH115" s="41">
        <v>87651783</v>
      </c>
      <c r="AJ115" s="23">
        <v>84250452</v>
      </c>
      <c r="AL115" s="23">
        <v>56639135</v>
      </c>
      <c r="AN115" s="23">
        <v>66938057</v>
      </c>
      <c r="AP115" s="41">
        <v>8998658</v>
      </c>
    </row>
    <row r="116" spans="4:42" ht="15" customHeight="1"/>
    <row r="117" spans="4:42" s="37" customFormat="1" ht="15" customHeight="1">
      <c r="D117" s="37" t="s">
        <v>554</v>
      </c>
      <c r="I117" s="38">
        <f>+I118</f>
        <v>1714308900</v>
      </c>
      <c r="J117" s="38"/>
      <c r="K117" s="38">
        <f>+K118</f>
        <v>1744986719</v>
      </c>
      <c r="L117" s="38"/>
      <c r="M117" s="38">
        <f t="shared" ref="M117:AP117" si="12">+M118</f>
        <v>1299976875</v>
      </c>
      <c r="N117" s="38">
        <f t="shared" si="12"/>
        <v>0</v>
      </c>
      <c r="O117" s="38">
        <f t="shared" si="12"/>
        <v>126574736</v>
      </c>
      <c r="P117" s="38">
        <f t="shared" si="12"/>
        <v>1611275248</v>
      </c>
      <c r="Q117" s="38">
        <f t="shared" si="12"/>
        <v>0</v>
      </c>
      <c r="R117" s="38">
        <f t="shared" si="12"/>
        <v>1244243876</v>
      </c>
      <c r="S117" s="38">
        <f t="shared" si="12"/>
        <v>0</v>
      </c>
      <c r="T117" s="38">
        <f t="shared" si="12"/>
        <v>90213197</v>
      </c>
      <c r="U117" s="38">
        <f t="shared" si="12"/>
        <v>1449825728</v>
      </c>
      <c r="V117" s="38"/>
      <c r="W117" s="38">
        <f t="shared" si="12"/>
        <v>1250234664</v>
      </c>
      <c r="X117" s="38"/>
      <c r="Y117" s="38">
        <f t="shared" si="12"/>
        <v>54681575</v>
      </c>
      <c r="Z117" s="38">
        <f t="shared" si="12"/>
        <v>1292548141</v>
      </c>
      <c r="AA117" s="38"/>
      <c r="AB117" s="38">
        <f t="shared" si="12"/>
        <v>1859901058</v>
      </c>
      <c r="AC117" s="38"/>
      <c r="AD117" s="38">
        <f t="shared" si="12"/>
        <v>1709022659</v>
      </c>
      <c r="AE117" s="38">
        <f t="shared" si="12"/>
        <v>0</v>
      </c>
      <c r="AF117" s="38">
        <f t="shared" si="12"/>
        <v>1796262194</v>
      </c>
      <c r="AG117" s="38">
        <f t="shared" si="12"/>
        <v>0</v>
      </c>
      <c r="AH117" s="38">
        <f t="shared" si="12"/>
        <v>1532607632</v>
      </c>
      <c r="AI117" s="38"/>
      <c r="AJ117" s="38">
        <f t="shared" si="12"/>
        <v>487499021</v>
      </c>
      <c r="AK117" s="38">
        <f t="shared" si="12"/>
        <v>0</v>
      </c>
      <c r="AL117" s="38">
        <f t="shared" si="12"/>
        <v>1727247268</v>
      </c>
      <c r="AM117" s="38"/>
      <c r="AN117" s="38">
        <f t="shared" si="12"/>
        <v>1611659911</v>
      </c>
      <c r="AO117" s="38"/>
      <c r="AP117" s="38">
        <f t="shared" si="12"/>
        <v>1520082081</v>
      </c>
    </row>
    <row r="118" spans="4:42" s="37" customFormat="1" ht="15" customHeight="1">
      <c r="D118" s="37" t="s">
        <v>555</v>
      </c>
      <c r="I118" s="38">
        <f>+I119+I121+I124</f>
        <v>1714308900</v>
      </c>
      <c r="J118" s="38"/>
      <c r="K118" s="38">
        <f t="shared" ref="K118:U118" si="13">+K119+K121+K123+K124</f>
        <v>1744986719</v>
      </c>
      <c r="L118" s="38">
        <f t="shared" si="13"/>
        <v>0</v>
      </c>
      <c r="M118" s="38">
        <f t="shared" si="13"/>
        <v>1299976875</v>
      </c>
      <c r="N118" s="38">
        <f t="shared" si="13"/>
        <v>0</v>
      </c>
      <c r="O118" s="38">
        <f t="shared" si="13"/>
        <v>126574736</v>
      </c>
      <c r="P118" s="38">
        <f t="shared" si="13"/>
        <v>1611275248</v>
      </c>
      <c r="Q118" s="38">
        <f t="shared" si="13"/>
        <v>0</v>
      </c>
      <c r="R118" s="38">
        <f t="shared" si="13"/>
        <v>1244243876</v>
      </c>
      <c r="S118" s="38">
        <f t="shared" si="13"/>
        <v>0</v>
      </c>
      <c r="T118" s="38">
        <f t="shared" si="13"/>
        <v>90213197</v>
      </c>
      <c r="U118" s="38">
        <f t="shared" si="13"/>
        <v>1449825728</v>
      </c>
      <c r="V118" s="38"/>
      <c r="W118" s="38">
        <f>+W119+W121+W123+W124</f>
        <v>1250234664</v>
      </c>
      <c r="X118" s="38"/>
      <c r="Y118" s="38">
        <f>+Y119+Y121+Y123+Y124+Y125</f>
        <v>54681575</v>
      </c>
      <c r="Z118" s="38">
        <f>+Z119+Z121+Z123+Z124+Z125</f>
        <v>1292548141</v>
      </c>
      <c r="AA118" s="38"/>
      <c r="AB118" s="38">
        <f>+AB119+AB121+AB123+AB124+AB125</f>
        <v>1859901058</v>
      </c>
      <c r="AC118" s="38"/>
      <c r="AD118" s="38">
        <f>+AD119+AD121+AD123+AD124+AD125</f>
        <v>1709022659</v>
      </c>
      <c r="AE118" s="38">
        <f>+AE119+AE121+AE123+AE124+AE125</f>
        <v>0</v>
      </c>
      <c r="AF118" s="38">
        <f>+AF119+AF121+AF123+AF124+AF125</f>
        <v>1796262194</v>
      </c>
      <c r="AG118" s="38">
        <f>+AG119+AG121+AG123+AG124+AG125</f>
        <v>0</v>
      </c>
      <c r="AH118" s="38">
        <f>+AH119+AH121+AH123+AH124+AH125</f>
        <v>1532607632</v>
      </c>
      <c r="AI118" s="38"/>
      <c r="AJ118" s="38">
        <f>+AJ119+AJ121+AJ123+AJ124+AJ125</f>
        <v>487499021</v>
      </c>
      <c r="AK118" s="38">
        <f>+AK119+AK121+AK123+AK124+AK125</f>
        <v>0</v>
      </c>
      <c r="AL118" s="38">
        <f>+AL119+AL121+AL123+AL124+AL125</f>
        <v>1727247268</v>
      </c>
      <c r="AM118" s="38"/>
      <c r="AN118" s="38">
        <f>+AN119+AN121+AN123+AN124+AN125</f>
        <v>1611659911</v>
      </c>
      <c r="AO118" s="38"/>
      <c r="AP118" s="38">
        <f>+AP119+AP121+AP123+AP124+AP125</f>
        <v>1520082081</v>
      </c>
    </row>
    <row r="119" spans="4:42" ht="15" customHeight="1">
      <c r="D119" t="s">
        <v>556</v>
      </c>
      <c r="E119" t="s">
        <v>837</v>
      </c>
      <c r="F119" t="s">
        <v>806</v>
      </c>
      <c r="I119" s="23">
        <v>65432508</v>
      </c>
      <c r="K119" s="23">
        <v>40324506</v>
      </c>
      <c r="M119" s="23">
        <v>31323485</v>
      </c>
      <c r="O119" s="23">
        <v>32886736</v>
      </c>
      <c r="P119" s="23">
        <v>35953478</v>
      </c>
      <c r="R119" s="23">
        <v>42938016</v>
      </c>
      <c r="T119" s="23">
        <v>32421197</v>
      </c>
      <c r="U119" s="23">
        <v>67663708</v>
      </c>
      <c r="W119" s="23">
        <v>70660278</v>
      </c>
      <c r="Y119" s="23">
        <v>25785575</v>
      </c>
      <c r="Z119" s="23">
        <v>57343370</v>
      </c>
      <c r="AB119" s="23">
        <v>41322730</v>
      </c>
      <c r="AD119" s="23">
        <v>39018269</v>
      </c>
      <c r="AF119" s="23">
        <v>68984848</v>
      </c>
      <c r="AH119" s="41">
        <v>50432948</v>
      </c>
      <c r="AJ119" s="23">
        <v>28083334</v>
      </c>
      <c r="AL119" s="23">
        <v>19522120</v>
      </c>
      <c r="AN119" s="23">
        <v>52949391</v>
      </c>
      <c r="AP119" s="41">
        <v>61425644</v>
      </c>
    </row>
    <row r="120" spans="4:42" ht="15" customHeight="1">
      <c r="D120" t="s">
        <v>557</v>
      </c>
      <c r="F120" t="s">
        <v>913</v>
      </c>
      <c r="I120" s="23">
        <f>1623162132+I122</f>
        <v>898180163</v>
      </c>
      <c r="K120" s="23">
        <f>SUM(K121:K122)</f>
        <v>1127874659</v>
      </c>
      <c r="M120" s="23">
        <f>SUM(M121:M122)</f>
        <v>501590118</v>
      </c>
      <c r="P120" s="23">
        <f>+P121+P122</f>
        <v>1172442891</v>
      </c>
      <c r="R120" s="23">
        <f>+R121+R122</f>
        <v>115649393</v>
      </c>
      <c r="U120" s="23">
        <v>1356447760</v>
      </c>
      <c r="W120" s="23">
        <v>1153860126</v>
      </c>
      <c r="Z120" s="23">
        <f>+Z121+Z122</f>
        <v>1139643241.5416667</v>
      </c>
      <c r="AB120" s="23">
        <v>1752364068</v>
      </c>
      <c r="AD120" s="23">
        <v>1603790130</v>
      </c>
      <c r="AF120" s="23">
        <v>1625143086</v>
      </c>
      <c r="AP120" s="41"/>
    </row>
    <row r="121" spans="4:42" ht="15" customHeight="1">
      <c r="D121" t="s">
        <v>557</v>
      </c>
      <c r="E121" t="s">
        <v>1514</v>
      </c>
      <c r="F121" t="s">
        <v>913</v>
      </c>
      <c r="I121" s="23">
        <f>1623162132</f>
        <v>1623162132</v>
      </c>
      <c r="K121" s="23">
        <v>1678947953</v>
      </c>
      <c r="M121" s="23">
        <v>1197224818</v>
      </c>
      <c r="P121" s="23">
        <v>1549607510</v>
      </c>
      <c r="R121" s="23">
        <v>1188448712</v>
      </c>
      <c r="U121" s="23">
        <v>1356447760</v>
      </c>
      <c r="W121" s="23">
        <v>1153860126</v>
      </c>
      <c r="Z121" s="23">
        <v>1168990511</v>
      </c>
      <c r="AB121" s="23">
        <v>1752364068</v>
      </c>
      <c r="AD121" s="23">
        <v>1603790130</v>
      </c>
      <c r="AF121" s="23">
        <v>1625143086</v>
      </c>
      <c r="AH121" s="41">
        <v>1422280424</v>
      </c>
      <c r="AJ121" s="23">
        <v>316404204</v>
      </c>
      <c r="AL121" s="23">
        <v>1427514310</v>
      </c>
      <c r="AN121" s="23">
        <v>1332191093</v>
      </c>
      <c r="AP121" s="41">
        <v>1285828421</v>
      </c>
    </row>
    <row r="122" spans="4:42" ht="15" customHeight="1">
      <c r="D122" t="s">
        <v>557</v>
      </c>
      <c r="E122" t="s">
        <v>742</v>
      </c>
      <c r="F122" t="s">
        <v>812</v>
      </c>
      <c r="I122" s="23">
        <v>-724981969</v>
      </c>
      <c r="K122" s="23">
        <v>-551073294</v>
      </c>
      <c r="M122" s="23">
        <v>-695634700</v>
      </c>
      <c r="P122" s="23">
        <v>-377164619</v>
      </c>
      <c r="R122" s="23">
        <v>-1072799319</v>
      </c>
      <c r="Z122" s="23">
        <v>-29347269.458333299</v>
      </c>
      <c r="AP122" s="41"/>
    </row>
    <row r="123" spans="4:42" ht="15" customHeight="1">
      <c r="D123" t="s">
        <v>558</v>
      </c>
      <c r="E123" t="s">
        <v>837</v>
      </c>
      <c r="F123" t="s">
        <v>806</v>
      </c>
      <c r="K123" s="23">
        <v>0</v>
      </c>
      <c r="M123" s="23">
        <v>71428572</v>
      </c>
      <c r="O123" s="23">
        <v>93688000</v>
      </c>
      <c r="T123" s="23">
        <v>57792000</v>
      </c>
      <c r="AF123" s="23">
        <v>46720000</v>
      </c>
      <c r="AH123" s="41">
        <v>11680000</v>
      </c>
      <c r="AL123" s="23">
        <v>159075637</v>
      </c>
      <c r="AN123" s="23">
        <v>127260508</v>
      </c>
      <c r="AP123" s="41">
        <v>95445379</v>
      </c>
    </row>
    <row r="124" spans="4:42" ht="15" customHeight="1">
      <c r="D124" t="s">
        <v>559</v>
      </c>
      <c r="E124" t="s">
        <v>837</v>
      </c>
      <c r="F124" t="s">
        <v>806</v>
      </c>
      <c r="I124" s="23">
        <v>25714260</v>
      </c>
      <c r="K124" s="23">
        <v>25714260</v>
      </c>
      <c r="M124" s="23">
        <v>0</v>
      </c>
      <c r="P124" s="23">
        <v>25714260</v>
      </c>
      <c r="R124" s="23">
        <v>12857148</v>
      </c>
      <c r="U124" s="23">
        <v>25714260</v>
      </c>
      <c r="W124" s="23">
        <v>25714260</v>
      </c>
      <c r="Z124" s="23">
        <v>48214260</v>
      </c>
      <c r="AB124" s="23">
        <v>48214260</v>
      </c>
      <c r="AD124" s="23">
        <v>48214260</v>
      </c>
      <c r="AF124" s="23">
        <v>48214260</v>
      </c>
      <c r="AH124" s="41">
        <v>48214260</v>
      </c>
      <c r="AJ124" s="23">
        <v>48214260</v>
      </c>
      <c r="AL124" s="23">
        <v>48214260</v>
      </c>
      <c r="AN124" s="23">
        <v>48214260</v>
      </c>
      <c r="AP124" s="41">
        <v>48214260</v>
      </c>
    </row>
    <row r="125" spans="4:42" ht="15" customHeight="1">
      <c r="D125" t="s">
        <v>938</v>
      </c>
      <c r="E125" t="s">
        <v>837</v>
      </c>
      <c r="F125" t="s">
        <v>806</v>
      </c>
      <c r="Y125" s="23">
        <v>28896000</v>
      </c>
      <c r="Z125" s="23">
        <v>18000000</v>
      </c>
      <c r="AB125" s="23">
        <v>18000000</v>
      </c>
      <c r="AD125" s="23">
        <v>18000000</v>
      </c>
      <c r="AF125" s="23">
        <v>7200000</v>
      </c>
      <c r="AJ125" s="23">
        <v>94797223</v>
      </c>
      <c r="AL125" s="23">
        <v>72920941</v>
      </c>
      <c r="AN125" s="23">
        <v>51044659</v>
      </c>
      <c r="AP125" s="41">
        <v>29168377</v>
      </c>
    </row>
    <row r="126" spans="4:42" ht="15" customHeight="1"/>
    <row r="127" spans="4:42" s="37" customFormat="1" ht="15" customHeight="1">
      <c r="D127" s="37" t="s">
        <v>560</v>
      </c>
      <c r="I127" s="38">
        <f>+I128+I153</f>
        <v>58394376262</v>
      </c>
      <c r="J127" s="38"/>
      <c r="K127" s="38">
        <f>+K128+K153</f>
        <v>56161879177</v>
      </c>
      <c r="L127" s="38"/>
      <c r="M127" s="38">
        <f t="shared" ref="M127:U127" si="14">+M128+M153</f>
        <v>52057446068</v>
      </c>
      <c r="N127" s="38">
        <f t="shared" si="14"/>
        <v>0</v>
      </c>
      <c r="O127" s="38">
        <f t="shared" si="14"/>
        <v>51688695386</v>
      </c>
      <c r="P127" s="38">
        <f t="shared" si="14"/>
        <v>56667320227</v>
      </c>
      <c r="Q127" s="38">
        <f t="shared" si="14"/>
        <v>0</v>
      </c>
      <c r="R127" s="38">
        <f t="shared" si="14"/>
        <v>54338372714</v>
      </c>
      <c r="S127" s="38">
        <f t="shared" si="14"/>
        <v>0</v>
      </c>
      <c r="T127" s="38">
        <f t="shared" si="14"/>
        <v>61169776570</v>
      </c>
      <c r="U127" s="38">
        <f t="shared" si="14"/>
        <v>58934832351</v>
      </c>
      <c r="V127" s="38"/>
      <c r="W127" s="38">
        <f>+W128+W153</f>
        <v>55556952501</v>
      </c>
      <c r="X127" s="38"/>
      <c r="Y127" s="38">
        <f>+Y128+Y153</f>
        <v>46569532527</v>
      </c>
      <c r="Z127" s="38">
        <f>+Z128+Z153</f>
        <v>81352464868</v>
      </c>
      <c r="AA127" s="38"/>
      <c r="AB127" s="38">
        <f>+AB128+AB153</f>
        <v>74302248545</v>
      </c>
      <c r="AC127" s="38"/>
      <c r="AD127" s="38">
        <f>+AD128+AD153</f>
        <v>73781869757</v>
      </c>
      <c r="AE127" s="38">
        <f>+AE128+AE153</f>
        <v>0</v>
      </c>
      <c r="AF127" s="38">
        <f>+AF128+AF153</f>
        <v>71837664188</v>
      </c>
      <c r="AG127" s="38">
        <f>+AG128+AG153</f>
        <v>0</v>
      </c>
      <c r="AH127" s="38">
        <f>+AH128+AH153</f>
        <v>76272150609</v>
      </c>
      <c r="AI127" s="38"/>
      <c r="AJ127" s="38">
        <f>+AJ128+AJ153+AJ167</f>
        <v>90087335799</v>
      </c>
      <c r="AK127" s="38">
        <f>+AK128+AK153+AK167</f>
        <v>0</v>
      </c>
      <c r="AL127" s="38">
        <f>+AL128+AL153+AL167</f>
        <v>89693447377</v>
      </c>
      <c r="AM127" s="38"/>
      <c r="AN127" s="38">
        <f>+AN128+AN153+AN167</f>
        <v>90904207893</v>
      </c>
      <c r="AO127" s="38"/>
      <c r="AP127" s="38">
        <f>+AP128+AP153+AP167</f>
        <v>92511074962</v>
      </c>
    </row>
    <row r="128" spans="4:42" s="37" customFormat="1" ht="15" customHeight="1">
      <c r="D128" s="37" t="s">
        <v>561</v>
      </c>
      <c r="I128" s="38">
        <f>+I129+I142+I145+I150</f>
        <v>29289530138</v>
      </c>
      <c r="J128" s="38"/>
      <c r="K128" s="38">
        <f>+K129+K142+K145+K150</f>
        <v>30642387271</v>
      </c>
      <c r="L128" s="38"/>
      <c r="M128" s="38">
        <f>+M129+M142+M145</f>
        <v>24417491790</v>
      </c>
      <c r="N128" s="38">
        <f>+N129+N142+N145</f>
        <v>0</v>
      </c>
      <c r="O128" s="38">
        <f>+O129+O142+O145</f>
        <v>30116796743</v>
      </c>
      <c r="P128" s="38">
        <f>+P129+P142+P145+P150</f>
        <v>30880736696</v>
      </c>
      <c r="Q128" s="38">
        <f>+Q129+Q142+Q145</f>
        <v>0</v>
      </c>
      <c r="R128" s="38">
        <f>+R129+R142+R145</f>
        <v>26090272485</v>
      </c>
      <c r="S128" s="38">
        <f>+S129+S142+S145</f>
        <v>0</v>
      </c>
      <c r="T128" s="38">
        <f>+T129+T142+T145</f>
        <v>34133650761</v>
      </c>
      <c r="U128" s="38">
        <f>+U129+U142+U145+U150</f>
        <v>30970058950</v>
      </c>
      <c r="V128" s="38"/>
      <c r="W128" s="38">
        <f>+W129+W142+W145+W150</f>
        <v>26772749997</v>
      </c>
      <c r="X128" s="38"/>
      <c r="Y128" s="38">
        <f>+Y129+Y142+Y145+Y150</f>
        <v>22105716218</v>
      </c>
      <c r="Z128" s="38">
        <f>+Z129+Z142+Z145+Z150</f>
        <v>50324657653</v>
      </c>
      <c r="AA128" s="38"/>
      <c r="AB128" s="38">
        <f>+AB129+AB142+AB145+AB150</f>
        <v>47236952043</v>
      </c>
      <c r="AC128" s="38"/>
      <c r="AD128" s="38">
        <f>+AD129+AD142+AD145+AD150</f>
        <v>47471747167</v>
      </c>
      <c r="AE128" s="38">
        <f>+AE129+AE142+AE145+AE150</f>
        <v>0</v>
      </c>
      <c r="AF128" s="38">
        <f>+AF129+AF142+AF145+AF150</f>
        <v>47667458194</v>
      </c>
      <c r="AG128" s="38">
        <f>+AG129+AG142+AG145+AG150</f>
        <v>0</v>
      </c>
      <c r="AH128" s="38">
        <f>+AH129+AH142+AH145+AH150</f>
        <v>47532999409</v>
      </c>
      <c r="AI128" s="38"/>
      <c r="AJ128" s="38">
        <f>+AJ129+AJ142+AJ145+AJ150</f>
        <v>47561664347</v>
      </c>
      <c r="AK128" s="38">
        <f>+AK129+AK142+AK145+AK150</f>
        <v>0</v>
      </c>
      <c r="AL128" s="38">
        <f>+AL129+AL142+AL145+AL150</f>
        <v>47614897865</v>
      </c>
      <c r="AM128" s="38"/>
      <c r="AN128" s="38">
        <f>+AN129+AN142+AN145+AN150</f>
        <v>47557479711</v>
      </c>
      <c r="AO128" s="38"/>
      <c r="AP128" s="38">
        <f>+AP129+AP142+AP145+AP150</f>
        <v>45465176599</v>
      </c>
    </row>
    <row r="129" spans="4:42" s="37" customFormat="1" ht="15" customHeight="1">
      <c r="D129" s="37" t="s">
        <v>562</v>
      </c>
      <c r="I129" s="38">
        <f>SUM(I130:I140)</f>
        <v>9355402036</v>
      </c>
      <c r="J129" s="38"/>
      <c r="K129" s="38">
        <f>SUM(K130:K140)</f>
        <v>10542053202</v>
      </c>
      <c r="L129" s="38"/>
      <c r="M129" s="38">
        <f t="shared" ref="M129:U129" si="15">SUM(M130:M140)</f>
        <v>20279504305</v>
      </c>
      <c r="N129" s="38">
        <f t="shared" si="15"/>
        <v>0</v>
      </c>
      <c r="O129" s="38">
        <f t="shared" si="15"/>
        <v>13915591804</v>
      </c>
      <c r="P129" s="38">
        <f t="shared" si="15"/>
        <v>10708321018</v>
      </c>
      <c r="Q129" s="38">
        <f t="shared" si="15"/>
        <v>0</v>
      </c>
      <c r="R129" s="38">
        <f t="shared" si="15"/>
        <v>21964131211</v>
      </c>
      <c r="S129" s="38">
        <f t="shared" si="15"/>
        <v>0</v>
      </c>
      <c r="T129" s="38">
        <f t="shared" si="15"/>
        <v>17941511464</v>
      </c>
      <c r="U129" s="38">
        <f t="shared" si="15"/>
        <v>10725561663</v>
      </c>
      <c r="V129" s="38"/>
      <c r="W129" s="38">
        <f>SUM(W130:W140)</f>
        <v>22649418571</v>
      </c>
      <c r="X129" s="38"/>
      <c r="Y129" s="38">
        <f>SUM(Y130:Y140)</f>
        <v>17944313244</v>
      </c>
      <c r="Z129" s="38">
        <f>SUM(Z130:Z140)</f>
        <v>1979492878</v>
      </c>
      <c r="AA129" s="38"/>
      <c r="AB129" s="38">
        <f>SUM(AB130:AB140)</f>
        <v>1976015872</v>
      </c>
      <c r="AC129" s="38"/>
      <c r="AD129" s="38">
        <f>SUM(AD130:AD140)</f>
        <v>2125577868</v>
      </c>
      <c r="AE129" s="38">
        <f>SUM(AE130:AE140)</f>
        <v>0</v>
      </c>
      <c r="AF129" s="38">
        <f>SUM(AF130:AF140)</f>
        <v>2229869900</v>
      </c>
      <c r="AG129" s="38">
        <f>SUM(AG130:AG140)</f>
        <v>0</v>
      </c>
      <c r="AH129" s="38">
        <f>SUM(AH130:AH140)</f>
        <v>2102809842</v>
      </c>
      <c r="AI129" s="38"/>
      <c r="AJ129" s="38">
        <f>SUM(AJ130:AJ140)</f>
        <v>2075093287</v>
      </c>
      <c r="AK129" s="38">
        <f>SUM(AK130:AK140)</f>
        <v>0</v>
      </c>
      <c r="AL129" s="38">
        <f>SUM(AL130:AL140)</f>
        <v>2061813922</v>
      </c>
      <c r="AM129" s="38"/>
      <c r="AN129" s="38">
        <f>SUM(AN130:AN140)</f>
        <v>1946648548</v>
      </c>
      <c r="AO129" s="38"/>
      <c r="AP129" s="38">
        <f>SUM(AP130:AP140)</f>
        <v>3517715346</v>
      </c>
    </row>
    <row r="130" spans="4:42" ht="15" customHeight="1">
      <c r="D130" t="s">
        <v>563</v>
      </c>
      <c r="E130" t="s">
        <v>839</v>
      </c>
      <c r="I130" s="23">
        <v>286641278</v>
      </c>
      <c r="K130" s="23">
        <v>436337941</v>
      </c>
      <c r="M130" s="23">
        <v>7074442</v>
      </c>
      <c r="O130" s="23">
        <v>20903530</v>
      </c>
      <c r="P130" s="23">
        <v>714093071</v>
      </c>
      <c r="R130" s="23">
        <v>260286025</v>
      </c>
      <c r="T130" s="23">
        <v>17941511464</v>
      </c>
      <c r="U130" s="23">
        <v>715047912</v>
      </c>
      <c r="W130" s="23">
        <v>284349427</v>
      </c>
      <c r="Y130" s="23">
        <v>8308135</v>
      </c>
      <c r="Z130" s="23">
        <v>261292924</v>
      </c>
      <c r="AB130" s="23">
        <v>255727921</v>
      </c>
      <c r="AD130" s="23">
        <v>250162918</v>
      </c>
      <c r="AF130" s="23">
        <v>244597915</v>
      </c>
      <c r="AH130" s="41">
        <v>239473358</v>
      </c>
      <c r="AJ130" s="23">
        <v>233051459</v>
      </c>
      <c r="AL130" s="23">
        <v>232828196</v>
      </c>
      <c r="AN130" s="23">
        <v>226406297</v>
      </c>
      <c r="AP130" s="41">
        <v>218369010</v>
      </c>
    </row>
    <row r="131" spans="4:42" ht="15" customHeight="1">
      <c r="D131" t="s">
        <v>564</v>
      </c>
      <c r="E131" t="s">
        <v>839</v>
      </c>
      <c r="I131" s="23">
        <v>65219940</v>
      </c>
      <c r="K131" s="23">
        <v>79538696</v>
      </c>
      <c r="M131" s="23">
        <v>36559882</v>
      </c>
      <c r="O131" s="23">
        <v>42712911</v>
      </c>
      <c r="P131" s="23">
        <v>77542946</v>
      </c>
      <c r="R131" s="23">
        <v>37669197</v>
      </c>
      <c r="U131" s="23">
        <v>73144549</v>
      </c>
      <c r="W131" s="23">
        <v>70681727</v>
      </c>
      <c r="Y131" s="23">
        <v>35181486</v>
      </c>
      <c r="Z131" s="23">
        <v>328216379</v>
      </c>
      <c r="AB131" s="23">
        <v>327130848</v>
      </c>
      <c r="AD131" s="23">
        <v>379779359</v>
      </c>
      <c r="AF131" s="23">
        <v>373875752</v>
      </c>
      <c r="AH131" s="41">
        <v>390410270</v>
      </c>
      <c r="AJ131" s="23">
        <v>421356691</v>
      </c>
      <c r="AL131" s="23">
        <v>429776210</v>
      </c>
      <c r="AN131" s="23">
        <v>405834031</v>
      </c>
      <c r="AP131" s="41">
        <v>398301213</v>
      </c>
    </row>
    <row r="132" spans="4:42" ht="15" customHeight="1">
      <c r="D132" t="s">
        <v>565</v>
      </c>
      <c r="E132" t="s">
        <v>839</v>
      </c>
      <c r="I132" s="23">
        <v>549273562</v>
      </c>
      <c r="K132" s="23">
        <v>683866641</v>
      </c>
      <c r="M132" s="23">
        <v>308264496</v>
      </c>
      <c r="O132" s="23">
        <v>194136340</v>
      </c>
      <c r="P132" s="23">
        <v>707663713</v>
      </c>
      <c r="R132" s="23">
        <v>359578222</v>
      </c>
      <c r="U132" s="23">
        <v>714879693</v>
      </c>
      <c r="W132" s="23">
        <v>404738952</v>
      </c>
      <c r="Y132" s="23">
        <v>169487805</v>
      </c>
      <c r="Z132" s="23">
        <v>445751479</v>
      </c>
      <c r="AB132" s="23">
        <v>473471438</v>
      </c>
      <c r="AD132" s="23">
        <v>489168413</v>
      </c>
      <c r="AF132" s="23">
        <v>481914401</v>
      </c>
      <c r="AH132" s="41">
        <v>467531458</v>
      </c>
      <c r="AJ132" s="23">
        <v>461232483</v>
      </c>
      <c r="AL132" s="23">
        <v>458738135</v>
      </c>
      <c r="AN132" s="23">
        <v>455466266</v>
      </c>
      <c r="AP132" s="41">
        <v>471720101</v>
      </c>
    </row>
    <row r="133" spans="4:42" ht="15" customHeight="1">
      <c r="D133" t="s">
        <v>566</v>
      </c>
      <c r="E133" t="s">
        <v>839</v>
      </c>
      <c r="I133" s="23">
        <v>59780922</v>
      </c>
      <c r="K133" s="23">
        <v>69859019</v>
      </c>
      <c r="M133" s="23">
        <v>58092882</v>
      </c>
      <c r="O133" s="23">
        <v>56365561</v>
      </c>
      <c r="P133" s="23">
        <v>67964025</v>
      </c>
      <c r="R133" s="23">
        <v>51761550</v>
      </c>
      <c r="U133" s="23">
        <v>63432667</v>
      </c>
      <c r="W133" s="23">
        <v>64492960</v>
      </c>
      <c r="Y133" s="23">
        <v>47368170</v>
      </c>
      <c r="Z133" s="23">
        <v>61043300</v>
      </c>
      <c r="AB133" s="23">
        <v>69336819</v>
      </c>
      <c r="AD133" s="23">
        <v>73834878</v>
      </c>
      <c r="AF133" s="23">
        <v>92669083</v>
      </c>
      <c r="AH133" s="41">
        <v>106590480</v>
      </c>
      <c r="AJ133" s="23">
        <v>115483635</v>
      </c>
      <c r="AL133" s="23">
        <v>112292620</v>
      </c>
      <c r="AN133" s="23">
        <v>114282103</v>
      </c>
      <c r="AP133" s="41">
        <v>130455036</v>
      </c>
    </row>
    <row r="134" spans="4:42" ht="15" customHeight="1">
      <c r="D134" t="s">
        <v>567</v>
      </c>
      <c r="E134" t="s">
        <v>839</v>
      </c>
      <c r="I134" s="23">
        <v>891670733</v>
      </c>
      <c r="K134" s="23">
        <v>1189441190</v>
      </c>
      <c r="M134" s="23">
        <v>597563445</v>
      </c>
      <c r="O134" s="23">
        <v>409810194</v>
      </c>
      <c r="P134" s="23">
        <v>1158376607</v>
      </c>
      <c r="R134" s="23">
        <v>570652173</v>
      </c>
      <c r="U134" s="23">
        <v>1127312024</v>
      </c>
      <c r="W134" s="23">
        <v>228971504</v>
      </c>
      <c r="Y134" s="23">
        <v>278671118</v>
      </c>
      <c r="Z134" s="23">
        <v>605939772</v>
      </c>
      <c r="AB134" s="23">
        <v>526027855</v>
      </c>
      <c r="AD134" s="23">
        <v>580473136</v>
      </c>
      <c r="AF134" s="23">
        <v>563515618</v>
      </c>
      <c r="AH134" s="41">
        <v>499160079</v>
      </c>
      <c r="AJ134" s="23">
        <v>456023364</v>
      </c>
      <c r="AL134" s="23">
        <v>412886649</v>
      </c>
      <c r="AN134" s="23">
        <v>284388099</v>
      </c>
      <c r="AP134" s="41">
        <v>1767367443</v>
      </c>
    </row>
    <row r="135" spans="4:42" ht="15" customHeight="1">
      <c r="D135" t="s">
        <v>568</v>
      </c>
      <c r="E135" t="s">
        <v>839</v>
      </c>
      <c r="I135" s="23">
        <v>7216620105</v>
      </c>
      <c r="K135" s="23">
        <v>7816754481</v>
      </c>
      <c r="M135" s="23">
        <v>3883857650</v>
      </c>
      <c r="O135" s="23">
        <v>2116679236</v>
      </c>
      <c r="P135" s="23">
        <v>7924647058</v>
      </c>
      <c r="R135" s="23">
        <v>5048611552</v>
      </c>
      <c r="U135" s="23">
        <v>7937245482</v>
      </c>
      <c r="W135" s="23">
        <v>5918251103</v>
      </c>
      <c r="Y135" s="23">
        <v>1932216740</v>
      </c>
      <c r="Z135" s="23">
        <v>150883336</v>
      </c>
      <c r="AB135" s="23">
        <v>204943911</v>
      </c>
      <c r="AD135" s="23">
        <v>239770692</v>
      </c>
      <c r="AF135" s="23">
        <v>306763994</v>
      </c>
      <c r="AH135" s="41">
        <v>245995504</v>
      </c>
      <c r="AJ135" s="23">
        <v>246224239</v>
      </c>
      <c r="AL135" s="23">
        <v>285497973</v>
      </c>
      <c r="AN135" s="23">
        <v>328859435</v>
      </c>
      <c r="AP135" s="41">
        <v>386130416</v>
      </c>
    </row>
    <row r="136" spans="4:42" ht="15" customHeight="1">
      <c r="D136" t="s">
        <v>569</v>
      </c>
      <c r="E136" t="s">
        <v>839</v>
      </c>
      <c r="I136" s="23">
        <v>0</v>
      </c>
      <c r="K136" s="23">
        <v>0</v>
      </c>
      <c r="M136" s="23">
        <v>15283512559</v>
      </c>
      <c r="O136" s="23">
        <v>10838820752</v>
      </c>
      <c r="R136" s="23">
        <v>15341526316</v>
      </c>
      <c r="W136" s="23">
        <v>15399540073</v>
      </c>
      <c r="Y136" s="23">
        <v>15332115042</v>
      </c>
      <c r="AH136" s="41"/>
      <c r="AP136" s="41"/>
    </row>
    <row r="137" spans="4:42" ht="15" customHeight="1">
      <c r="D137" t="s">
        <v>570</v>
      </c>
      <c r="E137" t="s">
        <v>839</v>
      </c>
      <c r="I137" s="23">
        <v>74756736</v>
      </c>
      <c r="K137" s="23">
        <v>54816474</v>
      </c>
      <c r="M137" s="23">
        <v>104578949</v>
      </c>
      <c r="O137" s="23">
        <v>180160833</v>
      </c>
      <c r="P137" s="23">
        <v>34876212</v>
      </c>
      <c r="R137" s="23">
        <v>85766507</v>
      </c>
      <c r="U137" s="23">
        <v>14935950</v>
      </c>
      <c r="W137" s="23">
        <v>66954065</v>
      </c>
      <c r="Y137" s="23">
        <v>143200179</v>
      </c>
      <c r="Z137" s="23">
        <v>48177082</v>
      </c>
      <c r="AB137" s="23">
        <v>41532169</v>
      </c>
      <c r="AD137" s="23">
        <v>34887256</v>
      </c>
      <c r="AF137" s="23">
        <v>89375616</v>
      </c>
      <c r="AH137" s="41">
        <v>81276890</v>
      </c>
      <c r="AJ137" s="23">
        <v>71043566</v>
      </c>
      <c r="AL137" s="23">
        <v>60810242</v>
      </c>
      <c r="AN137" s="23">
        <v>61486009</v>
      </c>
      <c r="AP137" s="41">
        <v>79519210</v>
      </c>
    </row>
    <row r="138" spans="4:42" ht="15" customHeight="1">
      <c r="D138" t="s">
        <v>571</v>
      </c>
      <c r="E138" t="s">
        <v>839</v>
      </c>
      <c r="I138" s="23">
        <v>0</v>
      </c>
      <c r="K138" s="23">
        <v>0</v>
      </c>
      <c r="M138" s="23">
        <v>0</v>
      </c>
      <c r="AH138" s="41"/>
      <c r="AP138" s="41"/>
    </row>
    <row r="139" spans="4:42" ht="15" customHeight="1">
      <c r="D139" t="s">
        <v>572</v>
      </c>
      <c r="E139" t="s">
        <v>839</v>
      </c>
      <c r="I139" s="23">
        <v>211438760</v>
      </c>
      <c r="K139" s="23">
        <v>211438760</v>
      </c>
      <c r="M139" s="23">
        <v>0</v>
      </c>
      <c r="O139" s="23">
        <v>971533</v>
      </c>
      <c r="P139" s="23">
        <v>23157386</v>
      </c>
      <c r="R139" s="23">
        <v>208279669</v>
      </c>
      <c r="U139" s="23">
        <v>79563386</v>
      </c>
      <c r="W139" s="23">
        <v>211438760</v>
      </c>
      <c r="Y139" s="23">
        <v>323845</v>
      </c>
      <c r="Z139" s="23">
        <v>78188606</v>
      </c>
      <c r="AB139" s="23">
        <v>77844911</v>
      </c>
      <c r="AD139" s="23">
        <v>77501216</v>
      </c>
      <c r="AF139" s="23">
        <v>77157521</v>
      </c>
      <c r="AH139" s="41">
        <v>72371803</v>
      </c>
      <c r="AJ139" s="23">
        <v>70677850</v>
      </c>
      <c r="AL139" s="23">
        <v>68983897</v>
      </c>
      <c r="AN139" s="23">
        <v>69926308</v>
      </c>
      <c r="AP139" s="41">
        <v>65852917</v>
      </c>
    </row>
    <row r="140" spans="4:42" ht="15" customHeight="1">
      <c r="D140" t="s">
        <v>573</v>
      </c>
      <c r="E140" t="s">
        <v>839</v>
      </c>
      <c r="I140" s="23">
        <v>0</v>
      </c>
      <c r="K140" s="23">
        <v>0</v>
      </c>
      <c r="M140" s="23">
        <v>0</v>
      </c>
      <c r="O140" s="23">
        <v>55030914</v>
      </c>
      <c r="Y140" s="23">
        <v>-2559276</v>
      </c>
    </row>
    <row r="141" spans="4:42" ht="15" customHeight="1"/>
    <row r="142" spans="4:42" s="37" customFormat="1" ht="15" customHeight="1">
      <c r="D142" s="37" t="s">
        <v>574</v>
      </c>
      <c r="I142" s="38">
        <f>+I143</f>
        <v>11889805339</v>
      </c>
      <c r="J142" s="38"/>
      <c r="K142" s="38">
        <f>+K143</f>
        <v>11889805339</v>
      </c>
      <c r="L142" s="38"/>
      <c r="M142" s="38">
        <f>+M143</f>
        <v>4087551173</v>
      </c>
      <c r="N142" s="38">
        <f t="shared" ref="N142:AP142" si="16">+N143</f>
        <v>0</v>
      </c>
      <c r="O142" s="38">
        <f t="shared" si="16"/>
        <v>16107618218</v>
      </c>
      <c r="P142" s="38">
        <f t="shared" si="16"/>
        <v>11889805339</v>
      </c>
      <c r="Q142" s="38">
        <f t="shared" si="16"/>
        <v>0</v>
      </c>
      <c r="R142" s="38">
        <f t="shared" si="16"/>
        <v>4087551173</v>
      </c>
      <c r="S142" s="38">
        <f t="shared" si="16"/>
        <v>0</v>
      </c>
      <c r="T142" s="38">
        <f t="shared" si="16"/>
        <v>16107618218</v>
      </c>
      <c r="U142" s="38">
        <f t="shared" si="16"/>
        <v>11889805339</v>
      </c>
      <c r="V142" s="38"/>
      <c r="W142" s="38">
        <f t="shared" si="16"/>
        <v>4087551173</v>
      </c>
      <c r="X142" s="38"/>
      <c r="Y142" s="38">
        <f t="shared" si="16"/>
        <v>4087551173</v>
      </c>
      <c r="Z142" s="38">
        <f t="shared" si="16"/>
        <v>21034302150</v>
      </c>
      <c r="AA142" s="38"/>
      <c r="AB142" s="38">
        <f t="shared" si="16"/>
        <v>17838304206</v>
      </c>
      <c r="AC142" s="38"/>
      <c r="AD142" s="38">
        <f t="shared" si="16"/>
        <v>17838304206</v>
      </c>
      <c r="AE142" s="38">
        <f t="shared" si="16"/>
        <v>0</v>
      </c>
      <c r="AF142" s="38">
        <f t="shared" si="16"/>
        <v>17838304206</v>
      </c>
      <c r="AG142" s="38">
        <f t="shared" si="16"/>
        <v>0</v>
      </c>
      <c r="AH142" s="38">
        <f t="shared" si="16"/>
        <v>17838304206</v>
      </c>
      <c r="AI142" s="38"/>
      <c r="AJ142" s="38">
        <f t="shared" si="16"/>
        <v>17838304206</v>
      </c>
      <c r="AK142" s="38">
        <f t="shared" si="16"/>
        <v>0</v>
      </c>
      <c r="AL142" s="38">
        <f t="shared" si="16"/>
        <v>17838304206</v>
      </c>
      <c r="AM142" s="38"/>
      <c r="AN142" s="38">
        <f t="shared" si="16"/>
        <v>17838304206</v>
      </c>
      <c r="AO142" s="38"/>
      <c r="AP142" s="38">
        <f t="shared" si="16"/>
        <v>14167706577</v>
      </c>
    </row>
    <row r="143" spans="4:42" ht="15" customHeight="1">
      <c r="D143" t="s">
        <v>575</v>
      </c>
      <c r="E143" t="s">
        <v>741</v>
      </c>
      <c r="I143" s="23">
        <v>11889805339</v>
      </c>
      <c r="K143" s="23">
        <v>11889805339</v>
      </c>
      <c r="M143" s="23">
        <v>4087551173</v>
      </c>
      <c r="O143" s="23">
        <v>16107618218</v>
      </c>
      <c r="P143" s="23">
        <v>11889805339</v>
      </c>
      <c r="R143" s="23">
        <v>4087551173</v>
      </c>
      <c r="T143" s="23">
        <v>16107618218</v>
      </c>
      <c r="U143" s="23">
        <v>11889805339</v>
      </c>
      <c r="W143" s="23">
        <v>4087551173</v>
      </c>
      <c r="Y143" s="23">
        <v>4087551173</v>
      </c>
      <c r="Z143" s="23">
        <v>21034302150</v>
      </c>
      <c r="AB143" s="23">
        <v>17838304206</v>
      </c>
      <c r="AD143" s="23">
        <v>17838304206</v>
      </c>
      <c r="AF143" s="23">
        <v>17838304206</v>
      </c>
      <c r="AH143" s="41">
        <v>17838304206</v>
      </c>
      <c r="AJ143" s="23">
        <v>17838304206</v>
      </c>
      <c r="AL143" s="23">
        <v>17838304206</v>
      </c>
      <c r="AN143" s="23">
        <v>17838304206</v>
      </c>
      <c r="AP143" s="41">
        <v>14167706577</v>
      </c>
    </row>
    <row r="144" spans="4:42" ht="15" customHeight="1"/>
    <row r="145" spans="4:42" s="37" customFormat="1" ht="15" customHeight="1">
      <c r="D145" s="37" t="s">
        <v>576</v>
      </c>
      <c r="I145" s="38">
        <f>SUM(I146:I148)</f>
        <v>23934047</v>
      </c>
      <c r="J145" s="38"/>
      <c r="K145" s="38">
        <f>SUM(K146:K148)</f>
        <v>114467960</v>
      </c>
      <c r="L145" s="38"/>
      <c r="M145" s="38">
        <f>SUM(M146:M148)</f>
        <v>50436312</v>
      </c>
      <c r="N145" s="38">
        <f t="shared" ref="N145:AB145" si="17">SUM(N146:N148)</f>
        <v>0</v>
      </c>
      <c r="O145" s="38">
        <f t="shared" si="17"/>
        <v>93586721</v>
      </c>
      <c r="P145" s="38">
        <f t="shared" si="17"/>
        <v>110877515</v>
      </c>
      <c r="Q145" s="38">
        <f t="shared" si="17"/>
        <v>0</v>
      </c>
      <c r="R145" s="38">
        <f t="shared" si="17"/>
        <v>38590101</v>
      </c>
      <c r="S145" s="38">
        <f t="shared" si="17"/>
        <v>0</v>
      </c>
      <c r="T145" s="38">
        <f t="shared" si="17"/>
        <v>84521079</v>
      </c>
      <c r="U145" s="38">
        <f t="shared" si="17"/>
        <v>107287070</v>
      </c>
      <c r="V145" s="38"/>
      <c r="W145" s="38">
        <f t="shared" si="17"/>
        <v>35780253</v>
      </c>
      <c r="X145" s="38"/>
      <c r="Y145" s="38">
        <f t="shared" si="17"/>
        <v>73851801</v>
      </c>
      <c r="Z145" s="38">
        <f t="shared" si="17"/>
        <v>103696625</v>
      </c>
      <c r="AA145" s="38"/>
      <c r="AB145" s="38">
        <f t="shared" si="17"/>
        <v>124939837</v>
      </c>
      <c r="AC145" s="38"/>
      <c r="AD145" s="38">
        <f>SUM(AD146:AD148)</f>
        <v>119646837</v>
      </c>
      <c r="AE145" s="38">
        <f>SUM(AE146:AE148)</f>
        <v>0</v>
      </c>
      <c r="AF145" s="38">
        <f>SUM(AF146:AF148)</f>
        <v>120539704</v>
      </c>
      <c r="AG145" s="38">
        <f>SUM(AG146:AG148)</f>
        <v>0</v>
      </c>
      <c r="AH145" s="38">
        <f>SUM(AH146:AH148)</f>
        <v>114630340</v>
      </c>
      <c r="AI145" s="38"/>
      <c r="AJ145" s="38">
        <f>SUM(AJ146:AJ148)</f>
        <v>105505165</v>
      </c>
      <c r="AK145" s="38">
        <f>SUM(AK146:AK148)</f>
        <v>0</v>
      </c>
      <c r="AL145" s="38">
        <f>SUM(AL146:AL148)</f>
        <v>106511380</v>
      </c>
      <c r="AM145" s="38"/>
      <c r="AN145" s="38">
        <f>SUM(AN146:AN148)</f>
        <v>98751932</v>
      </c>
      <c r="AO145" s="38"/>
      <c r="AP145" s="38">
        <f>SUM(AP146:AP148)</f>
        <v>92221854</v>
      </c>
    </row>
    <row r="146" spans="4:42" ht="15" customHeight="1">
      <c r="D146" t="s">
        <v>577</v>
      </c>
      <c r="E146" t="s">
        <v>751</v>
      </c>
      <c r="I146" s="23">
        <v>199715793</v>
      </c>
      <c r="K146" s="23">
        <v>293840151</v>
      </c>
      <c r="M146" s="23">
        <v>190679430</v>
      </c>
      <c r="O146" s="23">
        <v>187275794</v>
      </c>
      <c r="P146" s="23">
        <v>293840151</v>
      </c>
      <c r="R146" s="23">
        <v>190679430</v>
      </c>
      <c r="T146" s="23">
        <v>189779430</v>
      </c>
      <c r="U146" s="23">
        <v>293840151</v>
      </c>
      <c r="W146" s="23">
        <v>199715793</v>
      </c>
      <c r="Y146" s="23">
        <v>190679430</v>
      </c>
      <c r="Z146" s="23">
        <v>293840151</v>
      </c>
      <c r="AB146" s="23">
        <v>314861818</v>
      </c>
      <c r="AD146" s="23">
        <v>316438182</v>
      </c>
      <c r="AF146" s="23">
        <v>324200413</v>
      </c>
      <c r="AH146" s="41">
        <v>325160413</v>
      </c>
      <c r="AJ146" s="23">
        <v>325160413</v>
      </c>
      <c r="AL146" s="23">
        <v>335291803</v>
      </c>
      <c r="AN146" s="23">
        <v>336657530</v>
      </c>
      <c r="AP146" s="41">
        <v>338552627</v>
      </c>
    </row>
    <row r="147" spans="4:42" ht="15" customHeight="1">
      <c r="D147" t="s">
        <v>1058</v>
      </c>
      <c r="E147" t="s">
        <v>751</v>
      </c>
      <c r="AB147" s="23">
        <v>7090909</v>
      </c>
      <c r="AD147" s="23">
        <v>7090909</v>
      </c>
      <c r="AF147" s="23">
        <v>7090909</v>
      </c>
      <c r="AH147" s="41">
        <v>7090909</v>
      </c>
      <c r="AJ147" s="23">
        <v>7090909</v>
      </c>
      <c r="AL147" s="23">
        <v>7090909</v>
      </c>
      <c r="AN147" s="23">
        <v>7090909</v>
      </c>
      <c r="AP147" s="41">
        <v>7790909</v>
      </c>
    </row>
    <row r="148" spans="4:42" ht="15" customHeight="1">
      <c r="D148" t="s">
        <v>578</v>
      </c>
      <c r="E148" t="s">
        <v>751</v>
      </c>
      <c r="I148" s="23">
        <v>-175781746</v>
      </c>
      <c r="K148" s="23">
        <v>-179372191</v>
      </c>
      <c r="M148" s="23">
        <v>-140243118</v>
      </c>
      <c r="O148" s="23">
        <v>-93689073</v>
      </c>
      <c r="P148" s="23">
        <v>-182962636</v>
      </c>
      <c r="R148" s="23">
        <v>-152089329</v>
      </c>
      <c r="T148" s="23">
        <v>-105258351</v>
      </c>
      <c r="U148" s="23">
        <v>-186553081</v>
      </c>
      <c r="W148" s="23">
        <v>-163935540</v>
      </c>
      <c r="Y148" s="23">
        <v>-116827629</v>
      </c>
      <c r="Z148" s="23">
        <v>-190143526</v>
      </c>
      <c r="AB148" s="23">
        <v>-197012890</v>
      </c>
      <c r="AD148" s="23">
        <v>-203882254</v>
      </c>
      <c r="AF148" s="23">
        <v>-210751618</v>
      </c>
      <c r="AH148" s="41">
        <v>-217620982</v>
      </c>
      <c r="AJ148" s="23">
        <v>-226746157</v>
      </c>
      <c r="AL148" s="23">
        <v>-235871332</v>
      </c>
      <c r="AN148" s="23">
        <v>-244996507</v>
      </c>
      <c r="AP148" s="41">
        <v>-254121682</v>
      </c>
    </row>
    <row r="149" spans="4:42" ht="15" customHeight="1"/>
    <row r="150" spans="4:42" s="37" customFormat="1" ht="14.25" customHeight="1">
      <c r="D150" s="37" t="s">
        <v>579</v>
      </c>
      <c r="I150" s="38">
        <f>+I151</f>
        <v>8020388716</v>
      </c>
      <c r="J150" s="38"/>
      <c r="K150" s="38">
        <f>+K151</f>
        <v>8096060770</v>
      </c>
      <c r="L150" s="38"/>
      <c r="M150" s="38">
        <f>+M151</f>
        <v>0</v>
      </c>
      <c r="N150" s="38">
        <f t="shared" ref="N150:AP150" si="18">+N151</f>
        <v>0</v>
      </c>
      <c r="O150" s="38">
        <f t="shared" si="18"/>
        <v>0</v>
      </c>
      <c r="P150" s="38">
        <f t="shared" si="18"/>
        <v>8171732824</v>
      </c>
      <c r="Q150" s="38">
        <f t="shared" si="18"/>
        <v>0</v>
      </c>
      <c r="R150" s="38">
        <f t="shared" si="18"/>
        <v>0</v>
      </c>
      <c r="S150" s="38">
        <f t="shared" si="18"/>
        <v>0</v>
      </c>
      <c r="T150" s="38">
        <f t="shared" si="18"/>
        <v>0</v>
      </c>
      <c r="U150" s="38">
        <f t="shared" si="18"/>
        <v>8247404878</v>
      </c>
      <c r="V150" s="38"/>
      <c r="W150" s="38">
        <f t="shared" si="18"/>
        <v>0</v>
      </c>
      <c r="X150" s="38"/>
      <c r="Y150" s="38">
        <f t="shared" si="18"/>
        <v>0</v>
      </c>
      <c r="Z150" s="38">
        <f t="shared" si="18"/>
        <v>27207166000</v>
      </c>
      <c r="AA150" s="38"/>
      <c r="AB150" s="38">
        <f t="shared" si="18"/>
        <v>27297692128</v>
      </c>
      <c r="AC150" s="38"/>
      <c r="AD150" s="38">
        <f t="shared" si="18"/>
        <v>27388218256</v>
      </c>
      <c r="AE150" s="38">
        <f t="shared" si="18"/>
        <v>0</v>
      </c>
      <c r="AF150" s="38">
        <f t="shared" si="18"/>
        <v>27478744384</v>
      </c>
      <c r="AG150" s="38">
        <f t="shared" si="18"/>
        <v>0</v>
      </c>
      <c r="AH150" s="38">
        <f t="shared" si="18"/>
        <v>27477255021</v>
      </c>
      <c r="AI150" s="38"/>
      <c r="AJ150" s="38">
        <f t="shared" si="18"/>
        <v>27542761689</v>
      </c>
      <c r="AK150" s="38">
        <f t="shared" si="18"/>
        <v>0</v>
      </c>
      <c r="AL150" s="38">
        <f t="shared" si="18"/>
        <v>27608268357</v>
      </c>
      <c r="AM150" s="38"/>
      <c r="AN150" s="38">
        <f t="shared" si="18"/>
        <v>27673775025</v>
      </c>
      <c r="AO150" s="38"/>
      <c r="AP150" s="38">
        <f t="shared" si="18"/>
        <v>27687532822</v>
      </c>
    </row>
    <row r="151" spans="4:42" ht="15" customHeight="1">
      <c r="D151" t="s">
        <v>580</v>
      </c>
      <c r="E151" t="s">
        <v>915</v>
      </c>
      <c r="I151" s="23">
        <v>8020388716</v>
      </c>
      <c r="K151" s="23">
        <v>8096060770</v>
      </c>
      <c r="M151" s="23">
        <v>0</v>
      </c>
      <c r="P151" s="23">
        <v>8171732824</v>
      </c>
      <c r="U151" s="23">
        <v>8247404878</v>
      </c>
      <c r="Z151" s="23">
        <v>27207166000</v>
      </c>
      <c r="AB151" s="23">
        <f>27207166000+90526128</f>
        <v>27297692128</v>
      </c>
      <c r="AD151" s="23">
        <v>27388218256</v>
      </c>
      <c r="AF151" s="23">
        <v>27478744384</v>
      </c>
      <c r="AH151" s="41">
        <v>27477255021</v>
      </c>
      <c r="AJ151" s="23">
        <v>27542761689</v>
      </c>
      <c r="AL151" s="23">
        <v>27608268357</v>
      </c>
      <c r="AN151" s="23">
        <v>27673775025</v>
      </c>
      <c r="AP151" s="41">
        <v>27687532822</v>
      </c>
    </row>
    <row r="152" spans="4:42" ht="15" customHeight="1"/>
    <row r="153" spans="4:42" s="37" customFormat="1" ht="15" customHeight="1">
      <c r="D153" s="37" t="s">
        <v>512</v>
      </c>
      <c r="I153" s="38">
        <f>+I154+I172</f>
        <v>29104846124</v>
      </c>
      <c r="J153" s="38"/>
      <c r="K153" s="38">
        <f>+K154+K172</f>
        <v>25519491906</v>
      </c>
      <c r="L153" s="38"/>
      <c r="M153" s="38">
        <f t="shared" ref="M153:U153" si="19">+M154+M172</f>
        <v>27639954278</v>
      </c>
      <c r="N153" s="38">
        <f t="shared" si="19"/>
        <v>0</v>
      </c>
      <c r="O153" s="38">
        <f t="shared" si="19"/>
        <v>21571898643</v>
      </c>
      <c r="P153" s="38">
        <f t="shared" si="19"/>
        <v>25786583531</v>
      </c>
      <c r="Q153" s="38">
        <f t="shared" si="19"/>
        <v>0</v>
      </c>
      <c r="R153" s="38">
        <f t="shared" si="19"/>
        <v>28248100229</v>
      </c>
      <c r="S153" s="38">
        <f t="shared" si="19"/>
        <v>0</v>
      </c>
      <c r="T153" s="38">
        <f t="shared" si="19"/>
        <v>27036125809</v>
      </c>
      <c r="U153" s="38">
        <f t="shared" si="19"/>
        <v>27964773401</v>
      </c>
      <c r="V153" s="38"/>
      <c r="W153" s="38">
        <f>+W154+W172</f>
        <v>28784202504</v>
      </c>
      <c r="X153" s="38"/>
      <c r="Y153" s="38">
        <f>+Y154+Y172</f>
        <v>24463816309</v>
      </c>
      <c r="Z153" s="38">
        <f>+Z154+Z172</f>
        <v>31027807215</v>
      </c>
      <c r="AA153" s="38"/>
      <c r="AB153" s="38">
        <f>+AB154+AB172</f>
        <v>27065296502</v>
      </c>
      <c r="AC153" s="38"/>
      <c r="AD153" s="38">
        <f>+AD154+AD172</f>
        <v>26310122590</v>
      </c>
      <c r="AE153" s="38">
        <f>+AE154+AE172</f>
        <v>0</v>
      </c>
      <c r="AF153" s="38">
        <f>+AF154+AF172</f>
        <v>24170205994</v>
      </c>
      <c r="AG153" s="38">
        <f>+AG154+AG172</f>
        <v>0</v>
      </c>
      <c r="AH153" s="38">
        <f>+AH154+AH172</f>
        <v>28739151200</v>
      </c>
      <c r="AI153" s="38"/>
      <c r="AJ153" s="38">
        <f>+AJ154+AJ172</f>
        <v>32367226236</v>
      </c>
      <c r="AK153" s="38">
        <f>+AK154+AK172</f>
        <v>0</v>
      </c>
      <c r="AL153" s="38">
        <f>+AL154+AL172</f>
        <v>31920104296</v>
      </c>
      <c r="AM153" s="38"/>
      <c r="AN153" s="38">
        <f>+AN154+AN172</f>
        <v>33188282966</v>
      </c>
      <c r="AO153" s="38"/>
      <c r="AP153" s="38">
        <f>+AP154+AP172</f>
        <v>35454019106</v>
      </c>
    </row>
    <row r="154" spans="4:42" s="37" customFormat="1" ht="15" customHeight="1">
      <c r="D154" s="37" t="s">
        <v>513</v>
      </c>
      <c r="I154" s="38">
        <f>SUM(I155:I165)</f>
        <v>27060724826</v>
      </c>
      <c r="J154" s="38"/>
      <c r="K154" s="38">
        <f>SUM(K155:K165)</f>
        <v>23228699766</v>
      </c>
      <c r="L154" s="38"/>
      <c r="M154" s="38">
        <f t="shared" ref="M154:U154" si="20">SUM(M155:M165)</f>
        <v>25931249566</v>
      </c>
      <c r="N154" s="38">
        <f t="shared" si="20"/>
        <v>0</v>
      </c>
      <c r="O154" s="38">
        <f t="shared" si="20"/>
        <v>21571898643</v>
      </c>
      <c r="P154" s="38">
        <f t="shared" si="20"/>
        <v>23727600682</v>
      </c>
      <c r="Q154" s="38">
        <f t="shared" si="20"/>
        <v>0</v>
      </c>
      <c r="R154" s="38">
        <f t="shared" si="20"/>
        <v>26727982751</v>
      </c>
      <c r="S154" s="38">
        <f t="shared" si="20"/>
        <v>0</v>
      </c>
      <c r="T154" s="38">
        <f t="shared" si="20"/>
        <v>22036125809</v>
      </c>
      <c r="U154" s="38">
        <f t="shared" si="20"/>
        <v>26195810206</v>
      </c>
      <c r="V154" s="38"/>
      <c r="W154" s="38">
        <f>SUM(W155:W165)</f>
        <v>27480764315</v>
      </c>
      <c r="X154" s="38"/>
      <c r="Y154" s="38">
        <f>SUM(Y155:Y165)</f>
        <v>24463816309</v>
      </c>
      <c r="Z154" s="38">
        <f>SUM(Z155:Z165)</f>
        <v>29478441626</v>
      </c>
      <c r="AA154" s="38"/>
      <c r="AB154" s="38">
        <f>SUM(AB155:AB165)</f>
        <v>24914778165</v>
      </c>
      <c r="AC154" s="38"/>
      <c r="AD154" s="38">
        <f>SUM(AD155:AD165)</f>
        <v>24481877795</v>
      </c>
      <c r="AE154" s="38">
        <f>SUM(AE155:AE165)</f>
        <v>0</v>
      </c>
      <c r="AF154" s="38">
        <f>SUM(AF155:AF165)</f>
        <v>22345693788</v>
      </c>
      <c r="AG154" s="38">
        <f>SUM(AG155:AG165)</f>
        <v>0</v>
      </c>
      <c r="AH154" s="38">
        <f>SUM(AH155:AH165)</f>
        <v>27262696254</v>
      </c>
      <c r="AI154" s="38"/>
      <c r="AJ154" s="38">
        <f>SUM(AJ155:AJ165)</f>
        <v>29840662546</v>
      </c>
      <c r="AK154" s="38">
        <f>SUM(AK155:AK165)</f>
        <v>0</v>
      </c>
      <c r="AL154" s="38">
        <f>SUM(AL155:AL165)</f>
        <v>30689019503</v>
      </c>
      <c r="AM154" s="38"/>
      <c r="AN154" s="38">
        <f>SUM(AN155:AN165)</f>
        <v>32164156937</v>
      </c>
      <c r="AO154" s="38"/>
      <c r="AP154" s="38">
        <f>SUM(AP155:AP165)</f>
        <v>34497582600</v>
      </c>
    </row>
    <row r="155" spans="4:42" ht="15" customHeight="1">
      <c r="D155" t="s">
        <v>581</v>
      </c>
      <c r="E155" t="s">
        <v>1515</v>
      </c>
      <c r="F155" t="s">
        <v>914</v>
      </c>
      <c r="I155" s="23">
        <v>34901261700</v>
      </c>
      <c r="K155" s="23">
        <v>33387225162</v>
      </c>
      <c r="M155" s="23">
        <v>32922693402</v>
      </c>
      <c r="O155" s="23">
        <v>24635984797</v>
      </c>
      <c r="P155" s="23">
        <v>31822235843</v>
      </c>
      <c r="R155" s="23">
        <v>32787434284</v>
      </c>
      <c r="T155" s="23">
        <v>24734050425</v>
      </c>
      <c r="U155" s="23">
        <v>31812295931</v>
      </c>
      <c r="W155" s="23">
        <v>32860341775</v>
      </c>
      <c r="Y155" s="23">
        <v>27345987900</v>
      </c>
      <c r="Z155" s="23">
        <v>32895287849</v>
      </c>
      <c r="AB155" s="23">
        <v>32431058719</v>
      </c>
      <c r="AD155" s="23">
        <v>30487008628</v>
      </c>
      <c r="AF155" s="23">
        <v>28465546646</v>
      </c>
      <c r="AH155" s="41">
        <v>31727221322</v>
      </c>
      <c r="AJ155" s="23">
        <v>34108409835</v>
      </c>
      <c r="AL155" s="23">
        <v>33575884087</v>
      </c>
      <c r="AN155" s="23">
        <v>33397034050</v>
      </c>
      <c r="AP155" s="41">
        <v>32637464815</v>
      </c>
    </row>
    <row r="156" spans="4:42" ht="15" customHeight="1">
      <c r="D156" t="s">
        <v>582</v>
      </c>
      <c r="E156" t="s">
        <v>1515</v>
      </c>
      <c r="F156" t="s">
        <v>759</v>
      </c>
      <c r="I156" s="23">
        <v>-2287357638</v>
      </c>
      <c r="K156" s="23">
        <v>-2790727030</v>
      </c>
      <c r="M156" s="23">
        <v>-3300525068</v>
      </c>
      <c r="O156" s="23">
        <v>-3064086154</v>
      </c>
      <c r="P156" s="23">
        <v>-2281397276</v>
      </c>
      <c r="R156" s="23">
        <v>-3036959144</v>
      </c>
      <c r="T156" s="23">
        <v>-2697924616</v>
      </c>
      <c r="U156" s="23">
        <v>-2038440671</v>
      </c>
      <c r="W156" s="23">
        <v>-2774954447</v>
      </c>
      <c r="Y156" s="23">
        <v>-2882171591</v>
      </c>
      <c r="Z156" s="23">
        <v>-1210925407</v>
      </c>
      <c r="AB156" s="23">
        <v>-1746954562</v>
      </c>
      <c r="AD156" s="23">
        <v>-1411149618</v>
      </c>
      <c r="AF156" s="23">
        <v>-1011494181</v>
      </c>
      <c r="AH156" s="41">
        <v>-1389715933</v>
      </c>
      <c r="AJ156" s="23">
        <v>-1672321906</v>
      </c>
      <c r="AL156" s="23">
        <v>-1536491717</v>
      </c>
      <c r="AN156" s="23">
        <f>-7097261080+5212880532</f>
        <v>-1884380548</v>
      </c>
      <c r="AP156" s="41">
        <f>5212880532-6961279932</f>
        <v>-1748399400</v>
      </c>
    </row>
    <row r="157" spans="4:42" ht="15" customHeight="1">
      <c r="D157" t="s">
        <v>519</v>
      </c>
      <c r="E157" t="s">
        <v>1515</v>
      </c>
      <c r="F157" t="s">
        <v>914</v>
      </c>
      <c r="I157" s="23">
        <v>-377303000</v>
      </c>
      <c r="K157" s="23">
        <v>-297590000</v>
      </c>
      <c r="M157" s="23">
        <v>-1027793000</v>
      </c>
      <c r="P157" s="23">
        <v>-195903000</v>
      </c>
      <c r="R157" s="23">
        <v>-788850000</v>
      </c>
      <c r="U157" s="23">
        <v>-126864000</v>
      </c>
      <c r="W157" s="23">
        <v>-585596000</v>
      </c>
      <c r="Z157" s="23">
        <v>-50655000</v>
      </c>
      <c r="AB157" s="23">
        <v>0</v>
      </c>
      <c r="AD157" s="23">
        <v>0</v>
      </c>
      <c r="AF157" s="23">
        <v>0</v>
      </c>
      <c r="AH157" s="41"/>
      <c r="AP157" s="41"/>
    </row>
    <row r="158" spans="4:42" ht="15" customHeight="1">
      <c r="D158" t="s">
        <v>520</v>
      </c>
      <c r="E158" t="s">
        <v>1515</v>
      </c>
      <c r="F158" t="s">
        <v>914</v>
      </c>
      <c r="I158" s="23">
        <v>-1625746532</v>
      </c>
      <c r="K158" s="23">
        <v>-1416156362</v>
      </c>
      <c r="M158" s="23">
        <v>-2663125768</v>
      </c>
      <c r="P158" s="23">
        <v>-1046341179</v>
      </c>
      <c r="R158" s="23">
        <v>-2233642389</v>
      </c>
      <c r="U158" s="23">
        <v>-887518799</v>
      </c>
      <c r="W158" s="23">
        <v>-2019027013</v>
      </c>
      <c r="Z158" s="23">
        <v>-539059445</v>
      </c>
      <c r="AB158" s="23">
        <v>-441152271</v>
      </c>
      <c r="AD158" s="23">
        <v>-236830000</v>
      </c>
      <c r="AF158" s="23">
        <v>-119261000</v>
      </c>
      <c r="AH158" s="41"/>
      <c r="AP158" s="41"/>
    </row>
    <row r="159" spans="4:42" ht="15" customHeight="1">
      <c r="D159" t="s">
        <v>521</v>
      </c>
      <c r="E159" t="s">
        <v>1515</v>
      </c>
      <c r="F159" t="s">
        <v>914</v>
      </c>
      <c r="I159" s="23">
        <v>-4976476215</v>
      </c>
      <c r="K159" s="23">
        <v>-7080398515</v>
      </c>
      <c r="M159" s="23">
        <v>0</v>
      </c>
      <c r="P159" s="23">
        <v>-5997340217</v>
      </c>
      <c r="U159" s="23">
        <v>-5600583499</v>
      </c>
      <c r="Z159" s="23">
        <v>-4653127615</v>
      </c>
      <c r="AB159" s="23">
        <v>-3849729053</v>
      </c>
      <c r="AD159" s="23">
        <v>-3100210916</v>
      </c>
      <c r="AF159" s="23">
        <v>-2458266010</v>
      </c>
      <c r="AH159" s="41">
        <v>-1820197871</v>
      </c>
      <c r="AJ159" s="23">
        <v>-1329349000</v>
      </c>
      <c r="AL159" s="23">
        <v>-931257000</v>
      </c>
      <c r="AN159" s="23">
        <v>-621042000</v>
      </c>
      <c r="AP159" s="41">
        <v>-254342000</v>
      </c>
    </row>
    <row r="160" spans="4:42" ht="15" customHeight="1">
      <c r="D160" t="s">
        <v>1057</v>
      </c>
      <c r="E160" t="s">
        <v>1515</v>
      </c>
      <c r="F160" t="s">
        <v>914</v>
      </c>
      <c r="AB160" s="23">
        <v>-4515365912</v>
      </c>
      <c r="AH160" s="41"/>
      <c r="AP160" s="41"/>
    </row>
    <row r="161" spans="4:42" ht="15" customHeight="1">
      <c r="D161" t="s">
        <v>1072</v>
      </c>
      <c r="E161" t="s">
        <v>1515</v>
      </c>
      <c r="F161" t="s">
        <v>914</v>
      </c>
      <c r="AD161" s="23">
        <v>-3847581208</v>
      </c>
      <c r="AF161" s="23">
        <v>-3315535504</v>
      </c>
      <c r="AH161" s="41">
        <v>-3575669301</v>
      </c>
      <c r="AJ161" s="23">
        <v>-2945701772</v>
      </c>
      <c r="AL161" s="23">
        <v>-2541728450</v>
      </c>
      <c r="AN161" s="23">
        <v>-1801077505</v>
      </c>
      <c r="AP161" s="41">
        <v>-1195715575</v>
      </c>
    </row>
    <row r="162" spans="4:42" ht="15" customHeight="1">
      <c r="D162" t="s">
        <v>1056</v>
      </c>
      <c r="E162" t="s">
        <v>1515</v>
      </c>
      <c r="F162" t="s">
        <v>914</v>
      </c>
      <c r="AF162" s="23">
        <v>-1200585072</v>
      </c>
      <c r="AH162" s="41">
        <v>-865290878</v>
      </c>
      <c r="AJ162" s="23">
        <v>-647586684</v>
      </c>
      <c r="AL162" s="23">
        <v>-397014490</v>
      </c>
      <c r="AN162" s="23">
        <v>-213698796</v>
      </c>
      <c r="AP162" s="41"/>
    </row>
    <row r="163" spans="4:42" ht="15" customHeight="1">
      <c r="D163" t="s">
        <v>1083</v>
      </c>
      <c r="E163" t="s">
        <v>1515</v>
      </c>
      <c r="F163" t="s">
        <v>914</v>
      </c>
      <c r="AF163" s="23">
        <v>-605352000</v>
      </c>
      <c r="AH163" s="41">
        <v>-531926000</v>
      </c>
      <c r="AJ163" s="23">
        <v>-1391062842</v>
      </c>
      <c r="AL163" s="23">
        <v>-1198647842</v>
      </c>
      <c r="AN163" s="23">
        <v>-1850750272</v>
      </c>
      <c r="AP163" s="41">
        <v>-2117778372</v>
      </c>
    </row>
    <row r="164" spans="4:42" ht="15" customHeight="1">
      <c r="D164" t="s">
        <v>583</v>
      </c>
      <c r="E164" t="s">
        <v>1515</v>
      </c>
      <c r="F164" t="s">
        <v>758</v>
      </c>
      <c r="I164" s="23">
        <v>2377244185</v>
      </c>
      <c r="K164" s="23">
        <v>2377244185</v>
      </c>
      <c r="M164" s="23">
        <v>0</v>
      </c>
      <c r="P164" s="23">
        <v>2377244185</v>
      </c>
      <c r="U164" s="23">
        <v>3987818918</v>
      </c>
      <c r="Z164" s="23">
        <v>3987818918</v>
      </c>
      <c r="AB164" s="23">
        <v>3987818918</v>
      </c>
      <c r="AD164" s="23">
        <v>3541538583</v>
      </c>
      <c r="AF164" s="23">
        <v>3541538583</v>
      </c>
      <c r="AH164" s="41">
        <v>4669172589</v>
      </c>
      <c r="AJ164" s="23">
        <v>4669172589</v>
      </c>
      <c r="AL164" s="23">
        <v>4669172589</v>
      </c>
      <c r="AN164" s="23">
        <v>6088969682</v>
      </c>
      <c r="AP164" s="41">
        <v>8127250806</v>
      </c>
    </row>
    <row r="165" spans="4:42" ht="15" customHeight="1">
      <c r="D165" t="s">
        <v>584</v>
      </c>
      <c r="E165" t="s">
        <v>1515</v>
      </c>
      <c r="F165" t="s">
        <v>801</v>
      </c>
      <c r="I165" s="23">
        <v>-950897674</v>
      </c>
      <c r="K165" s="23">
        <v>-950897674</v>
      </c>
      <c r="M165" s="23">
        <v>0</v>
      </c>
      <c r="P165" s="23">
        <v>-950897674</v>
      </c>
      <c r="U165" s="23">
        <v>-950897674</v>
      </c>
      <c r="Z165" s="23">
        <v>-950897674</v>
      </c>
      <c r="AB165" s="23">
        <v>-950897674</v>
      </c>
      <c r="AD165" s="23">
        <v>-950897674</v>
      </c>
      <c r="AF165" s="23">
        <v>-950897674</v>
      </c>
      <c r="AH165" s="41">
        <v>-950897674</v>
      </c>
      <c r="AJ165" s="23">
        <v>-950897674</v>
      </c>
      <c r="AL165" s="23">
        <v>-950897674</v>
      </c>
      <c r="AN165" s="23">
        <v>-950897674</v>
      </c>
      <c r="AP165" s="41">
        <v>-950897674</v>
      </c>
    </row>
    <row r="166" spans="4:42" ht="15" customHeight="1"/>
    <row r="167" spans="4:42" s="37" customFormat="1" ht="15" customHeight="1">
      <c r="D167" s="37" t="s">
        <v>529</v>
      </c>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f>+AJ168</f>
        <v>10158445216</v>
      </c>
      <c r="AK167" s="38">
        <f>+AK168</f>
        <v>0</v>
      </c>
      <c r="AL167" s="38">
        <f>+AL168</f>
        <v>10158445216</v>
      </c>
      <c r="AM167" s="38"/>
      <c r="AN167" s="38">
        <f>+AN168</f>
        <v>10158445216</v>
      </c>
      <c r="AO167" s="38"/>
      <c r="AP167" s="38">
        <f>SUM(AP168:AP170)</f>
        <v>11591879257</v>
      </c>
    </row>
    <row r="168" spans="4:42" ht="15" customHeight="1">
      <c r="D168" t="s">
        <v>532</v>
      </c>
      <c r="E168" t="s">
        <v>1607</v>
      </c>
      <c r="AJ168" s="23">
        <v>10158445216</v>
      </c>
      <c r="AL168" s="23">
        <v>10158445216</v>
      </c>
      <c r="AN168" s="23">
        <v>10158445216</v>
      </c>
    </row>
    <row r="169" spans="4:42" ht="15" customHeight="1">
      <c r="D169" t="s">
        <v>2511</v>
      </c>
      <c r="E169" t="s">
        <v>841</v>
      </c>
      <c r="F169" s="101" t="s">
        <v>4738</v>
      </c>
      <c r="AP169" s="23">
        <v>13331513941</v>
      </c>
    </row>
    <row r="170" spans="4:42" ht="15" customHeight="1">
      <c r="D170" t="s">
        <v>2513</v>
      </c>
      <c r="E170" t="s">
        <v>841</v>
      </c>
      <c r="F170" s="101" t="s">
        <v>4738</v>
      </c>
      <c r="AP170" s="23">
        <v>-1739634684</v>
      </c>
    </row>
    <row r="171" spans="4:42" ht="15" customHeight="1"/>
    <row r="172" spans="4:42" s="37" customFormat="1" ht="15" customHeight="1">
      <c r="D172" s="37" t="s">
        <v>585</v>
      </c>
      <c r="I172" s="38">
        <f>+I173+I176</f>
        <v>2044121298</v>
      </c>
      <c r="J172" s="38"/>
      <c r="K172" s="38">
        <f>+K173+K176</f>
        <v>2290792140</v>
      </c>
      <c r="L172" s="38">
        <f t="shared" ref="L172:T172" si="21">+L173+L176</f>
        <v>0</v>
      </c>
      <c r="M172" s="38">
        <f>+M173+M176</f>
        <v>1708704712</v>
      </c>
      <c r="N172" s="38">
        <f t="shared" si="21"/>
        <v>0</v>
      </c>
      <c r="O172" s="38">
        <f t="shared" si="21"/>
        <v>0</v>
      </c>
      <c r="P172" s="38">
        <f t="shared" si="21"/>
        <v>2058982849</v>
      </c>
      <c r="Q172" s="38">
        <f t="shared" si="21"/>
        <v>0</v>
      </c>
      <c r="R172" s="38">
        <f t="shared" si="21"/>
        <v>1520117478</v>
      </c>
      <c r="S172" s="38">
        <f t="shared" si="21"/>
        <v>0</v>
      </c>
      <c r="T172" s="38">
        <f t="shared" si="21"/>
        <v>5000000000</v>
      </c>
      <c r="U172" s="38">
        <f>+U173+U176</f>
        <v>1768963195</v>
      </c>
      <c r="V172" s="38"/>
      <c r="W172" s="38">
        <f>+W173+W176</f>
        <v>1303438189</v>
      </c>
      <c r="X172" s="38"/>
      <c r="Y172" s="38">
        <f>+Y173+Y176</f>
        <v>0</v>
      </c>
      <c r="Z172" s="38">
        <f>+Z173+Z176</f>
        <v>1549365589</v>
      </c>
      <c r="AA172" s="38"/>
      <c r="AB172" s="38">
        <f>+AB173+AB176</f>
        <v>2150518337</v>
      </c>
      <c r="AC172" s="38"/>
      <c r="AD172" s="38">
        <f>+AD173+AD176</f>
        <v>1828244795</v>
      </c>
      <c r="AE172" s="38">
        <f>+AE173+AE176</f>
        <v>0</v>
      </c>
      <c r="AF172" s="38">
        <f>+AF173+AF176</f>
        <v>1824512206</v>
      </c>
      <c r="AG172" s="38">
        <f>+AG173+AG176</f>
        <v>0</v>
      </c>
      <c r="AH172" s="38">
        <f>+AH173+AH176</f>
        <v>1476454946</v>
      </c>
      <c r="AI172" s="38"/>
      <c r="AJ172" s="38">
        <f>+AJ173+AJ176</f>
        <v>2526563690</v>
      </c>
      <c r="AK172" s="38">
        <f>+AK173+AK176</f>
        <v>0</v>
      </c>
      <c r="AL172" s="38">
        <f>+AL173+AL176</f>
        <v>1231084793</v>
      </c>
      <c r="AM172" s="38"/>
      <c r="AN172" s="38">
        <f>+AN173+AN176</f>
        <v>1024126029</v>
      </c>
      <c r="AO172" s="38"/>
      <c r="AP172" s="38">
        <f>+AP173+AP176</f>
        <v>956436506</v>
      </c>
    </row>
    <row r="173" spans="4:42" ht="15" customHeight="1">
      <c r="D173" t="s">
        <v>586</v>
      </c>
      <c r="E173" t="s">
        <v>1515</v>
      </c>
      <c r="F173" t="s">
        <v>914</v>
      </c>
      <c r="I173" s="23">
        <v>1903764135</v>
      </c>
      <c r="K173" s="23">
        <v>2156863551</v>
      </c>
      <c r="M173" s="23">
        <v>1708704712</v>
      </c>
      <c r="O173" s="23">
        <v>0</v>
      </c>
      <c r="P173" s="23">
        <v>1931482834</v>
      </c>
      <c r="R173" s="23">
        <v>1445117484</v>
      </c>
      <c r="U173" s="23">
        <v>1647891754</v>
      </c>
      <c r="W173" s="23">
        <v>1156652452</v>
      </c>
      <c r="Z173" s="23">
        <v>1369097722</v>
      </c>
      <c r="AB173" s="23">
        <v>1982304044</v>
      </c>
      <c r="AD173" s="23">
        <v>1672084069</v>
      </c>
      <c r="AF173" s="23">
        <v>1680405054</v>
      </c>
      <c r="AH173" s="41">
        <v>1344401368</v>
      </c>
      <c r="AJ173" s="23">
        <v>2406563686</v>
      </c>
      <c r="AL173" s="23">
        <v>1123138363</v>
      </c>
      <c r="AN173" s="23">
        <v>928233173</v>
      </c>
      <c r="AP173" s="41">
        <v>872597224</v>
      </c>
    </row>
    <row r="174" spans="4:42" ht="15" customHeight="1">
      <c r="D174" t="s">
        <v>586</v>
      </c>
      <c r="I174" s="23">
        <v>0</v>
      </c>
    </row>
    <row r="175" spans="4:42" ht="15" customHeight="1">
      <c r="D175" t="s">
        <v>586</v>
      </c>
      <c r="E175" t="s">
        <v>745</v>
      </c>
      <c r="F175" t="s">
        <v>814</v>
      </c>
      <c r="O175" s="23">
        <v>0</v>
      </c>
    </row>
    <row r="176" spans="4:42" ht="15" customHeight="1">
      <c r="D176" t="s">
        <v>587</v>
      </c>
      <c r="E176" t="s">
        <v>841</v>
      </c>
      <c r="F176" t="s">
        <v>834</v>
      </c>
      <c r="I176" s="23">
        <v>140357163</v>
      </c>
      <c r="K176" s="23">
        <v>133928589</v>
      </c>
      <c r="M176" s="23">
        <v>0</v>
      </c>
      <c r="O176" s="23">
        <v>0</v>
      </c>
      <c r="P176" s="23">
        <v>127500015</v>
      </c>
      <c r="R176" s="23">
        <v>74999994</v>
      </c>
      <c r="T176" s="23">
        <v>5000000000</v>
      </c>
      <c r="U176" s="23">
        <v>121071441</v>
      </c>
      <c r="W176" s="23">
        <v>146785737</v>
      </c>
      <c r="Z176" s="23">
        <v>180267867</v>
      </c>
      <c r="AB176" s="23">
        <v>168214293</v>
      </c>
      <c r="AD176" s="23">
        <v>156160726</v>
      </c>
      <c r="AF176" s="23">
        <v>144107152</v>
      </c>
      <c r="AH176" s="41">
        <v>132053578</v>
      </c>
      <c r="AJ176" s="23">
        <v>120000004</v>
      </c>
      <c r="AL176" s="23">
        <v>107946430</v>
      </c>
      <c r="AN176" s="23">
        <v>95892856</v>
      </c>
      <c r="AP176" s="41">
        <v>83839282</v>
      </c>
    </row>
    <row r="177" spans="4:42" ht="15" customHeight="1"/>
    <row r="178" spans="4:42" s="37" customFormat="1" ht="15" customHeight="1">
      <c r="D178" s="37" t="s">
        <v>588</v>
      </c>
      <c r="I178" s="38" t="e">
        <f>+I179+I261</f>
        <v>#REF!</v>
      </c>
      <c r="J178" s="38"/>
      <c r="K178" s="38">
        <f>+K179+K261</f>
        <v>132533316758</v>
      </c>
      <c r="L178" s="38"/>
      <c r="M178" s="38">
        <f t="shared" ref="M178:U178" si="22">+M179+M261</f>
        <v>129129011437</v>
      </c>
      <c r="N178" s="38">
        <f t="shared" si="22"/>
        <v>0</v>
      </c>
      <c r="O178" s="38">
        <f t="shared" si="22"/>
        <v>104450633966</v>
      </c>
      <c r="P178" s="38">
        <f t="shared" si="22"/>
        <v>135274423634</v>
      </c>
      <c r="Q178" s="38">
        <f t="shared" si="22"/>
        <v>0</v>
      </c>
      <c r="R178" s="38">
        <f t="shared" si="22"/>
        <v>127688028081</v>
      </c>
      <c r="S178" s="38">
        <f t="shared" si="22"/>
        <v>0</v>
      </c>
      <c r="T178" s="38">
        <f t="shared" si="22"/>
        <v>112488592838</v>
      </c>
      <c r="U178" s="38">
        <f t="shared" si="22"/>
        <v>137746393118</v>
      </c>
      <c r="V178" s="38"/>
      <c r="W178" s="38">
        <f>+W179+W261</f>
        <v>138454988198</v>
      </c>
      <c r="X178" s="38"/>
      <c r="Y178" s="38">
        <f>+Y179+Y261</f>
        <v>119868471673</v>
      </c>
      <c r="Z178" s="38" t="e">
        <f>+Z179+Z261</f>
        <v>#REF!</v>
      </c>
      <c r="AA178" s="38"/>
      <c r="AB178" s="38" t="e">
        <f>+AB179+AB261</f>
        <v>#REF!</v>
      </c>
      <c r="AC178" s="38"/>
      <c r="AD178" s="38">
        <f>+AD179+AD261</f>
        <v>140746799436</v>
      </c>
      <c r="AE178" s="38">
        <f>+AE179+AE261</f>
        <v>0</v>
      </c>
      <c r="AF178" s="38">
        <f>+AF179+AF261</f>
        <v>153412216588</v>
      </c>
      <c r="AG178" s="38">
        <f>+AG179+AG261</f>
        <v>0</v>
      </c>
      <c r="AH178" s="38">
        <f>+AH179+AH261</f>
        <v>159319023084</v>
      </c>
      <c r="AI178" s="38"/>
      <c r="AJ178" s="38">
        <f>+AJ179+AJ261</f>
        <v>158889235628</v>
      </c>
      <c r="AK178" s="38">
        <f>+AK179+AK261</f>
        <v>0</v>
      </c>
      <c r="AL178" s="38">
        <f>+AL179+AL261</f>
        <v>154456130736</v>
      </c>
      <c r="AM178" s="38"/>
      <c r="AN178" s="38">
        <f>+AN179+AN261</f>
        <v>164630204050</v>
      </c>
      <c r="AO178" s="38"/>
      <c r="AP178" s="38">
        <f>+AP179+AP261</f>
        <v>157326137932</v>
      </c>
    </row>
    <row r="179" spans="4:42" s="37" customFormat="1" ht="15" customHeight="1">
      <c r="D179" s="37" t="s">
        <v>589</v>
      </c>
      <c r="I179" s="38" t="e">
        <f>+I180+I238</f>
        <v>#REF!</v>
      </c>
      <c r="J179" s="38"/>
      <c r="K179" s="38">
        <f>+K180+K238</f>
        <v>89912907535</v>
      </c>
      <c r="L179" s="38"/>
      <c r="M179" s="38">
        <f t="shared" ref="M179:U179" si="23">+M180+M238</f>
        <v>87892084586</v>
      </c>
      <c r="N179" s="38">
        <f t="shared" si="23"/>
        <v>0</v>
      </c>
      <c r="O179" s="38">
        <f t="shared" si="23"/>
        <v>70175270665</v>
      </c>
      <c r="P179" s="38">
        <f t="shared" si="23"/>
        <v>91850853702</v>
      </c>
      <c r="Q179" s="38">
        <f t="shared" si="23"/>
        <v>0</v>
      </c>
      <c r="R179" s="38">
        <f t="shared" si="23"/>
        <v>86760296818</v>
      </c>
      <c r="S179" s="38">
        <f t="shared" si="23"/>
        <v>0</v>
      </c>
      <c r="T179" s="38">
        <f t="shared" si="23"/>
        <v>75739927497</v>
      </c>
      <c r="U179" s="38">
        <f t="shared" si="23"/>
        <v>93701796873</v>
      </c>
      <c r="V179" s="38"/>
      <c r="W179" s="38">
        <f>+W180+W238</f>
        <v>95025401362</v>
      </c>
      <c r="X179" s="38"/>
      <c r="Y179" s="38">
        <f>+Y180+Y238</f>
        <v>81307221556</v>
      </c>
      <c r="Z179" s="38" t="e">
        <f>+Z180+Z238</f>
        <v>#REF!</v>
      </c>
      <c r="AA179" s="38"/>
      <c r="AB179" s="38" t="e">
        <f>+AB180+AB238</f>
        <v>#REF!</v>
      </c>
      <c r="AC179" s="38"/>
      <c r="AD179" s="38">
        <f>+AD180+AD238</f>
        <v>94946518728</v>
      </c>
      <c r="AE179" s="38">
        <f>+AE180+AE238</f>
        <v>0</v>
      </c>
      <c r="AF179" s="38">
        <f>+AF180+AF238</f>
        <v>106529810219</v>
      </c>
      <c r="AG179" s="38">
        <f>+AG180+AG238</f>
        <v>0</v>
      </c>
      <c r="AH179" s="38">
        <f>+AH180+AH238</f>
        <v>112653815725</v>
      </c>
      <c r="AI179" s="38"/>
      <c r="AJ179" s="38">
        <f>+AJ180+AJ238</f>
        <v>111883965384</v>
      </c>
      <c r="AK179" s="38">
        <f>+AK180+AK238</f>
        <v>0</v>
      </c>
      <c r="AL179" s="38">
        <f>+AL180+AL238</f>
        <v>108305486856</v>
      </c>
      <c r="AM179" s="38"/>
      <c r="AN179" s="38">
        <f>+AN180+AN238</f>
        <v>118528269721</v>
      </c>
      <c r="AO179" s="38"/>
      <c r="AP179" s="38">
        <f>+AP180+AP238</f>
        <v>109733225459</v>
      </c>
    </row>
    <row r="180" spans="4:42" s="37" customFormat="1" ht="15" customHeight="1">
      <c r="D180" s="37" t="s">
        <v>590</v>
      </c>
      <c r="I180" s="38" t="e">
        <f>+I181+I190+I223+I227</f>
        <v>#REF!</v>
      </c>
      <c r="J180" s="38"/>
      <c r="K180" s="38">
        <f>+K181+K190+K223+K227</f>
        <v>68367845715</v>
      </c>
      <c r="L180" s="38"/>
      <c r="M180" s="38">
        <f t="shared" ref="M180:U180" si="24">+M181+M190+M223+M227</f>
        <v>62884579173</v>
      </c>
      <c r="N180" s="38">
        <f t="shared" si="24"/>
        <v>0</v>
      </c>
      <c r="O180" s="38">
        <f t="shared" si="24"/>
        <v>62709017100</v>
      </c>
      <c r="P180" s="38">
        <f t="shared" si="24"/>
        <v>69665461015</v>
      </c>
      <c r="Q180" s="38">
        <f t="shared" si="24"/>
        <v>0</v>
      </c>
      <c r="R180" s="38">
        <f t="shared" si="24"/>
        <v>55676168276</v>
      </c>
      <c r="S180" s="38">
        <f t="shared" si="24"/>
        <v>0</v>
      </c>
      <c r="T180" s="38">
        <f t="shared" si="24"/>
        <v>68577322365</v>
      </c>
      <c r="U180" s="38">
        <f t="shared" si="24"/>
        <v>73504074834</v>
      </c>
      <c r="V180" s="38"/>
      <c r="W180" s="38">
        <f>+W181+W190+W223+W227</f>
        <v>66751950483</v>
      </c>
      <c r="X180" s="38"/>
      <c r="Y180" s="38">
        <f>+Y181+Y190+Y223+Y227</f>
        <v>73152294646</v>
      </c>
      <c r="Z180" s="38" t="e">
        <f>+Z181+Z190+Z223+Z227</f>
        <v>#REF!</v>
      </c>
      <c r="AA180" s="38"/>
      <c r="AB180" s="38" t="e">
        <f>+AB181+AB190+AB223+AB227</f>
        <v>#REF!</v>
      </c>
      <c r="AC180" s="38"/>
      <c r="AD180" s="38">
        <f>+AD181+AD190+AD223+AD227</f>
        <v>72666595308</v>
      </c>
      <c r="AE180" s="38">
        <f>+AE181+AE190+AE223+AE227</f>
        <v>0</v>
      </c>
      <c r="AF180" s="38">
        <f>+AF181+AF190+AF223+AF227</f>
        <v>85543641095</v>
      </c>
      <c r="AG180" s="38">
        <f>+AG181+AG190+AG223+AG227</f>
        <v>0</v>
      </c>
      <c r="AH180" s="38">
        <f>+AH181+AH190+AH223+AH227</f>
        <v>72211295784</v>
      </c>
      <c r="AI180" s="38"/>
      <c r="AJ180" s="38">
        <f>+AJ181+AJ190+AJ223+AJ227</f>
        <v>74853524499</v>
      </c>
      <c r="AK180" s="38">
        <f>+AK181+AK190+AK223+AK227</f>
        <v>0</v>
      </c>
      <c r="AL180" s="38">
        <f>+AL181+AL190+AL223+AL227</f>
        <v>68622445035</v>
      </c>
      <c r="AM180" s="38"/>
      <c r="AN180" s="38">
        <f>+AN181+AN190+AN223+AN227</f>
        <v>79708023632</v>
      </c>
      <c r="AO180" s="38"/>
      <c r="AP180" s="38">
        <f>+AP181+AP190+AP223+AP227</f>
        <v>75273697738</v>
      </c>
    </row>
    <row r="181" spans="4:42" s="37" customFormat="1" ht="15" customHeight="1">
      <c r="D181" s="37" t="s">
        <v>591</v>
      </c>
      <c r="I181" s="38">
        <f>SUM(I182:I188)</f>
        <v>20316876755</v>
      </c>
      <c r="J181" s="38"/>
      <c r="K181" s="38">
        <f>SUM(K182:K188)</f>
        <v>19174275667</v>
      </c>
      <c r="L181" s="38"/>
      <c r="M181" s="38">
        <f t="shared" ref="M181:U181" si="25">SUM(M182:M188)</f>
        <v>15765137908</v>
      </c>
      <c r="N181" s="38">
        <f t="shared" si="25"/>
        <v>0</v>
      </c>
      <c r="O181" s="38">
        <f t="shared" si="25"/>
        <v>8014162883</v>
      </c>
      <c r="P181" s="38">
        <f t="shared" si="25"/>
        <v>11519340253</v>
      </c>
      <c r="Q181" s="38">
        <f t="shared" si="25"/>
        <v>0</v>
      </c>
      <c r="R181" s="38">
        <f t="shared" si="25"/>
        <v>17316664140</v>
      </c>
      <c r="S181" s="38">
        <f t="shared" si="25"/>
        <v>0</v>
      </c>
      <c r="T181" s="38">
        <f t="shared" si="25"/>
        <v>11728216183</v>
      </c>
      <c r="U181" s="38">
        <f t="shared" si="25"/>
        <v>10262984923</v>
      </c>
      <c r="V181" s="38"/>
      <c r="W181" s="38">
        <f>SUM(W182:W188)</f>
        <v>27080991471</v>
      </c>
      <c r="X181" s="38"/>
      <c r="Y181" s="38">
        <f>SUM(Y182:Y188)</f>
        <v>13628356346</v>
      </c>
      <c r="Z181" s="38">
        <f>SUM(Z182:Z188)</f>
        <v>17230876775</v>
      </c>
      <c r="AA181" s="38"/>
      <c r="AB181" s="38">
        <f>SUM(AB182:AB188)</f>
        <v>15978816789</v>
      </c>
      <c r="AC181" s="38"/>
      <c r="AD181" s="38">
        <f>SUM(AD182:AD188)</f>
        <v>8544900629</v>
      </c>
      <c r="AE181" s="38">
        <f>SUM(AE182:AE188)</f>
        <v>0</v>
      </c>
      <c r="AF181" s="38">
        <f>SUM(AF182:AF188)</f>
        <v>10825608984</v>
      </c>
      <c r="AG181" s="38">
        <f>SUM(AG182:AG188)</f>
        <v>0</v>
      </c>
      <c r="AH181" s="38">
        <f>SUM(AH182:AH188)</f>
        <v>13417665877</v>
      </c>
      <c r="AI181" s="38"/>
      <c r="AJ181" s="38">
        <f>SUM(AJ182:AJ188)</f>
        <v>14726236061</v>
      </c>
      <c r="AK181" s="38">
        <f>SUM(AK182:AK188)</f>
        <v>0</v>
      </c>
      <c r="AL181" s="38">
        <f>SUM(AL182:AL188)</f>
        <v>10690398765</v>
      </c>
      <c r="AM181" s="38"/>
      <c r="AN181" s="38">
        <f>SUM(AN182:AN188)</f>
        <v>17730789118</v>
      </c>
      <c r="AO181" s="38"/>
      <c r="AP181" s="38">
        <f>SUM(AP182:AP188)</f>
        <v>11535746001</v>
      </c>
    </row>
    <row r="182" spans="4:42" ht="15" customHeight="1">
      <c r="D182" t="s">
        <v>592</v>
      </c>
      <c r="E182" t="s">
        <v>742</v>
      </c>
      <c r="F182" t="s">
        <v>812</v>
      </c>
      <c r="I182" s="23">
        <v>16304203926</v>
      </c>
      <c r="K182" s="23">
        <v>13379294789</v>
      </c>
      <c r="M182" s="23">
        <v>15283184551</v>
      </c>
      <c r="O182" s="23">
        <v>6691093938</v>
      </c>
      <c r="P182" s="23">
        <v>9007957443</v>
      </c>
      <c r="R182" s="23">
        <v>16110497832</v>
      </c>
      <c r="T182" s="23">
        <v>10592163449</v>
      </c>
      <c r="U182" s="23">
        <v>7859215831</v>
      </c>
      <c r="W182" s="23">
        <v>22868111506</v>
      </c>
      <c r="Y182" s="23">
        <v>12590993052</v>
      </c>
      <c r="Z182" s="23">
        <v>13607461154</v>
      </c>
      <c r="AB182" s="23">
        <v>13379788539</v>
      </c>
      <c r="AD182" s="23">
        <v>7816376136</v>
      </c>
      <c r="AF182" s="23">
        <v>10713735083</v>
      </c>
      <c r="AH182" s="41">
        <v>13208988332</v>
      </c>
      <c r="AJ182" s="23">
        <f>14369240040-61568576</f>
        <v>14307671464</v>
      </c>
      <c r="AL182" s="23">
        <v>9764843133</v>
      </c>
      <c r="AN182" s="23">
        <v>17183198383</v>
      </c>
      <c r="AP182" s="41">
        <v>11317666763</v>
      </c>
    </row>
    <row r="183" spans="4:42" ht="15" customHeight="1">
      <c r="D183" t="s">
        <v>593</v>
      </c>
      <c r="E183" t="s">
        <v>742</v>
      </c>
      <c r="F183" t="s">
        <v>812</v>
      </c>
      <c r="I183" s="23">
        <v>2141450782</v>
      </c>
      <c r="K183" s="23">
        <v>379587163</v>
      </c>
      <c r="M183" s="23">
        <v>0</v>
      </c>
      <c r="P183" s="23">
        <v>56381400</v>
      </c>
      <c r="R183" s="23">
        <v>137961818</v>
      </c>
      <c r="U183" s="23">
        <v>56381400</v>
      </c>
      <c r="W183" s="23">
        <v>474659355</v>
      </c>
      <c r="Y183" s="23">
        <v>88016556</v>
      </c>
      <c r="Z183" s="23">
        <v>45654310</v>
      </c>
      <c r="AB183" s="23">
        <v>349146042</v>
      </c>
      <c r="AD183" s="23">
        <v>175180040</v>
      </c>
      <c r="AF183" s="23">
        <v>48365780</v>
      </c>
      <c r="AH183" s="41">
        <v>147279504</v>
      </c>
      <c r="AJ183" s="23">
        <v>267483556</v>
      </c>
      <c r="AL183" s="23">
        <v>686121691</v>
      </c>
      <c r="AN183" s="23">
        <v>251185322</v>
      </c>
      <c r="AP183" s="41">
        <v>40104518</v>
      </c>
    </row>
    <row r="184" spans="4:42" ht="15" customHeight="1">
      <c r="D184" t="s">
        <v>594</v>
      </c>
      <c r="E184" t="s">
        <v>742</v>
      </c>
      <c r="F184" t="s">
        <v>766</v>
      </c>
      <c r="I184" s="23">
        <v>236698659</v>
      </c>
      <c r="K184" s="23">
        <v>3548336076</v>
      </c>
      <c r="M184" s="23">
        <v>159500257</v>
      </c>
      <c r="O184" s="23">
        <v>167466350</v>
      </c>
      <c r="P184" s="23">
        <v>2072775142</v>
      </c>
      <c r="R184" s="23">
        <v>688779005</v>
      </c>
      <c r="T184" s="23">
        <v>147584050</v>
      </c>
      <c r="U184" s="23">
        <v>1798616812</v>
      </c>
      <c r="W184" s="23">
        <v>35729105</v>
      </c>
      <c r="Y184" s="23">
        <v>169272134</v>
      </c>
      <c r="Z184" s="23">
        <v>1311237872</v>
      </c>
      <c r="AB184" s="23">
        <v>1769335767</v>
      </c>
      <c r="AD184" s="23">
        <v>553344453</v>
      </c>
      <c r="AF184" s="23">
        <v>63508121</v>
      </c>
      <c r="AH184" s="41">
        <v>61398041</v>
      </c>
      <c r="AJ184" s="23">
        <v>151081041</v>
      </c>
      <c r="AL184" s="23">
        <v>239433941</v>
      </c>
      <c r="AN184" s="23">
        <v>296405413</v>
      </c>
      <c r="AP184" s="41">
        <v>177974720</v>
      </c>
    </row>
    <row r="185" spans="4:42" ht="15" customHeight="1">
      <c r="D185" t="s">
        <v>595</v>
      </c>
      <c r="E185" t="s">
        <v>742</v>
      </c>
      <c r="F185" t="s">
        <v>812</v>
      </c>
      <c r="I185" s="23">
        <v>5618000</v>
      </c>
      <c r="K185" s="23">
        <v>5618000</v>
      </c>
      <c r="M185" s="23">
        <v>0</v>
      </c>
      <c r="P185" s="23">
        <v>5618000</v>
      </c>
      <c r="R185" s="23">
        <v>202157000</v>
      </c>
      <c r="U185" s="23">
        <v>5618000</v>
      </c>
      <c r="W185" s="23">
        <v>150628000</v>
      </c>
      <c r="Z185" s="23">
        <v>0</v>
      </c>
    </row>
    <row r="186" spans="4:42" ht="15" customHeight="1">
      <c r="D186" t="s">
        <v>596</v>
      </c>
      <c r="E186" t="s">
        <v>743</v>
      </c>
      <c r="F186" t="s">
        <v>813</v>
      </c>
      <c r="I186" s="23">
        <v>581106674</v>
      </c>
      <c r="K186" s="23">
        <v>267934471</v>
      </c>
      <c r="M186" s="23">
        <v>0</v>
      </c>
      <c r="P186" s="23">
        <v>31450000</v>
      </c>
      <c r="R186" s="23">
        <v>1853</v>
      </c>
      <c r="U186" s="23">
        <v>0</v>
      </c>
      <c r="W186" s="23">
        <v>2117607674</v>
      </c>
      <c r="Z186" s="23">
        <v>0</v>
      </c>
    </row>
    <row r="187" spans="4:42" ht="15" customHeight="1">
      <c r="D187" t="s">
        <v>597</v>
      </c>
      <c r="E187" t="s">
        <v>742</v>
      </c>
      <c r="F187" t="s">
        <v>767</v>
      </c>
      <c r="I187" s="23">
        <v>1047798714</v>
      </c>
      <c r="K187" s="23">
        <v>1449309541</v>
      </c>
      <c r="M187" s="23">
        <v>33772260</v>
      </c>
      <c r="O187" s="23">
        <v>369056396</v>
      </c>
      <c r="P187" s="23">
        <v>345158268</v>
      </c>
      <c r="R187" s="23">
        <v>90161627</v>
      </c>
      <c r="T187" s="23">
        <v>199858555</v>
      </c>
      <c r="U187" s="23">
        <v>543152880</v>
      </c>
      <c r="W187" s="23">
        <v>1367721852</v>
      </c>
      <c r="Y187" s="23">
        <v>288844435</v>
      </c>
      <c r="Z187" s="23">
        <v>2266523439</v>
      </c>
      <c r="AB187" s="23">
        <v>480546441</v>
      </c>
    </row>
    <row r="188" spans="4:42" ht="15" customHeight="1">
      <c r="D188" t="s">
        <v>598</v>
      </c>
      <c r="E188" t="s">
        <v>742</v>
      </c>
      <c r="F188" t="s">
        <v>812</v>
      </c>
      <c r="I188" s="23">
        <v>0</v>
      </c>
      <c r="K188" s="23">
        <v>144195627</v>
      </c>
      <c r="M188" s="23">
        <v>288680840</v>
      </c>
      <c r="O188" s="23">
        <v>786546199</v>
      </c>
      <c r="P188" s="23">
        <v>0</v>
      </c>
      <c r="R188" s="23">
        <v>87105005</v>
      </c>
      <c r="T188" s="23">
        <v>788610129</v>
      </c>
      <c r="W188" s="23">
        <v>66533979</v>
      </c>
      <c r="Y188" s="23">
        <v>491230169</v>
      </c>
    </row>
    <row r="189" spans="4:42" ht="15" customHeight="1"/>
    <row r="190" spans="4:42" s="37" customFormat="1" ht="15" customHeight="1">
      <c r="D190" s="37" t="s">
        <v>599</v>
      </c>
      <c r="I190" s="38" t="e">
        <f>+I191+I212+I215</f>
        <v>#REF!</v>
      </c>
      <c r="J190" s="38"/>
      <c r="K190" s="38">
        <f>+K191+K212+K215</f>
        <v>48656476819</v>
      </c>
      <c r="L190" s="38"/>
      <c r="M190" s="38">
        <f>+M191+M212</f>
        <v>46440080460</v>
      </c>
      <c r="N190" s="38">
        <f>+N191+N212</f>
        <v>0</v>
      </c>
      <c r="O190" s="38">
        <f>+O191+O212</f>
        <v>54431453910</v>
      </c>
      <c r="P190" s="38">
        <f>+P191+P212+P215</f>
        <v>57235417078</v>
      </c>
      <c r="Q190" s="38">
        <f>+Q191+Q212</f>
        <v>0</v>
      </c>
      <c r="R190" s="38">
        <f>+R191+R212</f>
        <v>37854618561</v>
      </c>
      <c r="S190" s="38">
        <f>+S191+S212</f>
        <v>0</v>
      </c>
      <c r="T190" s="38">
        <f>+T191+T212</f>
        <v>56471155630</v>
      </c>
      <c r="U190" s="38">
        <f>+U191+U212+U215</f>
        <v>62674895420</v>
      </c>
      <c r="V190" s="38"/>
      <c r="W190" s="38">
        <f>+W191+W212+W215</f>
        <v>39084699661</v>
      </c>
      <c r="X190" s="38"/>
      <c r="Y190" s="38">
        <f>+Y191+Y212+Y215</f>
        <v>58999381506</v>
      </c>
      <c r="Z190" s="38" t="e">
        <f>+Z191+Z212+Z215</f>
        <v>#REF!</v>
      </c>
      <c r="AA190" s="38"/>
      <c r="AB190" s="38" t="e">
        <f>+AB191+AB212+AB215</f>
        <v>#REF!</v>
      </c>
      <c r="AC190" s="38"/>
      <c r="AD190" s="38">
        <f>+AD191+AD212+AD215</f>
        <v>63751504755</v>
      </c>
      <c r="AE190" s="38">
        <f>+AE191+AE212+AE215</f>
        <v>0</v>
      </c>
      <c r="AF190" s="38">
        <f>+AF191+AF212+AF215</f>
        <v>74105841892</v>
      </c>
      <c r="AG190" s="38">
        <f>+AG191+AG212+AG215</f>
        <v>0</v>
      </c>
      <c r="AH190" s="38">
        <f>+AH191+AH212+AH215+AH219</f>
        <v>58627521776</v>
      </c>
      <c r="AI190" s="38"/>
      <c r="AJ190" s="38">
        <f>+AJ191+AJ212+AJ215+AJ219</f>
        <v>59881954489</v>
      </c>
      <c r="AK190" s="38">
        <f>+AK191+AK212+AK215+AK219</f>
        <v>0</v>
      </c>
      <c r="AL190" s="38">
        <f>+AL191+AL212+AL215+AL219</f>
        <v>57451998895</v>
      </c>
      <c r="AM190" s="38"/>
      <c r="AN190" s="38">
        <f>+AN191+AN212+AN215+AN219</f>
        <v>61187978953</v>
      </c>
      <c r="AO190" s="38"/>
      <c r="AP190" s="38">
        <f>+AP191+AP212+AP215+AP219</f>
        <v>63488404230</v>
      </c>
    </row>
    <row r="191" spans="4:42" s="37" customFormat="1" ht="15" customHeight="1">
      <c r="D191" s="37" t="s">
        <v>600</v>
      </c>
      <c r="I191" s="38" t="e">
        <f>SUM(I192:I210)</f>
        <v>#REF!</v>
      </c>
      <c r="J191" s="38"/>
      <c r="K191" s="38">
        <f>SUM(K192:K203)</f>
        <v>43717675201</v>
      </c>
      <c r="L191" s="38"/>
      <c r="M191" s="38">
        <f t="shared" ref="M191:T191" si="26">SUM(M192:M203)</f>
        <v>44642703248</v>
      </c>
      <c r="N191" s="38">
        <f t="shared" si="26"/>
        <v>0</v>
      </c>
      <c r="O191" s="38">
        <f t="shared" si="26"/>
        <v>54338093792</v>
      </c>
      <c r="P191" s="38">
        <f t="shared" si="26"/>
        <v>47248261329</v>
      </c>
      <c r="Q191" s="38">
        <f t="shared" si="26"/>
        <v>0</v>
      </c>
      <c r="R191" s="38">
        <f t="shared" si="26"/>
        <v>36108819447</v>
      </c>
      <c r="S191" s="38">
        <f t="shared" si="26"/>
        <v>0</v>
      </c>
      <c r="T191" s="38">
        <f t="shared" si="26"/>
        <v>56471155630</v>
      </c>
      <c r="U191" s="38">
        <f>SUM(U192:U210)</f>
        <v>47633977622</v>
      </c>
      <c r="V191" s="38"/>
      <c r="W191" s="38">
        <f>SUM(W192:W204)</f>
        <v>37316484093</v>
      </c>
      <c r="X191" s="38"/>
      <c r="Y191" s="38">
        <f>SUM(Y192:Y204)</f>
        <v>58016839871</v>
      </c>
      <c r="Z191" s="38" t="e">
        <f>SUM(Z192:Z210)</f>
        <v>#REF!</v>
      </c>
      <c r="AA191" s="38"/>
      <c r="AB191" s="38" t="e">
        <f>SUM(AB192:AB210)</f>
        <v>#REF!</v>
      </c>
      <c r="AC191" s="38"/>
      <c r="AD191" s="38">
        <f>SUM(AD192:AD210)</f>
        <v>36980973899</v>
      </c>
      <c r="AE191" s="38">
        <f>SUM(AE192:AE210)</f>
        <v>0</v>
      </c>
      <c r="AF191" s="38">
        <f>SUM(AF192:AF210)</f>
        <v>43971299807</v>
      </c>
      <c r="AG191" s="38">
        <f>SUM(AG192:AG210)</f>
        <v>0</v>
      </c>
      <c r="AH191" s="38">
        <f>SUM(AH192:AH210)</f>
        <v>45999881167</v>
      </c>
      <c r="AI191" s="38"/>
      <c r="AJ191" s="38">
        <f>SUM(AJ192:AJ210)</f>
        <v>43933474471</v>
      </c>
      <c r="AK191" s="38">
        <f>SUM(AK192:AK210)</f>
        <v>0</v>
      </c>
      <c r="AL191" s="38">
        <f>SUM(AL192:AL210)</f>
        <v>49396858571</v>
      </c>
      <c r="AM191" s="38"/>
      <c r="AN191" s="38">
        <f>SUM(AN192:AN210)</f>
        <v>49890335412</v>
      </c>
      <c r="AO191" s="38"/>
      <c r="AP191" s="38">
        <f>SUM(AP192:AP210)</f>
        <v>51014296126</v>
      </c>
    </row>
    <row r="192" spans="4:42" ht="15" customHeight="1">
      <c r="D192" t="s">
        <v>601</v>
      </c>
      <c r="E192" t="s">
        <v>743</v>
      </c>
      <c r="F192" t="s">
        <v>771</v>
      </c>
      <c r="I192" s="23">
        <v>0</v>
      </c>
      <c r="K192" s="23">
        <v>0</v>
      </c>
      <c r="M192" s="23">
        <v>8948507262</v>
      </c>
      <c r="O192" s="23">
        <v>18995631344</v>
      </c>
      <c r="P192" s="23">
        <v>0</v>
      </c>
      <c r="R192" s="23">
        <v>0</v>
      </c>
      <c r="T192" s="23">
        <v>56471155630</v>
      </c>
      <c r="Y192" s="23">
        <v>19077760625</v>
      </c>
      <c r="Z192" s="23">
        <v>0</v>
      </c>
      <c r="AB192" s="23">
        <v>0</v>
      </c>
      <c r="AD192" s="23">
        <v>0</v>
      </c>
    </row>
    <row r="193" spans="4:42" ht="15" customHeight="1">
      <c r="D193" t="s">
        <v>602</v>
      </c>
      <c r="E193" t="s">
        <v>743</v>
      </c>
      <c r="F193" t="s">
        <v>773</v>
      </c>
      <c r="I193" s="23">
        <v>3273827720</v>
      </c>
      <c r="K193" s="23">
        <v>3240644401</v>
      </c>
      <c r="M193" s="23">
        <v>3362900998</v>
      </c>
      <c r="O193" s="23">
        <v>2576706372</v>
      </c>
      <c r="P193" s="23">
        <v>3209800544</v>
      </c>
      <c r="R193" s="23">
        <v>3313479867</v>
      </c>
      <c r="U193" s="23">
        <v>2726498210</v>
      </c>
      <c r="W193" s="23">
        <v>2241013827</v>
      </c>
      <c r="Y193" s="23">
        <v>2943873641</v>
      </c>
      <c r="Z193" s="23">
        <v>1942146312</v>
      </c>
      <c r="AB193" s="23">
        <v>3140072630</v>
      </c>
      <c r="AD193" s="23">
        <v>2811007578</v>
      </c>
      <c r="AF193" s="23">
        <v>3276286587</v>
      </c>
      <c r="AH193" s="41">
        <v>2379300423</v>
      </c>
      <c r="AJ193" s="23">
        <v>1216006056</v>
      </c>
      <c r="AL193" s="23">
        <v>443557395</v>
      </c>
      <c r="AN193" s="23">
        <v>69207468</v>
      </c>
    </row>
    <row r="194" spans="4:42" ht="15" customHeight="1">
      <c r="D194" t="s">
        <v>603</v>
      </c>
      <c r="E194" t="s">
        <v>743</v>
      </c>
      <c r="F194" t="s">
        <v>772</v>
      </c>
      <c r="I194" s="23" t="e">
        <f>6533880476-I208</f>
        <v>#REF!</v>
      </c>
      <c r="K194" s="23">
        <v>6738745691</v>
      </c>
      <c r="M194" s="23">
        <v>2573543343</v>
      </c>
      <c r="O194" s="23">
        <v>3929051137</v>
      </c>
      <c r="P194" s="23">
        <v>6763153853</v>
      </c>
      <c r="R194" s="23">
        <v>3455461023</v>
      </c>
      <c r="U194" s="23">
        <f>6902832335-U208</f>
        <v>6902832335</v>
      </c>
      <c r="W194" s="23">
        <v>6557938165</v>
      </c>
      <c r="Y194" s="23">
        <v>3488049560</v>
      </c>
      <c r="Z194" s="23" t="e">
        <f>7009917407-Z208</f>
        <v>#REF!</v>
      </c>
      <c r="AB194" s="23" t="e">
        <f>7175884331-AB208</f>
        <v>#REF!</v>
      </c>
      <c r="AD194" s="23">
        <v>2506022569</v>
      </c>
      <c r="AF194" s="23">
        <v>2349952527</v>
      </c>
      <c r="AH194" s="41">
        <v>2342192400</v>
      </c>
      <c r="AJ194" s="23">
        <v>1985451050</v>
      </c>
      <c r="AL194" s="23">
        <v>1514314591</v>
      </c>
      <c r="AN194" s="23">
        <v>1439221922</v>
      </c>
      <c r="AP194" s="41">
        <v>1073420572</v>
      </c>
    </row>
    <row r="195" spans="4:42" ht="15" customHeight="1">
      <c r="D195" t="s">
        <v>604</v>
      </c>
      <c r="E195" t="s">
        <v>743</v>
      </c>
      <c r="F195" t="s">
        <v>815</v>
      </c>
      <c r="I195" s="23" t="e">
        <f>-4922361145-I210</f>
        <v>#REF!</v>
      </c>
      <c r="K195" s="23">
        <v>-5053934898</v>
      </c>
      <c r="M195" s="23">
        <v>-3720386359</v>
      </c>
      <c r="O195" s="23">
        <v>-2439537928</v>
      </c>
      <c r="P195" s="23">
        <v>-5187423990</v>
      </c>
      <c r="R195" s="23">
        <v>-2964589817</v>
      </c>
      <c r="U195" s="23">
        <f>-5066859502-U210</f>
        <v>-5066859502</v>
      </c>
      <c r="W195" s="23">
        <v>-4976867320</v>
      </c>
      <c r="Y195" s="23">
        <v>-2887799288</v>
      </c>
      <c r="Z195" s="23" t="e">
        <f>-4986853324-Z210</f>
        <v>#REF!</v>
      </c>
      <c r="AB195" s="23" t="e">
        <f>-5539797535-AB210</f>
        <v>#REF!</v>
      </c>
      <c r="AD195" s="23">
        <v>-2474919482</v>
      </c>
      <c r="AF195" s="23">
        <v>-2766810148</v>
      </c>
      <c r="AH195" s="41">
        <v>-2517099429</v>
      </c>
      <c r="AJ195" s="23">
        <v>-2397399726</v>
      </c>
      <c r="AL195" s="23">
        <v>-1318311501</v>
      </c>
      <c r="AN195" s="23">
        <v>-3497338981</v>
      </c>
      <c r="AP195" s="41">
        <v>-3497316384</v>
      </c>
    </row>
    <row r="196" spans="4:42" ht="15" customHeight="1">
      <c r="D196" t="s">
        <v>605</v>
      </c>
      <c r="E196" t="s">
        <v>743</v>
      </c>
      <c r="F196" t="s">
        <v>774</v>
      </c>
      <c r="I196" s="23">
        <v>1070849315</v>
      </c>
      <c r="K196" s="23">
        <v>1070849315</v>
      </c>
      <c r="M196" s="23">
        <v>958684932</v>
      </c>
      <c r="O196" s="23">
        <v>1482166736</v>
      </c>
      <c r="P196" s="23">
        <v>532410959</v>
      </c>
      <c r="R196" s="23">
        <v>1081835617</v>
      </c>
      <c r="U196" s="23">
        <v>532410959</v>
      </c>
      <c r="W196" s="23">
        <v>1081835617</v>
      </c>
      <c r="Y196" s="23">
        <v>1784331507</v>
      </c>
      <c r="Z196" s="23">
        <v>527273973</v>
      </c>
      <c r="AB196" s="23">
        <v>527273973</v>
      </c>
      <c r="AD196" s="23">
        <v>1065884789</v>
      </c>
      <c r="AF196" s="23">
        <v>799413578</v>
      </c>
      <c r="AH196" s="41">
        <v>532942367</v>
      </c>
      <c r="AJ196" s="23">
        <v>266471156</v>
      </c>
      <c r="AN196" s="23">
        <v>985362223</v>
      </c>
      <c r="AP196" s="41">
        <v>716627086</v>
      </c>
    </row>
    <row r="197" spans="4:42" ht="15" customHeight="1">
      <c r="D197" t="s">
        <v>606</v>
      </c>
      <c r="E197" t="s">
        <v>743</v>
      </c>
      <c r="F197" t="s">
        <v>770</v>
      </c>
      <c r="I197" s="23">
        <v>10309457232</v>
      </c>
      <c r="K197" s="23">
        <v>10469068953</v>
      </c>
      <c r="M197" s="23">
        <v>10133095265</v>
      </c>
      <c r="O197" s="23">
        <v>11214352424</v>
      </c>
      <c r="P197" s="23">
        <v>10407861390</v>
      </c>
      <c r="R197" s="23">
        <v>9567791765</v>
      </c>
      <c r="U197" s="23">
        <v>10455702860</v>
      </c>
      <c r="W197" s="23">
        <v>9694081744</v>
      </c>
      <c r="Y197" s="23">
        <v>12652469074</v>
      </c>
      <c r="Z197" s="23">
        <v>9969644326</v>
      </c>
      <c r="AB197" s="23">
        <v>10060455093</v>
      </c>
      <c r="AD197" s="23">
        <v>10121620823</v>
      </c>
      <c r="AF197" s="23">
        <v>10224082005</v>
      </c>
      <c r="AH197" s="41">
        <v>10240768052</v>
      </c>
      <c r="AJ197" s="23">
        <v>10194658246</v>
      </c>
      <c r="AL197" s="23">
        <v>10235553541</v>
      </c>
      <c r="AN197" s="23">
        <v>9669777273</v>
      </c>
      <c r="AP197" s="41">
        <v>9761904410</v>
      </c>
    </row>
    <row r="198" spans="4:42" ht="15" customHeight="1">
      <c r="D198" t="s">
        <v>607</v>
      </c>
      <c r="E198" t="s">
        <v>743</v>
      </c>
      <c r="F198" t="s">
        <v>818</v>
      </c>
      <c r="I198" s="23">
        <v>7376710828</v>
      </c>
      <c r="K198" s="23">
        <v>7366666419</v>
      </c>
      <c r="M198" s="23">
        <v>11513286633</v>
      </c>
      <c r="O198" s="23">
        <v>5891664169</v>
      </c>
      <c r="P198" s="23">
        <v>6919140891</v>
      </c>
      <c r="R198" s="23">
        <v>7406913211</v>
      </c>
      <c r="U198" s="23">
        <v>6832695207</v>
      </c>
      <c r="W198" s="23">
        <v>7321446794</v>
      </c>
      <c r="Y198" s="23">
        <v>7050849162</v>
      </c>
      <c r="Z198" s="23">
        <v>7225118257</v>
      </c>
      <c r="AB198" s="23">
        <v>7383807113</v>
      </c>
      <c r="AD198" s="23">
        <v>5361782224</v>
      </c>
      <c r="AF198" s="23">
        <v>5341438849</v>
      </c>
      <c r="AH198" s="41">
        <v>7319504167</v>
      </c>
      <c r="AJ198" s="23">
        <v>7317081153</v>
      </c>
      <c r="AL198" s="23">
        <v>7369688446</v>
      </c>
      <c r="AN198" s="23">
        <v>5831876171</v>
      </c>
      <c r="AP198" s="41">
        <v>6040887435</v>
      </c>
    </row>
    <row r="199" spans="4:42" ht="15" customHeight="1">
      <c r="D199" t="s">
        <v>608</v>
      </c>
      <c r="E199" t="s">
        <v>743</v>
      </c>
      <c r="F199" t="s">
        <v>775</v>
      </c>
      <c r="I199" s="23">
        <v>2564160000</v>
      </c>
      <c r="K199" s="23">
        <v>2490390000</v>
      </c>
      <c r="M199" s="23">
        <v>2471390001</v>
      </c>
      <c r="O199" s="23">
        <v>2487830790</v>
      </c>
      <c r="P199" s="23">
        <v>857270000</v>
      </c>
      <c r="R199" s="23">
        <v>2652165000</v>
      </c>
      <c r="U199" s="23">
        <v>2653800000</v>
      </c>
      <c r="W199" s="23">
        <v>2637930000</v>
      </c>
      <c r="Y199" s="23">
        <v>2627720001</v>
      </c>
      <c r="Z199" s="23">
        <v>2577960000</v>
      </c>
      <c r="AB199" s="23">
        <v>2502120000</v>
      </c>
      <c r="AD199" s="23">
        <v>630130000</v>
      </c>
      <c r="AF199" s="23">
        <v>3416499534</v>
      </c>
      <c r="AH199" s="41">
        <v>3325906586</v>
      </c>
      <c r="AJ199" s="23">
        <v>3232189744</v>
      </c>
      <c r="AL199" s="23">
        <v>3136390305</v>
      </c>
      <c r="AN199" s="23">
        <v>3415339808</v>
      </c>
      <c r="AP199" s="41">
        <v>3326832526</v>
      </c>
    </row>
    <row r="200" spans="4:42" ht="15" customHeight="1">
      <c r="D200" t="s">
        <v>609</v>
      </c>
      <c r="E200" t="s">
        <v>743</v>
      </c>
      <c r="F200" t="s">
        <v>776</v>
      </c>
      <c r="I200" s="23">
        <v>2011079874</v>
      </c>
      <c r="K200" s="23">
        <v>2169272874</v>
      </c>
      <c r="M200" s="23">
        <v>2145158887</v>
      </c>
      <c r="O200" s="23">
        <v>1780857486</v>
      </c>
      <c r="P200" s="23">
        <v>1823597070</v>
      </c>
      <c r="R200" s="23">
        <v>2399252359</v>
      </c>
      <c r="U200" s="23">
        <v>2050120290</v>
      </c>
      <c r="W200" s="23">
        <v>2077338739</v>
      </c>
      <c r="Y200" s="23">
        <v>2343410751</v>
      </c>
      <c r="Z200" s="23">
        <v>1904281715</v>
      </c>
      <c r="AB200" s="23">
        <v>2192797076</v>
      </c>
      <c r="AD200" s="23">
        <v>2168426207</v>
      </c>
      <c r="AF200" s="23">
        <v>1963423288</v>
      </c>
      <c r="AH200" s="41">
        <v>2017148957</v>
      </c>
      <c r="AJ200" s="23">
        <v>1845332934</v>
      </c>
      <c r="AL200" s="23">
        <v>2635857325</v>
      </c>
      <c r="AN200" s="23">
        <v>1885564423</v>
      </c>
      <c r="AP200" s="41">
        <v>978571316</v>
      </c>
    </row>
    <row r="201" spans="4:42" ht="15" customHeight="1">
      <c r="D201" t="s">
        <v>610</v>
      </c>
      <c r="E201" t="s">
        <v>743</v>
      </c>
      <c r="F201" t="s">
        <v>817</v>
      </c>
      <c r="I201" s="23">
        <v>4246111733</v>
      </c>
      <c r="K201" s="23">
        <v>4229062994</v>
      </c>
      <c r="M201" s="23">
        <v>3427005287</v>
      </c>
      <c r="O201" s="23">
        <v>3599000325</v>
      </c>
      <c r="P201" s="23">
        <v>4237353850</v>
      </c>
      <c r="R201" s="23">
        <v>4099734359</v>
      </c>
      <c r="U201" s="23">
        <v>4229408240</v>
      </c>
      <c r="W201" s="23">
        <v>4250968688</v>
      </c>
      <c r="Y201" s="23">
        <v>4201561477</v>
      </c>
      <c r="Z201" s="23">
        <v>3879883235</v>
      </c>
      <c r="AB201" s="23">
        <v>4286554953</v>
      </c>
      <c r="AD201" s="23">
        <v>4231514948</v>
      </c>
      <c r="AF201" s="23">
        <v>4232428591</v>
      </c>
      <c r="AH201" s="41">
        <v>4234408528</v>
      </c>
      <c r="AJ201" s="23">
        <v>3216119125</v>
      </c>
      <c r="AL201" s="23">
        <v>3700702606</v>
      </c>
      <c r="AN201" s="23">
        <v>3304309637</v>
      </c>
      <c r="AP201" s="41">
        <v>3559099904</v>
      </c>
    </row>
    <row r="202" spans="4:42" ht="15" customHeight="1">
      <c r="D202" t="s">
        <v>1628</v>
      </c>
      <c r="E202" t="s">
        <v>743</v>
      </c>
      <c r="F202" t="s">
        <v>777</v>
      </c>
      <c r="I202" s="23">
        <v>4389661569</v>
      </c>
      <c r="K202" s="23">
        <v>4925026963</v>
      </c>
      <c r="M202" s="23">
        <v>2829516999</v>
      </c>
      <c r="O202" s="23">
        <v>4820370937</v>
      </c>
      <c r="P202" s="23">
        <v>9674364959</v>
      </c>
      <c r="R202" s="23">
        <v>5096776063</v>
      </c>
      <c r="U202" s="23">
        <v>7642657533</v>
      </c>
      <c r="W202" s="23">
        <v>4838915351</v>
      </c>
      <c r="Y202" s="23">
        <v>4734613361</v>
      </c>
      <c r="Z202" s="23">
        <v>8811735840</v>
      </c>
      <c r="AB202" s="23">
        <v>7938558255</v>
      </c>
      <c r="AD202" s="23">
        <v>4440492471</v>
      </c>
      <c r="AF202" s="23">
        <v>6142414389</v>
      </c>
      <c r="AH202" s="41">
        <v>5272192461</v>
      </c>
      <c r="AJ202" s="23">
        <v>5250681934</v>
      </c>
      <c r="AL202" s="23">
        <v>4285341241</v>
      </c>
      <c r="AN202" s="23">
        <v>4787051324</v>
      </c>
      <c r="AP202" s="41">
        <v>3352839465</v>
      </c>
    </row>
    <row r="203" spans="4:42" ht="15" customHeight="1">
      <c r="D203" t="s">
        <v>611</v>
      </c>
      <c r="E203" t="s">
        <v>743</v>
      </c>
      <c r="F203" t="s">
        <v>778</v>
      </c>
      <c r="I203" s="23">
        <v>1601882488</v>
      </c>
      <c r="K203" s="23">
        <v>6071882489</v>
      </c>
      <c r="M203" s="23">
        <v>0</v>
      </c>
      <c r="P203" s="23">
        <v>8010731803</v>
      </c>
      <c r="R203" s="23">
        <v>0</v>
      </c>
      <c r="U203" s="23">
        <v>7819551260</v>
      </c>
      <c r="W203" s="23">
        <v>1591882488</v>
      </c>
      <c r="Z203" s="23">
        <v>7301909405</v>
      </c>
      <c r="AB203" s="23">
        <v>3498678510</v>
      </c>
      <c r="AD203" s="23">
        <v>265310605</v>
      </c>
      <c r="AF203" s="23">
        <v>0</v>
      </c>
      <c r="AH203" s="41"/>
      <c r="AP203" s="41"/>
    </row>
    <row r="204" spans="4:42" ht="15" customHeight="1">
      <c r="D204" t="s">
        <v>937</v>
      </c>
      <c r="E204" t="s">
        <v>743</v>
      </c>
      <c r="F204" t="s">
        <v>939</v>
      </c>
      <c r="U204" s="23">
        <v>855160230</v>
      </c>
      <c r="W204" s="23">
        <v>0</v>
      </c>
      <c r="Z204" s="23">
        <v>684127230</v>
      </c>
      <c r="AB204" s="23">
        <v>427577730</v>
      </c>
      <c r="AD204" s="23">
        <v>2100832006</v>
      </c>
      <c r="AF204" s="23">
        <v>4739355571</v>
      </c>
      <c r="AH204" s="41">
        <v>6520250819</v>
      </c>
      <c r="AJ204" s="23">
        <v>7396967338</v>
      </c>
      <c r="AL204" s="23">
        <v>10742290215</v>
      </c>
      <c r="AN204" s="23">
        <v>11144591640</v>
      </c>
      <c r="AP204" s="41">
        <v>14621694369</v>
      </c>
    </row>
    <row r="205" spans="4:42" ht="15" customHeight="1">
      <c r="D205" t="s">
        <v>1715</v>
      </c>
      <c r="E205" t="s">
        <v>743</v>
      </c>
      <c r="F205" t="s">
        <v>1890</v>
      </c>
      <c r="AH205" s="41"/>
      <c r="AN205" s="23">
        <v>1540502643</v>
      </c>
      <c r="AP205" s="41">
        <v>2516525622</v>
      </c>
    </row>
    <row r="206" spans="4:42" ht="15" customHeight="1">
      <c r="D206" t="s">
        <v>1716</v>
      </c>
      <c r="E206" t="s">
        <v>743</v>
      </c>
      <c r="F206" t="s">
        <v>1891</v>
      </c>
      <c r="AH206" s="41"/>
      <c r="AN206" s="23">
        <v>1083683859</v>
      </c>
      <c r="AP206" s="41">
        <v>812849859</v>
      </c>
    </row>
    <row r="207" spans="4:42" ht="15" customHeight="1">
      <c r="D207" t="s">
        <v>1080</v>
      </c>
      <c r="E207" t="s">
        <v>959</v>
      </c>
      <c r="F207" t="s">
        <v>1703</v>
      </c>
      <c r="AD207" s="23">
        <v>2769424658</v>
      </c>
      <c r="AF207" s="23">
        <v>2698849320</v>
      </c>
      <c r="AH207" s="41">
        <v>2629041096</v>
      </c>
      <c r="AP207" s="41"/>
    </row>
    <row r="208" spans="4:42" ht="12.75" customHeight="1">
      <c r="D208" t="s">
        <v>960</v>
      </c>
      <c r="E208" t="s">
        <v>959</v>
      </c>
      <c r="F208" t="s">
        <v>1701</v>
      </c>
      <c r="I208" s="23" t="e">
        <f>+#REF!</f>
        <v>#REF!</v>
      </c>
      <c r="U208" s="23">
        <v>0</v>
      </c>
      <c r="Z208" s="23" t="e">
        <f>+#REF!</f>
        <v>#REF!</v>
      </c>
      <c r="AB208" s="23" t="e">
        <f>+#REF!</f>
        <v>#REF!</v>
      </c>
      <c r="AD208" s="23">
        <v>3372582876</v>
      </c>
      <c r="AF208" s="23">
        <v>3992259492</v>
      </c>
      <c r="AH208" s="41">
        <v>3992259492</v>
      </c>
      <c r="AJ208" s="23">
        <v>3992259492</v>
      </c>
      <c r="AL208" s="23">
        <v>5628895177</v>
      </c>
      <c r="AN208" s="23">
        <v>6366511204</v>
      </c>
      <c r="AP208" s="41">
        <v>6315467300</v>
      </c>
    </row>
    <row r="209" spans="4:42" ht="12.75" customHeight="1">
      <c r="D209" t="s">
        <v>1587</v>
      </c>
      <c r="E209" t="s">
        <v>959</v>
      </c>
      <c r="F209" t="s">
        <v>1702</v>
      </c>
      <c r="AH209" s="41"/>
      <c r="AJ209" s="23">
        <v>2561534246</v>
      </c>
      <c r="AL209" s="23">
        <v>4608493151</v>
      </c>
      <c r="AN209" s="23">
        <v>3986027398</v>
      </c>
      <c r="AP209" s="41">
        <v>3378821918</v>
      </c>
    </row>
    <row r="210" spans="4:42" ht="12.75" customHeight="1">
      <c r="D210" t="s">
        <v>961</v>
      </c>
      <c r="E210" t="s">
        <v>959</v>
      </c>
      <c r="F210" t="s">
        <v>962</v>
      </c>
      <c r="I210" s="23" t="e">
        <f>-#REF!</f>
        <v>#REF!</v>
      </c>
      <c r="U210" s="23">
        <v>0</v>
      </c>
      <c r="Z210" s="23" t="e">
        <f>-#REF!</f>
        <v>#REF!</v>
      </c>
      <c r="AB210" s="23" t="e">
        <f>-#REF!</f>
        <v>#REF!</v>
      </c>
      <c r="AD210" s="23">
        <v>-2389138373</v>
      </c>
      <c r="AF210" s="23">
        <v>-2438293776</v>
      </c>
      <c r="AH210" s="41">
        <v>-2288934752</v>
      </c>
      <c r="AJ210" s="23">
        <v>-2143878277</v>
      </c>
      <c r="AL210" s="23">
        <v>-3585913921</v>
      </c>
      <c r="AN210" s="23">
        <v>-2121352600</v>
      </c>
      <c r="AP210" s="41">
        <v>-1943929272</v>
      </c>
    </row>
    <row r="211" spans="4:42" ht="15" customHeight="1"/>
    <row r="212" spans="4:42" s="37" customFormat="1" ht="15" customHeight="1">
      <c r="D212" s="37" t="s">
        <v>612</v>
      </c>
      <c r="I212" s="38">
        <f>+I213</f>
        <v>311756235</v>
      </c>
      <c r="J212" s="38"/>
      <c r="K212" s="38">
        <f>+K213</f>
        <v>2793678609</v>
      </c>
      <c r="L212" s="38"/>
      <c r="M212" s="38">
        <f>+M213</f>
        <v>1797377212</v>
      </c>
      <c r="N212" s="38">
        <f t="shared" ref="N212:AH212" si="27">+N213</f>
        <v>0</v>
      </c>
      <c r="O212" s="38">
        <f t="shared" si="27"/>
        <v>93360118</v>
      </c>
      <c r="P212" s="38">
        <f t="shared" si="27"/>
        <v>0</v>
      </c>
      <c r="Q212" s="38">
        <f t="shared" si="27"/>
        <v>0</v>
      </c>
      <c r="R212" s="38">
        <f t="shared" si="27"/>
        <v>1745799114</v>
      </c>
      <c r="S212" s="38">
        <f t="shared" si="27"/>
        <v>0</v>
      </c>
      <c r="T212" s="38">
        <f t="shared" si="27"/>
        <v>0</v>
      </c>
      <c r="U212" s="38">
        <f t="shared" si="27"/>
        <v>4498257391</v>
      </c>
      <c r="V212" s="38"/>
      <c r="W212" s="38">
        <f t="shared" si="27"/>
        <v>1768215568</v>
      </c>
      <c r="X212" s="38"/>
      <c r="Y212" s="38">
        <f t="shared" si="27"/>
        <v>982541635</v>
      </c>
      <c r="Z212" s="38">
        <f t="shared" si="27"/>
        <v>1686619748</v>
      </c>
      <c r="AA212" s="38"/>
      <c r="AB212" s="38">
        <f t="shared" si="27"/>
        <v>0</v>
      </c>
      <c r="AC212" s="38"/>
      <c r="AD212" s="38">
        <f t="shared" si="27"/>
        <v>1831748384</v>
      </c>
      <c r="AE212" s="38">
        <f t="shared" si="27"/>
        <v>0</v>
      </c>
      <c r="AF212" s="38">
        <f t="shared" si="27"/>
        <v>717038643</v>
      </c>
      <c r="AG212" s="38">
        <f t="shared" si="27"/>
        <v>0</v>
      </c>
      <c r="AH212" s="38">
        <f t="shared" si="27"/>
        <v>0</v>
      </c>
      <c r="AI212" s="38"/>
      <c r="AJ212" s="38">
        <f>+AJ213</f>
        <v>2191550425</v>
      </c>
      <c r="AK212" s="38">
        <f>+AK213</f>
        <v>0</v>
      </c>
      <c r="AL212" s="38">
        <f>+AL213</f>
        <v>0</v>
      </c>
      <c r="AM212" s="38"/>
      <c r="AN212" s="38">
        <f>+AN213</f>
        <v>2693360392</v>
      </c>
      <c r="AO212" s="38"/>
      <c r="AP212" s="38">
        <f>+AP213</f>
        <v>0</v>
      </c>
    </row>
    <row r="213" spans="4:42" ht="15" customHeight="1">
      <c r="D213" t="s">
        <v>613</v>
      </c>
      <c r="E213" t="s">
        <v>743</v>
      </c>
      <c r="F213" t="s">
        <v>769</v>
      </c>
      <c r="I213" s="23">
        <v>311756235</v>
      </c>
      <c r="K213" s="23">
        <v>2793678609</v>
      </c>
      <c r="M213" s="23">
        <v>1797377212</v>
      </c>
      <c r="O213" s="23">
        <v>93360118</v>
      </c>
      <c r="P213" s="23">
        <v>0</v>
      </c>
      <c r="R213" s="23">
        <v>1745799114</v>
      </c>
      <c r="U213" s="23">
        <v>4498257391</v>
      </c>
      <c r="W213" s="23">
        <v>1768215568</v>
      </c>
      <c r="Y213" s="23">
        <v>982541635</v>
      </c>
      <c r="Z213" s="23">
        <v>1686619748</v>
      </c>
      <c r="AB213" s="23">
        <v>0</v>
      </c>
      <c r="AD213" s="23">
        <v>1831748384</v>
      </c>
      <c r="AF213" s="23">
        <v>717038643</v>
      </c>
      <c r="AH213" s="23">
        <v>0</v>
      </c>
      <c r="AJ213" s="23">
        <v>2191550425</v>
      </c>
      <c r="AN213" s="23">
        <v>2693360392</v>
      </c>
    </row>
    <row r="214" spans="4:42" ht="15" customHeight="1"/>
    <row r="215" spans="4:42" s="37" customFormat="1" ht="15" customHeight="1">
      <c r="D215" s="37" t="s">
        <v>1007</v>
      </c>
      <c r="I215" s="38">
        <f>+I216+I217</f>
        <v>0</v>
      </c>
      <c r="J215" s="38"/>
      <c r="K215" s="38">
        <f>+K216+K217</f>
        <v>2145123009</v>
      </c>
      <c r="L215" s="38"/>
      <c r="M215" s="38"/>
      <c r="N215" s="38"/>
      <c r="O215" s="38"/>
      <c r="P215" s="38">
        <f>SUM(P216:P217)</f>
        <v>9987155749</v>
      </c>
      <c r="Q215" s="38">
        <f t="shared" ref="Q215:AP215" si="28">SUM(Q216:Q217)</f>
        <v>0</v>
      </c>
      <c r="R215" s="38">
        <f t="shared" si="28"/>
        <v>0</v>
      </c>
      <c r="S215" s="38">
        <f t="shared" si="28"/>
        <v>0</v>
      </c>
      <c r="T215" s="38">
        <f t="shared" si="28"/>
        <v>0</v>
      </c>
      <c r="U215" s="38">
        <f t="shared" si="28"/>
        <v>10542660407</v>
      </c>
      <c r="V215" s="38"/>
      <c r="W215" s="38">
        <f t="shared" si="28"/>
        <v>0</v>
      </c>
      <c r="X215" s="38"/>
      <c r="Y215" s="38">
        <f t="shared" si="28"/>
        <v>0</v>
      </c>
      <c r="Z215" s="38">
        <f t="shared" si="28"/>
        <v>18508046022</v>
      </c>
      <c r="AA215" s="38"/>
      <c r="AB215" s="38">
        <f t="shared" si="28"/>
        <v>20026420900</v>
      </c>
      <c r="AC215" s="38"/>
      <c r="AD215" s="38">
        <f t="shared" si="28"/>
        <v>24938782472</v>
      </c>
      <c r="AE215" s="38">
        <f t="shared" si="28"/>
        <v>0</v>
      </c>
      <c r="AF215" s="38">
        <f t="shared" si="28"/>
        <v>29417503442</v>
      </c>
      <c r="AG215" s="38">
        <f t="shared" si="28"/>
        <v>0</v>
      </c>
      <c r="AH215" s="38">
        <f t="shared" si="28"/>
        <v>12627640609</v>
      </c>
      <c r="AI215" s="38"/>
      <c r="AJ215" s="38">
        <f t="shared" si="28"/>
        <v>13751540774</v>
      </c>
      <c r="AK215" s="38">
        <f t="shared" si="28"/>
        <v>0</v>
      </c>
      <c r="AL215" s="38">
        <f t="shared" si="28"/>
        <v>8055140324</v>
      </c>
      <c r="AM215" s="38"/>
      <c r="AN215" s="38">
        <f t="shared" si="28"/>
        <v>8604283149</v>
      </c>
      <c r="AO215" s="38"/>
      <c r="AP215" s="38">
        <f t="shared" si="28"/>
        <v>10475760396</v>
      </c>
    </row>
    <row r="216" spans="4:42" ht="15" customHeight="1">
      <c r="D216" t="s">
        <v>905</v>
      </c>
      <c r="E216" t="s">
        <v>743</v>
      </c>
      <c r="F216" t="s">
        <v>813</v>
      </c>
      <c r="K216" s="23">
        <v>2290000000</v>
      </c>
      <c r="P216" s="23">
        <f>10000000000+250000000</f>
        <v>10250000000</v>
      </c>
      <c r="U216" s="23">
        <v>11486496021</v>
      </c>
      <c r="Z216" s="23">
        <v>19124210403</v>
      </c>
      <c r="AB216" s="23">
        <v>20322037336</v>
      </c>
      <c r="AD216" s="23">
        <v>26323090417</v>
      </c>
      <c r="AF216" s="23">
        <v>30164857573</v>
      </c>
      <c r="AH216" s="41">
        <v>13258934450</v>
      </c>
      <c r="AJ216" s="23">
        <v>14488128807</v>
      </c>
      <c r="AL216" s="23">
        <v>8635015608</v>
      </c>
      <c r="AN216" s="23">
        <v>9007922561</v>
      </c>
      <c r="AP216" s="41">
        <v>10836734739</v>
      </c>
    </row>
    <row r="217" spans="4:42" ht="15" customHeight="1">
      <c r="D217" t="s">
        <v>906</v>
      </c>
      <c r="E217" t="s">
        <v>743</v>
      </c>
      <c r="F217" t="s">
        <v>815</v>
      </c>
      <c r="K217" s="23">
        <v>-144876991</v>
      </c>
      <c r="P217" s="23">
        <v>-262844251</v>
      </c>
      <c r="U217" s="23">
        <v>-943835614</v>
      </c>
      <c r="Z217" s="23">
        <v>-616164381</v>
      </c>
      <c r="AB217" s="23">
        <v>-295616436</v>
      </c>
      <c r="AD217" s="23">
        <v>-1384307945</v>
      </c>
      <c r="AF217" s="23">
        <v>-747354131</v>
      </c>
      <c r="AH217" s="41">
        <v>-631293841</v>
      </c>
      <c r="AJ217" s="23">
        <v>-736588033</v>
      </c>
      <c r="AL217" s="23">
        <v>-579875284</v>
      </c>
      <c r="AN217" s="23">
        <v>-403639412</v>
      </c>
      <c r="AP217" s="41">
        <v>-360974343</v>
      </c>
    </row>
    <row r="218" spans="4:42" ht="15" customHeight="1"/>
    <row r="219" spans="4:42" s="37" customFormat="1" ht="15" customHeight="1">
      <c r="D219" s="37" t="s">
        <v>1092</v>
      </c>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f>+AH220+AH221</f>
        <v>0</v>
      </c>
      <c r="AI219" s="38"/>
      <c r="AJ219" s="38">
        <f>+AJ220+AJ221</f>
        <v>5388819</v>
      </c>
      <c r="AK219" s="38">
        <f>+AK220+AK221</f>
        <v>0</v>
      </c>
      <c r="AL219" s="38">
        <f>+AL220+AL221</f>
        <v>0</v>
      </c>
      <c r="AM219" s="38"/>
      <c r="AN219" s="38">
        <f>+AN220+AN221</f>
        <v>0</v>
      </c>
      <c r="AO219" s="38"/>
      <c r="AP219" s="38">
        <f>+AP220+AP221</f>
        <v>1998347708</v>
      </c>
    </row>
    <row r="220" spans="4:42" ht="15" customHeight="1">
      <c r="D220" t="s">
        <v>1090</v>
      </c>
      <c r="E220" t="s">
        <v>1623</v>
      </c>
      <c r="F220" t="s">
        <v>1512</v>
      </c>
      <c r="G220" s="115"/>
      <c r="AH220" s="41">
        <v>2565945207</v>
      </c>
      <c r="AJ220" s="23">
        <v>2569999999</v>
      </c>
      <c r="AL220" s="23">
        <v>2562958900</v>
      </c>
      <c r="AN220" s="23">
        <v>2562958899</v>
      </c>
      <c r="AP220" s="41">
        <v>4562958899</v>
      </c>
    </row>
    <row r="221" spans="4:42" ht="15" customHeight="1">
      <c r="D221" t="s">
        <v>1091</v>
      </c>
      <c r="E221" t="s">
        <v>1623</v>
      </c>
      <c r="F221" t="s">
        <v>1512</v>
      </c>
      <c r="AH221" s="41">
        <v>-2565945207</v>
      </c>
      <c r="AJ221" s="23">
        <v>-2564611180</v>
      </c>
      <c r="AL221" s="23">
        <v>-2562958900</v>
      </c>
      <c r="AN221" s="23">
        <v>-2562958899</v>
      </c>
      <c r="AP221" s="41">
        <v>-2564611191</v>
      </c>
    </row>
    <row r="222" spans="4:42" ht="15" customHeight="1"/>
    <row r="223" spans="4:42" s="37" customFormat="1" ht="15" customHeight="1">
      <c r="D223" s="37" t="s">
        <v>614</v>
      </c>
      <c r="I223" s="38">
        <f>+I224+I225</f>
        <v>238572808</v>
      </c>
      <c r="J223" s="38"/>
      <c r="K223" s="38">
        <f>+K224+K225</f>
        <v>236589246</v>
      </c>
      <c r="L223" s="38"/>
      <c r="M223" s="38">
        <f>+M224+M225</f>
        <v>114632299</v>
      </c>
      <c r="N223" s="38">
        <f t="shared" ref="N223:Y223" si="29">+N224+N225</f>
        <v>0</v>
      </c>
      <c r="O223" s="38">
        <f t="shared" si="29"/>
        <v>158770266</v>
      </c>
      <c r="P223" s="38">
        <f t="shared" si="29"/>
        <v>101854439</v>
      </c>
      <c r="Q223" s="38">
        <f t="shared" si="29"/>
        <v>0</v>
      </c>
      <c r="R223" s="38">
        <f t="shared" si="29"/>
        <v>50377492</v>
      </c>
      <c r="S223" s="38">
        <f t="shared" si="29"/>
        <v>0</v>
      </c>
      <c r="T223" s="38">
        <f t="shared" si="29"/>
        <v>146671601</v>
      </c>
      <c r="U223" s="38">
        <f t="shared" si="29"/>
        <v>241807535</v>
      </c>
      <c r="V223" s="38"/>
      <c r="W223" s="38">
        <f t="shared" si="29"/>
        <v>264807514</v>
      </c>
      <c r="X223" s="38"/>
      <c r="Y223" s="38">
        <f t="shared" si="29"/>
        <v>190305824</v>
      </c>
      <c r="Z223" s="38">
        <f>+Z224+Z225</f>
        <v>200929660</v>
      </c>
      <c r="AA223" s="38"/>
      <c r="AB223" s="38">
        <f>+AB224+AB225</f>
        <v>278395948</v>
      </c>
      <c r="AC223" s="38"/>
      <c r="AD223" s="38">
        <f>+AD224+AD225</f>
        <v>51351991</v>
      </c>
      <c r="AE223" s="38">
        <f>+AE224+AE225</f>
        <v>0</v>
      </c>
      <c r="AF223" s="38">
        <f>+AF224+AF225</f>
        <v>175533312</v>
      </c>
      <c r="AG223" s="38">
        <f>+AG224+AG225</f>
        <v>0</v>
      </c>
      <c r="AH223" s="38">
        <f>+AH224+AH225</f>
        <v>56554602</v>
      </c>
      <c r="AI223" s="38"/>
      <c r="AJ223" s="38">
        <f>+AJ224+AJ225</f>
        <v>10443804</v>
      </c>
      <c r="AK223" s="38">
        <f>+AK224+AK225</f>
        <v>0</v>
      </c>
      <c r="AL223" s="38">
        <f>+AL224+AL225</f>
        <v>132844533</v>
      </c>
      <c r="AM223" s="38"/>
      <c r="AN223" s="38">
        <f>+AN224+AN225</f>
        <v>407788363</v>
      </c>
      <c r="AO223" s="38"/>
      <c r="AP223" s="38">
        <f>+AP224+AP225</f>
        <v>102275123</v>
      </c>
    </row>
    <row r="224" spans="4:42" ht="15" customHeight="1">
      <c r="D224" t="s">
        <v>615</v>
      </c>
      <c r="E224" t="s">
        <v>744</v>
      </c>
      <c r="F224" t="s">
        <v>816</v>
      </c>
      <c r="I224" s="23">
        <v>139740744</v>
      </c>
      <c r="K224" s="23">
        <v>236589246</v>
      </c>
      <c r="M224" s="23">
        <v>114632299</v>
      </c>
      <c r="O224" s="23">
        <v>158770266</v>
      </c>
      <c r="P224" s="23">
        <v>101854439</v>
      </c>
      <c r="R224" s="23">
        <v>50377492</v>
      </c>
      <c r="T224" s="23">
        <v>146671601</v>
      </c>
      <c r="U224" s="23">
        <v>241807535</v>
      </c>
      <c r="W224" s="23">
        <v>264807514</v>
      </c>
      <c r="Y224" s="23">
        <v>115971316</v>
      </c>
      <c r="Z224" s="23">
        <v>200929660</v>
      </c>
      <c r="AB224" s="23">
        <v>278395948</v>
      </c>
      <c r="AD224" s="23">
        <v>51351991</v>
      </c>
      <c r="AF224" s="23">
        <v>175533312</v>
      </c>
      <c r="AH224" s="41">
        <v>56554602</v>
      </c>
      <c r="AJ224" s="23">
        <v>10443804</v>
      </c>
      <c r="AL224" s="23">
        <v>132844533</v>
      </c>
      <c r="AN224" s="23">
        <v>407788363</v>
      </c>
      <c r="AP224" s="41">
        <v>102275123</v>
      </c>
    </row>
    <row r="225" spans="4:42" ht="15" customHeight="1">
      <c r="D225" t="s">
        <v>616</v>
      </c>
      <c r="E225" t="s">
        <v>744</v>
      </c>
      <c r="F225" t="s">
        <v>816</v>
      </c>
      <c r="I225" s="23">
        <v>98832064</v>
      </c>
      <c r="K225" s="23">
        <v>0</v>
      </c>
      <c r="M225" s="23">
        <v>0</v>
      </c>
      <c r="P225" s="23">
        <v>0</v>
      </c>
      <c r="Y225" s="23">
        <f>74291099+43409</f>
        <v>74334508</v>
      </c>
      <c r="AH225" s="23">
        <v>0</v>
      </c>
    </row>
    <row r="226" spans="4:42" ht="15" customHeight="1"/>
    <row r="227" spans="4:42" s="37" customFormat="1" ht="15" customHeight="1">
      <c r="D227" s="37" t="s">
        <v>617</v>
      </c>
      <c r="I227" s="38">
        <f>SUM(I228:I236)</f>
        <v>28373565</v>
      </c>
      <c r="J227" s="38"/>
      <c r="K227" s="38">
        <f>SUM(K228:K236)</f>
        <v>300503983</v>
      </c>
      <c r="L227" s="38">
        <f t="shared" ref="L227:T227" si="30">SUM(L228:L236)</f>
        <v>0</v>
      </c>
      <c r="M227" s="38">
        <f t="shared" si="30"/>
        <v>564728506</v>
      </c>
      <c r="N227" s="38">
        <f t="shared" si="30"/>
        <v>0</v>
      </c>
      <c r="O227" s="38">
        <f t="shared" si="30"/>
        <v>104630041</v>
      </c>
      <c r="P227" s="38">
        <f t="shared" si="30"/>
        <v>808849245</v>
      </c>
      <c r="Q227" s="38">
        <f t="shared" si="30"/>
        <v>0</v>
      </c>
      <c r="R227" s="38">
        <f t="shared" si="30"/>
        <v>454508083</v>
      </c>
      <c r="S227" s="38">
        <f t="shared" si="30"/>
        <v>0</v>
      </c>
      <c r="T227" s="38">
        <f t="shared" si="30"/>
        <v>231278951</v>
      </c>
      <c r="U227" s="38">
        <f>SUM(U228:U236)</f>
        <v>324386956</v>
      </c>
      <c r="V227" s="38"/>
      <c r="W227" s="38">
        <f>SUM(W228:W236)</f>
        <v>321451837</v>
      </c>
      <c r="X227" s="38"/>
      <c r="Y227" s="38">
        <f>SUM(Y228:Y236)</f>
        <v>334250970</v>
      </c>
      <c r="Z227" s="38">
        <f>SUM(Z228:Z236)</f>
        <v>141981283</v>
      </c>
      <c r="AA227" s="38"/>
      <c r="AB227" s="38">
        <f>SUM(AB228:AB236)</f>
        <v>233646535</v>
      </c>
      <c r="AC227" s="38"/>
      <c r="AD227" s="38">
        <f>SUM(AD228:AD236)</f>
        <v>318837933</v>
      </c>
      <c r="AE227" s="38">
        <f>SUM(AE228:AE236)</f>
        <v>0</v>
      </c>
      <c r="AF227" s="38">
        <f>SUM(AF228:AF236)</f>
        <v>436656907</v>
      </c>
      <c r="AG227" s="38">
        <f>SUM(AG228:AG236)</f>
        <v>0</v>
      </c>
      <c r="AH227" s="38">
        <f>SUM(AH228:AH236)</f>
        <v>109553529</v>
      </c>
      <c r="AI227" s="38"/>
      <c r="AJ227" s="38">
        <f>SUM(AJ228:AJ236)</f>
        <v>234890145</v>
      </c>
      <c r="AK227" s="38">
        <f>SUM(AK228:AK236)</f>
        <v>0</v>
      </c>
      <c r="AL227" s="38">
        <f>SUM(AL228:AL236)</f>
        <v>347202842</v>
      </c>
      <c r="AM227" s="38"/>
      <c r="AN227" s="38">
        <f>SUM(AN228:AN236)</f>
        <v>381467198</v>
      </c>
      <c r="AO227" s="38"/>
      <c r="AP227" s="38">
        <f>SUM(AP228:AP236)</f>
        <v>147272384</v>
      </c>
    </row>
    <row r="228" spans="4:42" ht="15" customHeight="1">
      <c r="D228" t="s">
        <v>618</v>
      </c>
      <c r="E228" t="s">
        <v>744</v>
      </c>
      <c r="F228" t="s">
        <v>824</v>
      </c>
      <c r="I228" s="23">
        <v>28373565</v>
      </c>
      <c r="K228" s="23">
        <v>31428946</v>
      </c>
      <c r="M228" s="23">
        <v>17785195</v>
      </c>
      <c r="O228" s="23">
        <v>16273255</v>
      </c>
      <c r="P228" s="23">
        <v>26176264</v>
      </c>
      <c r="R228" s="23">
        <v>16697856</v>
      </c>
      <c r="T228" s="23">
        <v>15968249</v>
      </c>
      <c r="U228" s="23">
        <v>29996964</v>
      </c>
      <c r="W228" s="23">
        <v>17871406</v>
      </c>
      <c r="Y228" s="23">
        <v>15756582</v>
      </c>
      <c r="Z228" s="23">
        <v>32261154</v>
      </c>
      <c r="AB228" s="23">
        <v>26447656</v>
      </c>
      <c r="AD228" s="23">
        <v>33384741</v>
      </c>
      <c r="AF228" s="23">
        <v>34233883</v>
      </c>
      <c r="AH228" s="41">
        <v>36648669</v>
      </c>
      <c r="AJ228" s="23">
        <v>39993851</v>
      </c>
      <c r="AL228" s="23">
        <v>49157837</v>
      </c>
      <c r="AN228" s="23">
        <v>49899039</v>
      </c>
      <c r="AP228" s="41">
        <v>73486010</v>
      </c>
    </row>
    <row r="229" spans="4:42" ht="15" customHeight="1">
      <c r="D229" t="s">
        <v>875</v>
      </c>
      <c r="E229" t="s">
        <v>744</v>
      </c>
      <c r="F229" t="s">
        <v>0</v>
      </c>
      <c r="I229" s="23">
        <v>0</v>
      </c>
      <c r="K229" s="23">
        <v>8250000</v>
      </c>
      <c r="M229" s="23">
        <v>17946338</v>
      </c>
      <c r="O229" s="23">
        <v>5000000</v>
      </c>
      <c r="P229" s="23">
        <v>16500000</v>
      </c>
      <c r="R229" s="23">
        <v>33529672</v>
      </c>
      <c r="T229" s="23">
        <v>18000000</v>
      </c>
      <c r="U229" s="23">
        <v>24750000</v>
      </c>
      <c r="W229" s="23">
        <v>46090278</v>
      </c>
      <c r="Y229" s="23">
        <v>36780303</v>
      </c>
      <c r="AB229" s="23">
        <v>4125000</v>
      </c>
      <c r="AD229" s="23">
        <v>4589167</v>
      </c>
      <c r="AF229" s="23">
        <v>5563333</v>
      </c>
      <c r="AH229" s="41"/>
      <c r="AJ229" s="23">
        <v>15225379</v>
      </c>
      <c r="AL229" s="23">
        <v>34161969</v>
      </c>
      <c r="AN229" s="23">
        <v>44829317</v>
      </c>
      <c r="AP229" s="41"/>
    </row>
    <row r="230" spans="4:42" ht="15" customHeight="1">
      <c r="D230" t="s">
        <v>876</v>
      </c>
      <c r="E230" t="s">
        <v>744</v>
      </c>
      <c r="F230" t="s">
        <v>0</v>
      </c>
      <c r="I230" s="23">
        <v>0</v>
      </c>
      <c r="K230" s="23">
        <v>13557143</v>
      </c>
      <c r="M230" s="23">
        <v>21185583</v>
      </c>
      <c r="O230" s="23">
        <v>10697280</v>
      </c>
      <c r="P230" s="23">
        <v>25045779</v>
      </c>
      <c r="R230" s="23">
        <v>43432404</v>
      </c>
      <c r="T230" s="23">
        <v>26556701</v>
      </c>
      <c r="U230" s="23">
        <v>35674565</v>
      </c>
      <c r="W230" s="23">
        <v>71891568</v>
      </c>
      <c r="Y230" s="23">
        <v>42738143</v>
      </c>
      <c r="Z230" s="23">
        <v>65454545</v>
      </c>
      <c r="AB230" s="23">
        <v>78681815</v>
      </c>
      <c r="AD230" s="23">
        <v>93284086</v>
      </c>
      <c r="AF230" s="23">
        <v>122173139</v>
      </c>
      <c r="AH230" s="41">
        <v>50881251</v>
      </c>
      <c r="AJ230" s="23">
        <v>1375000</v>
      </c>
      <c r="AL230" s="23">
        <v>1375000</v>
      </c>
      <c r="AN230" s="23">
        <v>1375000</v>
      </c>
      <c r="AP230" s="41"/>
    </row>
    <row r="231" spans="4:42" ht="15" customHeight="1">
      <c r="D231" t="s">
        <v>879</v>
      </c>
      <c r="E231" t="s">
        <v>744</v>
      </c>
      <c r="F231" t="s">
        <v>0</v>
      </c>
      <c r="K231" s="23">
        <v>18600551</v>
      </c>
      <c r="P231" s="23">
        <v>17942887</v>
      </c>
      <c r="U231" s="23">
        <v>11598864</v>
      </c>
      <c r="Z231" s="23">
        <v>44265584</v>
      </c>
      <c r="AB231" s="23">
        <v>11671494</v>
      </c>
      <c r="AD231" s="23">
        <v>22737291</v>
      </c>
      <c r="AF231" s="23">
        <v>22404080</v>
      </c>
      <c r="AH231" s="41">
        <v>22023609</v>
      </c>
      <c r="AJ231" s="23">
        <v>44244954</v>
      </c>
      <c r="AL231" s="23">
        <v>45033523</v>
      </c>
      <c r="AN231" s="23">
        <v>25200480</v>
      </c>
      <c r="AP231" s="41">
        <v>72353874</v>
      </c>
    </row>
    <row r="232" spans="4:42" ht="15" customHeight="1">
      <c r="D232" t="s">
        <v>877</v>
      </c>
      <c r="E232" t="s">
        <v>744</v>
      </c>
      <c r="F232" t="s">
        <v>0</v>
      </c>
      <c r="K232" s="23">
        <v>26982802</v>
      </c>
      <c r="M232" s="23">
        <v>16400001</v>
      </c>
      <c r="O232" s="23">
        <v>17832985</v>
      </c>
      <c r="P232" s="23">
        <v>52225798</v>
      </c>
      <c r="R232" s="23">
        <v>30037008</v>
      </c>
      <c r="T232" s="23">
        <v>37085845</v>
      </c>
      <c r="U232" s="23">
        <v>81189947</v>
      </c>
      <c r="W232" s="23">
        <v>45886539</v>
      </c>
      <c r="Y232" s="23">
        <v>56466151</v>
      </c>
      <c r="AB232" s="23">
        <v>29194668</v>
      </c>
      <c r="AD232" s="23">
        <v>64803115</v>
      </c>
      <c r="AF232" s="23">
        <v>95487294</v>
      </c>
      <c r="AJ232" s="23">
        <v>51989714</v>
      </c>
      <c r="AL232" s="23">
        <v>103391944</v>
      </c>
      <c r="AN232" s="23">
        <v>142428404</v>
      </c>
      <c r="AP232" s="41">
        <v>1432500</v>
      </c>
    </row>
    <row r="233" spans="4:42" ht="15" customHeight="1">
      <c r="D233" t="s">
        <v>880</v>
      </c>
      <c r="E233" t="s">
        <v>744</v>
      </c>
      <c r="F233" t="s">
        <v>0</v>
      </c>
      <c r="K233" s="23">
        <v>7931634</v>
      </c>
      <c r="P233" s="23">
        <v>7931634</v>
      </c>
      <c r="U233" s="23">
        <v>42458184</v>
      </c>
      <c r="AB233" s="23">
        <v>15052377</v>
      </c>
      <c r="AD233" s="23">
        <v>31566008</v>
      </c>
      <c r="AF233" s="23">
        <v>36508169</v>
      </c>
      <c r="AJ233" s="23">
        <v>35702466</v>
      </c>
      <c r="AL233" s="23">
        <v>68645606</v>
      </c>
      <c r="AN233" s="23">
        <v>87876177</v>
      </c>
      <c r="AP233" s="41"/>
    </row>
    <row r="234" spans="4:42" ht="15" customHeight="1">
      <c r="D234" t="s">
        <v>619</v>
      </c>
      <c r="E234" t="s">
        <v>744</v>
      </c>
      <c r="F234" t="s">
        <v>816</v>
      </c>
      <c r="K234" s="23">
        <v>33255366</v>
      </c>
      <c r="M234" s="23">
        <v>491411389</v>
      </c>
      <c r="O234" s="23">
        <v>54826521</v>
      </c>
      <c r="P234" s="23">
        <v>44316636</v>
      </c>
      <c r="R234" s="23">
        <v>330811143</v>
      </c>
      <c r="T234" s="23">
        <v>118668156</v>
      </c>
      <c r="U234" s="23">
        <v>91167817</v>
      </c>
      <c r="W234" s="23">
        <v>139712046</v>
      </c>
      <c r="Y234" s="23">
        <v>182509791</v>
      </c>
      <c r="AB234" s="23">
        <v>68473525</v>
      </c>
      <c r="AD234" s="23">
        <v>68473525</v>
      </c>
      <c r="AF234" s="23">
        <v>120287009</v>
      </c>
      <c r="AH234" s="23">
        <v>0</v>
      </c>
      <c r="AJ234" s="23">
        <v>29858781</v>
      </c>
      <c r="AL234" s="23">
        <v>29858781</v>
      </c>
      <c r="AN234" s="23">
        <v>29858781</v>
      </c>
    </row>
    <row r="235" spans="4:42" ht="15" customHeight="1">
      <c r="D235" t="s">
        <v>620</v>
      </c>
      <c r="E235" t="s">
        <v>744</v>
      </c>
      <c r="F235" t="s">
        <v>0</v>
      </c>
      <c r="K235" s="23">
        <v>0</v>
      </c>
      <c r="M235" s="23">
        <v>0</v>
      </c>
      <c r="T235" s="23">
        <v>15000000</v>
      </c>
      <c r="U235" s="23">
        <f>596070+6954545</f>
        <v>7550615</v>
      </c>
      <c r="AJ235" s="23">
        <v>16500000</v>
      </c>
      <c r="AL235" s="23">
        <v>15578182</v>
      </c>
    </row>
    <row r="236" spans="4:42" ht="15" customHeight="1">
      <c r="D236" t="s">
        <v>881</v>
      </c>
      <c r="E236" t="s">
        <v>743</v>
      </c>
      <c r="F236" t="s">
        <v>813</v>
      </c>
      <c r="K236" s="23">
        <v>160497541</v>
      </c>
      <c r="P236" s="23">
        <v>618710247</v>
      </c>
    </row>
    <row r="237" spans="4:42" ht="15" customHeight="1"/>
    <row r="238" spans="4:42" s="37" customFormat="1" ht="15" customHeight="1">
      <c r="D238" s="37" t="s">
        <v>621</v>
      </c>
      <c r="I238" s="38" t="e">
        <f>+I239+I242</f>
        <v>#REF!</v>
      </c>
      <c r="J238" s="38"/>
      <c r="K238" s="38">
        <f>+K239+K242</f>
        <v>21545061820</v>
      </c>
      <c r="L238" s="38"/>
      <c r="M238" s="38">
        <f t="shared" ref="M238:U238" si="31">+M239+M242</f>
        <v>25007505413</v>
      </c>
      <c r="N238" s="38">
        <f t="shared" si="31"/>
        <v>0</v>
      </c>
      <c r="O238" s="38">
        <f t="shared" si="31"/>
        <v>7466253565</v>
      </c>
      <c r="P238" s="38">
        <f t="shared" si="31"/>
        <v>22185392687</v>
      </c>
      <c r="Q238" s="38">
        <f t="shared" si="31"/>
        <v>0</v>
      </c>
      <c r="R238" s="38">
        <f t="shared" si="31"/>
        <v>31084128542</v>
      </c>
      <c r="S238" s="38">
        <f t="shared" si="31"/>
        <v>0</v>
      </c>
      <c r="T238" s="38">
        <f t="shared" si="31"/>
        <v>7162605132</v>
      </c>
      <c r="U238" s="38">
        <f t="shared" si="31"/>
        <v>20197722039</v>
      </c>
      <c r="V238" s="38"/>
      <c r="W238" s="38">
        <f>+W239+W242</f>
        <v>28273450879</v>
      </c>
      <c r="X238" s="38"/>
      <c r="Y238" s="38">
        <f>+Y239+Y242</f>
        <v>8154926910</v>
      </c>
      <c r="Z238" s="38" t="e">
        <f>+Z239+Z242</f>
        <v>#REF!</v>
      </c>
      <c r="AA238" s="38"/>
      <c r="AB238" s="38" t="e">
        <f>+AB239+AB242</f>
        <v>#REF!</v>
      </c>
      <c r="AC238" s="38"/>
      <c r="AD238" s="38">
        <f>+AD239+AD242</f>
        <v>22279923420</v>
      </c>
      <c r="AE238" s="38">
        <f>+AE239+AE242</f>
        <v>0</v>
      </c>
      <c r="AF238" s="38">
        <f>+AF239+AF242</f>
        <v>20986169124</v>
      </c>
      <c r="AG238" s="38">
        <f>+AG239+AG242</f>
        <v>0</v>
      </c>
      <c r="AH238" s="38">
        <f>+AH239+AH242+AH257</f>
        <v>40442519941</v>
      </c>
      <c r="AI238" s="38"/>
      <c r="AJ238" s="38">
        <f>+AJ239+AJ242+AJ257</f>
        <v>37030440885</v>
      </c>
      <c r="AK238" s="38">
        <f>+AK239+AK242+AK257</f>
        <v>0</v>
      </c>
      <c r="AL238" s="38">
        <f>+AL239+AL242+AL257</f>
        <v>39683041821</v>
      </c>
      <c r="AM238" s="38"/>
      <c r="AN238" s="38">
        <f>+AN239+AN242+AN257</f>
        <v>38820246089</v>
      </c>
      <c r="AO238" s="38"/>
      <c r="AP238" s="38">
        <f>+AP239+AP242+AP257</f>
        <v>34459527721</v>
      </c>
    </row>
    <row r="239" spans="4:42" s="37" customFormat="1" ht="15" customHeight="1">
      <c r="D239" s="37" t="s">
        <v>591</v>
      </c>
      <c r="I239" s="38">
        <f>+I240</f>
        <v>5921986592</v>
      </c>
      <c r="J239" s="38"/>
      <c r="K239" s="38">
        <f>+K240</f>
        <v>4552764696</v>
      </c>
      <c r="L239" s="38"/>
      <c r="M239" s="38">
        <f>+M240</f>
        <v>12336812066</v>
      </c>
      <c r="N239" s="38">
        <f t="shared" ref="N239:AP239" si="32">+N240</f>
        <v>0</v>
      </c>
      <c r="O239" s="38">
        <f t="shared" si="32"/>
        <v>5239378574</v>
      </c>
      <c r="P239" s="38">
        <f t="shared" si="32"/>
        <v>3752435446</v>
      </c>
      <c r="Q239" s="38">
        <f t="shared" si="32"/>
        <v>0</v>
      </c>
      <c r="R239" s="38">
        <f t="shared" si="32"/>
        <v>10515581105</v>
      </c>
      <c r="S239" s="38">
        <f t="shared" si="32"/>
        <v>0</v>
      </c>
      <c r="T239" s="38">
        <f t="shared" si="32"/>
        <v>5253855142</v>
      </c>
      <c r="U239" s="38">
        <f t="shared" si="32"/>
        <v>2827944261</v>
      </c>
      <c r="V239" s="38"/>
      <c r="W239" s="38">
        <f t="shared" si="32"/>
        <v>8156647402</v>
      </c>
      <c r="X239" s="38"/>
      <c r="Y239" s="38">
        <f t="shared" si="32"/>
        <v>6137898558</v>
      </c>
      <c r="Z239" s="38">
        <f t="shared" si="32"/>
        <v>2111075191</v>
      </c>
      <c r="AA239" s="38"/>
      <c r="AB239" s="38">
        <f t="shared" si="32"/>
        <v>1479623291</v>
      </c>
      <c r="AC239" s="38"/>
      <c r="AD239" s="38">
        <f t="shared" si="32"/>
        <v>1084315565</v>
      </c>
      <c r="AE239" s="38">
        <f t="shared" si="32"/>
        <v>0</v>
      </c>
      <c r="AF239" s="38">
        <f t="shared" si="32"/>
        <v>662379354</v>
      </c>
      <c r="AG239" s="38">
        <f t="shared" si="32"/>
        <v>0</v>
      </c>
      <c r="AH239" s="38">
        <f t="shared" si="32"/>
        <v>387797644</v>
      </c>
      <c r="AI239" s="38"/>
      <c r="AJ239" s="38">
        <f t="shared" si="32"/>
        <v>195423075</v>
      </c>
      <c r="AK239" s="38">
        <f t="shared" si="32"/>
        <v>0</v>
      </c>
      <c r="AL239" s="38">
        <f t="shared" si="32"/>
        <v>63008471</v>
      </c>
      <c r="AM239" s="38"/>
      <c r="AN239" s="38">
        <f t="shared" si="32"/>
        <v>28816797</v>
      </c>
      <c r="AO239" s="38"/>
      <c r="AP239" s="38">
        <f t="shared" si="32"/>
        <v>0</v>
      </c>
    </row>
    <row r="240" spans="4:42" ht="15" customHeight="1">
      <c r="D240" t="s">
        <v>592</v>
      </c>
      <c r="E240" t="s">
        <v>745</v>
      </c>
      <c r="F240" t="s">
        <v>814</v>
      </c>
      <c r="I240" s="23">
        <v>5921986592</v>
      </c>
      <c r="K240" s="23">
        <v>4552764696</v>
      </c>
      <c r="M240" s="23">
        <v>12336812066</v>
      </c>
      <c r="O240" s="23">
        <v>5239378574</v>
      </c>
      <c r="P240" s="23">
        <v>3752435446</v>
      </c>
      <c r="R240" s="23">
        <v>10515581105</v>
      </c>
      <c r="T240" s="23">
        <v>5253855142</v>
      </c>
      <c r="U240" s="23">
        <v>2827944261</v>
      </c>
      <c r="W240" s="23">
        <v>8156647402</v>
      </c>
      <c r="Y240" s="23">
        <v>6137898558</v>
      </c>
      <c r="Z240" s="23">
        <v>2111075191</v>
      </c>
      <c r="AB240" s="23">
        <v>1479623291</v>
      </c>
      <c r="AD240" s="23">
        <v>1084315565</v>
      </c>
      <c r="AF240" s="23">
        <v>662379354</v>
      </c>
      <c r="AH240" s="41">
        <v>387797644</v>
      </c>
      <c r="AJ240" s="23">
        <v>195423075</v>
      </c>
      <c r="AL240" s="23">
        <v>63008471</v>
      </c>
      <c r="AN240" s="23">
        <v>28816797</v>
      </c>
      <c r="AP240" s="23">
        <v>0</v>
      </c>
    </row>
    <row r="241" spans="4:42" ht="15" customHeight="1"/>
    <row r="242" spans="4:42" s="37" customFormat="1" ht="15" customHeight="1">
      <c r="D242" s="37" t="s">
        <v>622</v>
      </c>
      <c r="I242" s="38" t="e">
        <f>SUM(I243:I252)</f>
        <v>#REF!</v>
      </c>
      <c r="J242" s="38"/>
      <c r="K242" s="38">
        <f t="shared" ref="K242:U242" si="33">SUM(K243:K252)</f>
        <v>16992297124</v>
      </c>
      <c r="L242" s="38">
        <f t="shared" si="33"/>
        <v>0</v>
      </c>
      <c r="M242" s="38">
        <f t="shared" si="33"/>
        <v>12670693347</v>
      </c>
      <c r="N242" s="38">
        <f t="shared" si="33"/>
        <v>0</v>
      </c>
      <c r="O242" s="38">
        <f t="shared" si="33"/>
        <v>2226874991</v>
      </c>
      <c r="P242" s="38">
        <f t="shared" si="33"/>
        <v>18432957241</v>
      </c>
      <c r="Q242" s="38">
        <f t="shared" si="33"/>
        <v>0</v>
      </c>
      <c r="R242" s="38">
        <f t="shared" si="33"/>
        <v>20568547437</v>
      </c>
      <c r="S242" s="38">
        <f t="shared" si="33"/>
        <v>0</v>
      </c>
      <c r="T242" s="38">
        <f t="shared" si="33"/>
        <v>1908749990</v>
      </c>
      <c r="U242" s="38">
        <f t="shared" si="33"/>
        <v>17369777778</v>
      </c>
      <c r="V242" s="38"/>
      <c r="W242" s="38">
        <f>SUM(W243:W249)</f>
        <v>20116803477</v>
      </c>
      <c r="X242" s="38"/>
      <c r="Y242" s="38">
        <f>SUM(Y243:Y249)</f>
        <v>2017028352</v>
      </c>
      <c r="Z242" s="38" t="e">
        <f>SUM(Z243:Z252)</f>
        <v>#REF!</v>
      </c>
      <c r="AA242" s="38"/>
      <c r="AB242" s="38" t="e">
        <f>SUM(AB243:AB252)</f>
        <v>#REF!</v>
      </c>
      <c r="AC242" s="38"/>
      <c r="AD242" s="38">
        <f>SUM(AD243:AD254)</f>
        <v>21195607855</v>
      </c>
      <c r="AE242" s="38">
        <f>SUM(AE243:AE254)</f>
        <v>0</v>
      </c>
      <c r="AF242" s="38">
        <f>SUM(AF243:AF254)</f>
        <v>20323789770</v>
      </c>
      <c r="AG242" s="38">
        <f>SUM(AG243:AG254)</f>
        <v>0</v>
      </c>
      <c r="AH242" s="38">
        <f>SUM(AH243:AH254)</f>
        <v>20054722297</v>
      </c>
      <c r="AI242" s="38"/>
      <c r="AJ242" s="38">
        <f>SUM(AJ243:AJ255)</f>
        <v>16835938765</v>
      </c>
      <c r="AK242" s="38">
        <f>SUM(AK243:AK255)</f>
        <v>0</v>
      </c>
      <c r="AL242" s="38">
        <f>SUM(AL243:AL255)</f>
        <v>19620541232</v>
      </c>
      <c r="AM242" s="38"/>
      <c r="AN242" s="38">
        <f>SUM(AN243:AN255)</f>
        <v>18791524101</v>
      </c>
      <c r="AO242" s="38"/>
      <c r="AP242" s="38">
        <f>SUM(AP243:AP255)</f>
        <v>16459209457</v>
      </c>
    </row>
    <row r="243" spans="4:42" ht="15" customHeight="1">
      <c r="D243" t="s">
        <v>623</v>
      </c>
      <c r="E243" t="s">
        <v>746</v>
      </c>
      <c r="F243" t="s">
        <v>820</v>
      </c>
      <c r="I243" s="23">
        <v>0</v>
      </c>
      <c r="K243" s="23">
        <v>0</v>
      </c>
      <c r="M243" s="23">
        <v>9104254009</v>
      </c>
      <c r="O243" s="23">
        <v>2489515500</v>
      </c>
      <c r="P243" s="23">
        <v>0</v>
      </c>
      <c r="R243" s="23">
        <v>0</v>
      </c>
      <c r="T243" s="23">
        <v>2103445391</v>
      </c>
      <c r="Y243" s="23">
        <v>1727497077</v>
      </c>
      <c r="Z243" s="23">
        <v>0</v>
      </c>
      <c r="AD243" s="23">
        <v>0</v>
      </c>
    </row>
    <row r="244" spans="4:42" ht="15" customHeight="1">
      <c r="D244" t="s">
        <v>624</v>
      </c>
      <c r="E244" t="s">
        <v>746</v>
      </c>
      <c r="F244" t="s">
        <v>821</v>
      </c>
      <c r="I244" s="23" t="e">
        <f>-6233236039-I252</f>
        <v>#REF!</v>
      </c>
      <c r="K244" s="23">
        <v>-5719725712</v>
      </c>
      <c r="M244" s="23">
        <v>-1037786777</v>
      </c>
      <c r="O244" s="23">
        <v>-262640509</v>
      </c>
      <c r="P244" s="23">
        <v>-5423224270</v>
      </c>
      <c r="R244" s="23">
        <v>-322581083</v>
      </c>
      <c r="T244" s="23">
        <v>-194695401</v>
      </c>
      <c r="U244" s="23">
        <f>-5003374338-U252</f>
        <v>-5003374338</v>
      </c>
      <c r="W244" s="23">
        <v>-6810599375</v>
      </c>
      <c r="Y244" s="23">
        <v>-170943769</v>
      </c>
      <c r="Z244" s="23" t="e">
        <f>-4723935219-Z252</f>
        <v>#REF!</v>
      </c>
      <c r="AB244" s="23" t="e">
        <f>-5147049328-AB252</f>
        <v>#REF!</v>
      </c>
      <c r="AD244" s="23">
        <f>-4616554748-AD252</f>
        <v>-460810237</v>
      </c>
      <c r="AF244" s="23">
        <v>-226985736</v>
      </c>
      <c r="AH244" s="41">
        <v>-283448168</v>
      </c>
      <c r="AJ244" s="23">
        <v>-239773988</v>
      </c>
      <c r="AL244" s="23">
        <v>-341642179</v>
      </c>
      <c r="AN244" s="23">
        <v>-321083153</v>
      </c>
      <c r="AP244" s="41">
        <v>-232420577</v>
      </c>
    </row>
    <row r="245" spans="4:42" ht="15" customHeight="1">
      <c r="D245" t="s">
        <v>625</v>
      </c>
      <c r="E245" t="s">
        <v>746</v>
      </c>
      <c r="F245" t="s">
        <v>819</v>
      </c>
      <c r="I245" s="23" t="e">
        <f>20011024532-I251</f>
        <v>#REF!</v>
      </c>
      <c r="K245" s="23">
        <v>19254764057</v>
      </c>
      <c r="M245" s="23">
        <v>1315700699</v>
      </c>
      <c r="P245" s="23">
        <v>19123398216</v>
      </c>
      <c r="R245" s="23">
        <v>16659486457</v>
      </c>
      <c r="U245" s="23">
        <f>18609981111-U251</f>
        <v>18609981111</v>
      </c>
      <c r="W245" s="23">
        <v>21246040499</v>
      </c>
      <c r="Y245" s="23">
        <v>460475044</v>
      </c>
      <c r="Z245" s="23" t="e">
        <f>18549102197-Z251</f>
        <v>#REF!</v>
      </c>
      <c r="AB245" s="23" t="e">
        <f>17697344797-AB251</f>
        <v>#REF!</v>
      </c>
      <c r="AD245" s="23">
        <v>2123486053</v>
      </c>
      <c r="AF245" s="23">
        <v>838669417</v>
      </c>
      <c r="AH245" s="41">
        <v>937435456</v>
      </c>
      <c r="AJ245" s="23">
        <v>630260786</v>
      </c>
      <c r="AL245" s="23">
        <v>437931225</v>
      </c>
      <c r="AN245" s="23">
        <v>658623389</v>
      </c>
      <c r="AP245" s="41">
        <v>508485292</v>
      </c>
    </row>
    <row r="246" spans="4:42" ht="15" customHeight="1">
      <c r="D246" t="s">
        <v>626</v>
      </c>
      <c r="E246" t="s">
        <v>746</v>
      </c>
      <c r="F246" t="s">
        <v>822</v>
      </c>
      <c r="I246" s="23">
        <v>3543652680</v>
      </c>
      <c r="K246" s="23">
        <v>2793977530</v>
      </c>
      <c r="M246" s="23">
        <v>3288525416</v>
      </c>
      <c r="P246" s="23">
        <v>2671322668</v>
      </c>
      <c r="R246" s="23">
        <v>4231642063</v>
      </c>
      <c r="U246" s="23">
        <v>3177870320</v>
      </c>
      <c r="W246" s="23">
        <v>4222139860</v>
      </c>
      <c r="Z246" s="23">
        <v>3230527281</v>
      </c>
      <c r="AB246" s="23">
        <v>3576222236</v>
      </c>
      <c r="AD246" s="23">
        <v>3497291978</v>
      </c>
      <c r="AF246" s="23">
        <v>3366712379</v>
      </c>
      <c r="AH246" s="41">
        <v>3302107018</v>
      </c>
      <c r="AJ246" s="23">
        <v>3448709074</v>
      </c>
      <c r="AL246" s="23">
        <v>3403211154</v>
      </c>
      <c r="AN246" s="23">
        <v>2962738097</v>
      </c>
      <c r="AP246" s="41">
        <v>2804298261</v>
      </c>
    </row>
    <row r="247" spans="4:42" ht="15" customHeight="1">
      <c r="D247" t="s">
        <v>506</v>
      </c>
      <c r="E247" t="s">
        <v>746</v>
      </c>
      <c r="F247" t="s">
        <v>823</v>
      </c>
      <c r="I247" s="23">
        <v>1051251871</v>
      </c>
      <c r="K247" s="23">
        <v>663281249</v>
      </c>
      <c r="M247" s="23">
        <v>0</v>
      </c>
      <c r="P247" s="23">
        <v>265310627</v>
      </c>
      <c r="W247" s="23">
        <v>1459222493</v>
      </c>
      <c r="AB247" s="23">
        <v>4841534245</v>
      </c>
      <c r="AD247" s="23">
        <v>0</v>
      </c>
      <c r="AH247" s="41"/>
      <c r="AP247" s="41"/>
    </row>
    <row r="248" spans="4:42" ht="15" customHeight="1">
      <c r="D248" t="s">
        <v>918</v>
      </c>
      <c r="E248" t="s">
        <v>746</v>
      </c>
      <c r="F248" t="s">
        <v>967</v>
      </c>
      <c r="P248" s="23">
        <v>1796150000</v>
      </c>
      <c r="AH248" s="41"/>
      <c r="AP248" s="41"/>
    </row>
    <row r="249" spans="4:42" ht="15" customHeight="1">
      <c r="D249" t="s">
        <v>936</v>
      </c>
      <c r="E249" t="s">
        <v>746</v>
      </c>
      <c r="F249" t="s">
        <v>940</v>
      </c>
      <c r="U249" s="23">
        <v>585300685</v>
      </c>
      <c r="Z249" s="23">
        <v>177051460</v>
      </c>
      <c r="AH249" s="41"/>
      <c r="AP249" s="41"/>
    </row>
    <row r="250" spans="4:42" ht="15" customHeight="1">
      <c r="D250" t="s">
        <v>1717</v>
      </c>
      <c r="E250" t="s">
        <v>746</v>
      </c>
      <c r="F250" t="s">
        <v>1892</v>
      </c>
      <c r="AH250" s="41"/>
      <c r="AN250" s="23">
        <v>648189307</v>
      </c>
      <c r="AP250" s="41">
        <v>741130651</v>
      </c>
    </row>
    <row r="251" spans="4:42" ht="15" customHeight="1">
      <c r="D251" t="s">
        <v>963</v>
      </c>
      <c r="E251" t="s">
        <v>964</v>
      </c>
      <c r="F251" t="s">
        <v>1707</v>
      </c>
      <c r="I251" s="23" t="e">
        <f>#REF!</f>
        <v>#REF!</v>
      </c>
      <c r="U251" s="23">
        <v>0</v>
      </c>
      <c r="Z251" s="23" t="e">
        <f>+#REF!</f>
        <v>#REF!</v>
      </c>
      <c r="AB251" s="23" t="e">
        <f>+#REF!</f>
        <v>#REF!</v>
      </c>
      <c r="AD251" s="23">
        <v>14052428650</v>
      </c>
      <c r="AF251" s="23">
        <v>14433303418</v>
      </c>
      <c r="AH251" s="41">
        <v>13435238545</v>
      </c>
      <c r="AJ251" s="23">
        <v>12437173672</v>
      </c>
      <c r="AL251" s="23">
        <v>12938129484</v>
      </c>
      <c r="AN251" s="23">
        <v>12259084885</v>
      </c>
      <c r="AP251" s="41">
        <v>10699544327</v>
      </c>
    </row>
    <row r="252" spans="4:42" ht="15" customHeight="1">
      <c r="D252" t="s">
        <v>966</v>
      </c>
      <c r="E252" t="s">
        <v>964</v>
      </c>
      <c r="F252" t="s">
        <v>965</v>
      </c>
      <c r="I252" s="23" t="e">
        <f>-#REF!</f>
        <v>#REF!</v>
      </c>
      <c r="U252" s="23">
        <v>0</v>
      </c>
      <c r="Z252" s="23" t="e">
        <f>-#REF!</f>
        <v>#REF!</v>
      </c>
      <c r="AB252" s="23" t="e">
        <f>-#REF!</f>
        <v>#REF!</v>
      </c>
      <c r="AD252" s="23">
        <v>-4155744511</v>
      </c>
      <c r="AF252" s="23">
        <v>-3809243624</v>
      </c>
      <c r="AH252" s="41">
        <v>-3286383332</v>
      </c>
      <c r="AJ252" s="23">
        <v>-2784978280</v>
      </c>
      <c r="AL252" s="23">
        <v>-2530161866</v>
      </c>
      <c r="AN252" s="23">
        <v>-2074433697</v>
      </c>
      <c r="AP252" s="41">
        <v>-1669689472</v>
      </c>
    </row>
    <row r="253" spans="4:42" ht="15" customHeight="1">
      <c r="D253" t="s">
        <v>1081</v>
      </c>
      <c r="E253" t="s">
        <v>964</v>
      </c>
      <c r="F253" t="s">
        <v>1708</v>
      </c>
      <c r="AD253" s="23">
        <v>4700383582</v>
      </c>
      <c r="AF253" s="23">
        <v>4559232871</v>
      </c>
      <c r="AH253" s="41">
        <v>4419616437</v>
      </c>
      <c r="AP253" s="41"/>
    </row>
    <row r="254" spans="4:42" ht="15" customHeight="1">
      <c r="D254" t="s">
        <v>1001</v>
      </c>
      <c r="E254" t="s">
        <v>746</v>
      </c>
      <c r="F254" t="s">
        <v>1079</v>
      </c>
      <c r="AD254" s="23">
        <v>1438572340</v>
      </c>
      <c r="AF254" s="23">
        <v>1162101045</v>
      </c>
      <c r="AH254" s="41">
        <v>1530156341</v>
      </c>
      <c r="AJ254" s="23">
        <v>1064544502</v>
      </c>
      <c r="AL254" s="23">
        <v>3503645757</v>
      </c>
      <c r="AN254" s="23">
        <v>2521087178</v>
      </c>
      <c r="AP254" s="41">
        <v>1540351126</v>
      </c>
    </row>
    <row r="255" spans="4:42" ht="15" customHeight="1">
      <c r="D255" t="s">
        <v>1588</v>
      </c>
      <c r="E255" t="s">
        <v>964</v>
      </c>
      <c r="F255" t="s">
        <v>1705</v>
      </c>
      <c r="AJ255" s="23">
        <v>2280002999</v>
      </c>
      <c r="AL255" s="23">
        <v>2209427657</v>
      </c>
      <c r="AN255" s="23">
        <v>2137318095</v>
      </c>
      <c r="AP255" s="41">
        <v>2067509849</v>
      </c>
    </row>
    <row r="256" spans="4:42" ht="15" customHeight="1"/>
    <row r="257" spans="4:44" s="37" customFormat="1" ht="15" customHeight="1">
      <c r="D257" s="37" t="s">
        <v>1094</v>
      </c>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f>+AH259+AH258</f>
        <v>20000000000</v>
      </c>
      <c r="AI257" s="38"/>
      <c r="AJ257" s="38">
        <f>+AJ259+AJ258</f>
        <v>19999079045</v>
      </c>
      <c r="AK257" s="38">
        <f>+AK259+AK258</f>
        <v>0</v>
      </c>
      <c r="AL257" s="38">
        <f>+AL259+AL258</f>
        <v>19999492118</v>
      </c>
      <c r="AM257" s="38"/>
      <c r="AN257" s="38">
        <f>+AN259+AN258</f>
        <v>19999905191</v>
      </c>
      <c r="AO257" s="38"/>
      <c r="AP257" s="38">
        <f>+AP259+AP258</f>
        <v>18000318264</v>
      </c>
    </row>
    <row r="258" spans="4:44" ht="15" customHeight="1">
      <c r="D258" t="s">
        <v>1095</v>
      </c>
      <c r="E258" t="s">
        <v>1522</v>
      </c>
      <c r="F258" t="s">
        <v>1513</v>
      </c>
      <c r="AH258" s="41">
        <v>26743972590</v>
      </c>
      <c r="AJ258" s="23">
        <v>26103232865</v>
      </c>
      <c r="AL258" s="23">
        <v>25462493140</v>
      </c>
      <c r="AN258" s="23">
        <v>24821753415</v>
      </c>
      <c r="AP258" s="41">
        <v>22181013690</v>
      </c>
    </row>
    <row r="259" spans="4:44" ht="15" customHeight="1">
      <c r="D259" t="s">
        <v>1096</v>
      </c>
      <c r="E259" t="s">
        <v>1522</v>
      </c>
      <c r="F259" t="s">
        <v>1513</v>
      </c>
      <c r="AH259" s="41">
        <v>-6743972590</v>
      </c>
      <c r="AJ259" s="23">
        <v>-6104153820</v>
      </c>
      <c r="AL259" s="23">
        <v>-5463001022</v>
      </c>
      <c r="AN259" s="23">
        <v>-4821848224</v>
      </c>
      <c r="AP259" s="41">
        <v>-4180695426</v>
      </c>
    </row>
    <row r="260" spans="4:44" ht="15" customHeight="1"/>
    <row r="261" spans="4:44" s="37" customFormat="1" ht="15" customHeight="1">
      <c r="D261" s="37" t="s">
        <v>627</v>
      </c>
      <c r="I261" s="38">
        <f>+I262+I265+I270</f>
        <v>42741000310.300003</v>
      </c>
      <c r="J261" s="38"/>
      <c r="K261" s="38">
        <f>+K262+K265+K270</f>
        <v>42620409223</v>
      </c>
      <c r="L261" s="38"/>
      <c r="M261" s="38">
        <f t="shared" ref="M261:U261" si="34">+M262+M265+M270</f>
        <v>41236926851</v>
      </c>
      <c r="N261" s="38">
        <f t="shared" si="34"/>
        <v>0</v>
      </c>
      <c r="O261" s="38">
        <f t="shared" si="34"/>
        <v>34275363301</v>
      </c>
      <c r="P261" s="38">
        <f t="shared" si="34"/>
        <v>43423569932</v>
      </c>
      <c r="Q261" s="38">
        <f t="shared" si="34"/>
        <v>0</v>
      </c>
      <c r="R261" s="38">
        <f t="shared" si="34"/>
        <v>40927731263</v>
      </c>
      <c r="S261" s="38">
        <f t="shared" si="34"/>
        <v>0</v>
      </c>
      <c r="T261" s="38">
        <f t="shared" si="34"/>
        <v>36748665341</v>
      </c>
      <c r="U261" s="38">
        <f t="shared" si="34"/>
        <v>44044596245</v>
      </c>
      <c r="V261" s="38"/>
      <c r="W261" s="38">
        <f>+W262+W265+W270</f>
        <v>43429586836</v>
      </c>
      <c r="X261" s="38"/>
      <c r="Y261" s="38">
        <f>+Y262+Y265+Y270</f>
        <v>38561250117</v>
      </c>
      <c r="Z261" s="38">
        <f>+Z262+Z265+Z270</f>
        <v>60453134023</v>
      </c>
      <c r="AA261" s="38"/>
      <c r="AB261" s="38">
        <f>+AB262+AB265+AB270</f>
        <v>60973520340</v>
      </c>
      <c r="AC261" s="38"/>
      <c r="AD261" s="38">
        <f>+AD262+AD265+AD270</f>
        <v>45800280708</v>
      </c>
      <c r="AE261" s="38">
        <f>+AE262+AE265+AE270</f>
        <v>0</v>
      </c>
      <c r="AF261" s="38">
        <f>+AF262+AF265+AF270</f>
        <v>46882406369</v>
      </c>
      <c r="AG261" s="38"/>
      <c r="AH261" s="38">
        <f>+AH262+AH265+AH270</f>
        <v>46665207359</v>
      </c>
      <c r="AI261" s="38"/>
      <c r="AJ261" s="38">
        <f>+AJ262+AJ265+AJ270</f>
        <v>47005270244</v>
      </c>
      <c r="AK261" s="38">
        <f>+AK262+AK265+AK270</f>
        <v>0</v>
      </c>
      <c r="AL261" s="38">
        <f>+AL262+AL265+AL270</f>
        <v>46150643880</v>
      </c>
      <c r="AM261" s="38"/>
      <c r="AN261" s="38">
        <f>+AN262+AN265+AN270</f>
        <v>46101934329</v>
      </c>
      <c r="AO261" s="38"/>
      <c r="AP261" s="38">
        <f>+AP262+AP265+AP270</f>
        <v>47592912473</v>
      </c>
    </row>
    <row r="262" spans="4:44" s="37" customFormat="1" ht="15" customHeight="1">
      <c r="D262" s="37" t="s">
        <v>628</v>
      </c>
      <c r="I262" s="38">
        <f>+I263</f>
        <v>38500000000</v>
      </c>
      <c r="J262" s="38"/>
      <c r="K262" s="38">
        <f>+K263</f>
        <v>38500000000</v>
      </c>
      <c r="L262" s="38"/>
      <c r="M262" s="38">
        <f>+M263</f>
        <v>38500000000</v>
      </c>
      <c r="N262" s="38">
        <f t="shared" ref="N262:AP262" si="35">+N263</f>
        <v>0</v>
      </c>
      <c r="O262" s="38">
        <f t="shared" si="35"/>
        <v>25369000000</v>
      </c>
      <c r="P262" s="38">
        <f t="shared" si="35"/>
        <v>38500000000</v>
      </c>
      <c r="Q262" s="38">
        <f t="shared" si="35"/>
        <v>0</v>
      </c>
      <c r="R262" s="38">
        <f t="shared" si="35"/>
        <v>38500000000</v>
      </c>
      <c r="S262" s="38">
        <f t="shared" si="35"/>
        <v>0</v>
      </c>
      <c r="T262" s="38">
        <f t="shared" si="35"/>
        <v>25369000000</v>
      </c>
      <c r="U262" s="38">
        <f t="shared" si="35"/>
        <v>38500000000</v>
      </c>
      <c r="V262" s="38"/>
      <c r="W262" s="38">
        <f t="shared" si="35"/>
        <v>38500000000</v>
      </c>
      <c r="X262" s="38"/>
      <c r="Y262" s="38">
        <f t="shared" si="35"/>
        <v>25369000000</v>
      </c>
      <c r="Z262" s="38">
        <f t="shared" si="35"/>
        <v>38500000000</v>
      </c>
      <c r="AA262" s="38"/>
      <c r="AB262" s="38">
        <f t="shared" si="35"/>
        <v>38500000000</v>
      </c>
      <c r="AC262" s="38"/>
      <c r="AD262" s="38">
        <f t="shared" si="35"/>
        <v>38500000000</v>
      </c>
      <c r="AE262" s="38">
        <f t="shared" si="35"/>
        <v>0</v>
      </c>
      <c r="AF262" s="38">
        <f t="shared" si="35"/>
        <v>38500000000</v>
      </c>
      <c r="AG262" s="38"/>
      <c r="AH262" s="38">
        <f t="shared" si="35"/>
        <v>38500000000</v>
      </c>
      <c r="AI262" s="38"/>
      <c r="AJ262" s="38">
        <f t="shared" si="35"/>
        <v>38500000000</v>
      </c>
      <c r="AK262" s="38">
        <f t="shared" si="35"/>
        <v>0</v>
      </c>
      <c r="AL262" s="38">
        <f t="shared" si="35"/>
        <v>38500000000</v>
      </c>
      <c r="AM262" s="38"/>
      <c r="AN262" s="38">
        <f t="shared" si="35"/>
        <v>38500000000</v>
      </c>
      <c r="AO262" s="38"/>
      <c r="AP262" s="38">
        <f t="shared" si="35"/>
        <v>38500000000</v>
      </c>
    </row>
    <row r="263" spans="4:44" ht="15" customHeight="1">
      <c r="D263" t="s">
        <v>629</v>
      </c>
      <c r="E263" t="s">
        <v>750</v>
      </c>
      <c r="I263" s="23">
        <v>38500000000</v>
      </c>
      <c r="K263" s="23">
        <v>38500000000</v>
      </c>
      <c r="M263" s="23">
        <v>38500000000</v>
      </c>
      <c r="O263" s="23">
        <v>25369000000</v>
      </c>
      <c r="P263" s="23">
        <v>38500000000</v>
      </c>
      <c r="R263" s="23">
        <v>38500000000</v>
      </c>
      <c r="T263" s="23">
        <v>25369000000</v>
      </c>
      <c r="U263" s="23">
        <v>38500000000</v>
      </c>
      <c r="W263" s="23">
        <v>38500000000</v>
      </c>
      <c r="Y263" s="23">
        <v>25369000000</v>
      </c>
      <c r="Z263" s="23">
        <v>38500000000</v>
      </c>
      <c r="AB263" s="23">
        <v>38500000000</v>
      </c>
      <c r="AD263" s="23">
        <v>38500000000</v>
      </c>
      <c r="AF263" s="23">
        <v>38500000000</v>
      </c>
      <c r="AH263" s="41">
        <v>38500000000</v>
      </c>
      <c r="AJ263" s="23">
        <v>38500000000</v>
      </c>
      <c r="AL263" s="23">
        <v>38500000000</v>
      </c>
      <c r="AN263" s="23">
        <v>38500000000</v>
      </c>
      <c r="AP263" s="41">
        <v>38500000000</v>
      </c>
    </row>
    <row r="264" spans="4:44" ht="15" customHeight="1"/>
    <row r="265" spans="4:44" s="37" customFormat="1" ht="15" customHeight="1">
      <c r="D265" s="37" t="s">
        <v>630</v>
      </c>
      <c r="I265" s="38">
        <f>SUM(I266:I267)</f>
        <v>2279308749</v>
      </c>
      <c r="J265" s="38"/>
      <c r="K265" s="38">
        <f>SUM(K266:K267)</f>
        <v>2389714257</v>
      </c>
      <c r="L265" s="38"/>
      <c r="M265" s="38">
        <f>SUM(M266:M267)</f>
        <v>1505711068</v>
      </c>
      <c r="N265" s="38">
        <f t="shared" ref="N265:Y265" si="36">SUM(N266:N267)</f>
        <v>0</v>
      </c>
      <c r="O265" s="38">
        <f t="shared" si="36"/>
        <v>2562956550</v>
      </c>
      <c r="P265" s="38">
        <f t="shared" si="36"/>
        <v>2500119765</v>
      </c>
      <c r="Q265" s="38">
        <f t="shared" si="36"/>
        <v>0</v>
      </c>
      <c r="R265" s="38">
        <f t="shared" si="36"/>
        <v>1584688321</v>
      </c>
      <c r="S265" s="38">
        <f t="shared" si="36"/>
        <v>0</v>
      </c>
      <c r="T265" s="38">
        <f t="shared" si="36"/>
        <v>2759126070</v>
      </c>
      <c r="U265" s="38">
        <f t="shared" si="36"/>
        <v>2610525273</v>
      </c>
      <c r="V265" s="38"/>
      <c r="W265" s="38">
        <f t="shared" si="36"/>
        <v>1670836021</v>
      </c>
      <c r="X265" s="38"/>
      <c r="Y265" s="38">
        <f t="shared" si="36"/>
        <v>2905279452</v>
      </c>
      <c r="Z265" s="38">
        <f>SUM(Z266:Z268)</f>
        <v>18443280177</v>
      </c>
      <c r="AA265" s="38"/>
      <c r="AB265" s="38">
        <f>SUM(AB266:AB268)</f>
        <v>18664040411</v>
      </c>
      <c r="AC265" s="38"/>
      <c r="AD265" s="38">
        <f>SUM(AD266:AD268)</f>
        <v>3543987559</v>
      </c>
      <c r="AE265" s="38">
        <f>SUM(AE266:AE268)</f>
        <v>0</v>
      </c>
      <c r="AF265" s="38">
        <f>SUM(AF266:AF268)</f>
        <v>3757250775</v>
      </c>
      <c r="AG265" s="38"/>
      <c r="AH265" s="38">
        <f>SUM(AH266:AH268)</f>
        <v>3725307455</v>
      </c>
      <c r="AI265" s="38"/>
      <c r="AJ265" s="38">
        <f>SUM(AJ266:AJ268)</f>
        <v>3873488695</v>
      </c>
      <c r="AK265" s="38">
        <f>SUM(AK266:AK268)</f>
        <v>0</v>
      </c>
      <c r="AL265" s="38">
        <f>SUM(AL266:AL268)</f>
        <v>4013072215</v>
      </c>
      <c r="AM265" s="38"/>
      <c r="AN265" s="38">
        <f>SUM(AN266:AN268)</f>
        <v>4152655735</v>
      </c>
      <c r="AO265" s="38"/>
      <c r="AP265" s="38">
        <f>SUM(AP266:AP268)</f>
        <v>4227159859</v>
      </c>
    </row>
    <row r="266" spans="4:44" ht="15" customHeight="1">
      <c r="D266" t="s">
        <v>631</v>
      </c>
      <c r="E266" t="s">
        <v>748</v>
      </c>
      <c r="H266">
        <f>+AH266-Z266</f>
        <v>543077486</v>
      </c>
      <c r="I266" s="23">
        <v>1157196588</v>
      </c>
      <c r="K266" s="23">
        <v>1267602096</v>
      </c>
      <c r="M266" s="23">
        <v>492469750</v>
      </c>
      <c r="O266" s="23">
        <v>1549715232</v>
      </c>
      <c r="P266" s="23">
        <v>1378007604</v>
      </c>
      <c r="R266" s="23">
        <v>571447003</v>
      </c>
      <c r="T266" s="23">
        <v>1745884752</v>
      </c>
      <c r="U266" s="23">
        <v>1488413112</v>
      </c>
      <c r="W266" s="23">
        <v>657594703</v>
      </c>
      <c r="Y266" s="23">
        <v>1892038134</v>
      </c>
      <c r="Z266" s="23">
        <v>1928671158</v>
      </c>
      <c r="AB266" s="23">
        <v>2118618306</v>
      </c>
      <c r="AD266" s="23">
        <v>2308565454</v>
      </c>
      <c r="AF266" s="23">
        <v>2498512602</v>
      </c>
      <c r="AH266" s="41">
        <v>2471748644</v>
      </c>
      <c r="AJ266" s="23">
        <v>2611332164</v>
      </c>
      <c r="AL266" s="23">
        <v>2750915684</v>
      </c>
      <c r="AM266" s="23">
        <f>+AL266-AH266</f>
        <v>279167040</v>
      </c>
      <c r="AN266" s="23">
        <v>2890499204</v>
      </c>
      <c r="AP266" s="41">
        <v>2951187748</v>
      </c>
      <c r="AR266" s="42">
        <f>+AP266-AH266</f>
        <v>479439104</v>
      </c>
    </row>
    <row r="267" spans="4:44" ht="15" customHeight="1">
      <c r="D267" t="s">
        <v>632</v>
      </c>
      <c r="E267" t="s">
        <v>748</v>
      </c>
      <c r="I267" s="23">
        <v>1122112161</v>
      </c>
      <c r="K267" s="23">
        <v>1122112161</v>
      </c>
      <c r="M267" s="23">
        <v>1013241318</v>
      </c>
      <c r="O267" s="23">
        <v>1013241318</v>
      </c>
      <c r="P267" s="23">
        <v>1122112161</v>
      </c>
      <c r="R267" s="23">
        <v>1013241318</v>
      </c>
      <c r="T267" s="23">
        <v>1013241318</v>
      </c>
      <c r="U267" s="23">
        <v>1122112161</v>
      </c>
      <c r="W267" s="23">
        <v>1013241318</v>
      </c>
      <c r="Y267" s="23">
        <v>1013241318</v>
      </c>
      <c r="Z267" s="23">
        <v>1203594387</v>
      </c>
      <c r="AB267" s="23">
        <v>1234407473</v>
      </c>
      <c r="AD267" s="23">
        <v>1234407473</v>
      </c>
      <c r="AF267" s="23">
        <v>1257723541</v>
      </c>
      <c r="AH267" s="41">
        <v>1252544179</v>
      </c>
      <c r="AJ267" s="23">
        <v>1261141899</v>
      </c>
      <c r="AL267" s="23">
        <v>1261141899</v>
      </c>
      <c r="AN267" s="23">
        <v>1261141899</v>
      </c>
      <c r="AP267" s="41">
        <v>1274957479</v>
      </c>
    </row>
    <row r="268" spans="4:44" ht="15" customHeight="1">
      <c r="D268" t="s">
        <v>1003</v>
      </c>
      <c r="E268" t="s">
        <v>1025</v>
      </c>
      <c r="Z268" s="23">
        <v>15311014632</v>
      </c>
      <c r="AB268" s="23">
        <v>15311014632</v>
      </c>
      <c r="AD268" s="23">
        <v>1014632</v>
      </c>
      <c r="AF268" s="23">
        <v>1014632</v>
      </c>
      <c r="AH268" s="41">
        <v>1014632</v>
      </c>
      <c r="AJ268" s="23">
        <v>1014632</v>
      </c>
      <c r="AL268" s="23">
        <v>1014632</v>
      </c>
      <c r="AN268" s="23">
        <v>1014632</v>
      </c>
      <c r="AP268" s="41">
        <v>1014632</v>
      </c>
    </row>
    <row r="269" spans="4:44" ht="15" customHeight="1">
      <c r="U269" s="23">
        <f>+U266-I266</f>
        <v>331216524</v>
      </c>
    </row>
    <row r="270" spans="4:44" s="37" customFormat="1" ht="15" customHeight="1">
      <c r="D270" s="37" t="s">
        <v>633</v>
      </c>
      <c r="I270" s="38">
        <f>SUM(I271:I273)</f>
        <v>1961691561.3000031</v>
      </c>
      <c r="J270" s="38"/>
      <c r="K270" s="38">
        <f>SUM(K271:K273)</f>
        <v>1730694966</v>
      </c>
      <c r="L270" s="38"/>
      <c r="M270" s="38">
        <f>SUM(M271:M273)</f>
        <v>1231215783</v>
      </c>
      <c r="N270" s="38">
        <f t="shared" ref="N270:S270" si="37">SUM(N271:N273)</f>
        <v>0</v>
      </c>
      <c r="O270" s="38">
        <f t="shared" si="37"/>
        <v>6343406751</v>
      </c>
      <c r="P270" s="38">
        <f t="shared" si="37"/>
        <v>2423450167</v>
      </c>
      <c r="Q270" s="38">
        <f t="shared" si="37"/>
        <v>0</v>
      </c>
      <c r="R270" s="38">
        <f t="shared" si="37"/>
        <v>843042942</v>
      </c>
      <c r="S270" s="38">
        <f t="shared" si="37"/>
        <v>0</v>
      </c>
      <c r="T270" s="38">
        <f>SUM(T271:T273)</f>
        <v>8620539271</v>
      </c>
      <c r="U270" s="38">
        <f>SUM(U271:U273)</f>
        <v>2934070972</v>
      </c>
      <c r="V270" s="38"/>
      <c r="W270" s="38">
        <f>SUM(W271:W273)</f>
        <v>3258750815</v>
      </c>
      <c r="X270" s="38"/>
      <c r="Y270" s="38">
        <f>SUM(Y271:Y273)</f>
        <v>10286970665</v>
      </c>
      <c r="Z270" s="38">
        <f>SUM(Z271:Z273)</f>
        <v>3509853846</v>
      </c>
      <c r="AA270" s="38"/>
      <c r="AB270" s="38">
        <f>SUM(AB271:AB273)</f>
        <v>3809479929</v>
      </c>
      <c r="AC270" s="38"/>
      <c r="AD270" s="38">
        <f>SUM(AD271:AD273)</f>
        <v>3756293149</v>
      </c>
      <c r="AE270" s="38">
        <f>SUM(AE271:AE273)</f>
        <v>0</v>
      </c>
      <c r="AF270" s="38">
        <f>SUM(AF271:AF273)</f>
        <v>4625155594</v>
      </c>
      <c r="AG270" s="38"/>
      <c r="AH270" s="38">
        <f>SUM(AH271:AH273)</f>
        <v>4439899904</v>
      </c>
      <c r="AI270" s="38"/>
      <c r="AJ270" s="38">
        <f>SUM(AJ271:AJ273)</f>
        <v>4631781549</v>
      </c>
      <c r="AK270" s="38">
        <f>SUM(AK271:AK273)</f>
        <v>0</v>
      </c>
      <c r="AL270" s="38">
        <f>SUM(AL271:AL273)</f>
        <v>3637571665</v>
      </c>
      <c r="AM270" s="38"/>
      <c r="AN270" s="38">
        <f>SUM(AN271:AN273)</f>
        <v>3449278594</v>
      </c>
      <c r="AO270" s="38"/>
      <c r="AP270" s="38">
        <f>SUM(AP271:AP273)</f>
        <v>4865752614</v>
      </c>
    </row>
    <row r="271" spans="4:44" ht="15" customHeight="1">
      <c r="D271" t="s">
        <v>634</v>
      </c>
      <c r="E271" t="s">
        <v>749</v>
      </c>
      <c r="I271" s="23">
        <v>0</v>
      </c>
      <c r="K271" s="23">
        <v>1961691561</v>
      </c>
      <c r="M271" s="23">
        <v>0</v>
      </c>
      <c r="O271" s="23">
        <v>4152964110</v>
      </c>
      <c r="P271" s="23">
        <v>1961691561</v>
      </c>
      <c r="R271" s="23">
        <v>0</v>
      </c>
      <c r="T271" s="23">
        <v>4152964110</v>
      </c>
      <c r="U271" s="23">
        <v>1961691561</v>
      </c>
      <c r="W271" s="23">
        <v>0</v>
      </c>
      <c r="Y271" s="23">
        <v>4152964110</v>
      </c>
      <c r="Z271" s="23">
        <v>1961691561</v>
      </c>
      <c r="AB271" s="23">
        <v>3509853846</v>
      </c>
      <c r="AD271" s="23">
        <v>3509853846</v>
      </c>
      <c r="AF271" s="23">
        <v>3509853846</v>
      </c>
      <c r="AH271" s="41">
        <v>3509853846</v>
      </c>
      <c r="AJ271" s="23">
        <v>4439899904</v>
      </c>
      <c r="AL271" s="23">
        <v>4439899904</v>
      </c>
      <c r="AN271" s="23">
        <v>4439899904</v>
      </c>
      <c r="AP271" s="41">
        <v>4439899904</v>
      </c>
    </row>
    <row r="272" spans="4:44" ht="15" customHeight="1">
      <c r="D272" t="s">
        <v>635</v>
      </c>
      <c r="E272" t="s">
        <v>747</v>
      </c>
      <c r="I272" s="23">
        <v>1961691561.3000031</v>
      </c>
      <c r="K272" s="23">
        <v>-230996595</v>
      </c>
      <c r="M272" s="23">
        <v>1231215783</v>
      </c>
      <c r="O272" s="23">
        <v>590442641</v>
      </c>
      <c r="P272" s="23">
        <v>461758606</v>
      </c>
      <c r="R272" s="23">
        <v>843042942</v>
      </c>
      <c r="T272" s="23">
        <v>2867575161</v>
      </c>
      <c r="U272" s="23">
        <v>972379411</v>
      </c>
      <c r="W272" s="23">
        <v>3258750815</v>
      </c>
      <c r="Y272" s="23">
        <v>4534006555</v>
      </c>
      <c r="Z272" s="23">
        <v>1548162285</v>
      </c>
      <c r="AB272" s="23">
        <v>299626083</v>
      </c>
      <c r="AD272" s="23">
        <v>246439303</v>
      </c>
      <c r="AF272" s="23">
        <f>1115351748-50000</f>
        <v>1115301748</v>
      </c>
      <c r="AH272" s="41">
        <v>930046058</v>
      </c>
      <c r="AJ272" s="23">
        <v>191881645</v>
      </c>
      <c r="AL272" s="23">
        <v>-802328239</v>
      </c>
      <c r="AN272" s="23">
        <v>-990621310</v>
      </c>
      <c r="AP272" s="41">
        <v>425852710</v>
      </c>
    </row>
    <row r="273" spans="4:43" ht="15" customHeight="1">
      <c r="D273" t="s">
        <v>636</v>
      </c>
      <c r="E273" t="s">
        <v>748</v>
      </c>
      <c r="I273" s="23">
        <v>0</v>
      </c>
      <c r="K273" s="23">
        <v>0</v>
      </c>
      <c r="M273" s="23">
        <v>0</v>
      </c>
      <c r="O273" s="23">
        <v>1600000000</v>
      </c>
      <c r="P273" s="23">
        <v>0</v>
      </c>
      <c r="T273" s="23">
        <v>1600000000</v>
      </c>
      <c r="U273" s="23">
        <v>0</v>
      </c>
      <c r="Y273" s="23">
        <v>1600000000</v>
      </c>
    </row>
    <row r="274" spans="4:43" ht="15" customHeight="1">
      <c r="I274" s="23" t="e">
        <f>+I178-I6</f>
        <v>#REF!</v>
      </c>
      <c r="K274" s="23">
        <f>+K178-K6</f>
        <v>0</v>
      </c>
      <c r="M274" s="23">
        <f t="shared" ref="M274:U274" si="38">+M178-M6</f>
        <v>0</v>
      </c>
      <c r="N274" s="23">
        <f t="shared" si="38"/>
        <v>0</v>
      </c>
      <c r="O274" s="23">
        <f t="shared" si="38"/>
        <v>0</v>
      </c>
      <c r="P274" s="23">
        <f t="shared" si="38"/>
        <v>0</v>
      </c>
      <c r="Q274" s="23">
        <f t="shared" si="38"/>
        <v>0</v>
      </c>
      <c r="R274" s="23">
        <f t="shared" si="38"/>
        <v>0</v>
      </c>
      <c r="S274" s="23">
        <f t="shared" si="38"/>
        <v>0</v>
      </c>
      <c r="T274" s="23">
        <f t="shared" si="38"/>
        <v>0</v>
      </c>
      <c r="U274" s="23">
        <f t="shared" si="38"/>
        <v>0</v>
      </c>
      <c r="W274" s="23">
        <f>+W178-W6</f>
        <v>0</v>
      </c>
      <c r="Y274" s="23">
        <f>+Y178-Y6</f>
        <v>0</v>
      </c>
      <c r="Z274" s="23" t="e">
        <f>+Z178-Z6</f>
        <v>#REF!</v>
      </c>
      <c r="AB274" s="23" t="e">
        <f>+AB178-AB6</f>
        <v>#REF!</v>
      </c>
      <c r="AD274" s="23">
        <f>+AD178-AD6</f>
        <v>0</v>
      </c>
      <c r="AE274" s="23">
        <f>+AE178-AE6</f>
        <v>0</v>
      </c>
      <c r="AF274" s="23">
        <f>+AF178-AF6</f>
        <v>0</v>
      </c>
      <c r="AH274" s="23">
        <f>+AH178-AH6</f>
        <v>0</v>
      </c>
      <c r="AJ274" s="23">
        <f>+AJ178-AJ6</f>
        <v>0</v>
      </c>
      <c r="AK274" s="23">
        <f>+AK178-AK6</f>
        <v>0</v>
      </c>
      <c r="AL274" s="23">
        <f>+AL178-AL6</f>
        <v>0</v>
      </c>
      <c r="AN274" s="23">
        <f>+AN178-AN6</f>
        <v>0</v>
      </c>
      <c r="AP274" s="23">
        <f>+AP178-AP6</f>
        <v>0</v>
      </c>
    </row>
    <row r="275" spans="4:43" ht="12.75" customHeight="1"/>
    <row r="276" spans="4:43" ht="12.75" customHeight="1">
      <c r="K276" s="23">
        <f>+K266-I266</f>
        <v>110405508</v>
      </c>
      <c r="M276" s="23">
        <f>+K271-M272</f>
        <v>730475778</v>
      </c>
      <c r="AD276" s="23">
        <f>+AD266-Z266</f>
        <v>379894296</v>
      </c>
      <c r="AF276" s="23">
        <f>+AF266-Z266</f>
        <v>569841444</v>
      </c>
      <c r="AH276" s="23">
        <f>+AH266-Z266</f>
        <v>543077486</v>
      </c>
      <c r="AN276" s="23">
        <f>+AN266-AH266</f>
        <v>418750560</v>
      </c>
    </row>
    <row r="277" spans="4:43" ht="12.75" customHeight="1">
      <c r="K277" s="23">
        <f>+I266-P266</f>
        <v>-220811016</v>
      </c>
    </row>
    <row r="278" spans="4:43" ht="12.75" customHeight="1"/>
    <row r="279" spans="4:43" ht="12.75" customHeight="1"/>
    <row r="280" spans="4:43" ht="12.75" customHeight="1"/>
    <row r="281" spans="4:43" s="37" customFormat="1" ht="15" customHeight="1">
      <c r="D281" s="37" t="s">
        <v>637</v>
      </c>
      <c r="I281" s="38">
        <f>+I282+I292</f>
        <v>93685437421</v>
      </c>
      <c r="J281" s="38">
        <f>+I281</f>
        <v>93685437421</v>
      </c>
      <c r="K281" s="38">
        <f>+K282+K292</f>
        <v>18943508804</v>
      </c>
      <c r="L281" s="38"/>
      <c r="M281" s="38">
        <f t="shared" ref="M281:R281" si="39">+M282+M292</f>
        <v>21572417264</v>
      </c>
      <c r="N281" s="38">
        <f t="shared" si="39"/>
        <v>21572417264</v>
      </c>
      <c r="O281" s="38">
        <f t="shared" si="39"/>
        <v>17528816264</v>
      </c>
      <c r="P281" s="38">
        <f t="shared" si="39"/>
        <v>43758782068</v>
      </c>
      <c r="Q281" s="38">
        <f t="shared" si="39"/>
        <v>43758782068</v>
      </c>
      <c r="R281" s="38">
        <f t="shared" si="39"/>
        <v>39621131372</v>
      </c>
      <c r="S281" s="38">
        <f>+R281</f>
        <v>39621131372</v>
      </c>
      <c r="T281" s="38"/>
      <c r="U281" s="38">
        <f>+U282+U292</f>
        <v>68830880209</v>
      </c>
      <c r="V281" s="38">
        <f>+U281</f>
        <v>68830880209</v>
      </c>
      <c r="W281" s="38">
        <f>+W282+W292</f>
        <v>63860406443</v>
      </c>
      <c r="X281" s="38">
        <f>+W281</f>
        <v>63860406443</v>
      </c>
      <c r="Y281" s="38">
        <f>+Y282+Y292</f>
        <v>62638354151</v>
      </c>
      <c r="Z281" s="38">
        <f>+Z282+Z292</f>
        <v>96906360557</v>
      </c>
      <c r="AA281" s="38"/>
      <c r="AB281" s="38">
        <f>+AB282+AB292</f>
        <v>23602570276</v>
      </c>
      <c r="AC281" s="38"/>
      <c r="AD281" s="38">
        <f>+AD282+AD292</f>
        <v>52898234066</v>
      </c>
      <c r="AE281" s="38">
        <f>+AD281</f>
        <v>52898234066</v>
      </c>
      <c r="AF281" s="38">
        <f>+AF282+AF292</f>
        <v>77014613975</v>
      </c>
      <c r="AG281" s="38">
        <f>+AG282+AG292</f>
        <v>77014613975</v>
      </c>
      <c r="AH281" s="38">
        <f>+AH282+AH292</f>
        <v>102698124287</v>
      </c>
      <c r="AI281" s="38"/>
      <c r="AJ281" s="38">
        <f>+AJ282+AJ292</f>
        <v>21889277622</v>
      </c>
      <c r="AK281" s="38">
        <f>+AK282+AK292</f>
        <v>21889277622</v>
      </c>
      <c r="AL281" s="38">
        <f>+AL282+AL292</f>
        <v>40993861023</v>
      </c>
      <c r="AM281" s="38">
        <f>+AL281</f>
        <v>40993861023</v>
      </c>
      <c r="AN281" s="38">
        <f>+AN282+AN292</f>
        <v>65592239029</v>
      </c>
      <c r="AO281" s="38"/>
      <c r="AP281" s="38">
        <f>+AP282+AP292</f>
        <v>103491085406</v>
      </c>
      <c r="AQ281" s="37">
        <f>+AP281-AP309</f>
        <v>95099230129</v>
      </c>
    </row>
    <row r="282" spans="4:43" s="37" customFormat="1" ht="15" customHeight="1">
      <c r="D282" s="37" t="s">
        <v>638</v>
      </c>
      <c r="I282" s="38">
        <f>+I283</f>
        <v>78758166674</v>
      </c>
      <c r="J282" s="38">
        <f t="shared" ref="J282:J300" si="40">+I282</f>
        <v>78758166674</v>
      </c>
      <c r="K282" s="38">
        <f>+K283</f>
        <v>17463986736</v>
      </c>
      <c r="L282" s="38"/>
      <c r="M282" s="38">
        <f t="shared" ref="M282:R282" si="41">+M283</f>
        <v>19625062377</v>
      </c>
      <c r="N282" s="38">
        <f t="shared" si="41"/>
        <v>19625062377</v>
      </c>
      <c r="O282" s="38">
        <f t="shared" si="41"/>
        <v>15731109235</v>
      </c>
      <c r="P282" s="38">
        <f t="shared" si="41"/>
        <v>41090712464</v>
      </c>
      <c r="Q282" s="38">
        <f t="shared" si="41"/>
        <v>41090712464</v>
      </c>
      <c r="R282" s="38">
        <f t="shared" si="41"/>
        <v>36355414985</v>
      </c>
      <c r="S282" s="38">
        <f t="shared" ref="S282:S300" si="42">+R282</f>
        <v>36355414985</v>
      </c>
      <c r="T282" s="38"/>
      <c r="U282" s="38">
        <f t="shared" ref="U282:AP282" si="43">+U283</f>
        <v>65238701718</v>
      </c>
      <c r="V282" s="38">
        <f>+U282</f>
        <v>65238701718</v>
      </c>
      <c r="W282" s="38">
        <f t="shared" si="43"/>
        <v>57821728860</v>
      </c>
      <c r="X282" s="38">
        <f t="shared" ref="X282:X301" si="44">+W282</f>
        <v>57821728860</v>
      </c>
      <c r="Y282" s="38">
        <f t="shared" si="43"/>
        <v>51976194927</v>
      </c>
      <c r="Z282" s="38">
        <f t="shared" si="43"/>
        <v>92017465228</v>
      </c>
      <c r="AA282" s="38"/>
      <c r="AB282" s="38">
        <f t="shared" si="43"/>
        <v>22732190172</v>
      </c>
      <c r="AC282" s="38"/>
      <c r="AD282" s="38">
        <f t="shared" si="43"/>
        <v>50970231678</v>
      </c>
      <c r="AE282" s="38">
        <f t="shared" ref="AE282:AE300" si="45">+AD282</f>
        <v>50970231678</v>
      </c>
      <c r="AF282" s="38">
        <f t="shared" si="43"/>
        <v>73056365249</v>
      </c>
      <c r="AG282" s="38">
        <f t="shared" si="43"/>
        <v>73056365249</v>
      </c>
      <c r="AH282" s="38">
        <f t="shared" si="43"/>
        <v>97387828762</v>
      </c>
      <c r="AI282" s="38"/>
      <c r="AJ282" s="38">
        <f t="shared" si="43"/>
        <v>20297814629</v>
      </c>
      <c r="AK282" s="38">
        <f t="shared" si="43"/>
        <v>20297814629</v>
      </c>
      <c r="AL282" s="38">
        <f t="shared" si="43"/>
        <v>38146674315</v>
      </c>
      <c r="AM282" s="38">
        <f t="shared" ref="AM282:AM300" si="46">+AL282</f>
        <v>38146674315</v>
      </c>
      <c r="AN282" s="38">
        <f t="shared" si="43"/>
        <v>58398978328</v>
      </c>
      <c r="AO282" s="38"/>
      <c r="AP282" s="38">
        <f t="shared" si="43"/>
        <v>84774257237</v>
      </c>
    </row>
    <row r="283" spans="4:43" s="37" customFormat="1" ht="15" customHeight="1">
      <c r="D283" s="37" t="s">
        <v>639</v>
      </c>
      <c r="I283" s="38">
        <f>SUM(I284:I290)</f>
        <v>78758166674</v>
      </c>
      <c r="J283" s="38">
        <f t="shared" si="40"/>
        <v>78758166674</v>
      </c>
      <c r="K283" s="38">
        <f>SUM(K284:K290)</f>
        <v>17463986736</v>
      </c>
      <c r="L283" s="38"/>
      <c r="M283" s="38">
        <f t="shared" ref="M283:R283" si="47">SUM(M284:M290)</f>
        <v>19625062377</v>
      </c>
      <c r="N283" s="38">
        <f t="shared" si="47"/>
        <v>19625062377</v>
      </c>
      <c r="O283" s="38">
        <f t="shared" si="47"/>
        <v>15731109235</v>
      </c>
      <c r="P283" s="38">
        <f t="shared" si="47"/>
        <v>41090712464</v>
      </c>
      <c r="Q283" s="38">
        <f t="shared" si="47"/>
        <v>41090712464</v>
      </c>
      <c r="R283" s="38">
        <f t="shared" si="47"/>
        <v>36355414985</v>
      </c>
      <c r="S283" s="38">
        <f t="shared" si="42"/>
        <v>36355414985</v>
      </c>
      <c r="T283" s="38"/>
      <c r="U283" s="38">
        <f>SUM(U284:U290)</f>
        <v>65238701718</v>
      </c>
      <c r="V283" s="38">
        <f>+U283</f>
        <v>65238701718</v>
      </c>
      <c r="W283" s="38">
        <f>SUM(W284:W290)</f>
        <v>57821728860</v>
      </c>
      <c r="X283" s="38">
        <f t="shared" si="44"/>
        <v>57821728860</v>
      </c>
      <c r="Y283" s="38">
        <f>SUM(Y284:Y290)</f>
        <v>51976194927</v>
      </c>
      <c r="Z283" s="38">
        <f>SUM(Z284:Z290)</f>
        <v>92017465228</v>
      </c>
      <c r="AA283" s="38"/>
      <c r="AB283" s="38">
        <f>SUM(AB284:AB290)</f>
        <v>22732190172</v>
      </c>
      <c r="AC283" s="38"/>
      <c r="AD283" s="38">
        <f>SUM(AD284:AD290)</f>
        <v>50970231678</v>
      </c>
      <c r="AE283" s="38">
        <f t="shared" si="45"/>
        <v>50970231678</v>
      </c>
      <c r="AF283" s="38">
        <f>SUM(AF284:AF290)</f>
        <v>73056365249</v>
      </c>
      <c r="AG283" s="38">
        <f>SUM(AG284:AG290)</f>
        <v>73056365249</v>
      </c>
      <c r="AH283" s="38">
        <f>SUM(AH284:AH290)</f>
        <v>97387828762</v>
      </c>
      <c r="AI283" s="38"/>
      <c r="AJ283" s="38">
        <f>SUM(AJ284:AJ290)</f>
        <v>20297814629</v>
      </c>
      <c r="AK283" s="38">
        <f>SUM(AK284:AK290)</f>
        <v>20297814629</v>
      </c>
      <c r="AL283" s="38">
        <f>SUM(AL284:AL290)</f>
        <v>38146674315</v>
      </c>
      <c r="AM283" s="38">
        <f t="shared" si="46"/>
        <v>38146674315</v>
      </c>
      <c r="AN283" s="38">
        <f>SUM(AN284:AN290)</f>
        <v>58398978328</v>
      </c>
      <c r="AO283" s="38"/>
      <c r="AP283" s="38">
        <f>SUM(AP284:AP290)</f>
        <v>84774257237</v>
      </c>
    </row>
    <row r="284" spans="4:43" ht="15" customHeight="1">
      <c r="D284" t="s">
        <v>640</v>
      </c>
      <c r="E284" t="s">
        <v>395</v>
      </c>
      <c r="H284" t="s">
        <v>1034</v>
      </c>
      <c r="I284" s="23">
        <v>67145103744</v>
      </c>
      <c r="J284" s="23">
        <f t="shared" si="40"/>
        <v>67145103744</v>
      </c>
      <c r="K284" s="23">
        <f>10794238386+3426900980</f>
        <v>14221139366</v>
      </c>
      <c r="L284" s="23">
        <f>+K284</f>
        <v>14221139366</v>
      </c>
      <c r="M284" s="23">
        <v>16197538571</v>
      </c>
      <c r="N284" s="23">
        <f>+M284</f>
        <v>16197538571</v>
      </c>
      <c r="O284" s="23">
        <v>13123811516</v>
      </c>
      <c r="P284" s="23">
        <f>27689819521+7012246555</f>
        <v>34702066076</v>
      </c>
      <c r="Q284" s="23">
        <f>+P284</f>
        <v>34702066076</v>
      </c>
      <c r="R284" s="23">
        <v>30626673029</v>
      </c>
      <c r="S284" s="23">
        <f t="shared" si="42"/>
        <v>30626673029</v>
      </c>
      <c r="U284" s="23">
        <f>44587658242+11008751044</f>
        <v>55596409286</v>
      </c>
      <c r="V284" s="23">
        <f>+U284</f>
        <v>55596409286</v>
      </c>
      <c r="W284" s="23">
        <v>49199067222</v>
      </c>
      <c r="X284" s="23">
        <f t="shared" si="44"/>
        <v>49199067222</v>
      </c>
      <c r="Y284" s="23">
        <v>44229256038</v>
      </c>
      <c r="Z284" s="23">
        <f>63687352869+15282631121</f>
        <v>78969983990</v>
      </c>
      <c r="AA284" s="23">
        <f>+Z284</f>
        <v>78969983990</v>
      </c>
      <c r="AB284" s="23">
        <f>15867954528+3618133869</f>
        <v>19486088397</v>
      </c>
      <c r="AC284" s="23">
        <f>+AB284</f>
        <v>19486088397</v>
      </c>
      <c r="AD284" s="23">
        <f>37046738475+7319366606</f>
        <v>44366105081</v>
      </c>
      <c r="AE284" s="23">
        <f t="shared" si="45"/>
        <v>44366105081</v>
      </c>
      <c r="AF284" s="23">
        <f>52021153426+10474632080</f>
        <v>62495785506</v>
      </c>
      <c r="AG284" s="23">
        <f>+AF284</f>
        <v>62495785506</v>
      </c>
      <c r="AH284" s="23">
        <f>68872758379+14227116115</f>
        <v>83099874494</v>
      </c>
      <c r="AI284" s="23">
        <f>+AH284</f>
        <v>83099874494</v>
      </c>
      <c r="AJ284" s="23">
        <f>13069452586+3515212787</f>
        <v>16584665373</v>
      </c>
      <c r="AK284" s="23">
        <f t="shared" ref="AK284:AK301" si="48">+AJ284</f>
        <v>16584665373</v>
      </c>
      <c r="AL284" s="23">
        <f>24259612036+6531739730</f>
        <v>30791351766</v>
      </c>
      <c r="AM284" s="23">
        <f t="shared" si="46"/>
        <v>30791351766</v>
      </c>
      <c r="AN284" s="23">
        <f>35827624930+11287430401</f>
        <v>47115055331</v>
      </c>
      <c r="AO284" s="23">
        <f>+AN284</f>
        <v>47115055331</v>
      </c>
      <c r="AP284" s="41">
        <f>52703250562+15932865585</f>
        <v>68636116147</v>
      </c>
      <c r="AQ284">
        <f>+AP284</f>
        <v>68636116147</v>
      </c>
    </row>
    <row r="285" spans="4:43" ht="15" customHeight="1">
      <c r="D285" t="s">
        <v>641</v>
      </c>
      <c r="E285" t="s">
        <v>395</v>
      </c>
      <c r="H285" t="s">
        <v>1037</v>
      </c>
      <c r="I285" s="23">
        <v>152190070</v>
      </c>
      <c r="J285" s="23">
        <f t="shared" si="40"/>
        <v>152190070</v>
      </c>
      <c r="K285" s="23">
        <f>1639103+2649850</f>
        <v>4288953</v>
      </c>
      <c r="L285" s="23">
        <f t="shared" ref="L285:L290" si="49">+K285</f>
        <v>4288953</v>
      </c>
      <c r="M285" s="23">
        <v>26538448</v>
      </c>
      <c r="N285" s="23">
        <f t="shared" ref="N285:N290" si="50">+M285</f>
        <v>26538448</v>
      </c>
      <c r="O285" s="23">
        <v>13759480</v>
      </c>
      <c r="P285" s="23">
        <v>73503065</v>
      </c>
      <c r="Q285" s="23">
        <f t="shared" ref="Q285:Q290" si="51">+P285</f>
        <v>73503065</v>
      </c>
      <c r="R285" s="23">
        <v>77153755</v>
      </c>
      <c r="S285" s="23">
        <f t="shared" si="42"/>
        <v>77153755</v>
      </c>
      <c r="U285" s="23">
        <v>91102453</v>
      </c>
      <c r="V285" s="23">
        <f t="shared" ref="V285:V300" si="52">+U285</f>
        <v>91102453</v>
      </c>
      <c r="W285" s="23">
        <v>97339816</v>
      </c>
      <c r="X285" s="23">
        <f t="shared" si="44"/>
        <v>97339816</v>
      </c>
      <c r="Y285" s="23">
        <v>114169480</v>
      </c>
      <c r="Z285" s="23">
        <v>190380851</v>
      </c>
      <c r="AA285" s="23">
        <f t="shared" ref="AA285:AA300" si="53">+Z285</f>
        <v>190380851</v>
      </c>
      <c r="AB285" s="23">
        <v>7513079</v>
      </c>
      <c r="AC285" s="23">
        <f t="shared" ref="AC285:AC300" si="54">+AB285</f>
        <v>7513079</v>
      </c>
      <c r="AD285" s="23">
        <v>19642666</v>
      </c>
      <c r="AE285" s="23">
        <f t="shared" si="45"/>
        <v>19642666</v>
      </c>
      <c r="AF285" s="23">
        <v>84324644</v>
      </c>
      <c r="AG285" s="23">
        <f t="shared" ref="AG285:AG300" si="55">+AF285</f>
        <v>84324644</v>
      </c>
      <c r="AH285" s="23">
        <v>134181121</v>
      </c>
      <c r="AI285" s="23">
        <f t="shared" ref="AI285:AI301" si="56">+AH285</f>
        <v>134181121</v>
      </c>
      <c r="AJ285" s="23">
        <v>1289620</v>
      </c>
      <c r="AK285" s="23">
        <f t="shared" si="48"/>
        <v>1289620</v>
      </c>
      <c r="AL285" s="23">
        <v>5157542</v>
      </c>
      <c r="AM285" s="23">
        <f t="shared" si="46"/>
        <v>5157542</v>
      </c>
      <c r="AN285" s="23">
        <v>228147571</v>
      </c>
      <c r="AO285" s="23">
        <f t="shared" ref="AO285:AO300" si="57">+AN285</f>
        <v>228147571</v>
      </c>
      <c r="AP285" s="41">
        <v>412344497</v>
      </c>
      <c r="AQ285">
        <f t="shared" ref="AQ285:AQ299" si="58">+AP285</f>
        <v>412344497</v>
      </c>
    </row>
    <row r="286" spans="4:43" ht="15" customHeight="1">
      <c r="D286" t="s">
        <v>642</v>
      </c>
      <c r="E286" t="s">
        <v>395</v>
      </c>
      <c r="H286" t="s">
        <v>1037</v>
      </c>
      <c r="I286" s="23">
        <v>376663096</v>
      </c>
      <c r="J286" s="23">
        <f t="shared" si="40"/>
        <v>376663096</v>
      </c>
      <c r="K286" s="23">
        <v>0</v>
      </c>
      <c r="L286" s="23">
        <f t="shared" si="49"/>
        <v>0</v>
      </c>
      <c r="M286" s="23">
        <v>161217382</v>
      </c>
      <c r="N286" s="23">
        <f t="shared" si="50"/>
        <v>161217382</v>
      </c>
      <c r="O286" s="23">
        <v>213025972</v>
      </c>
      <c r="Q286" s="23">
        <f t="shared" si="51"/>
        <v>0</v>
      </c>
      <c r="R286" s="23">
        <v>265139827</v>
      </c>
      <c r="S286" s="23">
        <f t="shared" si="42"/>
        <v>265139827</v>
      </c>
      <c r="V286" s="23">
        <f t="shared" si="52"/>
        <v>0</v>
      </c>
      <c r="W286" s="23">
        <v>364292632</v>
      </c>
      <c r="X286" s="23">
        <f t="shared" si="44"/>
        <v>364292632</v>
      </c>
      <c r="Y286" s="23">
        <v>781879939</v>
      </c>
      <c r="AA286" s="23">
        <f t="shared" si="53"/>
        <v>0</v>
      </c>
      <c r="AC286" s="23">
        <f t="shared" si="54"/>
        <v>0</v>
      </c>
      <c r="AD286" s="23">
        <v>64697965</v>
      </c>
      <c r="AE286" s="23">
        <f t="shared" si="45"/>
        <v>64697965</v>
      </c>
      <c r="AF286" s="23">
        <v>365611426</v>
      </c>
      <c r="AG286" s="23">
        <f t="shared" si="55"/>
        <v>365611426</v>
      </c>
      <c r="AH286" s="23">
        <v>394732872</v>
      </c>
      <c r="AI286" s="23">
        <f t="shared" si="56"/>
        <v>394732872</v>
      </c>
      <c r="AJ286" s="23">
        <v>119143938</v>
      </c>
      <c r="AK286" s="23">
        <f t="shared" si="48"/>
        <v>119143938</v>
      </c>
      <c r="AL286" s="23">
        <v>107780303</v>
      </c>
      <c r="AM286" s="23">
        <f t="shared" si="46"/>
        <v>107780303</v>
      </c>
      <c r="AN286" s="23">
        <v>107192896</v>
      </c>
      <c r="AO286" s="23">
        <f t="shared" si="57"/>
        <v>107192896</v>
      </c>
      <c r="AP286" s="41">
        <v>847669207</v>
      </c>
      <c r="AQ286">
        <f t="shared" si="58"/>
        <v>847669207</v>
      </c>
    </row>
    <row r="287" spans="4:43" ht="15" customHeight="1">
      <c r="D287" t="s">
        <v>643</v>
      </c>
      <c r="E287" t="s">
        <v>395</v>
      </c>
      <c r="H287" t="s">
        <v>1036</v>
      </c>
      <c r="I287" s="23">
        <v>8683736516</v>
      </c>
      <c r="J287" s="23">
        <f t="shared" si="40"/>
        <v>8683736516</v>
      </c>
      <c r="K287" s="23">
        <v>2227955023</v>
      </c>
      <c r="L287" s="23">
        <f t="shared" si="49"/>
        <v>2227955023</v>
      </c>
      <c r="M287" s="23">
        <v>2698395775</v>
      </c>
      <c r="N287" s="23">
        <f t="shared" si="50"/>
        <v>2698395775</v>
      </c>
      <c r="O287" s="23">
        <v>1849731098</v>
      </c>
      <c r="P287" s="23">
        <v>4426066679</v>
      </c>
      <c r="Q287" s="23">
        <f t="shared" si="51"/>
        <v>4426066679</v>
      </c>
      <c r="R287" s="23">
        <v>4377403855</v>
      </c>
      <c r="S287" s="23">
        <f t="shared" si="42"/>
        <v>4377403855</v>
      </c>
      <c r="U287" s="23">
        <v>6619760885</v>
      </c>
      <c r="V287" s="23">
        <f t="shared" si="52"/>
        <v>6619760885</v>
      </c>
      <c r="W287" s="23">
        <v>6510288578</v>
      </c>
      <c r="X287" s="23">
        <f t="shared" si="44"/>
        <v>6510288578</v>
      </c>
      <c r="Y287" s="23">
        <v>5496225843</v>
      </c>
      <c r="Z287" s="23">
        <v>8850555676</v>
      </c>
      <c r="AA287" s="23">
        <f t="shared" si="53"/>
        <v>8850555676</v>
      </c>
      <c r="AB287" s="23">
        <v>2050834737</v>
      </c>
      <c r="AC287" s="23">
        <f t="shared" si="54"/>
        <v>2050834737</v>
      </c>
      <c r="AD287" s="23">
        <v>3838262446</v>
      </c>
      <c r="AE287" s="23">
        <f t="shared" si="45"/>
        <v>3838262446</v>
      </c>
      <c r="AF287" s="23">
        <v>5886177205</v>
      </c>
      <c r="AG287" s="23">
        <f t="shared" si="55"/>
        <v>5886177205</v>
      </c>
      <c r="AH287" s="23">
        <v>7931260635</v>
      </c>
      <c r="AI287" s="23">
        <f t="shared" si="56"/>
        <v>7931260635</v>
      </c>
      <c r="AJ287" s="23">
        <v>1969766547</v>
      </c>
      <c r="AK287" s="23">
        <f t="shared" si="48"/>
        <v>1969766547</v>
      </c>
      <c r="AL287" s="23">
        <v>3951282077</v>
      </c>
      <c r="AM287" s="23">
        <f t="shared" si="46"/>
        <v>3951282077</v>
      </c>
      <c r="AN287" s="23">
        <v>5805787301</v>
      </c>
      <c r="AO287" s="23">
        <f t="shared" si="57"/>
        <v>5805787301</v>
      </c>
      <c r="AP287" s="41">
        <v>7740394386</v>
      </c>
      <c r="AQ287">
        <f t="shared" si="58"/>
        <v>7740394386</v>
      </c>
    </row>
    <row r="288" spans="4:43" ht="15" customHeight="1">
      <c r="D288" t="s">
        <v>644</v>
      </c>
      <c r="E288" t="s">
        <v>395</v>
      </c>
      <c r="H288" t="s">
        <v>1035</v>
      </c>
      <c r="I288" s="23">
        <v>2399761456</v>
      </c>
      <c r="J288" s="23">
        <f t="shared" si="40"/>
        <v>2399761456</v>
      </c>
      <c r="K288" s="23">
        <v>1010603394</v>
      </c>
      <c r="L288" s="23">
        <f t="shared" si="49"/>
        <v>1010603394</v>
      </c>
      <c r="M288" s="23">
        <v>541372201</v>
      </c>
      <c r="N288" s="23">
        <f t="shared" si="50"/>
        <v>541372201</v>
      </c>
      <c r="O288" s="23">
        <v>530781169</v>
      </c>
      <c r="P288" s="23">
        <v>1889076644</v>
      </c>
      <c r="Q288" s="23">
        <f t="shared" si="51"/>
        <v>1889076644</v>
      </c>
      <c r="R288" s="23">
        <v>1008332727</v>
      </c>
      <c r="S288" s="23">
        <f t="shared" si="42"/>
        <v>1008332727</v>
      </c>
      <c r="U288" s="23">
        <v>2930572322</v>
      </c>
      <c r="V288" s="23">
        <f t="shared" si="52"/>
        <v>2930572322</v>
      </c>
      <c r="W288" s="23">
        <v>1650028820</v>
      </c>
      <c r="X288" s="23">
        <f t="shared" si="44"/>
        <v>1650028820</v>
      </c>
      <c r="Y288" s="23">
        <v>1354663627</v>
      </c>
      <c r="Z288" s="23">
        <v>4005687939</v>
      </c>
      <c r="AA288" s="23">
        <f t="shared" si="53"/>
        <v>4005687939</v>
      </c>
      <c r="AB288" s="23">
        <v>1187753959</v>
      </c>
      <c r="AC288" s="23">
        <f t="shared" si="54"/>
        <v>1187753959</v>
      </c>
      <c r="AD288" s="23">
        <v>2681523520</v>
      </c>
      <c r="AE288" s="23">
        <f t="shared" si="45"/>
        <v>2681523520</v>
      </c>
      <c r="AF288" s="23">
        <v>4224466468</v>
      </c>
      <c r="AG288" s="23">
        <f t="shared" si="55"/>
        <v>4224466468</v>
      </c>
      <c r="AH288" s="23">
        <v>5827779640</v>
      </c>
      <c r="AI288" s="23">
        <f t="shared" si="56"/>
        <v>5827779640</v>
      </c>
      <c r="AJ288" s="23">
        <v>1622949151</v>
      </c>
      <c r="AK288" s="23">
        <f t="shared" si="48"/>
        <v>1622949151</v>
      </c>
      <c r="AL288" s="23">
        <v>3289417350</v>
      </c>
      <c r="AM288" s="23">
        <f t="shared" si="46"/>
        <v>3289417350</v>
      </c>
      <c r="AN288" s="23">
        <v>5139794952</v>
      </c>
      <c r="AO288" s="23">
        <f t="shared" si="57"/>
        <v>5139794952</v>
      </c>
      <c r="AP288" s="41">
        <v>7118963058</v>
      </c>
      <c r="AQ288">
        <f t="shared" si="58"/>
        <v>7118963058</v>
      </c>
    </row>
    <row r="289" spans="4:43" ht="15" customHeight="1">
      <c r="D289" t="s">
        <v>645</v>
      </c>
      <c r="E289" t="s">
        <v>395</v>
      </c>
      <c r="H289" t="s">
        <v>1037</v>
      </c>
      <c r="I289" s="23">
        <v>0</v>
      </c>
      <c r="J289" s="23">
        <f t="shared" si="40"/>
        <v>0</v>
      </c>
      <c r="K289" s="23">
        <v>0</v>
      </c>
      <c r="L289" s="23">
        <f t="shared" si="49"/>
        <v>0</v>
      </c>
      <c r="M289" s="23">
        <v>0</v>
      </c>
      <c r="N289" s="23">
        <f t="shared" si="50"/>
        <v>0</v>
      </c>
      <c r="Q289" s="23">
        <f t="shared" si="51"/>
        <v>0</v>
      </c>
      <c r="S289" s="23">
        <f t="shared" si="42"/>
        <v>0</v>
      </c>
      <c r="V289" s="23">
        <f t="shared" si="52"/>
        <v>0</v>
      </c>
      <c r="X289" s="23">
        <f t="shared" si="44"/>
        <v>0</v>
      </c>
      <c r="AA289" s="23">
        <f t="shared" si="53"/>
        <v>0</v>
      </c>
      <c r="AC289" s="23">
        <f t="shared" si="54"/>
        <v>0</v>
      </c>
      <c r="AE289" s="23">
        <f t="shared" si="45"/>
        <v>0</v>
      </c>
      <c r="AG289" s="23">
        <f t="shared" si="55"/>
        <v>0</v>
      </c>
      <c r="AI289" s="23">
        <f t="shared" si="56"/>
        <v>0</v>
      </c>
      <c r="AK289" s="23">
        <f t="shared" si="48"/>
        <v>0</v>
      </c>
      <c r="AM289" s="23">
        <f t="shared" si="46"/>
        <v>0</v>
      </c>
      <c r="AO289" s="23">
        <f t="shared" si="57"/>
        <v>0</v>
      </c>
      <c r="AQ289">
        <f t="shared" si="58"/>
        <v>0</v>
      </c>
    </row>
    <row r="290" spans="4:43" ht="15" customHeight="1">
      <c r="D290" t="s">
        <v>646</v>
      </c>
      <c r="E290" t="s">
        <v>395</v>
      </c>
      <c r="H290" t="s">
        <v>1037</v>
      </c>
      <c r="I290" s="23">
        <v>711792</v>
      </c>
      <c r="J290" s="23">
        <f t="shared" si="40"/>
        <v>711792</v>
      </c>
      <c r="K290" s="23">
        <v>0</v>
      </c>
      <c r="L290" s="23">
        <f t="shared" si="49"/>
        <v>0</v>
      </c>
      <c r="M290" s="23">
        <v>0</v>
      </c>
      <c r="N290" s="23">
        <f t="shared" si="50"/>
        <v>0</v>
      </c>
      <c r="Q290" s="23">
        <f t="shared" si="51"/>
        <v>0</v>
      </c>
      <c r="R290" s="23">
        <v>711792</v>
      </c>
      <c r="S290" s="23">
        <f t="shared" si="42"/>
        <v>711792</v>
      </c>
      <c r="U290" s="23">
        <v>856772</v>
      </c>
      <c r="V290" s="23">
        <f t="shared" si="52"/>
        <v>856772</v>
      </c>
      <c r="W290" s="23">
        <v>711792</v>
      </c>
      <c r="X290" s="23">
        <f t="shared" si="44"/>
        <v>711792</v>
      </c>
      <c r="Z290" s="23">
        <v>856772</v>
      </c>
      <c r="AA290" s="23">
        <f t="shared" si="53"/>
        <v>856772</v>
      </c>
      <c r="AC290" s="23">
        <f t="shared" si="54"/>
        <v>0</v>
      </c>
      <c r="AE290" s="23">
        <f t="shared" si="45"/>
        <v>0</v>
      </c>
      <c r="AG290" s="23">
        <f t="shared" si="55"/>
        <v>0</v>
      </c>
      <c r="AI290" s="23">
        <f t="shared" si="56"/>
        <v>0</v>
      </c>
      <c r="AK290" s="23">
        <f t="shared" si="48"/>
        <v>0</v>
      </c>
      <c r="AL290" s="23">
        <v>1685277</v>
      </c>
      <c r="AM290" s="23">
        <f t="shared" si="46"/>
        <v>1685277</v>
      </c>
      <c r="AN290" s="23">
        <v>3000277</v>
      </c>
      <c r="AO290" s="23">
        <f t="shared" si="57"/>
        <v>3000277</v>
      </c>
      <c r="AP290" s="41">
        <f>18581760+188182</f>
        <v>18769942</v>
      </c>
      <c r="AQ290">
        <f t="shared" si="58"/>
        <v>18769942</v>
      </c>
    </row>
    <row r="291" spans="4:43" ht="15" customHeight="1">
      <c r="J291" s="23">
        <f t="shared" si="40"/>
        <v>0</v>
      </c>
      <c r="S291" s="23">
        <f t="shared" si="42"/>
        <v>0</v>
      </c>
      <c r="V291" s="23">
        <f t="shared" si="52"/>
        <v>0</v>
      </c>
      <c r="X291" s="23">
        <f t="shared" si="44"/>
        <v>0</v>
      </c>
      <c r="AA291" s="23">
        <f t="shared" si="53"/>
        <v>0</v>
      </c>
      <c r="AC291" s="23">
        <f t="shared" si="54"/>
        <v>0</v>
      </c>
      <c r="AE291" s="23">
        <f t="shared" si="45"/>
        <v>0</v>
      </c>
      <c r="AG291" s="23">
        <f t="shared" si="55"/>
        <v>0</v>
      </c>
      <c r="AI291" s="23">
        <f t="shared" si="56"/>
        <v>0</v>
      </c>
      <c r="AK291" s="23">
        <f t="shared" si="48"/>
        <v>0</v>
      </c>
      <c r="AM291" s="23">
        <f t="shared" si="46"/>
        <v>0</v>
      </c>
      <c r="AO291" s="23">
        <f t="shared" si="57"/>
        <v>0</v>
      </c>
      <c r="AQ291">
        <f t="shared" si="58"/>
        <v>0</v>
      </c>
    </row>
    <row r="292" spans="4:43" s="37" customFormat="1" ht="15" customHeight="1">
      <c r="D292" s="37" t="s">
        <v>647</v>
      </c>
      <c r="I292" s="38">
        <f>+I293</f>
        <v>14927270747</v>
      </c>
      <c r="J292" s="38">
        <f t="shared" si="40"/>
        <v>14927270747</v>
      </c>
      <c r="K292" s="38">
        <f>+K293</f>
        <v>1479522068</v>
      </c>
      <c r="L292" s="38"/>
      <c r="M292" s="38">
        <f t="shared" ref="M292:R292" si="59">+M293</f>
        <v>1947354887</v>
      </c>
      <c r="N292" s="38">
        <f t="shared" si="59"/>
        <v>1947354887</v>
      </c>
      <c r="O292" s="38">
        <f t="shared" si="59"/>
        <v>1797707029</v>
      </c>
      <c r="P292" s="38">
        <f t="shared" si="59"/>
        <v>2668069604</v>
      </c>
      <c r="Q292" s="38">
        <f t="shared" si="59"/>
        <v>2668069604</v>
      </c>
      <c r="R292" s="38">
        <f t="shared" si="59"/>
        <v>3265716387</v>
      </c>
      <c r="S292" s="38">
        <f t="shared" si="42"/>
        <v>3265716387</v>
      </c>
      <c r="T292" s="38"/>
      <c r="U292" s="38">
        <f t="shared" ref="U292:AP292" si="60">+U293</f>
        <v>3592178491</v>
      </c>
      <c r="V292" s="38">
        <f t="shared" si="52"/>
        <v>3592178491</v>
      </c>
      <c r="W292" s="38">
        <f t="shared" si="60"/>
        <v>6038677583</v>
      </c>
      <c r="X292" s="38">
        <f t="shared" si="44"/>
        <v>6038677583</v>
      </c>
      <c r="Y292" s="38">
        <f t="shared" si="60"/>
        <v>10662159224</v>
      </c>
      <c r="Z292" s="38">
        <f t="shared" si="60"/>
        <v>4888895329</v>
      </c>
      <c r="AA292" s="38">
        <f t="shared" si="53"/>
        <v>4888895329</v>
      </c>
      <c r="AB292" s="38">
        <f t="shared" si="60"/>
        <v>870380104</v>
      </c>
      <c r="AC292" s="38">
        <f t="shared" si="54"/>
        <v>870380104</v>
      </c>
      <c r="AD292" s="38">
        <f t="shared" si="60"/>
        <v>1928002388</v>
      </c>
      <c r="AE292" s="38">
        <f t="shared" si="45"/>
        <v>1928002388</v>
      </c>
      <c r="AF292" s="38">
        <f t="shared" si="60"/>
        <v>3958248726</v>
      </c>
      <c r="AG292" s="38">
        <f t="shared" si="60"/>
        <v>3958248726</v>
      </c>
      <c r="AH292" s="38">
        <f t="shared" si="60"/>
        <v>5310295525</v>
      </c>
      <c r="AI292" s="38">
        <f t="shared" si="56"/>
        <v>5310295525</v>
      </c>
      <c r="AJ292" s="38">
        <f t="shared" si="60"/>
        <v>1591462993</v>
      </c>
      <c r="AK292" s="38">
        <f t="shared" si="60"/>
        <v>1591462993</v>
      </c>
      <c r="AL292" s="38">
        <f t="shared" si="60"/>
        <v>2847186708</v>
      </c>
      <c r="AM292" s="38">
        <f t="shared" si="46"/>
        <v>2847186708</v>
      </c>
      <c r="AN292" s="38">
        <f t="shared" si="60"/>
        <v>7193260701</v>
      </c>
      <c r="AO292" s="38">
        <f t="shared" si="57"/>
        <v>7193260701</v>
      </c>
      <c r="AP292" s="38">
        <f t="shared" si="60"/>
        <v>18716828169</v>
      </c>
      <c r="AQ292" s="37">
        <f t="shared" si="58"/>
        <v>18716828169</v>
      </c>
    </row>
    <row r="293" spans="4:43" s="37" customFormat="1" ht="15" customHeight="1">
      <c r="D293" s="37" t="s">
        <v>648</v>
      </c>
      <c r="I293" s="38">
        <f>SUM(I294:I300)</f>
        <v>14927270747</v>
      </c>
      <c r="J293" s="38">
        <f t="shared" si="40"/>
        <v>14927270747</v>
      </c>
      <c r="K293" s="38">
        <f>SUM(K294:K300)</f>
        <v>1479522068</v>
      </c>
      <c r="L293" s="38"/>
      <c r="M293" s="38">
        <f>SUM(M294:M299)</f>
        <v>1947354887</v>
      </c>
      <c r="N293" s="38">
        <f>SUM(N294:N299)</f>
        <v>1947354887</v>
      </c>
      <c r="O293" s="38">
        <f>SUM(O294:O299)</f>
        <v>1797707029</v>
      </c>
      <c r="P293" s="38">
        <f>SUM(P294:P300)</f>
        <v>2668069604</v>
      </c>
      <c r="Q293" s="38">
        <f>SUM(Q294:Q300)</f>
        <v>2668069604</v>
      </c>
      <c r="R293" s="38">
        <f>SUM(R294:R300)</f>
        <v>3265716387</v>
      </c>
      <c r="S293" s="38">
        <f t="shared" si="42"/>
        <v>3265716387</v>
      </c>
      <c r="T293" s="38"/>
      <c r="U293" s="38">
        <f>SUM(U294:U300)</f>
        <v>3592178491</v>
      </c>
      <c r="V293" s="38">
        <f t="shared" si="52"/>
        <v>3592178491</v>
      </c>
      <c r="W293" s="38">
        <f>SUM(W294:W300)</f>
        <v>6038677583</v>
      </c>
      <c r="X293" s="38">
        <f t="shared" si="44"/>
        <v>6038677583</v>
      </c>
      <c r="Y293" s="38">
        <f>SUM(Y294:Y300)</f>
        <v>10662159224</v>
      </c>
      <c r="Z293" s="38">
        <f>SUM(Z294:Z300)</f>
        <v>4888895329</v>
      </c>
      <c r="AA293" s="38">
        <f t="shared" si="53"/>
        <v>4888895329</v>
      </c>
      <c r="AB293" s="38">
        <f>SUM(AB294:AB300)</f>
        <v>870380104</v>
      </c>
      <c r="AC293" s="38">
        <f t="shared" si="54"/>
        <v>870380104</v>
      </c>
      <c r="AD293" s="38">
        <f>SUM(AD294:AD300)</f>
        <v>1928002388</v>
      </c>
      <c r="AE293" s="38">
        <f t="shared" si="45"/>
        <v>1928002388</v>
      </c>
      <c r="AF293" s="38">
        <f>SUM(AF294:AF300)</f>
        <v>3958248726</v>
      </c>
      <c r="AG293" s="38">
        <f>SUM(AG294:AG300)</f>
        <v>3958248726</v>
      </c>
      <c r="AH293" s="38">
        <f>SUM(AH294:AH300)</f>
        <v>5310295525</v>
      </c>
      <c r="AI293" s="38">
        <f t="shared" si="56"/>
        <v>5310295525</v>
      </c>
      <c r="AJ293" s="38">
        <f>SUM(AJ294:AJ300)</f>
        <v>1591462993</v>
      </c>
      <c r="AK293" s="38">
        <f>SUM(AK294:AK300)</f>
        <v>1591462993</v>
      </c>
      <c r="AL293" s="38">
        <f>SUM(AL294:AL300)</f>
        <v>2847186708</v>
      </c>
      <c r="AM293" s="38">
        <f t="shared" si="46"/>
        <v>2847186708</v>
      </c>
      <c r="AN293" s="38">
        <f>SUM(AN294:AN300)</f>
        <v>7193260701</v>
      </c>
      <c r="AO293" s="38">
        <f t="shared" si="57"/>
        <v>7193260701</v>
      </c>
      <c r="AP293" s="38">
        <f>SUM(AP294:AP300)</f>
        <v>18716828169</v>
      </c>
      <c r="AQ293" s="37">
        <f t="shared" si="58"/>
        <v>18716828169</v>
      </c>
    </row>
    <row r="294" spans="4:43" ht="15.75" customHeight="1">
      <c r="D294" t="s">
        <v>649</v>
      </c>
      <c r="E294" t="s">
        <v>1575</v>
      </c>
      <c r="F294" t="s">
        <v>1020</v>
      </c>
      <c r="H294" t="s">
        <v>1037</v>
      </c>
      <c r="I294" s="23">
        <v>7822756262</v>
      </c>
      <c r="J294" s="23">
        <f t="shared" si="40"/>
        <v>7822756262</v>
      </c>
      <c r="K294" s="23">
        <v>0</v>
      </c>
      <c r="L294" s="23">
        <f>+K294</f>
        <v>0</v>
      </c>
      <c r="M294" s="23">
        <v>20502096</v>
      </c>
      <c r="N294" s="23">
        <f>+M294</f>
        <v>20502096</v>
      </c>
      <c r="O294" s="23">
        <v>1756381</v>
      </c>
      <c r="Q294" s="23">
        <f t="shared" ref="Q294:Q300" si="61">+P294</f>
        <v>0</v>
      </c>
      <c r="R294" s="23">
        <v>20502096</v>
      </c>
      <c r="S294" s="23">
        <f t="shared" si="42"/>
        <v>20502096</v>
      </c>
      <c r="V294" s="23">
        <f t="shared" si="52"/>
        <v>0</v>
      </c>
      <c r="W294" s="23">
        <v>20502096</v>
      </c>
      <c r="X294" s="23">
        <f t="shared" si="44"/>
        <v>20502096</v>
      </c>
      <c r="Y294" s="23">
        <v>5003512463</v>
      </c>
      <c r="Z294" s="23">
        <v>611196739</v>
      </c>
      <c r="AA294" s="23">
        <f t="shared" si="53"/>
        <v>611196739</v>
      </c>
      <c r="AB294" s="23">
        <v>62954399</v>
      </c>
      <c r="AC294" s="23">
        <f t="shared" si="54"/>
        <v>62954399</v>
      </c>
      <c r="AD294" s="23">
        <v>62954399</v>
      </c>
      <c r="AE294" s="23">
        <f t="shared" si="45"/>
        <v>62954399</v>
      </c>
      <c r="AF294" s="23">
        <v>62954399</v>
      </c>
      <c r="AG294" s="23">
        <f t="shared" si="55"/>
        <v>62954399</v>
      </c>
      <c r="AH294" s="23">
        <v>62954399</v>
      </c>
      <c r="AI294" s="23">
        <f t="shared" si="56"/>
        <v>62954399</v>
      </c>
      <c r="AK294" s="23">
        <f t="shared" si="48"/>
        <v>0</v>
      </c>
      <c r="AM294" s="23">
        <f t="shared" si="46"/>
        <v>0</v>
      </c>
      <c r="AN294" s="23">
        <v>71846696</v>
      </c>
      <c r="AO294" s="23">
        <f t="shared" si="57"/>
        <v>71846696</v>
      </c>
      <c r="AP294" s="41">
        <v>10390736677</v>
      </c>
      <c r="AQ294">
        <f t="shared" si="58"/>
        <v>10390736677</v>
      </c>
    </row>
    <row r="295" spans="4:43">
      <c r="D295" t="s">
        <v>650</v>
      </c>
      <c r="E295" t="s">
        <v>1584</v>
      </c>
      <c r="F295" t="s">
        <v>1018</v>
      </c>
      <c r="H295" t="s">
        <v>1036</v>
      </c>
      <c r="I295" s="23">
        <v>453298164</v>
      </c>
      <c r="J295" s="23">
        <f t="shared" si="40"/>
        <v>453298164</v>
      </c>
      <c r="K295" s="23">
        <v>95325309</v>
      </c>
      <c r="L295" s="23">
        <f t="shared" ref="L295:L300" si="62">+K295</f>
        <v>95325309</v>
      </c>
      <c r="M295" s="23">
        <v>87597078</v>
      </c>
      <c r="N295" s="23">
        <f t="shared" ref="N295:N300" si="63">+M295</f>
        <v>87597078</v>
      </c>
      <c r="O295" s="23">
        <v>115267812</v>
      </c>
      <c r="P295" s="23">
        <v>167966409</v>
      </c>
      <c r="Q295" s="23">
        <f t="shared" si="61"/>
        <v>167966409</v>
      </c>
      <c r="R295" s="23">
        <v>215939848</v>
      </c>
      <c r="S295" s="23">
        <f t="shared" si="42"/>
        <v>215939848</v>
      </c>
      <c r="U295" s="23">
        <v>234356397</v>
      </c>
      <c r="V295" s="23">
        <f t="shared" si="52"/>
        <v>234356397</v>
      </c>
      <c r="W295" s="23">
        <v>381625446</v>
      </c>
      <c r="X295" s="23">
        <f t="shared" si="44"/>
        <v>381625446</v>
      </c>
      <c r="Y295" s="23">
        <v>357189344</v>
      </c>
      <c r="Z295" s="23">
        <v>275563914</v>
      </c>
      <c r="AA295" s="23">
        <f t="shared" si="53"/>
        <v>275563914</v>
      </c>
      <c r="AB295" s="23">
        <v>66885168</v>
      </c>
      <c r="AC295" s="23">
        <f t="shared" si="54"/>
        <v>66885168</v>
      </c>
      <c r="AD295" s="23">
        <v>189091702</v>
      </c>
      <c r="AE295" s="23">
        <f t="shared" si="45"/>
        <v>189091702</v>
      </c>
      <c r="AF295" s="23">
        <v>297229225</v>
      </c>
      <c r="AG295" s="23">
        <f t="shared" si="55"/>
        <v>297229225</v>
      </c>
      <c r="AH295" s="23">
        <v>418234440</v>
      </c>
      <c r="AI295" s="23">
        <f t="shared" si="56"/>
        <v>418234440</v>
      </c>
      <c r="AJ295" s="23">
        <v>163380341</v>
      </c>
      <c r="AK295" s="23">
        <f t="shared" si="48"/>
        <v>163380341</v>
      </c>
      <c r="AL295" s="23">
        <v>279177448</v>
      </c>
      <c r="AM295" s="23">
        <f t="shared" si="46"/>
        <v>279177448</v>
      </c>
      <c r="AN295" s="23">
        <v>479562440</v>
      </c>
      <c r="AO295" s="23">
        <f t="shared" si="57"/>
        <v>479562440</v>
      </c>
      <c r="AP295" s="41">
        <v>611105556</v>
      </c>
      <c r="AQ295">
        <f t="shared" si="58"/>
        <v>611105556</v>
      </c>
    </row>
    <row r="296" spans="4:43" ht="15" customHeight="1">
      <c r="D296" t="s">
        <v>646</v>
      </c>
      <c r="E296" t="s">
        <v>395</v>
      </c>
      <c r="H296" t="s">
        <v>1037</v>
      </c>
      <c r="I296" s="23">
        <v>12522196</v>
      </c>
      <c r="J296" s="23">
        <f t="shared" si="40"/>
        <v>12522196</v>
      </c>
      <c r="K296" s="23">
        <v>0</v>
      </c>
      <c r="L296" s="23">
        <f t="shared" si="62"/>
        <v>0</v>
      </c>
      <c r="M296" s="23">
        <v>0</v>
      </c>
      <c r="N296" s="23">
        <f t="shared" si="63"/>
        <v>0</v>
      </c>
      <c r="Q296" s="23">
        <f t="shared" si="61"/>
        <v>0</v>
      </c>
      <c r="S296" s="23">
        <f t="shared" si="42"/>
        <v>0</v>
      </c>
      <c r="V296" s="23">
        <f t="shared" si="52"/>
        <v>0</v>
      </c>
      <c r="W296" s="23">
        <v>1818182</v>
      </c>
      <c r="X296" s="23">
        <f t="shared" si="44"/>
        <v>1818182</v>
      </c>
      <c r="AA296" s="23">
        <f t="shared" si="53"/>
        <v>0</v>
      </c>
      <c r="AC296" s="23">
        <f t="shared" si="54"/>
        <v>0</v>
      </c>
      <c r="AE296" s="23">
        <f t="shared" si="45"/>
        <v>0</v>
      </c>
      <c r="AG296" s="23">
        <f t="shared" si="55"/>
        <v>0</v>
      </c>
      <c r="AH296" s="23">
        <v>13330979</v>
      </c>
      <c r="AI296" s="23">
        <f t="shared" si="56"/>
        <v>13330979</v>
      </c>
      <c r="AK296" s="23">
        <f t="shared" si="48"/>
        <v>0</v>
      </c>
      <c r="AL296" s="23">
        <v>188182</v>
      </c>
      <c r="AM296" s="23">
        <f t="shared" si="46"/>
        <v>188182</v>
      </c>
      <c r="AN296" s="23">
        <v>188182</v>
      </c>
      <c r="AO296" s="23">
        <f t="shared" si="57"/>
        <v>188182</v>
      </c>
      <c r="AP296" s="41"/>
      <c r="AQ296">
        <f t="shared" si="58"/>
        <v>0</v>
      </c>
    </row>
    <row r="297" spans="4:43" ht="15.75" customHeight="1">
      <c r="D297" t="s">
        <v>651</v>
      </c>
      <c r="E297" t="s">
        <v>1584</v>
      </c>
      <c r="H297" t="s">
        <v>1586</v>
      </c>
      <c r="I297" s="23">
        <v>4240581514</v>
      </c>
      <c r="J297" s="23">
        <f t="shared" si="40"/>
        <v>4240581514</v>
      </c>
      <c r="K297" s="23">
        <v>1377507169</v>
      </c>
      <c r="L297" s="23">
        <f t="shared" si="62"/>
        <v>1377507169</v>
      </c>
      <c r="M297" s="23">
        <v>1705864343</v>
      </c>
      <c r="N297" s="23">
        <f t="shared" si="63"/>
        <v>1705864343</v>
      </c>
      <c r="O297" s="23">
        <v>1561565090</v>
      </c>
      <c r="P297" s="23">
        <v>1764948341</v>
      </c>
      <c r="Q297" s="23">
        <f t="shared" si="61"/>
        <v>1764948341</v>
      </c>
      <c r="R297" s="23">
        <v>2895883073</v>
      </c>
      <c r="S297" s="23">
        <f t="shared" si="42"/>
        <v>2895883073</v>
      </c>
      <c r="U297" s="23">
        <v>2317971645</v>
      </c>
      <c r="V297" s="23">
        <f t="shared" si="52"/>
        <v>2317971645</v>
      </c>
      <c r="W297" s="23">
        <v>3236619248</v>
      </c>
      <c r="X297" s="23">
        <f t="shared" si="44"/>
        <v>3236619248</v>
      </c>
      <c r="Y297" s="23">
        <v>4764202967</v>
      </c>
      <c r="Z297" s="23">
        <v>2706775741</v>
      </c>
      <c r="AA297" s="23">
        <f t="shared" si="53"/>
        <v>2706775741</v>
      </c>
      <c r="AB297" s="23">
        <v>368217411</v>
      </c>
      <c r="AC297" s="23">
        <f t="shared" si="54"/>
        <v>368217411</v>
      </c>
      <c r="AD297" s="23">
        <v>1303633161</v>
      </c>
      <c r="AE297" s="23">
        <f t="shared" si="45"/>
        <v>1303633161</v>
      </c>
      <c r="AF297" s="23">
        <v>2280962100</v>
      </c>
      <c r="AG297" s="23">
        <f t="shared" si="55"/>
        <v>2280962100</v>
      </c>
      <c r="AH297" s="23">
        <v>3112086258</v>
      </c>
      <c r="AI297" s="23">
        <f t="shared" si="56"/>
        <v>3112086258</v>
      </c>
      <c r="AJ297" s="23">
        <v>1142082802</v>
      </c>
      <c r="AK297" s="23">
        <f t="shared" si="48"/>
        <v>1142082802</v>
      </c>
      <c r="AL297" s="23">
        <v>2006705351</v>
      </c>
      <c r="AM297" s="23">
        <f t="shared" si="46"/>
        <v>2006705351</v>
      </c>
      <c r="AN297" s="23">
        <v>5712567501</v>
      </c>
      <c r="AO297" s="23">
        <f t="shared" si="57"/>
        <v>5712567501</v>
      </c>
      <c r="AP297" s="41">
        <v>6332373747</v>
      </c>
      <c r="AQ297">
        <f t="shared" si="58"/>
        <v>6332373747</v>
      </c>
    </row>
    <row r="298" spans="4:43" ht="15" customHeight="1">
      <c r="D298" t="s">
        <v>652</v>
      </c>
      <c r="E298" t="s">
        <v>395</v>
      </c>
      <c r="H298" t="s">
        <v>1037</v>
      </c>
      <c r="I298" s="23">
        <v>0</v>
      </c>
      <c r="J298" s="23">
        <f t="shared" si="40"/>
        <v>0</v>
      </c>
      <c r="K298" s="23">
        <v>0</v>
      </c>
      <c r="L298" s="23">
        <f t="shared" si="62"/>
        <v>0</v>
      </c>
      <c r="M298" s="23">
        <v>0</v>
      </c>
      <c r="N298" s="23">
        <f t="shared" si="63"/>
        <v>0</v>
      </c>
      <c r="O298" s="23">
        <v>9090909</v>
      </c>
      <c r="Q298" s="23">
        <f t="shared" si="61"/>
        <v>0</v>
      </c>
      <c r="S298" s="23">
        <f t="shared" si="42"/>
        <v>0</v>
      </c>
      <c r="V298" s="23">
        <f t="shared" si="52"/>
        <v>0</v>
      </c>
      <c r="X298" s="23">
        <f t="shared" si="44"/>
        <v>0</v>
      </c>
      <c r="Y298" s="23">
        <v>18271818</v>
      </c>
      <c r="AA298" s="23">
        <f t="shared" si="53"/>
        <v>0</v>
      </c>
      <c r="AB298" s="23">
        <v>36363636</v>
      </c>
      <c r="AC298" s="23">
        <f t="shared" si="54"/>
        <v>36363636</v>
      </c>
      <c r="AD298" s="23">
        <v>36363636</v>
      </c>
      <c r="AE298" s="23">
        <f t="shared" si="45"/>
        <v>36363636</v>
      </c>
      <c r="AF298" s="23">
        <v>36363636</v>
      </c>
      <c r="AG298" s="23">
        <f t="shared" si="55"/>
        <v>36363636</v>
      </c>
      <c r="AH298" s="23">
        <v>50090908</v>
      </c>
      <c r="AI298" s="23">
        <f t="shared" si="56"/>
        <v>50090908</v>
      </c>
      <c r="AK298" s="23">
        <f t="shared" si="48"/>
        <v>0</v>
      </c>
      <c r="AM298" s="23">
        <f t="shared" si="46"/>
        <v>0</v>
      </c>
      <c r="AO298" s="23">
        <f t="shared" si="57"/>
        <v>0</v>
      </c>
      <c r="AP298" s="41"/>
      <c r="AQ298">
        <f t="shared" si="58"/>
        <v>0</v>
      </c>
    </row>
    <row r="299" spans="4:43">
      <c r="D299" t="s">
        <v>653</v>
      </c>
      <c r="E299" t="s">
        <v>1584</v>
      </c>
      <c r="F299" t="s">
        <v>1018</v>
      </c>
      <c r="H299" t="s">
        <v>1036</v>
      </c>
      <c r="I299" s="23">
        <v>2398112611</v>
      </c>
      <c r="J299" s="23">
        <f t="shared" si="40"/>
        <v>2398112611</v>
      </c>
      <c r="K299" s="23">
        <v>0</v>
      </c>
      <c r="L299" s="23">
        <f t="shared" si="62"/>
        <v>0</v>
      </c>
      <c r="M299" s="23">
        <v>133391370</v>
      </c>
      <c r="N299" s="23">
        <f t="shared" si="63"/>
        <v>133391370</v>
      </c>
      <c r="O299" s="23">
        <v>110026837</v>
      </c>
      <c r="P299" s="23">
        <v>721429282</v>
      </c>
      <c r="Q299" s="23">
        <f t="shared" si="61"/>
        <v>721429282</v>
      </c>
      <c r="R299" s="23">
        <v>133391370</v>
      </c>
      <c r="S299" s="23">
        <f t="shared" si="42"/>
        <v>133391370</v>
      </c>
      <c r="U299" s="23">
        <v>1029434761</v>
      </c>
      <c r="V299" s="23">
        <f t="shared" si="52"/>
        <v>1029434761</v>
      </c>
      <c r="W299" s="23">
        <v>2398112611</v>
      </c>
      <c r="X299" s="23">
        <f t="shared" si="44"/>
        <v>2398112611</v>
      </c>
      <c r="Y299" s="23">
        <v>518982632</v>
      </c>
      <c r="Z299" s="23">
        <v>1284943247</v>
      </c>
      <c r="AA299" s="23">
        <f t="shared" si="53"/>
        <v>1284943247</v>
      </c>
      <c r="AB299" s="23">
        <v>335959490</v>
      </c>
      <c r="AC299" s="23">
        <f t="shared" si="54"/>
        <v>335959490</v>
      </c>
      <c r="AD299" s="23">
        <v>335959490</v>
      </c>
      <c r="AE299" s="23">
        <f t="shared" si="45"/>
        <v>335959490</v>
      </c>
      <c r="AF299" s="23">
        <v>1280739366</v>
      </c>
      <c r="AG299" s="23">
        <f t="shared" si="55"/>
        <v>1280739366</v>
      </c>
      <c r="AH299" s="23">
        <v>1653598541</v>
      </c>
      <c r="AI299" s="23">
        <f t="shared" si="56"/>
        <v>1653598541</v>
      </c>
      <c r="AJ299" s="23">
        <v>285999850</v>
      </c>
      <c r="AK299" s="23">
        <f t="shared" si="48"/>
        <v>285999850</v>
      </c>
      <c r="AL299" s="23">
        <v>561115727</v>
      </c>
      <c r="AM299" s="23">
        <f t="shared" si="46"/>
        <v>561115727</v>
      </c>
      <c r="AN299" s="23">
        <v>929095882</v>
      </c>
      <c r="AO299" s="23">
        <f t="shared" si="57"/>
        <v>929095882</v>
      </c>
      <c r="AP299" s="41">
        <v>1382612189</v>
      </c>
      <c r="AQ299">
        <f t="shared" si="58"/>
        <v>1382612189</v>
      </c>
    </row>
    <row r="300" spans="4:43" ht="15" customHeight="1">
      <c r="D300" t="s">
        <v>882</v>
      </c>
      <c r="E300" t="s">
        <v>397</v>
      </c>
      <c r="G300" t="s">
        <v>831</v>
      </c>
      <c r="H300" t="s">
        <v>1037</v>
      </c>
      <c r="J300" s="23">
        <f t="shared" si="40"/>
        <v>0</v>
      </c>
      <c r="K300" s="23">
        <v>6689590</v>
      </c>
      <c r="L300" s="23">
        <f t="shared" si="62"/>
        <v>6689590</v>
      </c>
      <c r="N300" s="23">
        <f t="shared" si="63"/>
        <v>0</v>
      </c>
      <c r="P300" s="23">
        <v>13725572</v>
      </c>
      <c r="Q300" s="23">
        <f t="shared" si="61"/>
        <v>13725572</v>
      </c>
      <c r="S300" s="23">
        <f t="shared" si="42"/>
        <v>0</v>
      </c>
      <c r="U300" s="23">
        <v>10415688</v>
      </c>
      <c r="V300" s="23">
        <f t="shared" si="52"/>
        <v>10415688</v>
      </c>
      <c r="X300" s="23">
        <f t="shared" si="44"/>
        <v>0</v>
      </c>
      <c r="Z300" s="23">
        <v>10415688</v>
      </c>
      <c r="AA300" s="23">
        <f t="shared" si="53"/>
        <v>10415688</v>
      </c>
      <c r="AC300" s="23">
        <f t="shared" si="54"/>
        <v>0</v>
      </c>
      <c r="AE300" s="23">
        <f t="shared" si="45"/>
        <v>0</v>
      </c>
      <c r="AG300" s="23">
        <f t="shared" si="55"/>
        <v>0</v>
      </c>
      <c r="AI300" s="23">
        <f t="shared" si="56"/>
        <v>0</v>
      </c>
      <c r="AK300" s="23">
        <f t="shared" si="48"/>
        <v>0</v>
      </c>
      <c r="AM300" s="23">
        <f t="shared" si="46"/>
        <v>0</v>
      </c>
      <c r="AO300" s="23">
        <f t="shared" si="57"/>
        <v>0</v>
      </c>
      <c r="AP300" s="41"/>
    </row>
    <row r="301" spans="4:43" ht="15" customHeight="1">
      <c r="P301" s="23">
        <v>8405839672</v>
      </c>
      <c r="Q301" s="23">
        <f>+K289-P301</f>
        <v>-8405839672</v>
      </c>
      <c r="X301" s="23">
        <f t="shared" si="44"/>
        <v>0</v>
      </c>
      <c r="AI301" s="23">
        <f t="shared" si="56"/>
        <v>0</v>
      </c>
      <c r="AK301" s="23">
        <f t="shared" si="48"/>
        <v>0</v>
      </c>
    </row>
    <row r="302" spans="4:43" s="37" customFormat="1" ht="15" customHeight="1">
      <c r="D302" s="37" t="s">
        <v>472</v>
      </c>
      <c r="I302" s="38">
        <f>+I303+I311</f>
        <v>91723745859.699997</v>
      </c>
      <c r="J302" s="38">
        <f>-I302</f>
        <v>-91723745859.699997</v>
      </c>
      <c r="K302" s="38">
        <f>+K303+K311</f>
        <v>19174505399</v>
      </c>
      <c r="L302" s="38"/>
      <c r="M302" s="38">
        <f t="shared" ref="M302:R302" si="64">+M303+M311</f>
        <v>20341201481</v>
      </c>
      <c r="N302" s="38">
        <f t="shared" si="64"/>
        <v>-20341201481</v>
      </c>
      <c r="O302" s="38">
        <f t="shared" si="64"/>
        <v>16938373623</v>
      </c>
      <c r="P302" s="38">
        <f t="shared" si="64"/>
        <v>43297023462</v>
      </c>
      <c r="Q302" s="38">
        <f t="shared" si="64"/>
        <v>-43297023462</v>
      </c>
      <c r="R302" s="38">
        <f t="shared" si="64"/>
        <v>38778088430</v>
      </c>
      <c r="S302" s="38">
        <f>-R302</f>
        <v>-38778088430</v>
      </c>
      <c r="T302" s="38"/>
      <c r="U302" s="38">
        <f>+U303+U311</f>
        <v>67858500798</v>
      </c>
      <c r="V302" s="38">
        <f>-U302</f>
        <v>-67858500798</v>
      </c>
      <c r="W302" s="38">
        <f>+W303+W311</f>
        <v>60601655628</v>
      </c>
      <c r="X302" s="38">
        <f>-W302</f>
        <v>-60601655628</v>
      </c>
      <c r="Y302" s="38">
        <f>+Y303+Y311</f>
        <v>58104347596</v>
      </c>
      <c r="Z302" s="38">
        <f>+Z303+Z311</f>
        <v>95358198272</v>
      </c>
      <c r="AA302" s="38">
        <f>-Z302</f>
        <v>-95358198272</v>
      </c>
      <c r="AB302" s="38">
        <f>+AB303+AB311</f>
        <v>23302944193</v>
      </c>
      <c r="AC302" s="38">
        <f>-AB302</f>
        <v>-23302944193</v>
      </c>
      <c r="AD302" s="38">
        <f>+AD303+AD311</f>
        <v>52651794763</v>
      </c>
      <c r="AE302" s="38">
        <f>-AD302</f>
        <v>-52651794763</v>
      </c>
      <c r="AF302" s="38">
        <f>+AF303+AF311</f>
        <v>75899312227</v>
      </c>
      <c r="AG302" s="38">
        <f>+AG303+AG311</f>
        <v>-75899312227</v>
      </c>
      <c r="AH302" s="38">
        <f>+AH303+AH311</f>
        <v>101768078229</v>
      </c>
      <c r="AI302" s="38"/>
      <c r="AJ302" s="38">
        <f>+AJ303+AJ311</f>
        <v>21697395977</v>
      </c>
      <c r="AK302" s="38">
        <f>+AK303+AK311</f>
        <v>-21293705849</v>
      </c>
      <c r="AL302" s="38">
        <f>+AL303+AL311</f>
        <v>41796189262</v>
      </c>
      <c r="AM302" s="38">
        <f>-AL302</f>
        <v>-41796189262</v>
      </c>
      <c r="AN302" s="38">
        <f>+AN303+AN311</f>
        <v>66582860339</v>
      </c>
      <c r="AO302" s="38"/>
      <c r="AP302" s="38">
        <f>+AP303+AP311</f>
        <v>103065232696</v>
      </c>
    </row>
    <row r="303" spans="4:43" s="37" customFormat="1" ht="15" customHeight="1">
      <c r="D303" s="37" t="s">
        <v>654</v>
      </c>
      <c r="I303" s="38">
        <f>+I304</f>
        <v>66364821151</v>
      </c>
      <c r="J303" s="38">
        <f t="shared" ref="J303:J367" si="65">-I303</f>
        <v>-66364821151</v>
      </c>
      <c r="K303" s="38">
        <f>+K304</f>
        <v>12298068350</v>
      </c>
      <c r="L303" s="38"/>
      <c r="M303" s="38">
        <f t="shared" ref="M303:R303" si="66">+M304</f>
        <v>14042860771</v>
      </c>
      <c r="N303" s="38">
        <f t="shared" si="66"/>
        <v>-14042860771</v>
      </c>
      <c r="O303" s="38">
        <f t="shared" si="66"/>
        <v>11922863653</v>
      </c>
      <c r="P303" s="38">
        <f t="shared" si="66"/>
        <v>30014570393</v>
      </c>
      <c r="Q303" s="38">
        <f t="shared" si="66"/>
        <v>-30014570393</v>
      </c>
      <c r="R303" s="38">
        <f t="shared" si="66"/>
        <v>26771389369</v>
      </c>
      <c r="S303" s="38">
        <f t="shared" ref="S303:S367" si="67">-R303</f>
        <v>-26771389369</v>
      </c>
      <c r="T303" s="38"/>
      <c r="U303" s="38">
        <f t="shared" ref="U303:AP303" si="68">+U304</f>
        <v>48391009796</v>
      </c>
      <c r="V303" s="38">
        <f t="shared" ref="V303:V367" si="69">-U303</f>
        <v>-48391009796</v>
      </c>
      <c r="W303" s="38">
        <f t="shared" si="68"/>
        <v>43196307802</v>
      </c>
      <c r="X303" s="38">
        <f t="shared" ref="X303:X367" si="70">-W303</f>
        <v>-43196307802</v>
      </c>
      <c r="Y303" s="38">
        <f t="shared" si="68"/>
        <v>42842576889</v>
      </c>
      <c r="Z303" s="38">
        <f t="shared" si="68"/>
        <v>68714375069</v>
      </c>
      <c r="AA303" s="38">
        <f t="shared" ref="AA303:AA367" si="71">-Z303</f>
        <v>-68714375069</v>
      </c>
      <c r="AB303" s="38">
        <f t="shared" si="68"/>
        <v>16696388060</v>
      </c>
      <c r="AC303" s="38">
        <f t="shared" ref="AC303:AC366" si="72">-AB303</f>
        <v>-16696388060</v>
      </c>
      <c r="AD303" s="38">
        <f t="shared" si="68"/>
        <v>38415400481</v>
      </c>
      <c r="AE303" s="38">
        <f t="shared" ref="AE303:AE366" si="73">-AD303</f>
        <v>-38415400481</v>
      </c>
      <c r="AF303" s="38">
        <f t="shared" si="68"/>
        <v>54595715790</v>
      </c>
      <c r="AG303" s="38">
        <f t="shared" si="68"/>
        <v>-54595715790</v>
      </c>
      <c r="AH303" s="38">
        <f t="shared" si="68"/>
        <v>72374592781</v>
      </c>
      <c r="AI303" s="38"/>
      <c r="AJ303" s="38">
        <f t="shared" si="68"/>
        <v>14105619368</v>
      </c>
      <c r="AK303" s="38">
        <f t="shared" si="68"/>
        <v>-14105619368</v>
      </c>
      <c r="AL303" s="38">
        <f t="shared" si="68"/>
        <v>26599497597</v>
      </c>
      <c r="AM303" s="38">
        <f t="shared" ref="AM303:AM366" si="74">-AL303</f>
        <v>-26599497597</v>
      </c>
      <c r="AN303" s="38">
        <f t="shared" si="68"/>
        <v>41409091299</v>
      </c>
      <c r="AO303" s="38"/>
      <c r="AP303" s="38">
        <f t="shared" si="68"/>
        <v>69508385261</v>
      </c>
    </row>
    <row r="304" spans="4:43" s="37" customFormat="1" ht="15" customHeight="1">
      <c r="D304" s="37" t="s">
        <v>655</v>
      </c>
      <c r="I304" s="38">
        <f>SUM(I305:I309)</f>
        <v>66364821151</v>
      </c>
      <c r="J304" s="38">
        <f t="shared" si="65"/>
        <v>-66364821151</v>
      </c>
      <c r="K304" s="38">
        <f>SUM(K305:K309)</f>
        <v>12298068350</v>
      </c>
      <c r="L304" s="38"/>
      <c r="M304" s="38">
        <f t="shared" ref="M304:R304" si="75">SUM(M305:M309)</f>
        <v>14042860771</v>
      </c>
      <c r="N304" s="38">
        <f t="shared" si="75"/>
        <v>-14042860771</v>
      </c>
      <c r="O304" s="38">
        <f t="shared" si="75"/>
        <v>11922863653</v>
      </c>
      <c r="P304" s="38">
        <f t="shared" si="75"/>
        <v>30014570393</v>
      </c>
      <c r="Q304" s="38">
        <f t="shared" si="75"/>
        <v>-30014570393</v>
      </c>
      <c r="R304" s="38">
        <f t="shared" si="75"/>
        <v>26771389369</v>
      </c>
      <c r="S304" s="38">
        <f t="shared" si="67"/>
        <v>-26771389369</v>
      </c>
      <c r="T304" s="38"/>
      <c r="U304" s="38">
        <f>SUM(U305:U309)</f>
        <v>48391009796</v>
      </c>
      <c r="V304" s="38">
        <f t="shared" si="69"/>
        <v>-48391009796</v>
      </c>
      <c r="W304" s="38">
        <f>SUM(W305:W309)</f>
        <v>43196307802</v>
      </c>
      <c r="X304" s="38">
        <f t="shared" si="70"/>
        <v>-43196307802</v>
      </c>
      <c r="Y304" s="38">
        <f>SUM(Y305:Y309)</f>
        <v>42842576889</v>
      </c>
      <c r="Z304" s="38">
        <f>SUM(Z305:Z309)</f>
        <v>68714375069</v>
      </c>
      <c r="AA304" s="38">
        <f t="shared" si="71"/>
        <v>-68714375069</v>
      </c>
      <c r="AB304" s="38">
        <f>SUM(AB305:AB309)</f>
        <v>16696388060</v>
      </c>
      <c r="AC304" s="38">
        <f t="shared" si="72"/>
        <v>-16696388060</v>
      </c>
      <c r="AD304" s="38">
        <f>SUM(AD305:AD309)</f>
        <v>38415400481</v>
      </c>
      <c r="AE304" s="38">
        <f t="shared" si="73"/>
        <v>-38415400481</v>
      </c>
      <c r="AF304" s="38">
        <f>SUM(AF305:AF309)</f>
        <v>54595715790</v>
      </c>
      <c r="AG304" s="38">
        <f>SUM(AG305:AG309)</f>
        <v>-54595715790</v>
      </c>
      <c r="AH304" s="38">
        <f>SUM(AH305:AH309)</f>
        <v>72374592781</v>
      </c>
      <c r="AI304" s="38"/>
      <c r="AJ304" s="38">
        <f>SUM(AJ305:AJ309)</f>
        <v>14105619368</v>
      </c>
      <c r="AK304" s="38">
        <f>SUM(AK305:AK309)</f>
        <v>-14105619368</v>
      </c>
      <c r="AL304" s="38">
        <f>SUM(AL305:AL309)</f>
        <v>26599497597</v>
      </c>
      <c r="AM304" s="38">
        <f t="shared" si="74"/>
        <v>-26599497597</v>
      </c>
      <c r="AN304" s="38">
        <f>SUM(AN305:AN309)</f>
        <v>41409091299</v>
      </c>
      <c r="AO304" s="38"/>
      <c r="AP304" s="38">
        <f>SUM(AP305:AP309)</f>
        <v>69508385261</v>
      </c>
    </row>
    <row r="305" spans="4:43" ht="15" customHeight="1">
      <c r="D305" t="s">
        <v>656</v>
      </c>
      <c r="E305" t="s">
        <v>396</v>
      </c>
      <c r="G305" t="s">
        <v>826</v>
      </c>
      <c r="H305" t="s">
        <v>1039</v>
      </c>
      <c r="I305" s="23">
        <v>57123387898</v>
      </c>
      <c r="J305" s="23">
        <f t="shared" si="65"/>
        <v>-57123387898</v>
      </c>
      <c r="K305" s="23">
        <f>9088560423+2675789081-K306</f>
        <v>11691029182</v>
      </c>
      <c r="L305" s="23">
        <f>-K305</f>
        <v>-11691029182</v>
      </c>
      <c r="M305" s="23">
        <v>13749441495</v>
      </c>
      <c r="N305" s="23">
        <f>-M305</f>
        <v>-13749441495</v>
      </c>
      <c r="O305" s="23">
        <v>11568014351</v>
      </c>
      <c r="P305" s="23">
        <f>10302064879+6883887649+6004455180+2688657582+927988254+2114733427</f>
        <v>28921786971</v>
      </c>
      <c r="Q305" s="23">
        <f>-P305</f>
        <v>-28921786971</v>
      </c>
      <c r="R305" s="23">
        <v>26117597061</v>
      </c>
      <c r="S305" s="23">
        <f t="shared" si="67"/>
        <v>-26117597061</v>
      </c>
      <c r="U305" s="23">
        <f>37219455924+3779918531+1579520793+4038252399</f>
        <v>46617147647</v>
      </c>
      <c r="V305" s="23">
        <f t="shared" si="69"/>
        <v>-46617147647</v>
      </c>
      <c r="W305" s="23">
        <v>42099415505</v>
      </c>
      <c r="X305" s="23">
        <f t="shared" si="70"/>
        <v>-42099415505</v>
      </c>
      <c r="Y305" s="23">
        <v>38349914678</v>
      </c>
      <c r="Z305" s="23">
        <f>52837712569+13070966744</f>
        <v>65908679313</v>
      </c>
      <c r="AA305" s="23">
        <f t="shared" si="71"/>
        <v>-65908679313</v>
      </c>
      <c r="AB305" s="23">
        <f>13025937726+1686211880+633656352+622127364</f>
        <v>15967933322</v>
      </c>
      <c r="AC305" s="23">
        <f t="shared" si="72"/>
        <v>-15967933322</v>
      </c>
      <c r="AD305" s="23">
        <f>30529188882+6155526458</f>
        <v>36684715340</v>
      </c>
      <c r="AE305" s="23">
        <f t="shared" si="73"/>
        <v>-36684715340</v>
      </c>
      <c r="AF305" s="23">
        <f>42849168653+8995337957-727273</f>
        <v>51843779337</v>
      </c>
      <c r="AG305" s="23">
        <f>-AF305</f>
        <v>-51843779337</v>
      </c>
      <c r="AH305" s="23">
        <f>56120847042+12472164799</f>
        <v>68593011841</v>
      </c>
      <c r="AI305" s="23">
        <f>-AH305</f>
        <v>-68593011841</v>
      </c>
      <c r="AJ305" s="23">
        <f>10198297774+2915090208</f>
        <v>13113387982</v>
      </c>
      <c r="AK305" s="23">
        <f t="shared" ref="AK305:AK366" si="76">-AJ305</f>
        <v>-13113387982</v>
      </c>
      <c r="AL305" s="23">
        <f>18896778183+5534049646+195241259</f>
        <v>24626069088</v>
      </c>
      <c r="AM305" s="23">
        <f t="shared" si="74"/>
        <v>-24626069088</v>
      </c>
      <c r="AN305" s="23">
        <f>28554339268+9810545950</f>
        <v>38364885218</v>
      </c>
      <c r="AO305" s="23">
        <f>-AN305</f>
        <v>-38364885218</v>
      </c>
      <c r="AP305" s="41">
        <f>43177614011+13734206567</f>
        <v>56911820578</v>
      </c>
      <c r="AQ305">
        <f>-AP305</f>
        <v>-56911820578</v>
      </c>
    </row>
    <row r="306" spans="4:43" ht="15" customHeight="1">
      <c r="D306" t="s">
        <v>657</v>
      </c>
      <c r="E306" t="s">
        <v>396</v>
      </c>
      <c r="G306" t="s">
        <v>826</v>
      </c>
      <c r="H306" t="s">
        <v>1039</v>
      </c>
      <c r="I306" s="23">
        <v>0</v>
      </c>
      <c r="J306" s="23">
        <f t="shared" si="65"/>
        <v>0</v>
      </c>
      <c r="K306" s="23">
        <f>52810742+20509580</f>
        <v>73320322</v>
      </c>
      <c r="L306" s="23">
        <f>-K306</f>
        <v>-73320322</v>
      </c>
      <c r="M306" s="23">
        <v>5299279</v>
      </c>
      <c r="N306" s="23">
        <f>-M306</f>
        <v>-5299279</v>
      </c>
      <c r="O306" s="23">
        <v>2835092</v>
      </c>
      <c r="P306" s="23">
        <f>70687037+72430700+21555035</f>
        <v>164672772</v>
      </c>
      <c r="Q306" s="23">
        <f>-P306</f>
        <v>-164672772</v>
      </c>
      <c r="R306" s="23">
        <v>23390220</v>
      </c>
      <c r="S306" s="23">
        <f t="shared" si="67"/>
        <v>-23390220</v>
      </c>
      <c r="U306" s="23">
        <f>89461104+1125455+119323233+12727273+21555035</f>
        <v>244192100</v>
      </c>
      <c r="V306" s="23">
        <f t="shared" si="69"/>
        <v>-244192100</v>
      </c>
      <c r="W306" s="23">
        <v>97209575</v>
      </c>
      <c r="X306" s="23">
        <f t="shared" si="70"/>
        <v>-97209575</v>
      </c>
      <c r="Y306" s="23">
        <v>7877680</v>
      </c>
      <c r="AA306" s="23">
        <f t="shared" si="71"/>
        <v>0</v>
      </c>
      <c r="AC306" s="23">
        <f t="shared" si="72"/>
        <v>0</v>
      </c>
      <c r="AE306" s="23">
        <f t="shared" si="73"/>
        <v>0</v>
      </c>
      <c r="AG306" s="23">
        <f t="shared" ref="AG306:AG369" si="77">-AF306</f>
        <v>0</v>
      </c>
      <c r="AI306" s="23">
        <f t="shared" ref="AI306:AI369" si="78">-AH306</f>
        <v>0</v>
      </c>
      <c r="AK306" s="23">
        <f t="shared" si="76"/>
        <v>0</v>
      </c>
      <c r="AM306" s="23">
        <f t="shared" si="74"/>
        <v>0</v>
      </c>
      <c r="AO306" s="23">
        <f t="shared" ref="AO306:AO369" si="79">-AN306</f>
        <v>0</v>
      </c>
      <c r="AQ306">
        <f t="shared" ref="AQ306:AQ369" si="80">-AP306</f>
        <v>0</v>
      </c>
    </row>
    <row r="307" spans="4:43" ht="15" customHeight="1">
      <c r="D307" t="s">
        <v>658</v>
      </c>
      <c r="E307" t="s">
        <v>396</v>
      </c>
      <c r="G307" t="s">
        <v>826</v>
      </c>
      <c r="H307" t="s">
        <v>1039</v>
      </c>
      <c r="I307" s="23">
        <v>1337133662</v>
      </c>
      <c r="J307" s="23">
        <f t="shared" si="65"/>
        <v>-1337133662</v>
      </c>
      <c r="K307" s="23">
        <v>291074349</v>
      </c>
      <c r="L307" s="23">
        <f>-K307</f>
        <v>-291074349</v>
      </c>
      <c r="M307" s="23">
        <v>281471832</v>
      </c>
      <c r="N307" s="23">
        <f>-M307</f>
        <v>-281471832</v>
      </c>
      <c r="O307" s="23">
        <v>352014210</v>
      </c>
      <c r="P307" s="23">
        <v>543548666</v>
      </c>
      <c r="Q307" s="23">
        <f>-P307</f>
        <v>-543548666</v>
      </c>
      <c r="R307" s="23">
        <v>623753923</v>
      </c>
      <c r="S307" s="23">
        <f t="shared" si="67"/>
        <v>-623753923</v>
      </c>
      <c r="U307" s="23">
        <v>902134634</v>
      </c>
      <c r="V307" s="23">
        <f t="shared" si="69"/>
        <v>-902134634</v>
      </c>
      <c r="W307" s="23">
        <v>970078741</v>
      </c>
      <c r="X307" s="23">
        <f t="shared" si="70"/>
        <v>-970078741</v>
      </c>
      <c r="Y307" s="23">
        <v>909132341</v>
      </c>
      <c r="Z307" s="23">
        <v>1349527205</v>
      </c>
      <c r="AA307" s="23">
        <f t="shared" si="71"/>
        <v>-1349527205</v>
      </c>
      <c r="AB307" s="23">
        <v>427404076</v>
      </c>
      <c r="AC307" s="23">
        <f t="shared" si="72"/>
        <v>-427404076</v>
      </c>
      <c r="AD307" s="23">
        <f>846951776+154004753+30478545+11472500</f>
        <v>1042907574</v>
      </c>
      <c r="AE307" s="23">
        <f t="shared" si="73"/>
        <v>-1042907574</v>
      </c>
      <c r="AF307" s="23">
        <f>892506986+596844363+48312386+11472500</f>
        <v>1549136235</v>
      </c>
      <c r="AG307" s="23">
        <f t="shared" si="77"/>
        <v>-1549136235</v>
      </c>
      <c r="AH307" s="23">
        <f>892506986+1197511588+48312386+11472500</f>
        <v>2149803460</v>
      </c>
      <c r="AI307" s="23">
        <f t="shared" si="78"/>
        <v>-2149803460</v>
      </c>
      <c r="AJ307" s="23">
        <v>992231386</v>
      </c>
      <c r="AK307" s="23">
        <f t="shared" si="76"/>
        <v>-992231386</v>
      </c>
      <c r="AL307" s="23">
        <v>1973428509</v>
      </c>
      <c r="AM307" s="23">
        <f t="shared" si="74"/>
        <v>-1973428509</v>
      </c>
      <c r="AN307" s="23">
        <v>3044206081</v>
      </c>
      <c r="AO307" s="23">
        <f t="shared" si="79"/>
        <v>-3044206081</v>
      </c>
      <c r="AP307" s="41">
        <v>4204709406</v>
      </c>
      <c r="AQ307">
        <f t="shared" si="80"/>
        <v>-4204709406</v>
      </c>
    </row>
    <row r="308" spans="4:43" ht="15" customHeight="1">
      <c r="D308" t="s">
        <v>659</v>
      </c>
      <c r="E308" t="s">
        <v>396</v>
      </c>
      <c r="G308" t="s">
        <v>826</v>
      </c>
      <c r="H308" t="s">
        <v>1039</v>
      </c>
      <c r="I308" s="23">
        <v>95397260</v>
      </c>
      <c r="J308" s="23">
        <f t="shared" si="65"/>
        <v>-95397260</v>
      </c>
      <c r="K308" s="23">
        <v>242644497</v>
      </c>
      <c r="L308" s="23">
        <f>-K308</f>
        <v>-242644497</v>
      </c>
      <c r="M308" s="23">
        <v>0</v>
      </c>
      <c r="N308" s="23">
        <f>-M308</f>
        <v>0</v>
      </c>
      <c r="P308" s="23">
        <f>343390369+41171615</f>
        <v>384561984</v>
      </c>
      <c r="Q308" s="23">
        <f>-P308</f>
        <v>-384561984</v>
      </c>
      <c r="S308" s="23">
        <f t="shared" si="67"/>
        <v>0</v>
      </c>
      <c r="U308" s="23">
        <f>586363800+41171615</f>
        <v>627535415</v>
      </c>
      <c r="V308" s="23">
        <f t="shared" si="69"/>
        <v>-627535415</v>
      </c>
      <c r="W308" s="23">
        <v>22955816</v>
      </c>
      <c r="X308" s="23">
        <f t="shared" si="70"/>
        <v>-22955816</v>
      </c>
      <c r="Z308" s="23">
        <v>962644980</v>
      </c>
      <c r="AA308" s="23">
        <f t="shared" si="71"/>
        <v>-962644980</v>
      </c>
      <c r="AB308" s="23">
        <v>238096263</v>
      </c>
      <c r="AC308" s="23">
        <f t="shared" si="72"/>
        <v>-238096263</v>
      </c>
      <c r="AD308" s="23">
        <f>463585051+130881109+14106453+16250555</f>
        <v>624823168</v>
      </c>
      <c r="AE308" s="23">
        <f t="shared" si="73"/>
        <v>-624823168</v>
      </c>
      <c r="AF308" s="23">
        <f>539453085+537091643+47050536+16250555</f>
        <v>1139845819</v>
      </c>
      <c r="AG308" s="23">
        <f t="shared" si="77"/>
        <v>-1139845819</v>
      </c>
      <c r="AH308" s="23">
        <f>539453085+944619775+69306361+16250555</f>
        <v>1569629776</v>
      </c>
      <c r="AI308" s="23">
        <f t="shared" si="78"/>
        <v>-1569629776</v>
      </c>
      <c r="AK308" s="23">
        <f t="shared" si="76"/>
        <v>0</v>
      </c>
      <c r="AM308" s="23">
        <f t="shared" si="74"/>
        <v>0</v>
      </c>
      <c r="AO308" s="23">
        <f t="shared" si="79"/>
        <v>0</v>
      </c>
      <c r="AQ308">
        <f t="shared" si="80"/>
        <v>0</v>
      </c>
    </row>
    <row r="309" spans="4:43" ht="15.75" customHeight="1">
      <c r="D309" t="s">
        <v>660</v>
      </c>
      <c r="E309" t="s">
        <v>1575</v>
      </c>
      <c r="F309" t="s">
        <v>1021</v>
      </c>
      <c r="H309" t="s">
        <v>1039</v>
      </c>
      <c r="I309" s="23">
        <v>7808902331</v>
      </c>
      <c r="J309" s="23">
        <f t="shared" si="65"/>
        <v>-7808902331</v>
      </c>
      <c r="K309" s="23">
        <v>0</v>
      </c>
      <c r="L309" s="23">
        <f>-K309</f>
        <v>0</v>
      </c>
      <c r="M309" s="23">
        <v>6648165</v>
      </c>
      <c r="N309" s="23">
        <f>-M309</f>
        <v>-6648165</v>
      </c>
      <c r="Q309" s="23">
        <f>-P309</f>
        <v>0</v>
      </c>
      <c r="R309" s="23">
        <v>6648165</v>
      </c>
      <c r="S309" s="23">
        <f t="shared" si="67"/>
        <v>-6648165</v>
      </c>
      <c r="V309" s="23">
        <f t="shared" si="69"/>
        <v>0</v>
      </c>
      <c r="W309" s="23">
        <v>6648165</v>
      </c>
      <c r="X309" s="23">
        <f t="shared" si="70"/>
        <v>-6648165</v>
      </c>
      <c r="Y309" s="23">
        <v>3575652190</v>
      </c>
      <c r="Z309" s="23">
        <v>493523571</v>
      </c>
      <c r="AA309" s="23">
        <f t="shared" si="71"/>
        <v>-493523571</v>
      </c>
      <c r="AB309" s="23">
        <v>62954399</v>
      </c>
      <c r="AC309" s="23">
        <f t="shared" si="72"/>
        <v>-62954399</v>
      </c>
      <c r="AD309" s="23">
        <v>62954399</v>
      </c>
      <c r="AE309" s="23">
        <f t="shared" si="73"/>
        <v>-62954399</v>
      </c>
      <c r="AF309" s="23">
        <v>62954399</v>
      </c>
      <c r="AG309" s="23">
        <f t="shared" si="77"/>
        <v>-62954399</v>
      </c>
      <c r="AH309" s="23">
        <v>62147704</v>
      </c>
      <c r="AI309" s="23">
        <f t="shared" si="78"/>
        <v>-62147704</v>
      </c>
      <c r="AK309" s="23">
        <f t="shared" si="76"/>
        <v>0</v>
      </c>
      <c r="AM309" s="23">
        <f t="shared" si="74"/>
        <v>0</v>
      </c>
      <c r="AO309" s="23">
        <f t="shared" si="79"/>
        <v>0</v>
      </c>
      <c r="AP309" s="41">
        <v>8391855277</v>
      </c>
      <c r="AQ309">
        <f t="shared" si="80"/>
        <v>-8391855277</v>
      </c>
    </row>
    <row r="310" spans="4:43" ht="15" customHeight="1">
      <c r="J310" s="23">
        <f t="shared" si="65"/>
        <v>0</v>
      </c>
      <c r="S310" s="23">
        <f t="shared" si="67"/>
        <v>0</v>
      </c>
      <c r="V310" s="23">
        <f t="shared" si="69"/>
        <v>0</v>
      </c>
      <c r="X310" s="23">
        <f t="shared" si="70"/>
        <v>0</v>
      </c>
      <c r="AA310" s="23">
        <f t="shared" si="71"/>
        <v>0</v>
      </c>
      <c r="AC310" s="23">
        <f t="shared" si="72"/>
        <v>0</v>
      </c>
      <c r="AE310" s="23">
        <f t="shared" si="73"/>
        <v>0</v>
      </c>
      <c r="AG310" s="23">
        <f t="shared" si="77"/>
        <v>0</v>
      </c>
      <c r="AI310" s="23">
        <f t="shared" si="78"/>
        <v>0</v>
      </c>
      <c r="AK310" s="23">
        <f t="shared" si="76"/>
        <v>0</v>
      </c>
      <c r="AM310" s="23">
        <f t="shared" si="74"/>
        <v>0</v>
      </c>
      <c r="AO310" s="23">
        <f t="shared" si="79"/>
        <v>0</v>
      </c>
      <c r="AQ310">
        <f t="shared" si="80"/>
        <v>0</v>
      </c>
    </row>
    <row r="311" spans="4:43" s="37" customFormat="1" ht="15" customHeight="1">
      <c r="D311" s="37" t="s">
        <v>661</v>
      </c>
      <c r="I311" s="38">
        <f>+I312+I329+I371+I380+I391</f>
        <v>25358924708.700001</v>
      </c>
      <c r="J311" s="38">
        <f t="shared" si="65"/>
        <v>-25358924708.700001</v>
      </c>
      <c r="K311" s="38">
        <f>+K312+K329+K371+K380+K391</f>
        <v>6876437049</v>
      </c>
      <c r="L311" s="38"/>
      <c r="M311" s="38">
        <f t="shared" ref="M311:R311" si="81">+M312+M329+M371+M380+M391</f>
        <v>6298340710</v>
      </c>
      <c r="N311" s="38">
        <f t="shared" si="81"/>
        <v>-6298340710</v>
      </c>
      <c r="O311" s="38">
        <f t="shared" si="81"/>
        <v>5015509970</v>
      </c>
      <c r="P311" s="38">
        <f t="shared" si="81"/>
        <v>13282453069</v>
      </c>
      <c r="Q311" s="38">
        <f t="shared" si="81"/>
        <v>-13282453069</v>
      </c>
      <c r="R311" s="38">
        <f t="shared" si="81"/>
        <v>12006699061</v>
      </c>
      <c r="S311" s="38">
        <f t="shared" si="67"/>
        <v>-12006699061</v>
      </c>
      <c r="T311" s="38"/>
      <c r="U311" s="38">
        <f>+U312+U329+U371+U380+U391</f>
        <v>19467491002</v>
      </c>
      <c r="V311" s="38">
        <f t="shared" si="69"/>
        <v>-19467491002</v>
      </c>
      <c r="W311" s="38">
        <f>+W312+W329+W371+W380+W391</f>
        <v>17405347826</v>
      </c>
      <c r="X311" s="38">
        <f t="shared" si="70"/>
        <v>-17405347826</v>
      </c>
      <c r="Y311" s="38">
        <f>+Y312+Y329+Y371+Y380+Y391</f>
        <v>15261770707</v>
      </c>
      <c r="Z311" s="38">
        <f>+Z312+Z329+Z371+Z380+Z391</f>
        <v>26643823203</v>
      </c>
      <c r="AA311" s="38">
        <f t="shared" si="71"/>
        <v>-26643823203</v>
      </c>
      <c r="AB311" s="38">
        <f>+AB312+AB329+AB371+AB380+AB391</f>
        <v>6606556133</v>
      </c>
      <c r="AC311" s="38">
        <f t="shared" si="72"/>
        <v>-6606556133</v>
      </c>
      <c r="AD311" s="38">
        <f>+AD312+AD329+AD371+AD380+AD391</f>
        <v>14236394282</v>
      </c>
      <c r="AE311" s="38">
        <f t="shared" si="73"/>
        <v>-14236394282</v>
      </c>
      <c r="AF311" s="38">
        <f>+AF312+AF329+AF371+AF380+AF391</f>
        <v>21303596437</v>
      </c>
      <c r="AG311" s="38">
        <f t="shared" si="77"/>
        <v>-21303596437</v>
      </c>
      <c r="AH311" s="38">
        <f>+AH312+AH329+AH371+AH380+AH391</f>
        <v>29393485448</v>
      </c>
      <c r="AI311" s="38">
        <f t="shared" si="78"/>
        <v>-29393485448</v>
      </c>
      <c r="AJ311" s="38">
        <f>+AJ312+AJ329+AJ371+AJ380+AJ391</f>
        <v>7591776609</v>
      </c>
      <c r="AK311" s="38">
        <f>+AK312+AK329+AK371+AK380+AK391</f>
        <v>-7188086481</v>
      </c>
      <c r="AL311" s="38">
        <f>+AL312+AL329+AL371+AL380+AL391</f>
        <v>15196691665</v>
      </c>
      <c r="AM311" s="38">
        <f t="shared" si="74"/>
        <v>-15196691665</v>
      </c>
      <c r="AN311" s="38">
        <f>+AN312+AN329+AN371+AN380+AN391</f>
        <v>25173769040</v>
      </c>
      <c r="AO311" s="38">
        <f t="shared" si="79"/>
        <v>-25173769040</v>
      </c>
      <c r="AP311" s="38">
        <f>+AP312+AP329+AP371+AP380+AP391</f>
        <v>33556847435</v>
      </c>
      <c r="AQ311" s="37">
        <f t="shared" si="80"/>
        <v>-33556847435</v>
      </c>
    </row>
    <row r="312" spans="4:43" s="37" customFormat="1" ht="15" customHeight="1">
      <c r="D312" s="37" t="s">
        <v>662</v>
      </c>
      <c r="I312" s="38">
        <f>SUM(I313:I326)</f>
        <v>2479220078</v>
      </c>
      <c r="J312" s="38">
        <f t="shared" si="65"/>
        <v>-2479220078</v>
      </c>
      <c r="K312" s="38">
        <f>SUM(K313:K326)</f>
        <v>682919717</v>
      </c>
      <c r="L312" s="38"/>
      <c r="M312" s="38">
        <f>SUM(M313:M324)</f>
        <v>464860604</v>
      </c>
      <c r="N312" s="38">
        <f>SUM(N313:N324)</f>
        <v>-464860604</v>
      </c>
      <c r="O312" s="38">
        <f>SUM(O313:O324)</f>
        <v>387518790</v>
      </c>
      <c r="P312" s="38">
        <f>SUM(P313:P326)</f>
        <v>1450009455</v>
      </c>
      <c r="Q312" s="38">
        <f>SUM(Q313:Q326)</f>
        <v>-1450009455</v>
      </c>
      <c r="R312" s="38">
        <f>SUM(R313:R326)</f>
        <v>1006034955</v>
      </c>
      <c r="S312" s="38">
        <f t="shared" si="67"/>
        <v>-1006034955</v>
      </c>
      <c r="T312" s="38"/>
      <c r="U312" s="38">
        <f>SUM(U313:U326)</f>
        <v>2145876456</v>
      </c>
      <c r="V312" s="38">
        <f t="shared" si="69"/>
        <v>-2145876456</v>
      </c>
      <c r="W312" s="38">
        <f>SUM(W313:W326)</f>
        <v>1622307750</v>
      </c>
      <c r="X312" s="38">
        <f t="shared" si="70"/>
        <v>-1622307750</v>
      </c>
      <c r="Y312" s="38">
        <f>SUM(Y313:Y326)</f>
        <v>1080330200</v>
      </c>
      <c r="Z312" s="38">
        <f>SUM(Z313:Z327)</f>
        <v>3189519635</v>
      </c>
      <c r="AA312" s="38">
        <f t="shared" si="71"/>
        <v>-3189519635</v>
      </c>
      <c r="AB312" s="38">
        <f>SUM(AB313:AB327)</f>
        <v>702845973</v>
      </c>
      <c r="AC312" s="38">
        <f t="shared" si="72"/>
        <v>-702845973</v>
      </c>
      <c r="AD312" s="38">
        <f>SUM(AD313:AD327)</f>
        <v>1659211127</v>
      </c>
      <c r="AE312" s="38">
        <f t="shared" si="73"/>
        <v>-1659211127</v>
      </c>
      <c r="AF312" s="38">
        <f>SUM(AF313:AF327)</f>
        <v>2475981725</v>
      </c>
      <c r="AG312" s="38">
        <f t="shared" si="77"/>
        <v>-2475981725</v>
      </c>
      <c r="AH312" s="38">
        <f>SUM(AH313:AH327)</f>
        <v>3495368732</v>
      </c>
      <c r="AI312" s="38">
        <f t="shared" si="78"/>
        <v>-3495368732</v>
      </c>
      <c r="AJ312" s="38">
        <f>SUM(AJ313:AJ327)</f>
        <v>726970944</v>
      </c>
      <c r="AK312" s="38">
        <f>SUM(AK313:AK327)</f>
        <v>-726970944</v>
      </c>
      <c r="AL312" s="38">
        <f>SUM(AL313:AL327)</f>
        <v>1512913078</v>
      </c>
      <c r="AM312" s="38">
        <f t="shared" si="74"/>
        <v>-1512913078</v>
      </c>
      <c r="AN312" s="38">
        <f>SUM(AN313:AN327)</f>
        <v>2177787771</v>
      </c>
      <c r="AO312" s="38">
        <f t="shared" si="79"/>
        <v>-2177787771</v>
      </c>
      <c r="AP312" s="38">
        <f>SUM(AP313:AP327)</f>
        <v>3266692826</v>
      </c>
      <c r="AQ312" s="37">
        <f t="shared" si="80"/>
        <v>-3266692826</v>
      </c>
    </row>
    <row r="313" spans="4:43" ht="15" customHeight="1">
      <c r="D313" t="s">
        <v>663</v>
      </c>
      <c r="E313" t="s">
        <v>394</v>
      </c>
      <c r="G313" t="s">
        <v>830</v>
      </c>
      <c r="H313" t="s">
        <v>1046</v>
      </c>
      <c r="I313" s="23">
        <v>1759583071</v>
      </c>
      <c r="J313" s="23">
        <f t="shared" si="65"/>
        <v>-1759583071</v>
      </c>
      <c r="K313" s="23">
        <v>479613590</v>
      </c>
      <c r="L313" s="23">
        <f>-K313</f>
        <v>-479613590</v>
      </c>
      <c r="M313" s="23">
        <v>353723989</v>
      </c>
      <c r="N313" s="23">
        <f>-M313</f>
        <v>-353723989</v>
      </c>
      <c r="O313" s="23">
        <v>289185593</v>
      </c>
      <c r="P313" s="23">
        <v>1010055197</v>
      </c>
      <c r="Q313" s="23">
        <f t="shared" ref="Q313:Q326" si="82">-P313</f>
        <v>-1010055197</v>
      </c>
      <c r="R313" s="23">
        <v>793197870</v>
      </c>
      <c r="S313" s="23">
        <f t="shared" si="67"/>
        <v>-793197870</v>
      </c>
      <c r="U313" s="23">
        <v>1470775335</v>
      </c>
      <c r="V313" s="23">
        <f t="shared" si="69"/>
        <v>-1470775335</v>
      </c>
      <c r="W313" s="23">
        <v>1249434240</v>
      </c>
      <c r="X313" s="23">
        <f t="shared" si="70"/>
        <v>-1249434240</v>
      </c>
      <c r="Y313" s="23">
        <v>749676992</v>
      </c>
      <c r="Z313" s="23">
        <v>1933872467</v>
      </c>
      <c r="AA313" s="23">
        <f t="shared" si="71"/>
        <v>-1933872467</v>
      </c>
      <c r="AB313" s="23">
        <v>445192916</v>
      </c>
      <c r="AC313" s="23">
        <f t="shared" si="72"/>
        <v>-445192916</v>
      </c>
      <c r="AD313" s="23">
        <v>1088577934</v>
      </c>
      <c r="AE313" s="23">
        <f t="shared" si="73"/>
        <v>-1088577934</v>
      </c>
      <c r="AF313" s="23">
        <v>1500182912</v>
      </c>
      <c r="AG313" s="23">
        <f t="shared" si="77"/>
        <v>-1500182912</v>
      </c>
      <c r="AH313" s="23">
        <v>2009217092</v>
      </c>
      <c r="AI313" s="23">
        <f t="shared" si="78"/>
        <v>-2009217092</v>
      </c>
      <c r="AJ313" s="23">
        <v>257360073</v>
      </c>
      <c r="AK313" s="23">
        <f t="shared" si="76"/>
        <v>-257360073</v>
      </c>
      <c r="AL313" s="23">
        <v>529521582</v>
      </c>
      <c r="AM313" s="23">
        <f t="shared" si="74"/>
        <v>-529521582</v>
      </c>
      <c r="AN313" s="23">
        <v>710508805</v>
      </c>
      <c r="AO313" s="23">
        <f t="shared" si="79"/>
        <v>-710508805</v>
      </c>
      <c r="AP313" s="41">
        <v>1060577907</v>
      </c>
      <c r="AQ313">
        <f t="shared" si="80"/>
        <v>-1060577907</v>
      </c>
    </row>
    <row r="314" spans="4:43" ht="15" customHeight="1">
      <c r="D314" t="s">
        <v>664</v>
      </c>
      <c r="E314" t="s">
        <v>394</v>
      </c>
      <c r="G314" t="s">
        <v>319</v>
      </c>
      <c r="H314" t="s">
        <v>1046</v>
      </c>
      <c r="I314" s="23">
        <v>290941790</v>
      </c>
      <c r="J314" s="23">
        <f t="shared" si="65"/>
        <v>-290941790</v>
      </c>
      <c r="K314" s="23">
        <v>77949626</v>
      </c>
      <c r="L314" s="23">
        <f t="shared" ref="L314:L326" si="83">-K314</f>
        <v>-77949626</v>
      </c>
      <c r="M314" s="23">
        <v>21022898</v>
      </c>
      <c r="N314" s="23">
        <f t="shared" ref="N314:N326" si="84">-M314</f>
        <v>-21022898</v>
      </c>
      <c r="O314" s="23">
        <v>21555342</v>
      </c>
      <c r="P314" s="23">
        <v>162859709</v>
      </c>
      <c r="Q314" s="23">
        <f t="shared" si="82"/>
        <v>-162859709</v>
      </c>
      <c r="R314" s="23">
        <v>44779523</v>
      </c>
      <c r="S314" s="23">
        <f t="shared" si="67"/>
        <v>-44779523</v>
      </c>
      <c r="U314" s="23">
        <v>243425499</v>
      </c>
      <c r="V314" s="23">
        <f t="shared" si="69"/>
        <v>-243425499</v>
      </c>
      <c r="W314" s="23">
        <v>91397790</v>
      </c>
      <c r="X314" s="23">
        <f t="shared" si="70"/>
        <v>-91397790</v>
      </c>
      <c r="Y314" s="23">
        <v>88993346</v>
      </c>
      <c r="Z314" s="23">
        <v>308976598</v>
      </c>
      <c r="AA314" s="23">
        <f t="shared" si="71"/>
        <v>-308976598</v>
      </c>
      <c r="AB314" s="23">
        <v>48611116</v>
      </c>
      <c r="AC314" s="23">
        <f t="shared" si="72"/>
        <v>-48611116</v>
      </c>
      <c r="AD314" s="23">
        <v>134576093</v>
      </c>
      <c r="AE314" s="23">
        <f t="shared" si="73"/>
        <v>-134576093</v>
      </c>
      <c r="AF314" s="23">
        <v>252289424</v>
      </c>
      <c r="AG314" s="23">
        <f t="shared" si="77"/>
        <v>-252289424</v>
      </c>
      <c r="AH314" s="23">
        <v>302699193</v>
      </c>
      <c r="AI314" s="23">
        <f t="shared" si="78"/>
        <v>-302699193</v>
      </c>
      <c r="AJ314" s="23">
        <v>79090216</v>
      </c>
      <c r="AK314" s="23">
        <f t="shared" si="76"/>
        <v>-79090216</v>
      </c>
      <c r="AL314" s="23">
        <v>177718403</v>
      </c>
      <c r="AM314" s="23">
        <f t="shared" si="74"/>
        <v>-177718403</v>
      </c>
      <c r="AN314" s="23">
        <v>298598149</v>
      </c>
      <c r="AO314" s="23">
        <f t="shared" si="79"/>
        <v>-298598149</v>
      </c>
      <c r="AP314" s="41">
        <v>489360795</v>
      </c>
      <c r="AQ314">
        <f t="shared" si="80"/>
        <v>-489360795</v>
      </c>
    </row>
    <row r="315" spans="4:43" ht="15" customHeight="1">
      <c r="D315" t="s">
        <v>665</v>
      </c>
      <c r="E315" t="s">
        <v>394</v>
      </c>
      <c r="G315" t="s">
        <v>830</v>
      </c>
      <c r="H315" t="s">
        <v>1046</v>
      </c>
      <c r="I315" s="23">
        <v>0</v>
      </c>
      <c r="J315" s="23">
        <f t="shared" si="65"/>
        <v>0</v>
      </c>
      <c r="K315" s="23">
        <v>0</v>
      </c>
      <c r="L315" s="23">
        <f t="shared" si="83"/>
        <v>0</v>
      </c>
      <c r="M315" s="23">
        <v>0</v>
      </c>
      <c r="N315" s="23">
        <f t="shared" si="84"/>
        <v>0</v>
      </c>
      <c r="Q315" s="23">
        <f t="shared" si="82"/>
        <v>0</v>
      </c>
      <c r="S315" s="23">
        <f t="shared" si="67"/>
        <v>0</v>
      </c>
      <c r="V315" s="23">
        <f t="shared" si="69"/>
        <v>0</v>
      </c>
      <c r="X315" s="23">
        <f t="shared" si="70"/>
        <v>0</v>
      </c>
      <c r="AA315" s="23">
        <f t="shared" si="71"/>
        <v>0</v>
      </c>
      <c r="AC315" s="23">
        <f t="shared" si="72"/>
        <v>0</v>
      </c>
      <c r="AE315" s="23">
        <f t="shared" si="73"/>
        <v>0</v>
      </c>
      <c r="AG315" s="23">
        <f t="shared" si="77"/>
        <v>0</v>
      </c>
      <c r="AI315" s="23">
        <f t="shared" si="78"/>
        <v>0</v>
      </c>
      <c r="AK315" s="23">
        <f t="shared" si="76"/>
        <v>0</v>
      </c>
      <c r="AM315" s="23">
        <f t="shared" si="74"/>
        <v>0</v>
      </c>
      <c r="AO315" s="23">
        <f t="shared" si="79"/>
        <v>0</v>
      </c>
      <c r="AP315" s="41"/>
      <c r="AQ315">
        <f t="shared" si="80"/>
        <v>0</v>
      </c>
    </row>
    <row r="316" spans="4:43" ht="15" customHeight="1">
      <c r="D316" t="s">
        <v>666</v>
      </c>
      <c r="E316" t="s">
        <v>394</v>
      </c>
      <c r="G316" t="s">
        <v>830</v>
      </c>
      <c r="H316" t="s">
        <v>1046</v>
      </c>
      <c r="I316" s="23">
        <v>14834559</v>
      </c>
      <c r="J316" s="23">
        <f t="shared" si="65"/>
        <v>-14834559</v>
      </c>
      <c r="K316" s="23">
        <v>2440772</v>
      </c>
      <c r="L316" s="23">
        <f t="shared" si="83"/>
        <v>-2440772</v>
      </c>
      <c r="M316" s="23">
        <v>4778357</v>
      </c>
      <c r="N316" s="23">
        <f t="shared" si="84"/>
        <v>-4778357</v>
      </c>
      <c r="O316" s="23">
        <v>5250229</v>
      </c>
      <c r="P316" s="23">
        <v>4583409</v>
      </c>
      <c r="Q316" s="23">
        <f t="shared" si="82"/>
        <v>-4583409</v>
      </c>
      <c r="R316" s="23">
        <v>9500323</v>
      </c>
      <c r="S316" s="23">
        <f t="shared" si="67"/>
        <v>-9500323</v>
      </c>
      <c r="U316" s="23">
        <v>6239273</v>
      </c>
      <c r="V316" s="23">
        <f t="shared" si="69"/>
        <v>-6239273</v>
      </c>
      <c r="W316" s="23">
        <v>12092740</v>
      </c>
      <c r="X316" s="23">
        <f t="shared" si="70"/>
        <v>-12092740</v>
      </c>
      <c r="Y316" s="23">
        <v>12826804</v>
      </c>
      <c r="Z316" s="23">
        <v>9565677</v>
      </c>
      <c r="AA316" s="23">
        <f t="shared" si="71"/>
        <v>-9565677</v>
      </c>
      <c r="AB316" s="23">
        <v>5522499</v>
      </c>
      <c r="AC316" s="23">
        <f t="shared" si="72"/>
        <v>-5522499</v>
      </c>
      <c r="AD316" s="23">
        <v>10679315</v>
      </c>
      <c r="AE316" s="23">
        <f t="shared" si="73"/>
        <v>-10679315</v>
      </c>
      <c r="AF316" s="23">
        <v>15609904</v>
      </c>
      <c r="AG316" s="23">
        <f t="shared" si="77"/>
        <v>-15609904</v>
      </c>
      <c r="AH316" s="23">
        <v>21540813</v>
      </c>
      <c r="AI316" s="23">
        <f t="shared" si="78"/>
        <v>-21540813</v>
      </c>
      <c r="AJ316" s="23">
        <v>5316090</v>
      </c>
      <c r="AK316" s="23">
        <f t="shared" si="76"/>
        <v>-5316090</v>
      </c>
      <c r="AL316" s="23">
        <v>11617453</v>
      </c>
      <c r="AM316" s="23">
        <f t="shared" si="74"/>
        <v>-11617453</v>
      </c>
      <c r="AN316" s="23">
        <v>18742497</v>
      </c>
      <c r="AO316" s="23">
        <f t="shared" si="79"/>
        <v>-18742497</v>
      </c>
      <c r="AP316" s="41">
        <v>24416506</v>
      </c>
      <c r="AQ316">
        <f t="shared" si="80"/>
        <v>-24416506</v>
      </c>
    </row>
    <row r="317" spans="4:43" ht="15" customHeight="1">
      <c r="D317" t="s">
        <v>667</v>
      </c>
      <c r="E317" t="s">
        <v>394</v>
      </c>
      <c r="G317" t="s">
        <v>830</v>
      </c>
      <c r="H317" t="s">
        <v>1046</v>
      </c>
      <c r="I317" s="23">
        <v>0</v>
      </c>
      <c r="J317" s="23">
        <f t="shared" si="65"/>
        <v>0</v>
      </c>
      <c r="K317" s="23">
        <v>0</v>
      </c>
      <c r="L317" s="23">
        <f t="shared" si="83"/>
        <v>0</v>
      </c>
      <c r="M317" s="23">
        <v>0</v>
      </c>
      <c r="N317" s="23">
        <f t="shared" si="84"/>
        <v>0</v>
      </c>
      <c r="Q317" s="23">
        <f t="shared" si="82"/>
        <v>0</v>
      </c>
      <c r="S317" s="23">
        <f t="shared" si="67"/>
        <v>0</v>
      </c>
      <c r="V317" s="23">
        <f t="shared" si="69"/>
        <v>0</v>
      </c>
      <c r="X317" s="23">
        <f t="shared" si="70"/>
        <v>0</v>
      </c>
      <c r="AA317" s="23">
        <f t="shared" si="71"/>
        <v>0</v>
      </c>
      <c r="AC317" s="23">
        <f t="shared" si="72"/>
        <v>0</v>
      </c>
      <c r="AE317" s="23">
        <f t="shared" si="73"/>
        <v>0</v>
      </c>
      <c r="AG317" s="23">
        <f t="shared" si="77"/>
        <v>0</v>
      </c>
      <c r="AI317" s="23">
        <f t="shared" si="78"/>
        <v>0</v>
      </c>
      <c r="AK317" s="23">
        <f t="shared" si="76"/>
        <v>0</v>
      </c>
      <c r="AM317" s="23">
        <f t="shared" si="74"/>
        <v>0</v>
      </c>
      <c r="AO317" s="23">
        <f t="shared" si="79"/>
        <v>0</v>
      </c>
      <c r="AP317" s="41"/>
      <c r="AQ317">
        <f t="shared" si="80"/>
        <v>0</v>
      </c>
    </row>
    <row r="318" spans="4:43" ht="15" customHeight="1">
      <c r="D318" t="s">
        <v>668</v>
      </c>
      <c r="E318" t="s">
        <v>394</v>
      </c>
      <c r="G318" t="s">
        <v>830</v>
      </c>
      <c r="H318" t="s">
        <v>1046</v>
      </c>
      <c r="I318" s="23">
        <v>212657775</v>
      </c>
      <c r="J318" s="23">
        <f t="shared" si="65"/>
        <v>-212657775</v>
      </c>
      <c r="K318" s="23">
        <v>19326535</v>
      </c>
      <c r="L318" s="23">
        <f t="shared" si="83"/>
        <v>-19326535</v>
      </c>
      <c r="M318" s="23">
        <v>47660321</v>
      </c>
      <c r="N318" s="23">
        <f t="shared" si="84"/>
        <v>-47660321</v>
      </c>
      <c r="O318" s="23">
        <v>35769445</v>
      </c>
      <c r="P318" s="23">
        <v>70426288</v>
      </c>
      <c r="Q318" s="23">
        <f t="shared" si="82"/>
        <v>-70426288</v>
      </c>
      <c r="R318" s="23">
        <v>67384168</v>
      </c>
      <c r="S318" s="23">
        <f t="shared" si="67"/>
        <v>-67384168</v>
      </c>
      <c r="U318" s="23">
        <v>122143514</v>
      </c>
      <c r="V318" s="23">
        <f t="shared" si="69"/>
        <v>-122143514</v>
      </c>
      <c r="W318" s="23">
        <v>109645156</v>
      </c>
      <c r="X318" s="23">
        <f t="shared" si="70"/>
        <v>-109645156</v>
      </c>
      <c r="Y318" s="23">
        <v>81199474</v>
      </c>
      <c r="Z318" s="23">
        <v>179618309</v>
      </c>
      <c r="AA318" s="23">
        <f t="shared" si="71"/>
        <v>-179618309</v>
      </c>
      <c r="AB318" s="23">
        <v>56690200</v>
      </c>
      <c r="AC318" s="23">
        <f t="shared" si="72"/>
        <v>-56690200</v>
      </c>
      <c r="AD318" s="23">
        <v>113687634</v>
      </c>
      <c r="AE318" s="23">
        <f t="shared" si="73"/>
        <v>-113687634</v>
      </c>
      <c r="AF318" s="23">
        <v>188777964</v>
      </c>
      <c r="AG318" s="23">
        <f t="shared" si="77"/>
        <v>-188777964</v>
      </c>
      <c r="AH318" s="23">
        <v>256736431</v>
      </c>
      <c r="AI318" s="23">
        <f t="shared" si="78"/>
        <v>-256736431</v>
      </c>
      <c r="AJ318" s="23">
        <v>113786698</v>
      </c>
      <c r="AK318" s="23">
        <f t="shared" si="76"/>
        <v>-113786698</v>
      </c>
      <c r="AL318" s="23">
        <v>205862822</v>
      </c>
      <c r="AM318" s="23">
        <f t="shared" si="74"/>
        <v>-205862822</v>
      </c>
      <c r="AN318" s="23">
        <v>292659040</v>
      </c>
      <c r="AO318" s="23">
        <f t="shared" si="79"/>
        <v>-292659040</v>
      </c>
      <c r="AP318" s="41">
        <v>439134746</v>
      </c>
      <c r="AQ318">
        <f t="shared" si="80"/>
        <v>-439134746</v>
      </c>
    </row>
    <row r="319" spans="4:43" ht="15" customHeight="1">
      <c r="D319" t="s">
        <v>669</v>
      </c>
      <c r="E319" t="s">
        <v>394</v>
      </c>
      <c r="G319" t="s">
        <v>830</v>
      </c>
      <c r="H319" t="s">
        <v>1046</v>
      </c>
      <c r="I319" s="23">
        <v>0</v>
      </c>
      <c r="J319" s="23">
        <f t="shared" si="65"/>
        <v>0</v>
      </c>
      <c r="K319" s="23">
        <v>0</v>
      </c>
      <c r="L319" s="23">
        <f t="shared" si="83"/>
        <v>0</v>
      </c>
      <c r="M319" s="23">
        <v>0</v>
      </c>
      <c r="N319" s="23">
        <f t="shared" si="84"/>
        <v>0</v>
      </c>
      <c r="Q319" s="23">
        <f t="shared" si="82"/>
        <v>0</v>
      </c>
      <c r="S319" s="23">
        <f t="shared" si="67"/>
        <v>0</v>
      </c>
      <c r="V319" s="23">
        <f t="shared" si="69"/>
        <v>0</v>
      </c>
      <c r="X319" s="23">
        <f t="shared" si="70"/>
        <v>0</v>
      </c>
      <c r="Y319" s="23">
        <v>238181</v>
      </c>
      <c r="AA319" s="23">
        <f t="shared" si="71"/>
        <v>0</v>
      </c>
      <c r="AC319" s="23">
        <f t="shared" si="72"/>
        <v>0</v>
      </c>
      <c r="AE319" s="23">
        <f t="shared" si="73"/>
        <v>0</v>
      </c>
      <c r="AG319" s="23">
        <f t="shared" si="77"/>
        <v>0</v>
      </c>
      <c r="AI319" s="23">
        <f t="shared" si="78"/>
        <v>0</v>
      </c>
      <c r="AK319" s="23">
        <f t="shared" si="76"/>
        <v>0</v>
      </c>
      <c r="AM319" s="23">
        <f t="shared" si="74"/>
        <v>0</v>
      </c>
      <c r="AO319" s="23">
        <f t="shared" si="79"/>
        <v>0</v>
      </c>
      <c r="AP319" s="41"/>
      <c r="AQ319">
        <f t="shared" si="80"/>
        <v>0</v>
      </c>
    </row>
    <row r="320" spans="4:43" ht="15" customHeight="1">
      <c r="D320" t="s">
        <v>670</v>
      </c>
      <c r="E320" t="s">
        <v>394</v>
      </c>
      <c r="G320" t="s">
        <v>830</v>
      </c>
      <c r="H320" t="s">
        <v>1046</v>
      </c>
      <c r="I320" s="23">
        <v>32002890</v>
      </c>
      <c r="J320" s="23">
        <f t="shared" si="65"/>
        <v>-32002890</v>
      </c>
      <c r="K320" s="23">
        <v>2810613</v>
      </c>
      <c r="L320" s="23">
        <f t="shared" si="83"/>
        <v>-2810613</v>
      </c>
      <c r="M320" s="23">
        <v>3902466</v>
      </c>
      <c r="N320" s="23">
        <f t="shared" si="84"/>
        <v>-3902466</v>
      </c>
      <c r="O320" s="23">
        <v>2025251</v>
      </c>
      <c r="P320" s="23">
        <v>8012630</v>
      </c>
      <c r="Q320" s="23">
        <f t="shared" si="82"/>
        <v>-8012630</v>
      </c>
      <c r="R320" s="23">
        <v>16078429</v>
      </c>
      <c r="S320" s="23">
        <f t="shared" si="67"/>
        <v>-16078429</v>
      </c>
      <c r="U320" s="23">
        <v>14667816</v>
      </c>
      <c r="V320" s="23">
        <f t="shared" si="69"/>
        <v>-14667816</v>
      </c>
      <c r="W320" s="23">
        <v>24237067</v>
      </c>
      <c r="X320" s="23">
        <f t="shared" si="70"/>
        <v>-24237067</v>
      </c>
      <c r="Y320" s="23">
        <v>22936905</v>
      </c>
      <c r="Z320" s="23">
        <v>33027544</v>
      </c>
      <c r="AA320" s="23">
        <f t="shared" si="71"/>
        <v>-33027544</v>
      </c>
      <c r="AB320" s="23">
        <v>4610457</v>
      </c>
      <c r="AC320" s="23">
        <f t="shared" si="72"/>
        <v>-4610457</v>
      </c>
      <c r="AD320" s="23">
        <v>14342566</v>
      </c>
      <c r="AE320" s="23">
        <f t="shared" si="73"/>
        <v>-14342566</v>
      </c>
      <c r="AF320" s="23">
        <v>30915389</v>
      </c>
      <c r="AG320" s="23">
        <f t="shared" si="77"/>
        <v>-30915389</v>
      </c>
      <c r="AH320" s="23">
        <v>46345323</v>
      </c>
      <c r="AI320" s="23">
        <f t="shared" si="78"/>
        <v>-46345323</v>
      </c>
      <c r="AJ320" s="23">
        <v>6468199</v>
      </c>
      <c r="AK320" s="23">
        <f t="shared" si="76"/>
        <v>-6468199</v>
      </c>
      <c r="AL320" s="23">
        <v>23428850</v>
      </c>
      <c r="AM320" s="23">
        <f t="shared" si="74"/>
        <v>-23428850</v>
      </c>
      <c r="AN320" s="23">
        <v>36763659</v>
      </c>
      <c r="AO320" s="23">
        <f t="shared" si="79"/>
        <v>-36763659</v>
      </c>
      <c r="AP320" s="41">
        <v>45375364</v>
      </c>
      <c r="AQ320">
        <f t="shared" si="80"/>
        <v>-45375364</v>
      </c>
    </row>
    <row r="321" spans="4:43" ht="15" customHeight="1">
      <c r="D321" t="s">
        <v>671</v>
      </c>
      <c r="E321" t="s">
        <v>394</v>
      </c>
      <c r="G321" t="s">
        <v>830</v>
      </c>
      <c r="H321" t="s">
        <v>1046</v>
      </c>
      <c r="I321" s="23">
        <v>1219650</v>
      </c>
      <c r="J321" s="23">
        <f t="shared" si="65"/>
        <v>-1219650</v>
      </c>
      <c r="K321" s="23">
        <v>0</v>
      </c>
      <c r="L321" s="23">
        <f t="shared" si="83"/>
        <v>0</v>
      </c>
      <c r="M321" s="23">
        <v>1468</v>
      </c>
      <c r="N321" s="23">
        <f t="shared" si="84"/>
        <v>-1468</v>
      </c>
      <c r="Q321" s="23">
        <f t="shared" si="82"/>
        <v>0</v>
      </c>
      <c r="R321" s="23">
        <v>1468</v>
      </c>
      <c r="S321" s="23">
        <f t="shared" si="67"/>
        <v>-1468</v>
      </c>
      <c r="V321" s="23">
        <f t="shared" si="69"/>
        <v>0</v>
      </c>
      <c r="X321" s="23">
        <f t="shared" si="70"/>
        <v>0</v>
      </c>
      <c r="AA321" s="23">
        <f t="shared" si="71"/>
        <v>0</v>
      </c>
      <c r="AC321" s="23">
        <f t="shared" si="72"/>
        <v>0</v>
      </c>
      <c r="AE321" s="23">
        <f t="shared" si="73"/>
        <v>0</v>
      </c>
      <c r="AG321" s="23">
        <f t="shared" si="77"/>
        <v>0</v>
      </c>
      <c r="AI321" s="23">
        <f t="shared" si="78"/>
        <v>0</v>
      </c>
      <c r="AK321" s="23">
        <f t="shared" si="76"/>
        <v>0</v>
      </c>
      <c r="AM321" s="23">
        <f t="shared" si="74"/>
        <v>0</v>
      </c>
      <c r="AO321" s="23">
        <f t="shared" si="79"/>
        <v>0</v>
      </c>
      <c r="AP321" s="41"/>
      <c r="AQ321">
        <f t="shared" si="80"/>
        <v>0</v>
      </c>
    </row>
    <row r="322" spans="4:43" ht="15" customHeight="1">
      <c r="D322" t="s">
        <v>672</v>
      </c>
      <c r="E322" t="s">
        <v>394</v>
      </c>
      <c r="G322" t="s">
        <v>830</v>
      </c>
      <c r="H322" t="s">
        <v>1038</v>
      </c>
      <c r="I322" s="23">
        <v>26204526</v>
      </c>
      <c r="J322" s="23">
        <f t="shared" si="65"/>
        <v>-26204526</v>
      </c>
      <c r="K322" s="23">
        <v>37997664</v>
      </c>
      <c r="L322" s="23">
        <f t="shared" si="83"/>
        <v>-37997664</v>
      </c>
      <c r="M322" s="23">
        <v>0</v>
      </c>
      <c r="N322" s="23">
        <f t="shared" si="84"/>
        <v>0</v>
      </c>
      <c r="P322" s="23">
        <v>45017499</v>
      </c>
      <c r="Q322" s="23">
        <f t="shared" si="82"/>
        <v>-45017499</v>
      </c>
      <c r="R322" s="23">
        <v>12245455</v>
      </c>
      <c r="S322" s="23">
        <f t="shared" si="67"/>
        <v>-12245455</v>
      </c>
      <c r="U322" s="23">
        <v>53727525</v>
      </c>
      <c r="V322" s="23">
        <f t="shared" si="69"/>
        <v>-53727525</v>
      </c>
      <c r="W322" s="23">
        <v>25972494</v>
      </c>
      <c r="X322" s="23">
        <f t="shared" si="70"/>
        <v>-25972494</v>
      </c>
      <c r="Z322" s="23">
        <v>58087540</v>
      </c>
      <c r="AA322" s="23">
        <f t="shared" si="71"/>
        <v>-58087540</v>
      </c>
      <c r="AB322" s="23">
        <v>5099995</v>
      </c>
      <c r="AC322" s="23">
        <f t="shared" si="72"/>
        <v>-5099995</v>
      </c>
      <c r="AD322" s="23">
        <v>9914318</v>
      </c>
      <c r="AE322" s="23">
        <f t="shared" si="73"/>
        <v>-9914318</v>
      </c>
      <c r="AF322" s="23">
        <v>45629305</v>
      </c>
      <c r="AG322" s="23">
        <f t="shared" si="77"/>
        <v>-45629305</v>
      </c>
      <c r="AH322" s="23">
        <v>166232438</v>
      </c>
      <c r="AI322" s="23">
        <f t="shared" si="78"/>
        <v>-166232438</v>
      </c>
      <c r="AJ322" s="23">
        <v>130467309</v>
      </c>
      <c r="AK322" s="23">
        <f t="shared" si="76"/>
        <v>-130467309</v>
      </c>
      <c r="AL322" s="23">
        <v>299554243</v>
      </c>
      <c r="AM322" s="23">
        <f t="shared" si="74"/>
        <v>-299554243</v>
      </c>
      <c r="AN322" s="23">
        <v>460248538</v>
      </c>
      <c r="AO322" s="23">
        <f t="shared" si="79"/>
        <v>-460248538</v>
      </c>
      <c r="AP322" s="41">
        <v>712333518</v>
      </c>
      <c r="AQ322">
        <f t="shared" si="80"/>
        <v>-712333518</v>
      </c>
    </row>
    <row r="323" spans="4:43" ht="15" customHeight="1">
      <c r="D323" t="s">
        <v>885</v>
      </c>
      <c r="E323" t="s">
        <v>394</v>
      </c>
      <c r="G323" t="s">
        <v>830</v>
      </c>
      <c r="H323" t="s">
        <v>1046</v>
      </c>
      <c r="I323" s="23">
        <v>132137719</v>
      </c>
      <c r="J323" s="23">
        <f t="shared" si="65"/>
        <v>-132137719</v>
      </c>
      <c r="K323" s="23">
        <v>55756584</v>
      </c>
      <c r="L323" s="23">
        <f t="shared" si="83"/>
        <v>-55756584</v>
      </c>
      <c r="M323" s="23">
        <v>33771105</v>
      </c>
      <c r="N323" s="23">
        <f t="shared" si="84"/>
        <v>-33771105</v>
      </c>
      <c r="O323" s="23">
        <v>33732930</v>
      </c>
      <c r="P323" s="23">
        <v>117912933</v>
      </c>
      <c r="Q323" s="23">
        <f t="shared" si="82"/>
        <v>-117912933</v>
      </c>
      <c r="R323" s="23">
        <v>62396755</v>
      </c>
      <c r="S323" s="23">
        <f t="shared" si="67"/>
        <v>-62396755</v>
      </c>
      <c r="U323" s="23">
        <v>186649090</v>
      </c>
      <c r="V323" s="23">
        <f t="shared" si="69"/>
        <v>-186649090</v>
      </c>
      <c r="W323" s="23">
        <v>109528263</v>
      </c>
      <c r="X323" s="23">
        <f t="shared" si="70"/>
        <v>-109528263</v>
      </c>
      <c r="Y323" s="23">
        <v>124458498</v>
      </c>
      <c r="Z323" s="23">
        <v>260147700</v>
      </c>
      <c r="AA323" s="23">
        <f t="shared" si="71"/>
        <v>-260147700</v>
      </c>
      <c r="AB323" s="23">
        <v>70798308</v>
      </c>
      <c r="AC323" s="23">
        <f t="shared" si="72"/>
        <v>-70798308</v>
      </c>
      <c r="AD323" s="23">
        <v>149738302</v>
      </c>
      <c r="AE323" s="23">
        <f t="shared" si="73"/>
        <v>-149738302</v>
      </c>
      <c r="AF323" s="23">
        <v>240357791</v>
      </c>
      <c r="AG323" s="23">
        <f t="shared" si="77"/>
        <v>-240357791</v>
      </c>
      <c r="AH323" s="23">
        <v>324289930</v>
      </c>
      <c r="AI323" s="23">
        <f t="shared" si="78"/>
        <v>-324289930</v>
      </c>
      <c r="AJ323" s="23">
        <v>77199748</v>
      </c>
      <c r="AK323" s="23">
        <f t="shared" si="76"/>
        <v>-77199748</v>
      </c>
      <c r="AL323" s="23">
        <v>140229686</v>
      </c>
      <c r="AM323" s="23">
        <f t="shared" si="74"/>
        <v>-140229686</v>
      </c>
      <c r="AN323" s="23">
        <v>208775149</v>
      </c>
      <c r="AO323" s="23">
        <f t="shared" si="79"/>
        <v>-208775149</v>
      </c>
      <c r="AP323" s="41">
        <v>286978800</v>
      </c>
      <c r="AQ323">
        <f t="shared" si="80"/>
        <v>-286978800</v>
      </c>
    </row>
    <row r="324" spans="4:43" ht="15" customHeight="1">
      <c r="D324" t="s">
        <v>673</v>
      </c>
      <c r="E324" t="s">
        <v>394</v>
      </c>
      <c r="G324" t="s">
        <v>830</v>
      </c>
      <c r="H324" t="s">
        <v>1046</v>
      </c>
      <c r="I324" s="23">
        <v>9638098</v>
      </c>
      <c r="J324" s="23">
        <f t="shared" si="65"/>
        <v>-9638098</v>
      </c>
      <c r="K324" s="23">
        <v>0</v>
      </c>
      <c r="L324" s="23">
        <f t="shared" si="83"/>
        <v>0</v>
      </c>
      <c r="M324" s="23">
        <v>0</v>
      </c>
      <c r="N324" s="23">
        <f t="shared" si="84"/>
        <v>0</v>
      </c>
      <c r="Q324" s="23">
        <f t="shared" si="82"/>
        <v>0</v>
      </c>
      <c r="R324" s="23">
        <v>450964</v>
      </c>
      <c r="S324" s="23">
        <f t="shared" si="67"/>
        <v>-450964</v>
      </c>
      <c r="V324" s="23">
        <f t="shared" si="69"/>
        <v>0</v>
      </c>
      <c r="X324" s="23">
        <f t="shared" si="70"/>
        <v>0</v>
      </c>
      <c r="AA324" s="23">
        <f t="shared" si="71"/>
        <v>0</v>
      </c>
      <c r="AC324" s="23">
        <f t="shared" si="72"/>
        <v>0</v>
      </c>
      <c r="AE324" s="23">
        <f t="shared" si="73"/>
        <v>0</v>
      </c>
      <c r="AG324" s="23">
        <f t="shared" si="77"/>
        <v>0</v>
      </c>
      <c r="AI324" s="23">
        <f t="shared" si="78"/>
        <v>0</v>
      </c>
      <c r="AK324" s="23">
        <f t="shared" si="76"/>
        <v>0</v>
      </c>
      <c r="AM324" s="23">
        <f t="shared" si="74"/>
        <v>0</v>
      </c>
      <c r="AO324" s="23">
        <f t="shared" si="79"/>
        <v>0</v>
      </c>
      <c r="AP324" s="41"/>
      <c r="AQ324">
        <f t="shared" si="80"/>
        <v>0</v>
      </c>
    </row>
    <row r="325" spans="4:43" ht="15" customHeight="1">
      <c r="D325" t="s">
        <v>883</v>
      </c>
      <c r="E325" t="s">
        <v>394</v>
      </c>
      <c r="G325" t="s">
        <v>830</v>
      </c>
      <c r="H325" t="s">
        <v>1046</v>
      </c>
      <c r="J325" s="23">
        <f t="shared" si="65"/>
        <v>0</v>
      </c>
      <c r="K325" s="23">
        <v>6557320</v>
      </c>
      <c r="L325" s="23">
        <f t="shared" si="83"/>
        <v>-6557320</v>
      </c>
      <c r="N325" s="23">
        <f t="shared" si="84"/>
        <v>0</v>
      </c>
      <c r="P325" s="23">
        <v>12924276</v>
      </c>
      <c r="Q325" s="23">
        <f t="shared" si="82"/>
        <v>-12924276</v>
      </c>
      <c r="S325" s="23">
        <f t="shared" si="67"/>
        <v>0</v>
      </c>
      <c r="U325" s="23">
        <v>21693525</v>
      </c>
      <c r="V325" s="23">
        <f t="shared" si="69"/>
        <v>-21693525</v>
      </c>
      <c r="X325" s="23">
        <f t="shared" si="70"/>
        <v>0</v>
      </c>
      <c r="Z325" s="23">
        <v>30170728</v>
      </c>
      <c r="AA325" s="23">
        <f t="shared" si="71"/>
        <v>-30170728</v>
      </c>
      <c r="AB325" s="23">
        <v>6792165</v>
      </c>
      <c r="AC325" s="23">
        <f t="shared" si="72"/>
        <v>-6792165</v>
      </c>
      <c r="AD325" s="23">
        <v>13680795</v>
      </c>
      <c r="AE325" s="23">
        <f t="shared" si="73"/>
        <v>-13680795</v>
      </c>
      <c r="AF325" s="23">
        <v>21580310</v>
      </c>
      <c r="AG325" s="23">
        <f t="shared" si="77"/>
        <v>-21580310</v>
      </c>
      <c r="AH325" s="23">
        <v>27625441</v>
      </c>
      <c r="AI325" s="23">
        <f t="shared" si="78"/>
        <v>-27625441</v>
      </c>
      <c r="AJ325" s="23">
        <v>11310983</v>
      </c>
      <c r="AK325" s="23">
        <f t="shared" si="76"/>
        <v>-11310983</v>
      </c>
      <c r="AL325" s="23">
        <v>22576822</v>
      </c>
      <c r="AM325" s="23">
        <f t="shared" si="74"/>
        <v>-22576822</v>
      </c>
      <c r="AN325" s="23">
        <v>34969742</v>
      </c>
      <c r="AO325" s="23">
        <f t="shared" si="79"/>
        <v>-34969742</v>
      </c>
      <c r="AP325" s="41">
        <v>46639607</v>
      </c>
      <c r="AQ325">
        <f t="shared" si="80"/>
        <v>-46639607</v>
      </c>
    </row>
    <row r="326" spans="4:43" ht="15" customHeight="1">
      <c r="D326" t="s">
        <v>884</v>
      </c>
      <c r="E326" t="s">
        <v>394</v>
      </c>
      <c r="G326" t="s">
        <v>830</v>
      </c>
      <c r="H326" t="s">
        <v>1046</v>
      </c>
      <c r="J326" s="23">
        <f t="shared" si="65"/>
        <v>0</v>
      </c>
      <c r="K326" s="23">
        <v>467013</v>
      </c>
      <c r="L326" s="23">
        <f t="shared" si="83"/>
        <v>-467013</v>
      </c>
      <c r="N326" s="23">
        <f t="shared" si="84"/>
        <v>0</v>
      </c>
      <c r="P326" s="23">
        <v>18217514</v>
      </c>
      <c r="Q326" s="23">
        <f t="shared" si="82"/>
        <v>-18217514</v>
      </c>
      <c r="S326" s="23">
        <f t="shared" si="67"/>
        <v>0</v>
      </c>
      <c r="U326" s="23">
        <v>26554879</v>
      </c>
      <c r="V326" s="23">
        <f t="shared" si="69"/>
        <v>-26554879</v>
      </c>
      <c r="X326" s="23">
        <f t="shared" si="70"/>
        <v>0</v>
      </c>
      <c r="Z326" s="23">
        <v>65870874</v>
      </c>
      <c r="AA326" s="23">
        <f t="shared" si="71"/>
        <v>-65870874</v>
      </c>
      <c r="AB326" s="23">
        <v>30454778</v>
      </c>
      <c r="AC326" s="23">
        <f t="shared" si="72"/>
        <v>-30454778</v>
      </c>
      <c r="AD326" s="23">
        <v>55768232</v>
      </c>
      <c r="AE326" s="23">
        <f t="shared" si="73"/>
        <v>-55768232</v>
      </c>
      <c r="AF326" s="23">
        <v>77586414</v>
      </c>
      <c r="AG326" s="23">
        <f t="shared" si="77"/>
        <v>-77586414</v>
      </c>
      <c r="AH326" s="23">
        <v>200677959</v>
      </c>
      <c r="AI326" s="23">
        <f t="shared" si="78"/>
        <v>-200677959</v>
      </c>
      <c r="AJ326" s="23">
        <v>20438657</v>
      </c>
      <c r="AK326" s="23">
        <f t="shared" si="76"/>
        <v>-20438657</v>
      </c>
      <c r="AL326" s="23">
        <v>45830896</v>
      </c>
      <c r="AM326" s="23">
        <f t="shared" si="74"/>
        <v>-45830896</v>
      </c>
      <c r="AN326" s="23">
        <v>54078527</v>
      </c>
      <c r="AO326" s="23">
        <f t="shared" si="79"/>
        <v>-54078527</v>
      </c>
      <c r="AP326" s="41">
        <v>62360345</v>
      </c>
      <c r="AQ326">
        <f t="shared" si="80"/>
        <v>-62360345</v>
      </c>
    </row>
    <row r="327" spans="4:43" ht="15" customHeight="1">
      <c r="D327" t="s">
        <v>1022</v>
      </c>
      <c r="E327" t="s">
        <v>394</v>
      </c>
      <c r="G327" t="s">
        <v>830</v>
      </c>
      <c r="H327" t="s">
        <v>1046</v>
      </c>
      <c r="Z327" s="23">
        <v>310182198</v>
      </c>
      <c r="AA327" s="23">
        <f t="shared" si="71"/>
        <v>-310182198</v>
      </c>
      <c r="AB327" s="23">
        <f>1317955+27755584</f>
        <v>29073539</v>
      </c>
      <c r="AC327" s="23">
        <f t="shared" si="72"/>
        <v>-29073539</v>
      </c>
      <c r="AD327" s="23">
        <v>68245938</v>
      </c>
      <c r="AE327" s="23">
        <f t="shared" si="73"/>
        <v>-68245938</v>
      </c>
      <c r="AF327" s="23">
        <f>102325039+727273</f>
        <v>103052312</v>
      </c>
      <c r="AG327" s="23">
        <f t="shared" si="77"/>
        <v>-103052312</v>
      </c>
      <c r="AH327" s="23">
        <v>140004112</v>
      </c>
      <c r="AI327" s="23">
        <f t="shared" si="78"/>
        <v>-140004112</v>
      </c>
      <c r="AJ327" s="23">
        <v>25532971</v>
      </c>
      <c r="AK327" s="23">
        <f t="shared" si="76"/>
        <v>-25532971</v>
      </c>
      <c r="AL327" s="23">
        <v>56572321</v>
      </c>
      <c r="AM327" s="23">
        <f t="shared" si="74"/>
        <v>-56572321</v>
      </c>
      <c r="AN327" s="23">
        <v>62443665</v>
      </c>
      <c r="AO327" s="23">
        <f t="shared" si="79"/>
        <v>-62443665</v>
      </c>
      <c r="AP327" s="41">
        <v>99515238</v>
      </c>
      <c r="AQ327">
        <f t="shared" si="80"/>
        <v>-99515238</v>
      </c>
    </row>
    <row r="328" spans="4:43" ht="15" customHeight="1">
      <c r="J328" s="23">
        <f t="shared" si="65"/>
        <v>0</v>
      </c>
      <c r="S328" s="23">
        <f t="shared" si="67"/>
        <v>0</v>
      </c>
      <c r="V328" s="23">
        <f t="shared" si="69"/>
        <v>0</v>
      </c>
      <c r="X328" s="23">
        <f t="shared" si="70"/>
        <v>0</v>
      </c>
      <c r="AA328" s="23">
        <f t="shared" si="71"/>
        <v>0</v>
      </c>
      <c r="AC328" s="23">
        <f t="shared" si="72"/>
        <v>0</v>
      </c>
      <c r="AE328" s="23">
        <f t="shared" si="73"/>
        <v>0</v>
      </c>
      <c r="AG328" s="23">
        <f t="shared" si="77"/>
        <v>0</v>
      </c>
      <c r="AI328" s="23">
        <f t="shared" si="78"/>
        <v>0</v>
      </c>
      <c r="AK328" s="23">
        <f t="shared" si="76"/>
        <v>0</v>
      </c>
      <c r="AM328" s="23">
        <f t="shared" si="74"/>
        <v>0</v>
      </c>
      <c r="AO328" s="23">
        <f t="shared" si="79"/>
        <v>0</v>
      </c>
      <c r="AQ328">
        <f t="shared" si="80"/>
        <v>0</v>
      </c>
    </row>
    <row r="329" spans="4:43" s="37" customFormat="1" ht="15" customHeight="1">
      <c r="D329" s="37" t="s">
        <v>674</v>
      </c>
      <c r="I329" s="38">
        <f>SUM(I330:I368)</f>
        <v>5120532226</v>
      </c>
      <c r="J329" s="38">
        <f t="shared" si="65"/>
        <v>-5120532226</v>
      </c>
      <c r="K329" s="38">
        <f>SUM(K330:K368)</f>
        <v>1586269849</v>
      </c>
      <c r="L329" s="38"/>
      <c r="M329" s="38">
        <f>SUM(M330:M359)</f>
        <v>1159132308</v>
      </c>
      <c r="N329" s="38">
        <f>SUM(N330:N359)</f>
        <v>-1159132308</v>
      </c>
      <c r="O329" s="38">
        <f>SUM(O330:O359)</f>
        <v>943656844</v>
      </c>
      <c r="P329" s="38">
        <f>SUM(P330:P369)</f>
        <v>3188532315</v>
      </c>
      <c r="Q329" s="38">
        <f>SUM(Q330:Q369)</f>
        <v>-3188532315</v>
      </c>
      <c r="R329" s="38">
        <f>SUM(R330:R369)</f>
        <v>2333238261</v>
      </c>
      <c r="S329" s="38">
        <f t="shared" si="67"/>
        <v>-2333238261</v>
      </c>
      <c r="T329" s="38"/>
      <c r="U329" s="38">
        <f t="shared" ref="U329:AF329" si="85">SUM(U330:U369)</f>
        <v>4726927128</v>
      </c>
      <c r="V329" s="38">
        <f t="shared" si="69"/>
        <v>-4726927128</v>
      </c>
      <c r="W329" s="38">
        <f t="shared" si="85"/>
        <v>3618776617</v>
      </c>
      <c r="X329" s="38">
        <f t="shared" si="70"/>
        <v>-3618776617</v>
      </c>
      <c r="Y329" s="38">
        <f t="shared" si="85"/>
        <v>2948191927</v>
      </c>
      <c r="Z329" s="38">
        <f t="shared" si="85"/>
        <v>6135070904</v>
      </c>
      <c r="AA329" s="38">
        <f t="shared" si="71"/>
        <v>-6135070904</v>
      </c>
      <c r="AB329" s="38">
        <f t="shared" si="85"/>
        <v>1378738021</v>
      </c>
      <c r="AC329" s="38">
        <f t="shared" si="72"/>
        <v>-1378738021</v>
      </c>
      <c r="AD329" s="38">
        <f t="shared" si="85"/>
        <v>2873454038</v>
      </c>
      <c r="AE329" s="38">
        <f t="shared" si="73"/>
        <v>-2873454038</v>
      </c>
      <c r="AF329" s="38">
        <f t="shared" si="85"/>
        <v>4531193123</v>
      </c>
      <c r="AG329" s="38">
        <f t="shared" si="77"/>
        <v>-4531193123</v>
      </c>
      <c r="AH329" s="38">
        <f>SUM(AH330:AH369)</f>
        <v>6366422488</v>
      </c>
      <c r="AI329" s="38">
        <f t="shared" si="78"/>
        <v>-6366422488</v>
      </c>
      <c r="AJ329" s="38">
        <f>SUM(AJ330:AJ369)</f>
        <v>2008970226</v>
      </c>
      <c r="AK329" s="38">
        <f>SUM(AK330:AK369)</f>
        <v>-2008970226</v>
      </c>
      <c r="AL329" s="38">
        <f>SUM(AL330:AL369)</f>
        <v>4097157200</v>
      </c>
      <c r="AM329" s="38">
        <f t="shared" si="74"/>
        <v>-4097157200</v>
      </c>
      <c r="AN329" s="38">
        <f>SUM(AN330:AN369)</f>
        <v>6122155358</v>
      </c>
      <c r="AO329" s="38">
        <f t="shared" si="79"/>
        <v>-6122155358</v>
      </c>
      <c r="AP329" s="38">
        <f>SUM(AP330:AP369)</f>
        <v>8485164136</v>
      </c>
      <c r="AQ329" s="37">
        <f t="shared" si="80"/>
        <v>-8485164136</v>
      </c>
    </row>
    <row r="330" spans="4:43" ht="15" customHeight="1">
      <c r="D330" t="s">
        <v>675</v>
      </c>
      <c r="E330" t="s">
        <v>397</v>
      </c>
      <c r="G330" t="s">
        <v>831</v>
      </c>
      <c r="H330" t="s">
        <v>1050</v>
      </c>
      <c r="I330" s="23">
        <v>12971955</v>
      </c>
      <c r="J330" s="23">
        <f t="shared" si="65"/>
        <v>-12971955</v>
      </c>
      <c r="K330" s="23">
        <v>5697069</v>
      </c>
      <c r="L330" s="23">
        <f>-K330</f>
        <v>-5697069</v>
      </c>
      <c r="M330" s="23">
        <v>2553679</v>
      </c>
      <c r="N330" s="23">
        <f>-M330</f>
        <v>-2553679</v>
      </c>
      <c r="O330" s="23">
        <v>2462475</v>
      </c>
      <c r="P330" s="23">
        <v>11885266</v>
      </c>
      <c r="Q330" s="23">
        <f t="shared" ref="Q330:Q369" si="86">-P330</f>
        <v>-11885266</v>
      </c>
      <c r="R330" s="23">
        <v>5198560</v>
      </c>
      <c r="S330" s="23">
        <f t="shared" si="67"/>
        <v>-5198560</v>
      </c>
      <c r="U330" s="23">
        <v>18915640</v>
      </c>
      <c r="V330" s="23">
        <f t="shared" si="69"/>
        <v>-18915640</v>
      </c>
      <c r="W330" s="23">
        <v>8755470</v>
      </c>
      <c r="X330" s="23">
        <f t="shared" si="70"/>
        <v>-8755470</v>
      </c>
      <c r="Y330" s="23">
        <v>8481861</v>
      </c>
      <c r="Z330" s="23">
        <v>26150126</v>
      </c>
      <c r="AA330" s="23">
        <f t="shared" si="71"/>
        <v>-26150126</v>
      </c>
      <c r="AB330" s="23">
        <v>7336542</v>
      </c>
      <c r="AC330" s="23">
        <f t="shared" si="72"/>
        <v>-7336542</v>
      </c>
      <c r="AD330" s="23">
        <v>14877196</v>
      </c>
      <c r="AE330" s="23">
        <f t="shared" si="73"/>
        <v>-14877196</v>
      </c>
      <c r="AF330" s="23">
        <v>22988346</v>
      </c>
      <c r="AG330" s="23">
        <f t="shared" si="77"/>
        <v>-22988346</v>
      </c>
      <c r="AH330" s="23">
        <v>30790019</v>
      </c>
      <c r="AI330" s="23">
        <f t="shared" si="78"/>
        <v>-30790019</v>
      </c>
      <c r="AJ330" s="23">
        <v>7998119</v>
      </c>
      <c r="AK330" s="23">
        <f t="shared" si="76"/>
        <v>-7998119</v>
      </c>
      <c r="AL330" s="23">
        <v>16214897</v>
      </c>
      <c r="AM330" s="23">
        <f t="shared" si="74"/>
        <v>-16214897</v>
      </c>
      <c r="AN330" s="23">
        <v>24732722</v>
      </c>
      <c r="AO330" s="23">
        <f t="shared" si="79"/>
        <v>-24732722</v>
      </c>
      <c r="AP330" s="41">
        <v>33140905</v>
      </c>
      <c r="AQ330">
        <f t="shared" si="80"/>
        <v>-33140905</v>
      </c>
    </row>
    <row r="331" spans="4:43" ht="15" customHeight="1">
      <c r="D331" t="s">
        <v>676</v>
      </c>
      <c r="E331" t="s">
        <v>397</v>
      </c>
      <c r="F331" t="s">
        <v>780</v>
      </c>
      <c r="G331" t="s">
        <v>317</v>
      </c>
      <c r="H331" t="s">
        <v>1040</v>
      </c>
      <c r="I331" s="23">
        <v>2812773</v>
      </c>
      <c r="J331" s="23">
        <f t="shared" si="65"/>
        <v>-2812773</v>
      </c>
      <c r="K331" s="23">
        <v>3329784</v>
      </c>
      <c r="L331" s="23">
        <f t="shared" ref="L331:L368" si="87">-K331</f>
        <v>-3329784</v>
      </c>
      <c r="M331" s="23">
        <v>0</v>
      </c>
      <c r="N331" s="23">
        <f t="shared" ref="N331:N368" si="88">-M331</f>
        <v>0</v>
      </c>
      <c r="O331" s="23">
        <v>3649622</v>
      </c>
      <c r="P331" s="23">
        <v>3526235</v>
      </c>
      <c r="Q331" s="23">
        <f t="shared" si="86"/>
        <v>-3526235</v>
      </c>
      <c r="R331" s="23">
        <v>2434333</v>
      </c>
      <c r="S331" s="23">
        <f t="shared" si="67"/>
        <v>-2434333</v>
      </c>
      <c r="U331" s="23">
        <v>3526235</v>
      </c>
      <c r="V331" s="23">
        <f t="shared" si="69"/>
        <v>-3526235</v>
      </c>
      <c r="W331" s="23">
        <v>2812773</v>
      </c>
      <c r="X331" s="23">
        <f t="shared" si="70"/>
        <v>-2812773</v>
      </c>
      <c r="Y331" s="23">
        <v>3649622</v>
      </c>
      <c r="Z331" s="23">
        <v>3526235</v>
      </c>
      <c r="AA331" s="23">
        <f t="shared" si="71"/>
        <v>-3526235</v>
      </c>
      <c r="AB331" s="23">
        <v>5163315</v>
      </c>
      <c r="AC331" s="23">
        <f t="shared" si="72"/>
        <v>-5163315</v>
      </c>
      <c r="AD331" s="23">
        <v>6213147</v>
      </c>
      <c r="AE331" s="23">
        <f t="shared" si="73"/>
        <v>-6213147</v>
      </c>
      <c r="AF331" s="23">
        <v>10616734</v>
      </c>
      <c r="AG331" s="23">
        <f t="shared" si="77"/>
        <v>-10616734</v>
      </c>
      <c r="AH331" s="23">
        <v>19359799</v>
      </c>
      <c r="AI331" s="23">
        <f t="shared" si="78"/>
        <v>-19359799</v>
      </c>
      <c r="AK331" s="23">
        <f t="shared" si="76"/>
        <v>0</v>
      </c>
      <c r="AL331" s="23">
        <v>5697555</v>
      </c>
      <c r="AM331" s="23">
        <f t="shared" si="74"/>
        <v>-5697555</v>
      </c>
      <c r="AN331" s="23">
        <v>6939555</v>
      </c>
      <c r="AO331" s="23">
        <f t="shared" si="79"/>
        <v>-6939555</v>
      </c>
      <c r="AP331" s="41">
        <v>27127064</v>
      </c>
      <c r="AQ331">
        <f t="shared" si="80"/>
        <v>-27127064</v>
      </c>
    </row>
    <row r="332" spans="4:43" ht="15" customHeight="1">
      <c r="D332" t="s">
        <v>677</v>
      </c>
      <c r="E332" t="s">
        <v>397</v>
      </c>
      <c r="F332" t="s">
        <v>781</v>
      </c>
      <c r="G332" t="s">
        <v>318</v>
      </c>
      <c r="H332" t="s">
        <v>1042</v>
      </c>
      <c r="I332" s="23">
        <v>149609536</v>
      </c>
      <c r="J332" s="23">
        <f t="shared" si="65"/>
        <v>-149609536</v>
      </c>
      <c r="K332" s="23">
        <v>57994674</v>
      </c>
      <c r="L332" s="23">
        <f t="shared" si="87"/>
        <v>-57994674</v>
      </c>
      <c r="M332" s="23">
        <v>32472001</v>
      </c>
      <c r="N332" s="23">
        <f t="shared" si="88"/>
        <v>-32472001</v>
      </c>
      <c r="O332" s="23">
        <v>33664059</v>
      </c>
      <c r="P332" s="23">
        <v>110911067</v>
      </c>
      <c r="Q332" s="23">
        <f t="shared" si="86"/>
        <v>-110911067</v>
      </c>
      <c r="R332" s="23">
        <v>68007012</v>
      </c>
      <c r="S332" s="23">
        <f t="shared" si="67"/>
        <v>-68007012</v>
      </c>
      <c r="U332" s="23">
        <v>168272206</v>
      </c>
      <c r="V332" s="23">
        <f t="shared" si="69"/>
        <v>-168272206</v>
      </c>
      <c r="W332" s="23">
        <v>101764188</v>
      </c>
      <c r="X332" s="23">
        <f t="shared" si="70"/>
        <v>-101764188</v>
      </c>
      <c r="Y332" s="23">
        <v>94615188</v>
      </c>
      <c r="Z332" s="23">
        <v>232119512</v>
      </c>
      <c r="AA332" s="23">
        <f t="shared" si="71"/>
        <v>-232119512</v>
      </c>
      <c r="AB332" s="23">
        <v>60415936</v>
      </c>
      <c r="AC332" s="23">
        <f t="shared" si="72"/>
        <v>-60415936</v>
      </c>
      <c r="AD332" s="23">
        <v>131093881</v>
      </c>
      <c r="AE332" s="23">
        <f t="shared" si="73"/>
        <v>-131093881</v>
      </c>
      <c r="AF332" s="23">
        <v>203875187</v>
      </c>
      <c r="AG332" s="23">
        <f t="shared" si="77"/>
        <v>-203875187</v>
      </c>
      <c r="AH332" s="23">
        <v>281959928</v>
      </c>
      <c r="AI332" s="23">
        <f t="shared" si="78"/>
        <v>-281959928</v>
      </c>
      <c r="AJ332" s="23">
        <v>94962462</v>
      </c>
      <c r="AK332" s="23">
        <f t="shared" si="76"/>
        <v>-94962462</v>
      </c>
      <c r="AL332" s="23">
        <v>201339854</v>
      </c>
      <c r="AM332" s="23">
        <f t="shared" si="74"/>
        <v>-201339854</v>
      </c>
      <c r="AN332" s="23">
        <v>315845917</v>
      </c>
      <c r="AO332" s="23">
        <f t="shared" si="79"/>
        <v>-315845917</v>
      </c>
      <c r="AP332" s="41">
        <v>453992526</v>
      </c>
      <c r="AQ332">
        <f t="shared" si="80"/>
        <v>-453992526</v>
      </c>
    </row>
    <row r="333" spans="4:43" ht="15" customHeight="1">
      <c r="D333" t="s">
        <v>678</v>
      </c>
      <c r="E333" t="s">
        <v>397</v>
      </c>
      <c r="G333" t="s">
        <v>831</v>
      </c>
      <c r="H333" t="s">
        <v>1041</v>
      </c>
      <c r="I333" s="23">
        <v>84863764</v>
      </c>
      <c r="J333" s="23">
        <f t="shared" si="65"/>
        <v>-84863764</v>
      </c>
      <c r="K333" s="23">
        <v>27108312</v>
      </c>
      <c r="L333" s="23">
        <f t="shared" si="87"/>
        <v>-27108312</v>
      </c>
      <c r="M333" s="23">
        <v>16400001</v>
      </c>
      <c r="N333" s="23">
        <f t="shared" si="88"/>
        <v>-16400001</v>
      </c>
      <c r="O333" s="23">
        <v>18492318</v>
      </c>
      <c r="P333" s="23">
        <v>55308277</v>
      </c>
      <c r="Q333" s="23">
        <f t="shared" si="86"/>
        <v>-55308277</v>
      </c>
      <c r="R333" s="23">
        <v>32745410</v>
      </c>
      <c r="S333" s="23">
        <f t="shared" si="67"/>
        <v>-32745410</v>
      </c>
      <c r="U333" s="23">
        <v>84272426</v>
      </c>
      <c r="V333" s="23">
        <f t="shared" si="69"/>
        <v>-84272426</v>
      </c>
      <c r="W333" s="23">
        <v>49651841</v>
      </c>
      <c r="X333" s="23">
        <f t="shared" si="70"/>
        <v>-49651841</v>
      </c>
      <c r="Y333" s="23">
        <v>57125484</v>
      </c>
      <c r="Z333" s="23">
        <v>117989091</v>
      </c>
      <c r="AA333" s="23">
        <f t="shared" si="71"/>
        <v>-117989091</v>
      </c>
      <c r="AB333" s="23">
        <v>31518862</v>
      </c>
      <c r="AC333" s="23">
        <f t="shared" si="72"/>
        <v>-31518862</v>
      </c>
      <c r="AD333" s="23">
        <v>67127309</v>
      </c>
      <c r="AE333" s="23">
        <f t="shared" si="73"/>
        <v>-67127309</v>
      </c>
      <c r="AF333" s="23">
        <v>105561962</v>
      </c>
      <c r="AG333" s="23">
        <f t="shared" si="77"/>
        <v>-105561962</v>
      </c>
      <c r="AH333" s="23">
        <v>161486197</v>
      </c>
      <c r="AI333" s="23">
        <f t="shared" si="78"/>
        <v>-161486197</v>
      </c>
      <c r="AJ333" s="23">
        <v>53286315</v>
      </c>
      <c r="AK333" s="23">
        <f t="shared" si="76"/>
        <v>-53286315</v>
      </c>
      <c r="AL333" s="23">
        <v>126384189</v>
      </c>
      <c r="AM333" s="23">
        <f t="shared" si="74"/>
        <v>-126384189</v>
      </c>
      <c r="AN333" s="23">
        <v>168840936</v>
      </c>
      <c r="AO333" s="23">
        <f t="shared" si="79"/>
        <v>-168840936</v>
      </c>
      <c r="AP333" s="41">
        <v>240214937</v>
      </c>
      <c r="AQ333">
        <f t="shared" si="80"/>
        <v>-240214937</v>
      </c>
    </row>
    <row r="334" spans="4:43" ht="15" customHeight="1">
      <c r="D334" t="s">
        <v>679</v>
      </c>
      <c r="E334" t="s">
        <v>397</v>
      </c>
      <c r="F334" t="s">
        <v>780</v>
      </c>
      <c r="G334" t="s">
        <v>317</v>
      </c>
      <c r="H334" t="s">
        <v>1040</v>
      </c>
      <c r="I334" s="23">
        <v>12537500</v>
      </c>
      <c r="J334" s="23">
        <f t="shared" si="65"/>
        <v>-12537500</v>
      </c>
      <c r="K334" s="23">
        <v>22797271</v>
      </c>
      <c r="L334" s="23">
        <f t="shared" si="87"/>
        <v>-22797271</v>
      </c>
      <c r="M334" s="23">
        <v>0</v>
      </c>
      <c r="N334" s="23">
        <f t="shared" si="88"/>
        <v>0</v>
      </c>
      <c r="O334" s="23">
        <v>2736083</v>
      </c>
      <c r="P334" s="23">
        <v>22797271</v>
      </c>
      <c r="Q334" s="23">
        <f t="shared" si="86"/>
        <v>-22797271</v>
      </c>
      <c r="R334" s="23">
        <v>12537500</v>
      </c>
      <c r="S334" s="23">
        <f t="shared" si="67"/>
        <v>-12537500</v>
      </c>
      <c r="U334" s="23">
        <v>22797271</v>
      </c>
      <c r="V334" s="23">
        <f t="shared" si="69"/>
        <v>-22797271</v>
      </c>
      <c r="W334" s="23">
        <v>12537500</v>
      </c>
      <c r="X334" s="23">
        <f t="shared" si="70"/>
        <v>-12537500</v>
      </c>
      <c r="Y334" s="23">
        <v>2736083</v>
      </c>
      <c r="Z334" s="23">
        <v>22797271</v>
      </c>
      <c r="AA334" s="23">
        <f t="shared" si="71"/>
        <v>-22797271</v>
      </c>
      <c r="AB334" s="23">
        <v>11657851</v>
      </c>
      <c r="AC334" s="23">
        <f t="shared" si="72"/>
        <v>-11657851</v>
      </c>
      <c r="AD334" s="23">
        <v>11657851</v>
      </c>
      <c r="AE334" s="23">
        <f t="shared" si="73"/>
        <v>-11657851</v>
      </c>
      <c r="AF334" s="23">
        <v>11657851</v>
      </c>
      <c r="AG334" s="23">
        <f t="shared" si="77"/>
        <v>-11657851</v>
      </c>
      <c r="AH334" s="23">
        <v>26856886</v>
      </c>
      <c r="AI334" s="23">
        <f t="shared" si="78"/>
        <v>-26856886</v>
      </c>
      <c r="AK334" s="23">
        <f t="shared" si="76"/>
        <v>0</v>
      </c>
      <c r="AL334" s="23">
        <v>22035000</v>
      </c>
      <c r="AM334" s="23">
        <f t="shared" si="74"/>
        <v>-22035000</v>
      </c>
      <c r="AN334" s="23">
        <v>22035000</v>
      </c>
      <c r="AO334" s="23">
        <f t="shared" si="79"/>
        <v>-22035000</v>
      </c>
      <c r="AP334" s="41">
        <v>77399209</v>
      </c>
      <c r="AQ334">
        <f t="shared" si="80"/>
        <v>-77399209</v>
      </c>
    </row>
    <row r="335" spans="4:43" ht="15" customHeight="1">
      <c r="D335" t="s">
        <v>680</v>
      </c>
      <c r="E335" t="s">
        <v>397</v>
      </c>
      <c r="G335" t="s">
        <v>831</v>
      </c>
      <c r="H335" t="s">
        <v>1052</v>
      </c>
      <c r="I335" s="23">
        <v>82693356</v>
      </c>
      <c r="J335" s="23">
        <f t="shared" si="65"/>
        <v>-82693356</v>
      </c>
      <c r="K335" s="23">
        <f>2304308+17298678</f>
        <v>19602986</v>
      </c>
      <c r="L335" s="23">
        <f t="shared" si="87"/>
        <v>-19602986</v>
      </c>
      <c r="M335" s="23">
        <v>13856453</v>
      </c>
      <c r="N335" s="23">
        <f t="shared" si="88"/>
        <v>-13856453</v>
      </c>
      <c r="O335" s="23">
        <v>7340063</v>
      </c>
      <c r="P335" s="23">
        <f>2994350+30892901</f>
        <v>33887251</v>
      </c>
      <c r="Q335" s="23">
        <f t="shared" si="86"/>
        <v>-33887251</v>
      </c>
      <c r="R335" s="23">
        <v>27591253</v>
      </c>
      <c r="S335" s="23">
        <f t="shared" si="67"/>
        <v>-27591253</v>
      </c>
      <c r="U335" s="23">
        <f>5826058+46486038</f>
        <v>52312096</v>
      </c>
      <c r="V335" s="23">
        <f t="shared" si="69"/>
        <v>-52312096</v>
      </c>
      <c r="W335" s="23">
        <v>64884481</v>
      </c>
      <c r="X335" s="23">
        <f t="shared" si="70"/>
        <v>-64884481</v>
      </c>
      <c r="Y335" s="23">
        <v>23571032</v>
      </c>
      <c r="Z335" s="23">
        <f>10240777+57648878</f>
        <v>67889655</v>
      </c>
      <c r="AA335" s="23">
        <f t="shared" si="71"/>
        <v>-67889655</v>
      </c>
      <c r="AB335" s="23">
        <f>10531112+7925333</f>
        <v>18456445</v>
      </c>
      <c r="AC335" s="23">
        <f t="shared" si="72"/>
        <v>-18456445</v>
      </c>
      <c r="AD335" s="23">
        <f>27870647+7925333</f>
        <v>35795980</v>
      </c>
      <c r="AE335" s="23">
        <f t="shared" si="73"/>
        <v>-35795980</v>
      </c>
      <c r="AF335" s="23">
        <f>42054221+7925333</f>
        <v>49979554</v>
      </c>
      <c r="AG335" s="23">
        <f t="shared" si="77"/>
        <v>-49979554</v>
      </c>
      <c r="AH335" s="23">
        <f>56941985+7925333</f>
        <v>64867318</v>
      </c>
      <c r="AI335" s="23">
        <f t="shared" si="78"/>
        <v>-64867318</v>
      </c>
      <c r="AJ335" s="23">
        <v>16826786</v>
      </c>
      <c r="AK335" s="23">
        <f t="shared" si="76"/>
        <v>-16826786</v>
      </c>
      <c r="AL335" s="23">
        <v>30283646</v>
      </c>
      <c r="AM335" s="23">
        <f t="shared" si="74"/>
        <v>-30283646</v>
      </c>
      <c r="AN335" s="23">
        <v>45839460</v>
      </c>
      <c r="AO335" s="23">
        <f t="shared" si="79"/>
        <v>-45839460</v>
      </c>
      <c r="AP335" s="41">
        <v>61716684</v>
      </c>
      <c r="AQ335">
        <f t="shared" si="80"/>
        <v>-61716684</v>
      </c>
    </row>
    <row r="336" spans="4:43" ht="15" customHeight="1">
      <c r="D336" t="s">
        <v>681</v>
      </c>
      <c r="E336" t="s">
        <v>397</v>
      </c>
      <c r="G336" t="s">
        <v>316</v>
      </c>
      <c r="H336" t="s">
        <v>1044</v>
      </c>
      <c r="I336" s="23">
        <v>962349325</v>
      </c>
      <c r="J336" s="23">
        <f t="shared" si="65"/>
        <v>-962349325</v>
      </c>
      <c r="K336" s="23">
        <v>392749573</v>
      </c>
      <c r="L336" s="23">
        <f t="shared" si="87"/>
        <v>-392749573</v>
      </c>
      <c r="M336" s="23">
        <v>150758309</v>
      </c>
      <c r="N336" s="23">
        <f t="shared" si="88"/>
        <v>-150758309</v>
      </c>
      <c r="O336" s="23">
        <v>222227917</v>
      </c>
      <c r="P336" s="23">
        <v>944125667</v>
      </c>
      <c r="Q336" s="23">
        <f t="shared" si="86"/>
        <v>-944125667</v>
      </c>
      <c r="R336" s="23">
        <v>302620711</v>
      </c>
      <c r="S336" s="23">
        <f t="shared" si="67"/>
        <v>-302620711</v>
      </c>
      <c r="U336" s="23">
        <v>1248865028</v>
      </c>
      <c r="V336" s="23">
        <f t="shared" si="69"/>
        <v>-1248865028</v>
      </c>
      <c r="W336" s="23">
        <v>544478373</v>
      </c>
      <c r="X336" s="23">
        <f t="shared" si="70"/>
        <v>-544478373</v>
      </c>
      <c r="Y336" s="23">
        <v>655662597</v>
      </c>
      <c r="Z336" s="23">
        <v>1720076049</v>
      </c>
      <c r="AA336" s="23">
        <f t="shared" si="71"/>
        <v>-1720076049</v>
      </c>
      <c r="AB336" s="23">
        <v>230787816</v>
      </c>
      <c r="AC336" s="23">
        <f t="shared" si="72"/>
        <v>-230787816</v>
      </c>
      <c r="AD336" s="23">
        <v>514537708</v>
      </c>
      <c r="AE336" s="23">
        <f t="shared" si="73"/>
        <v>-514537708</v>
      </c>
      <c r="AF336" s="23">
        <v>826816607</v>
      </c>
      <c r="AG336" s="23">
        <f t="shared" si="77"/>
        <v>-826816607</v>
      </c>
      <c r="AH336" s="23">
        <v>1070209252</v>
      </c>
      <c r="AI336" s="23">
        <f t="shared" si="78"/>
        <v>-1070209252</v>
      </c>
      <c r="AJ336" s="23">
        <v>108388180</v>
      </c>
      <c r="AK336" s="23">
        <f t="shared" si="76"/>
        <v>-108388180</v>
      </c>
      <c r="AL336" s="23">
        <v>248153139</v>
      </c>
      <c r="AM336" s="23">
        <f t="shared" si="74"/>
        <v>-248153139</v>
      </c>
      <c r="AN336" s="23">
        <v>455312241</v>
      </c>
      <c r="AO336" s="23">
        <f t="shared" si="79"/>
        <v>-455312241</v>
      </c>
      <c r="AP336" s="41">
        <v>598990469</v>
      </c>
      <c r="AQ336">
        <f t="shared" si="80"/>
        <v>-598990469</v>
      </c>
    </row>
    <row r="337" spans="4:43" ht="15" customHeight="1">
      <c r="D337" t="s">
        <v>682</v>
      </c>
      <c r="E337" t="s">
        <v>397</v>
      </c>
      <c r="G337" t="s">
        <v>316</v>
      </c>
      <c r="H337" t="s">
        <v>1044</v>
      </c>
      <c r="I337" s="23">
        <v>607714259</v>
      </c>
      <c r="J337" s="23">
        <f t="shared" si="65"/>
        <v>-607714259</v>
      </c>
      <c r="K337" s="23">
        <v>238224845</v>
      </c>
      <c r="L337" s="23">
        <f t="shared" si="87"/>
        <v>-238224845</v>
      </c>
      <c r="M337" s="23">
        <v>155954274</v>
      </c>
      <c r="N337" s="23">
        <f t="shared" si="88"/>
        <v>-155954274</v>
      </c>
      <c r="P337" s="23">
        <v>413706629</v>
      </c>
      <c r="Q337" s="23">
        <f t="shared" si="86"/>
        <v>-413706629</v>
      </c>
      <c r="R337" s="23">
        <v>317446131</v>
      </c>
      <c r="S337" s="23">
        <f t="shared" si="67"/>
        <v>-317446131</v>
      </c>
      <c r="U337" s="23">
        <v>629025612</v>
      </c>
      <c r="V337" s="23">
        <f t="shared" si="69"/>
        <v>-629025612</v>
      </c>
      <c r="W337" s="23">
        <v>488828473</v>
      </c>
      <c r="X337" s="23">
        <f t="shared" si="70"/>
        <v>-488828473</v>
      </c>
      <c r="Z337" s="23">
        <v>758118230</v>
      </c>
      <c r="AA337" s="23">
        <f t="shared" si="71"/>
        <v>-758118230</v>
      </c>
      <c r="AB337" s="23">
        <v>201680910</v>
      </c>
      <c r="AC337" s="23">
        <f t="shared" si="72"/>
        <v>-201680910</v>
      </c>
      <c r="AD337" s="23">
        <v>383099866</v>
      </c>
      <c r="AE337" s="23">
        <f t="shared" si="73"/>
        <v>-383099866</v>
      </c>
      <c r="AF337" s="23">
        <v>568672842</v>
      </c>
      <c r="AG337" s="23">
        <f t="shared" si="77"/>
        <v>-568672842</v>
      </c>
      <c r="AH337" s="23">
        <v>752566568</v>
      </c>
      <c r="AI337" s="23">
        <f t="shared" si="78"/>
        <v>-752566568</v>
      </c>
      <c r="AJ337" s="23">
        <v>534371857</v>
      </c>
      <c r="AK337" s="23">
        <f t="shared" si="76"/>
        <v>-534371857</v>
      </c>
      <c r="AL337" s="23">
        <v>962632697</v>
      </c>
      <c r="AM337" s="23">
        <f t="shared" si="74"/>
        <v>-962632697</v>
      </c>
      <c r="AN337" s="23">
        <v>1352045935</v>
      </c>
      <c r="AO337" s="23">
        <f t="shared" si="79"/>
        <v>-1352045935</v>
      </c>
      <c r="AP337" s="41">
        <v>1791867179</v>
      </c>
      <c r="AQ337">
        <f t="shared" si="80"/>
        <v>-1791867179</v>
      </c>
    </row>
    <row r="338" spans="4:43" ht="15" customHeight="1">
      <c r="D338" t="s">
        <v>683</v>
      </c>
      <c r="E338" t="s">
        <v>397</v>
      </c>
      <c r="G338" t="s">
        <v>831</v>
      </c>
      <c r="H338" t="s">
        <v>1050</v>
      </c>
      <c r="I338" s="23">
        <v>11718249</v>
      </c>
      <c r="J338" s="23">
        <f t="shared" si="65"/>
        <v>-11718249</v>
      </c>
      <c r="K338" s="23">
        <f>1544226+4665455</f>
        <v>6209681</v>
      </c>
      <c r="L338" s="23">
        <f t="shared" si="87"/>
        <v>-6209681</v>
      </c>
      <c r="M338" s="23">
        <v>1371729</v>
      </c>
      <c r="N338" s="23">
        <f t="shared" si="88"/>
        <v>-1371729</v>
      </c>
      <c r="O338" s="23">
        <v>4635353</v>
      </c>
      <c r="P338" s="23">
        <f>2784203+5417346</f>
        <v>8201549</v>
      </c>
      <c r="Q338" s="23">
        <f t="shared" si="86"/>
        <v>-8201549</v>
      </c>
      <c r="R338" s="23">
        <v>2505326</v>
      </c>
      <c r="S338" s="23">
        <f t="shared" si="67"/>
        <v>-2505326</v>
      </c>
      <c r="U338" s="23">
        <f>6571087+10383664</f>
        <v>16954751</v>
      </c>
      <c r="V338" s="23">
        <f t="shared" si="69"/>
        <v>-16954751</v>
      </c>
      <c r="W338" s="23">
        <v>10427390</v>
      </c>
      <c r="X338" s="23">
        <f t="shared" si="70"/>
        <v>-10427390</v>
      </c>
      <c r="Y338" s="23">
        <v>21731778</v>
      </c>
      <c r="Z338" s="23">
        <f>11041142+10769937</f>
        <v>21811079</v>
      </c>
      <c r="AA338" s="23">
        <f t="shared" si="71"/>
        <v>-21811079</v>
      </c>
      <c r="AB338" s="23">
        <f>1816324+7134092</f>
        <v>8950416</v>
      </c>
      <c r="AC338" s="23">
        <f t="shared" si="72"/>
        <v>-8950416</v>
      </c>
      <c r="AD338" s="23">
        <f>7947796+15125938</f>
        <v>23073734</v>
      </c>
      <c r="AE338" s="23">
        <f t="shared" si="73"/>
        <v>-23073734</v>
      </c>
      <c r="AF338" s="23">
        <f>13609696+19512755</f>
        <v>33122451</v>
      </c>
      <c r="AG338" s="23">
        <f t="shared" si="77"/>
        <v>-33122451</v>
      </c>
      <c r="AH338" s="23">
        <f>16355645+29053667</f>
        <v>45409312</v>
      </c>
      <c r="AI338" s="23">
        <f t="shared" si="78"/>
        <v>-45409312</v>
      </c>
      <c r="AJ338" s="23">
        <f>4492335+899091</f>
        <v>5391426</v>
      </c>
      <c r="AK338" s="23">
        <f t="shared" si="76"/>
        <v>-5391426</v>
      </c>
      <c r="AL338" s="23">
        <f>10443706+15904776</f>
        <v>26348482</v>
      </c>
      <c r="AM338" s="23">
        <f t="shared" si="74"/>
        <v>-26348482</v>
      </c>
      <c r="AN338" s="23">
        <f>12158911+18337959</f>
        <v>30496870</v>
      </c>
      <c r="AO338" s="23">
        <f t="shared" si="79"/>
        <v>-30496870</v>
      </c>
      <c r="AP338" s="41">
        <f>17458272+20260687</f>
        <v>37718959</v>
      </c>
      <c r="AQ338">
        <f t="shared" si="80"/>
        <v>-37718959</v>
      </c>
    </row>
    <row r="339" spans="4:43" ht="15" customHeight="1">
      <c r="D339" t="s">
        <v>684</v>
      </c>
      <c r="E339" t="s">
        <v>397</v>
      </c>
      <c r="G339" t="s">
        <v>831</v>
      </c>
      <c r="H339" t="s">
        <v>1052</v>
      </c>
      <c r="I339" s="23">
        <v>82028242</v>
      </c>
      <c r="J339" s="23">
        <f t="shared" si="65"/>
        <v>-82028242</v>
      </c>
      <c r="K339" s="23">
        <v>26857638</v>
      </c>
      <c r="L339" s="23">
        <f t="shared" si="87"/>
        <v>-26857638</v>
      </c>
      <c r="M339" s="23">
        <v>14707477</v>
      </c>
      <c r="N339" s="23">
        <f t="shared" si="88"/>
        <v>-14707477</v>
      </c>
      <c r="O339" s="23">
        <v>13320918</v>
      </c>
      <c r="P339" s="23">
        <v>51468544</v>
      </c>
      <c r="Q339" s="23">
        <f t="shared" si="86"/>
        <v>-51468544</v>
      </c>
      <c r="R339" s="23">
        <v>34804554</v>
      </c>
      <c r="S339" s="23">
        <f t="shared" si="67"/>
        <v>-34804554</v>
      </c>
      <c r="U339" s="23">
        <v>78209354</v>
      </c>
      <c r="V339" s="23">
        <f t="shared" si="69"/>
        <v>-78209354</v>
      </c>
      <c r="W339" s="23">
        <v>57023200</v>
      </c>
      <c r="X339" s="23">
        <f t="shared" si="70"/>
        <v>-57023200</v>
      </c>
      <c r="Y339" s="23">
        <v>42844807</v>
      </c>
      <c r="Z339" s="23">
        <v>102191812</v>
      </c>
      <c r="AA339" s="23">
        <f t="shared" si="71"/>
        <v>-102191812</v>
      </c>
      <c r="AB339" s="23">
        <v>23281508</v>
      </c>
      <c r="AC339" s="23">
        <f t="shared" si="72"/>
        <v>-23281508</v>
      </c>
      <c r="AD339" s="23">
        <v>52472495</v>
      </c>
      <c r="AE339" s="23">
        <f t="shared" si="73"/>
        <v>-52472495</v>
      </c>
      <c r="AF339" s="23">
        <v>84775199</v>
      </c>
      <c r="AG339" s="23">
        <f t="shared" si="77"/>
        <v>-84775199</v>
      </c>
      <c r="AH339" s="23">
        <v>110218008</v>
      </c>
      <c r="AI339" s="23">
        <f t="shared" si="78"/>
        <v>-110218008</v>
      </c>
      <c r="AJ339" s="23">
        <v>26019069</v>
      </c>
      <c r="AK339" s="23">
        <f t="shared" si="76"/>
        <v>-26019069</v>
      </c>
      <c r="AL339" s="23">
        <v>44439109</v>
      </c>
      <c r="AM339" s="23">
        <f t="shared" si="74"/>
        <v>-44439109</v>
      </c>
      <c r="AN339" s="23">
        <v>63006394</v>
      </c>
      <c r="AO339" s="23">
        <f t="shared" si="79"/>
        <v>-63006394</v>
      </c>
      <c r="AP339" s="41">
        <v>100771505</v>
      </c>
      <c r="AQ339">
        <f t="shared" si="80"/>
        <v>-100771505</v>
      </c>
    </row>
    <row r="340" spans="4:43" ht="15" customHeight="1">
      <c r="D340" t="s">
        <v>685</v>
      </c>
      <c r="E340" t="s">
        <v>397</v>
      </c>
      <c r="G340" t="s">
        <v>831</v>
      </c>
      <c r="H340" t="s">
        <v>1045</v>
      </c>
      <c r="I340" s="23">
        <v>290317594</v>
      </c>
      <c r="J340" s="23">
        <f t="shared" si="65"/>
        <v>-290317594</v>
      </c>
      <c r="K340" s="23">
        <v>64695909</v>
      </c>
      <c r="L340" s="23">
        <f t="shared" si="87"/>
        <v>-64695909</v>
      </c>
      <c r="M340" s="23">
        <v>96822858</v>
      </c>
      <c r="N340" s="23">
        <f t="shared" si="88"/>
        <v>-96822858</v>
      </c>
      <c r="O340" s="23">
        <v>20911429</v>
      </c>
      <c r="P340" s="23">
        <v>123520272</v>
      </c>
      <c r="Q340" s="23">
        <f t="shared" si="86"/>
        <v>-123520272</v>
      </c>
      <c r="R340" s="23">
        <v>210079499</v>
      </c>
      <c r="S340" s="23">
        <f t="shared" si="67"/>
        <v>-210079499</v>
      </c>
      <c r="U340" s="23">
        <v>172371180</v>
      </c>
      <c r="V340" s="23">
        <f t="shared" si="69"/>
        <v>-172371180</v>
      </c>
      <c r="W340" s="23">
        <v>241024261</v>
      </c>
      <c r="X340" s="23">
        <f t="shared" si="70"/>
        <v>-241024261</v>
      </c>
      <c r="Y340" s="23">
        <v>87589966</v>
      </c>
      <c r="Z340" s="23">
        <v>221528754</v>
      </c>
      <c r="AA340" s="23">
        <f t="shared" si="71"/>
        <v>-221528754</v>
      </c>
      <c r="AB340" s="23">
        <v>78997574</v>
      </c>
      <c r="AC340" s="23">
        <f t="shared" si="72"/>
        <v>-78997574</v>
      </c>
      <c r="AD340" s="23">
        <v>221748848</v>
      </c>
      <c r="AE340" s="23">
        <f t="shared" si="73"/>
        <v>-221748848</v>
      </c>
      <c r="AF340" s="23">
        <v>314106422</v>
      </c>
      <c r="AG340" s="23">
        <f t="shared" si="77"/>
        <v>-314106422</v>
      </c>
      <c r="AH340" s="23">
        <v>431077330</v>
      </c>
      <c r="AI340" s="23">
        <f t="shared" si="78"/>
        <v>-431077330</v>
      </c>
      <c r="AJ340" s="23">
        <v>119501999</v>
      </c>
      <c r="AK340" s="23">
        <f t="shared" si="76"/>
        <v>-119501999</v>
      </c>
      <c r="AL340" s="23">
        <v>267055599</v>
      </c>
      <c r="AM340" s="23">
        <f t="shared" si="74"/>
        <v>-267055599</v>
      </c>
      <c r="AN340" s="23">
        <v>384201637</v>
      </c>
      <c r="AO340" s="23">
        <f t="shared" si="79"/>
        <v>-384201637</v>
      </c>
      <c r="AP340" s="41">
        <v>502339191</v>
      </c>
      <c r="AQ340">
        <f t="shared" si="80"/>
        <v>-502339191</v>
      </c>
    </row>
    <row r="341" spans="4:43" ht="15" customHeight="1">
      <c r="D341" t="s">
        <v>686</v>
      </c>
      <c r="E341" t="s">
        <v>397</v>
      </c>
      <c r="G341" t="s">
        <v>831</v>
      </c>
      <c r="H341" t="s">
        <v>1052</v>
      </c>
      <c r="I341" s="23">
        <v>41452776</v>
      </c>
      <c r="J341" s="23">
        <f t="shared" si="65"/>
        <v>-41452776</v>
      </c>
      <c r="K341" s="23">
        <f>972728+7558710</f>
        <v>8531438</v>
      </c>
      <c r="L341" s="23">
        <f t="shared" si="87"/>
        <v>-8531438</v>
      </c>
      <c r="M341" s="23">
        <v>2527271</v>
      </c>
      <c r="N341" s="23">
        <f t="shared" si="88"/>
        <v>-2527271</v>
      </c>
      <c r="O341" s="23">
        <v>197273</v>
      </c>
      <c r="P341" s="23">
        <f>2974310+16341582</f>
        <v>19315892</v>
      </c>
      <c r="Q341" s="23">
        <f t="shared" si="86"/>
        <v>-19315892</v>
      </c>
      <c r="R341" s="23">
        <v>3983634</v>
      </c>
      <c r="S341" s="23">
        <f t="shared" si="67"/>
        <v>-3983634</v>
      </c>
      <c r="U341" s="23">
        <f>3283401+25660321</f>
        <v>28943722</v>
      </c>
      <c r="V341" s="23">
        <f t="shared" si="69"/>
        <v>-28943722</v>
      </c>
      <c r="W341" s="23">
        <v>12477643</v>
      </c>
      <c r="X341" s="23">
        <f t="shared" si="70"/>
        <v>-12477643</v>
      </c>
      <c r="Y341" s="23">
        <v>11258864</v>
      </c>
      <c r="Z341" s="23">
        <f>5501343+29866685</f>
        <v>35368028</v>
      </c>
      <c r="AA341" s="23">
        <f t="shared" si="71"/>
        <v>-35368028</v>
      </c>
      <c r="AB341" s="23">
        <f>1754119+3690000</f>
        <v>5444119</v>
      </c>
      <c r="AC341" s="23">
        <f t="shared" si="72"/>
        <v>-5444119</v>
      </c>
      <c r="AD341" s="23">
        <f>2304619+14347618</f>
        <v>16652237</v>
      </c>
      <c r="AE341" s="23">
        <f t="shared" si="73"/>
        <v>-16652237</v>
      </c>
      <c r="AF341" s="23">
        <f>5502438+21030890</f>
        <v>26533328</v>
      </c>
      <c r="AG341" s="23">
        <f t="shared" si="77"/>
        <v>-26533328</v>
      </c>
      <c r="AH341" s="23">
        <f>20851757+23896137</f>
        <v>44747894</v>
      </c>
      <c r="AI341" s="23">
        <f t="shared" si="78"/>
        <v>-44747894</v>
      </c>
      <c r="AJ341" s="23">
        <f>259091+12260277</f>
        <v>12519368</v>
      </c>
      <c r="AK341" s="23">
        <f t="shared" si="76"/>
        <v>-12519368</v>
      </c>
      <c r="AL341" s="23">
        <f>2495454+19678459</f>
        <v>22173913</v>
      </c>
      <c r="AM341" s="23">
        <f t="shared" si="74"/>
        <v>-22173913</v>
      </c>
      <c r="AN341" s="23">
        <f>6437273+27130673</f>
        <v>33567946</v>
      </c>
      <c r="AO341" s="23">
        <f t="shared" si="79"/>
        <v>-33567946</v>
      </c>
      <c r="AP341" s="41">
        <f>7895456+32193219</f>
        <v>40088675</v>
      </c>
      <c r="AQ341">
        <f t="shared" si="80"/>
        <v>-40088675</v>
      </c>
    </row>
    <row r="342" spans="4:43" ht="15" customHeight="1">
      <c r="D342" t="s">
        <v>687</v>
      </c>
      <c r="E342" t="s">
        <v>397</v>
      </c>
      <c r="G342" t="s">
        <v>831</v>
      </c>
      <c r="H342" t="s">
        <v>1052</v>
      </c>
      <c r="I342" s="23">
        <v>66868704</v>
      </c>
      <c r="J342" s="23">
        <f t="shared" si="65"/>
        <v>-66868704</v>
      </c>
      <c r="K342" s="23">
        <v>36401316</v>
      </c>
      <c r="L342" s="23">
        <f t="shared" si="87"/>
        <v>-36401316</v>
      </c>
      <c r="M342" s="23">
        <v>10679659</v>
      </c>
      <c r="N342" s="23">
        <f t="shared" si="88"/>
        <v>-10679659</v>
      </c>
      <c r="O342" s="23">
        <v>21052491</v>
      </c>
      <c r="P342" s="23">
        <v>45695898</v>
      </c>
      <c r="Q342" s="23">
        <f t="shared" si="86"/>
        <v>-45695898</v>
      </c>
      <c r="R342" s="23">
        <v>19139805</v>
      </c>
      <c r="S342" s="23">
        <f t="shared" si="67"/>
        <v>-19139805</v>
      </c>
      <c r="U342" s="23">
        <v>67700362</v>
      </c>
      <c r="V342" s="23">
        <f t="shared" si="69"/>
        <v>-67700362</v>
      </c>
      <c r="W342" s="23">
        <v>46312991</v>
      </c>
      <c r="X342" s="23">
        <f t="shared" si="70"/>
        <v>-46312991</v>
      </c>
      <c r="Y342" s="23">
        <v>32936348</v>
      </c>
      <c r="Z342" s="23">
        <v>71466090</v>
      </c>
      <c r="AA342" s="23">
        <f t="shared" si="71"/>
        <v>-71466090</v>
      </c>
      <c r="AB342" s="23">
        <v>13514453</v>
      </c>
      <c r="AC342" s="23">
        <f t="shared" si="72"/>
        <v>-13514453</v>
      </c>
      <c r="AD342" s="23">
        <v>28149287</v>
      </c>
      <c r="AE342" s="23">
        <f t="shared" si="73"/>
        <v>-28149287</v>
      </c>
      <c r="AF342" s="23">
        <v>59300958</v>
      </c>
      <c r="AG342" s="23">
        <f t="shared" si="77"/>
        <v>-59300958</v>
      </c>
      <c r="AH342" s="23">
        <v>90316260</v>
      </c>
      <c r="AI342" s="23">
        <f t="shared" si="78"/>
        <v>-90316260</v>
      </c>
      <c r="AJ342" s="23">
        <f>5848232+230909</f>
        <v>6079141</v>
      </c>
      <c r="AK342" s="23">
        <f t="shared" si="76"/>
        <v>-6079141</v>
      </c>
      <c r="AL342" s="23">
        <v>34138377</v>
      </c>
      <c r="AM342" s="23">
        <f t="shared" si="74"/>
        <v>-34138377</v>
      </c>
      <c r="AN342" s="23">
        <v>50051218</v>
      </c>
      <c r="AO342" s="23">
        <f t="shared" si="79"/>
        <v>-50051218</v>
      </c>
      <c r="AP342" s="41">
        <v>99152779</v>
      </c>
      <c r="AQ342">
        <f t="shared" si="80"/>
        <v>-99152779</v>
      </c>
    </row>
    <row r="343" spans="4:43" ht="15.75" customHeight="1">
      <c r="D343" t="s">
        <v>688</v>
      </c>
      <c r="E343" t="s">
        <v>397</v>
      </c>
      <c r="F343" t="s">
        <v>780</v>
      </c>
      <c r="G343" t="s">
        <v>317</v>
      </c>
      <c r="H343" t="s">
        <v>1040</v>
      </c>
      <c r="I343" s="23">
        <v>660075665</v>
      </c>
      <c r="J343" s="23">
        <f t="shared" si="65"/>
        <v>-660075665</v>
      </c>
      <c r="K343" s="23">
        <v>202322118</v>
      </c>
      <c r="L343" s="23">
        <f t="shared" si="87"/>
        <v>-202322118</v>
      </c>
      <c r="M343" s="23">
        <v>142218453</v>
      </c>
      <c r="N343" s="23">
        <f t="shared" si="88"/>
        <v>-142218453</v>
      </c>
      <c r="O343" s="23">
        <v>151434480</v>
      </c>
      <c r="P343" s="23">
        <v>393535098</v>
      </c>
      <c r="Q343" s="23">
        <f t="shared" si="86"/>
        <v>-393535098</v>
      </c>
      <c r="R343" s="23">
        <v>285956246</v>
      </c>
      <c r="S343" s="23">
        <f t="shared" si="67"/>
        <v>-285956246</v>
      </c>
      <c r="U343" s="23">
        <v>510791898</v>
      </c>
      <c r="V343" s="23">
        <f t="shared" si="69"/>
        <v>-510791898</v>
      </c>
      <c r="W343" s="23">
        <v>432949507</v>
      </c>
      <c r="X343" s="23">
        <f t="shared" si="70"/>
        <v>-432949507</v>
      </c>
      <c r="Y343" s="23">
        <v>427057994</v>
      </c>
      <c r="Z343" s="23">
        <v>686506898</v>
      </c>
      <c r="AA343" s="23">
        <f t="shared" si="71"/>
        <v>-686506898</v>
      </c>
      <c r="AB343" s="23">
        <v>167285273</v>
      </c>
      <c r="AC343" s="23">
        <f t="shared" si="72"/>
        <v>-167285273</v>
      </c>
      <c r="AD343" s="23">
        <v>354305799</v>
      </c>
      <c r="AE343" s="23">
        <f t="shared" si="73"/>
        <v>-354305799</v>
      </c>
      <c r="AF343" s="23">
        <v>559571686</v>
      </c>
      <c r="AG343" s="23">
        <f t="shared" si="77"/>
        <v>-559571686</v>
      </c>
      <c r="AH343" s="23">
        <v>780501940</v>
      </c>
      <c r="AI343" s="23">
        <f t="shared" si="78"/>
        <v>-780501940</v>
      </c>
      <c r="AJ343" s="23">
        <v>235748443</v>
      </c>
      <c r="AK343" s="23">
        <f t="shared" si="76"/>
        <v>-235748443</v>
      </c>
      <c r="AL343" s="23">
        <v>529500807</v>
      </c>
      <c r="AM343" s="23">
        <f t="shared" si="74"/>
        <v>-529500807</v>
      </c>
      <c r="AN343" s="23">
        <v>823725382</v>
      </c>
      <c r="AO343" s="23">
        <f t="shared" si="79"/>
        <v>-823725382</v>
      </c>
      <c r="AP343" s="41">
        <v>1135792411</v>
      </c>
      <c r="AQ343">
        <f t="shared" si="80"/>
        <v>-1135792411</v>
      </c>
    </row>
    <row r="344" spans="4:43" ht="15.75" customHeight="1">
      <c r="D344" t="s">
        <v>689</v>
      </c>
      <c r="E344" t="s">
        <v>397</v>
      </c>
      <c r="F344" t="s">
        <v>780</v>
      </c>
      <c r="G344" t="s">
        <v>317</v>
      </c>
      <c r="H344" t="s">
        <v>1040</v>
      </c>
      <c r="I344" s="23">
        <v>68825035</v>
      </c>
      <c r="J344" s="23">
        <f t="shared" si="65"/>
        <v>-68825035</v>
      </c>
      <c r="K344" s="23">
        <v>13002000</v>
      </c>
      <c r="L344" s="23">
        <f t="shared" si="87"/>
        <v>-13002000</v>
      </c>
      <c r="M344" s="23">
        <v>17358110</v>
      </c>
      <c r="N344" s="23">
        <f t="shared" si="88"/>
        <v>-17358110</v>
      </c>
      <c r="O344" s="23">
        <v>13710000</v>
      </c>
      <c r="P344" s="23">
        <v>26004000</v>
      </c>
      <c r="Q344" s="23">
        <f t="shared" si="86"/>
        <v>-26004000</v>
      </c>
      <c r="R344" s="23">
        <v>37864330</v>
      </c>
      <c r="S344" s="23">
        <f t="shared" si="67"/>
        <v>-37864330</v>
      </c>
      <c r="U344" s="23">
        <v>39006000</v>
      </c>
      <c r="V344" s="23">
        <f t="shared" si="69"/>
        <v>-39006000</v>
      </c>
      <c r="W344" s="23">
        <v>53992682</v>
      </c>
      <c r="X344" s="23">
        <f t="shared" si="70"/>
        <v>-53992682</v>
      </c>
      <c r="Y344" s="23">
        <v>47402165</v>
      </c>
      <c r="Z344" s="23">
        <v>52008000</v>
      </c>
      <c r="AA344" s="23">
        <f t="shared" si="71"/>
        <v>-52008000</v>
      </c>
      <c r="AB344" s="23">
        <v>13002000</v>
      </c>
      <c r="AC344" s="23">
        <f t="shared" si="72"/>
        <v>-13002000</v>
      </c>
      <c r="AD344" s="23">
        <v>26004000</v>
      </c>
      <c r="AE344" s="23">
        <f t="shared" si="73"/>
        <v>-26004000</v>
      </c>
      <c r="AF344" s="23">
        <v>39006000</v>
      </c>
      <c r="AG344" s="23">
        <f t="shared" si="77"/>
        <v>-39006000</v>
      </c>
      <c r="AH344" s="23">
        <v>52008000</v>
      </c>
      <c r="AI344" s="23">
        <f t="shared" si="78"/>
        <v>-52008000</v>
      </c>
      <c r="AJ344" s="23">
        <v>13002000</v>
      </c>
      <c r="AK344" s="23">
        <f t="shared" si="76"/>
        <v>-13002000</v>
      </c>
      <c r="AL344" s="23">
        <v>26004000</v>
      </c>
      <c r="AM344" s="23">
        <f t="shared" si="74"/>
        <v>-26004000</v>
      </c>
      <c r="AN344" s="23">
        <v>42306000</v>
      </c>
      <c r="AO344" s="23">
        <f t="shared" si="79"/>
        <v>-42306000</v>
      </c>
      <c r="AP344" s="41">
        <v>64708000</v>
      </c>
      <c r="AQ344">
        <f t="shared" si="80"/>
        <v>-64708000</v>
      </c>
    </row>
    <row r="345" spans="4:43" ht="15.75" customHeight="1">
      <c r="D345" t="s">
        <v>690</v>
      </c>
      <c r="E345" t="s">
        <v>397</v>
      </c>
      <c r="F345" t="s">
        <v>780</v>
      </c>
      <c r="G345" t="s">
        <v>317</v>
      </c>
      <c r="H345" t="s">
        <v>1040</v>
      </c>
      <c r="I345" s="23">
        <v>31331600</v>
      </c>
      <c r="J345" s="23">
        <f t="shared" si="65"/>
        <v>-31331600</v>
      </c>
      <c r="K345" s="23">
        <v>15245066</v>
      </c>
      <c r="L345" s="23">
        <f t="shared" si="87"/>
        <v>-15245066</v>
      </c>
      <c r="M345" s="23">
        <v>6700000</v>
      </c>
      <c r="N345" s="23">
        <f t="shared" si="88"/>
        <v>-6700000</v>
      </c>
      <c r="O345" s="23">
        <v>6600000</v>
      </c>
      <c r="P345" s="23">
        <v>31374966</v>
      </c>
      <c r="Q345" s="23">
        <f t="shared" si="86"/>
        <v>-31374966</v>
      </c>
      <c r="R345" s="23">
        <v>13840000</v>
      </c>
      <c r="S345" s="23">
        <f t="shared" si="67"/>
        <v>-13840000</v>
      </c>
      <c r="U345" s="23">
        <v>48213766</v>
      </c>
      <c r="V345" s="23">
        <f t="shared" si="69"/>
        <v>-48213766</v>
      </c>
      <c r="W345" s="23">
        <v>21190000</v>
      </c>
      <c r="X345" s="23">
        <f t="shared" si="70"/>
        <v>-21190000</v>
      </c>
      <c r="Y345" s="23">
        <v>20500000</v>
      </c>
      <c r="Z345" s="23">
        <v>65246866</v>
      </c>
      <c r="AA345" s="23">
        <f t="shared" si="71"/>
        <v>-65246866</v>
      </c>
      <c r="AB345" s="23">
        <v>14543400</v>
      </c>
      <c r="AC345" s="23">
        <f t="shared" si="72"/>
        <v>-14543400</v>
      </c>
      <c r="AD345" s="23">
        <v>27692000</v>
      </c>
      <c r="AE345" s="23">
        <f t="shared" si="73"/>
        <v>-27692000</v>
      </c>
      <c r="AF345" s="23">
        <v>44792900</v>
      </c>
      <c r="AG345" s="23">
        <f t="shared" si="77"/>
        <v>-44792900</v>
      </c>
      <c r="AH345" s="23">
        <v>59906900</v>
      </c>
      <c r="AI345" s="23">
        <f t="shared" si="78"/>
        <v>-59906900</v>
      </c>
      <c r="AJ345" s="23">
        <v>12872000</v>
      </c>
      <c r="AK345" s="23">
        <f t="shared" si="76"/>
        <v>-12872000</v>
      </c>
      <c r="AL345" s="23">
        <v>31522000</v>
      </c>
      <c r="AM345" s="23">
        <f t="shared" si="74"/>
        <v>-31522000</v>
      </c>
      <c r="AN345" s="23">
        <v>70528000</v>
      </c>
      <c r="AO345" s="23">
        <f t="shared" si="79"/>
        <v>-70528000</v>
      </c>
      <c r="AP345" s="41">
        <v>109828000</v>
      </c>
      <c r="AQ345">
        <f t="shared" si="80"/>
        <v>-109828000</v>
      </c>
    </row>
    <row r="346" spans="4:43" ht="15.75" customHeight="1">
      <c r="D346" t="s">
        <v>886</v>
      </c>
      <c r="E346" t="s">
        <v>397</v>
      </c>
      <c r="F346" t="s">
        <v>780</v>
      </c>
      <c r="G346" t="s">
        <v>317</v>
      </c>
      <c r="H346" t="s">
        <v>1040</v>
      </c>
      <c r="J346" s="23">
        <f t="shared" si="65"/>
        <v>0</v>
      </c>
      <c r="K346" s="23">
        <v>54012391</v>
      </c>
      <c r="L346" s="23">
        <f t="shared" si="87"/>
        <v>-54012391</v>
      </c>
      <c r="N346" s="23">
        <f t="shared" si="88"/>
        <v>0</v>
      </c>
      <c r="P346" s="23">
        <v>108379156</v>
      </c>
      <c r="Q346" s="23">
        <f t="shared" si="86"/>
        <v>-108379156</v>
      </c>
      <c r="S346" s="23">
        <f t="shared" si="67"/>
        <v>0</v>
      </c>
      <c r="U346" s="23">
        <v>258753318</v>
      </c>
      <c r="V346" s="23">
        <f t="shared" si="69"/>
        <v>-258753318</v>
      </c>
      <c r="X346" s="23">
        <f t="shared" si="70"/>
        <v>0</v>
      </c>
      <c r="Z346" s="23">
        <v>381052648</v>
      </c>
      <c r="AA346" s="23">
        <f t="shared" si="71"/>
        <v>-381052648</v>
      </c>
      <c r="AB346" s="23">
        <v>116137537</v>
      </c>
      <c r="AC346" s="23">
        <f t="shared" si="72"/>
        <v>-116137537</v>
      </c>
      <c r="AD346" s="23">
        <v>223885868</v>
      </c>
      <c r="AE346" s="23">
        <f t="shared" si="73"/>
        <v>-223885868</v>
      </c>
      <c r="AF346" s="23">
        <v>354548502</v>
      </c>
      <c r="AG346" s="23">
        <f t="shared" si="77"/>
        <v>-354548502</v>
      </c>
      <c r="AH346" s="23">
        <v>471316689</v>
      </c>
      <c r="AI346" s="23">
        <f t="shared" si="78"/>
        <v>-471316689</v>
      </c>
      <c r="AJ346" s="23">
        <v>126073480</v>
      </c>
      <c r="AK346" s="23">
        <f t="shared" si="76"/>
        <v>-126073480</v>
      </c>
      <c r="AL346" s="23">
        <v>246263893</v>
      </c>
      <c r="AM346" s="23">
        <f t="shared" si="74"/>
        <v>-246263893</v>
      </c>
      <c r="AN346" s="23">
        <v>363295329</v>
      </c>
      <c r="AO346" s="23">
        <f t="shared" si="79"/>
        <v>-363295329</v>
      </c>
      <c r="AP346" s="41">
        <v>493102172</v>
      </c>
      <c r="AQ346">
        <f t="shared" si="80"/>
        <v>-493102172</v>
      </c>
    </row>
    <row r="347" spans="4:43" ht="15.75" customHeight="1">
      <c r="D347" t="s">
        <v>691</v>
      </c>
      <c r="E347" t="s">
        <v>397</v>
      </c>
      <c r="G347" t="s">
        <v>315</v>
      </c>
      <c r="H347" t="s">
        <v>1043</v>
      </c>
      <c r="I347" s="23">
        <v>720296717</v>
      </c>
      <c r="J347" s="23">
        <f t="shared" si="65"/>
        <v>-720296717</v>
      </c>
      <c r="K347" s="23">
        <v>107250000</v>
      </c>
      <c r="L347" s="23">
        <f t="shared" si="87"/>
        <v>-107250000</v>
      </c>
      <c r="M347" s="23">
        <v>246393308</v>
      </c>
      <c r="N347" s="23">
        <f t="shared" si="88"/>
        <v>-246393308</v>
      </c>
      <c r="O347" s="23">
        <v>179000000</v>
      </c>
      <c r="P347" s="23">
        <v>214500000</v>
      </c>
      <c r="Q347" s="23">
        <f t="shared" si="86"/>
        <v>-214500000</v>
      </c>
      <c r="R347" s="23">
        <v>447976642</v>
      </c>
      <c r="S347" s="23">
        <f t="shared" si="67"/>
        <v>-447976642</v>
      </c>
      <c r="U347" s="23">
        <v>321750000</v>
      </c>
      <c r="V347" s="23">
        <f t="shared" si="69"/>
        <v>-321750000</v>
      </c>
      <c r="W347" s="23">
        <v>611264520</v>
      </c>
      <c r="X347" s="23">
        <f t="shared" si="70"/>
        <v>-611264520</v>
      </c>
      <c r="Y347" s="23">
        <v>640143939</v>
      </c>
      <c r="Z347" s="23">
        <v>315764089</v>
      </c>
      <c r="AA347" s="23">
        <f t="shared" si="71"/>
        <v>-315764089</v>
      </c>
      <c r="AB347" s="23">
        <v>37450000</v>
      </c>
      <c r="AC347" s="23">
        <f t="shared" si="72"/>
        <v>-37450000</v>
      </c>
      <c r="AD347" s="23">
        <v>54944167</v>
      </c>
      <c r="AE347" s="23">
        <f t="shared" si="73"/>
        <v>-54944167</v>
      </c>
      <c r="AF347" s="23">
        <v>73378333</v>
      </c>
      <c r="AG347" s="23">
        <f t="shared" si="77"/>
        <v>-73378333</v>
      </c>
      <c r="AH347" s="23">
        <v>85745000</v>
      </c>
      <c r="AI347" s="23">
        <f t="shared" si="78"/>
        <v>-85745000</v>
      </c>
      <c r="AJ347" s="23">
        <v>258949016</v>
      </c>
      <c r="AK347" s="23">
        <f t="shared" si="76"/>
        <v>-258949016</v>
      </c>
      <c r="AL347" s="23">
        <v>511344697</v>
      </c>
      <c r="AM347" s="23">
        <f t="shared" si="74"/>
        <v>-511344697</v>
      </c>
      <c r="AN347" s="23">
        <v>724859318</v>
      </c>
      <c r="AO347" s="23">
        <f t="shared" si="79"/>
        <v>-724859318</v>
      </c>
      <c r="AP347" s="41">
        <v>943204169</v>
      </c>
      <c r="AQ347">
        <f t="shared" si="80"/>
        <v>-943204169</v>
      </c>
    </row>
    <row r="348" spans="4:43" ht="15.75" customHeight="1">
      <c r="D348" t="s">
        <v>692</v>
      </c>
      <c r="E348" t="s">
        <v>397</v>
      </c>
      <c r="F348" t="s">
        <v>780</v>
      </c>
      <c r="G348" t="s">
        <v>317</v>
      </c>
      <c r="H348" t="s">
        <v>1040</v>
      </c>
      <c r="I348" s="23">
        <v>184319890</v>
      </c>
      <c r="J348" s="23">
        <f t="shared" si="65"/>
        <v>-184319890</v>
      </c>
      <c r="K348" s="23">
        <v>50190016</v>
      </c>
      <c r="L348" s="23">
        <f t="shared" si="87"/>
        <v>-50190016</v>
      </c>
      <c r="M348" s="23">
        <v>34171552</v>
      </c>
      <c r="N348" s="23">
        <f t="shared" si="88"/>
        <v>-34171552</v>
      </c>
      <c r="O348" s="23">
        <v>25894418</v>
      </c>
      <c r="P348" s="23">
        <v>102600112</v>
      </c>
      <c r="Q348" s="23">
        <f t="shared" si="86"/>
        <v>-102600112</v>
      </c>
      <c r="R348" s="23">
        <v>70794128</v>
      </c>
      <c r="S348" s="23">
        <f t="shared" si="67"/>
        <v>-70794128</v>
      </c>
      <c r="U348" s="23">
        <v>159367958</v>
      </c>
      <c r="V348" s="23">
        <f t="shared" si="69"/>
        <v>-159367958</v>
      </c>
      <c r="W348" s="23">
        <v>107887378</v>
      </c>
      <c r="X348" s="23">
        <f t="shared" si="70"/>
        <v>-107887378</v>
      </c>
      <c r="Y348" s="23">
        <v>77551698</v>
      </c>
      <c r="Z348" s="23">
        <v>218515147</v>
      </c>
      <c r="AA348" s="23">
        <f t="shared" si="71"/>
        <v>-218515147</v>
      </c>
      <c r="AB348" s="23">
        <v>41961763</v>
      </c>
      <c r="AC348" s="23">
        <f t="shared" si="72"/>
        <v>-41961763</v>
      </c>
      <c r="AD348" s="23">
        <v>104112109</v>
      </c>
      <c r="AE348" s="23">
        <f t="shared" si="73"/>
        <v>-104112109</v>
      </c>
      <c r="AF348" s="23">
        <v>165492955</v>
      </c>
      <c r="AG348" s="23">
        <f t="shared" si="77"/>
        <v>-165492955</v>
      </c>
      <c r="AH348" s="23">
        <v>236375801</v>
      </c>
      <c r="AI348" s="23">
        <f t="shared" si="78"/>
        <v>-236375801</v>
      </c>
      <c r="AJ348" s="23">
        <v>87613345</v>
      </c>
      <c r="AK348" s="23">
        <f t="shared" si="76"/>
        <v>-87613345</v>
      </c>
      <c r="AL348" s="23">
        <v>178178188</v>
      </c>
      <c r="AM348" s="23">
        <f t="shared" si="74"/>
        <v>-178178188</v>
      </c>
      <c r="AN348" s="23">
        <v>292222034</v>
      </c>
      <c r="AO348" s="23">
        <f t="shared" si="79"/>
        <v>-292222034</v>
      </c>
      <c r="AP348" s="41">
        <v>402040690</v>
      </c>
      <c r="AQ348">
        <f t="shared" si="80"/>
        <v>-402040690</v>
      </c>
    </row>
    <row r="349" spans="4:43" ht="15" customHeight="1">
      <c r="D349" t="s">
        <v>1005</v>
      </c>
      <c r="E349" t="s">
        <v>397</v>
      </c>
      <c r="G349" t="s">
        <v>831</v>
      </c>
      <c r="H349" t="s">
        <v>1052</v>
      </c>
      <c r="I349" s="23">
        <v>129390003</v>
      </c>
      <c r="J349" s="23">
        <f t="shared" si="65"/>
        <v>-129390003</v>
      </c>
      <c r="K349" s="23">
        <v>35647163</v>
      </c>
      <c r="L349" s="23">
        <f t="shared" si="87"/>
        <v>-35647163</v>
      </c>
      <c r="M349" s="23">
        <v>31713663</v>
      </c>
      <c r="N349" s="23">
        <f t="shared" si="88"/>
        <v>-31713663</v>
      </c>
      <c r="O349" s="23">
        <v>56801652</v>
      </c>
      <c r="P349" s="23">
        <v>56320978</v>
      </c>
      <c r="Q349" s="23">
        <f t="shared" si="86"/>
        <v>-56320978</v>
      </c>
      <c r="R349" s="23">
        <v>68269100</v>
      </c>
      <c r="S349" s="23">
        <f t="shared" si="67"/>
        <v>-68269100</v>
      </c>
      <c r="U349" s="23">
        <v>103056108</v>
      </c>
      <c r="V349" s="23">
        <f t="shared" si="69"/>
        <v>-103056108</v>
      </c>
      <c r="W349" s="23">
        <v>91671370</v>
      </c>
      <c r="X349" s="23">
        <f t="shared" si="70"/>
        <v>-91671370</v>
      </c>
      <c r="Y349" s="23">
        <v>143356671</v>
      </c>
      <c r="Z349" s="23">
        <v>135533249</v>
      </c>
      <c r="AA349" s="23">
        <f t="shared" si="71"/>
        <v>-135533249</v>
      </c>
      <c r="AB349" s="23">
        <v>54234738</v>
      </c>
      <c r="AC349" s="23">
        <f t="shared" si="72"/>
        <v>-54234738</v>
      </c>
      <c r="AD349" s="23">
        <v>73864471</v>
      </c>
      <c r="AE349" s="23">
        <f t="shared" si="73"/>
        <v>-73864471</v>
      </c>
      <c r="AF349" s="23">
        <v>109543891</v>
      </c>
      <c r="AG349" s="23">
        <f t="shared" si="77"/>
        <v>-109543891</v>
      </c>
      <c r="AH349" s="23">
        <v>146090465</v>
      </c>
      <c r="AI349" s="23">
        <f t="shared" si="78"/>
        <v>-146090465</v>
      </c>
      <c r="AJ349" s="23">
        <v>22835062</v>
      </c>
      <c r="AK349" s="23">
        <f t="shared" si="76"/>
        <v>-22835062</v>
      </c>
      <c r="AL349" s="23">
        <v>56586482</v>
      </c>
      <c r="AM349" s="23">
        <f t="shared" si="74"/>
        <v>-56586482</v>
      </c>
      <c r="AN349" s="23">
        <f>86921452+63636</f>
        <v>86985088</v>
      </c>
      <c r="AO349" s="23">
        <f t="shared" si="79"/>
        <v>-86985088</v>
      </c>
      <c r="AP349" s="41">
        <v>185220770</v>
      </c>
      <c r="AQ349">
        <f t="shared" si="80"/>
        <v>-185220770</v>
      </c>
    </row>
    <row r="350" spans="4:43" ht="15" customHeight="1">
      <c r="D350" t="s">
        <v>669</v>
      </c>
      <c r="E350" t="s">
        <v>397</v>
      </c>
      <c r="G350" t="s">
        <v>831</v>
      </c>
      <c r="H350" t="s">
        <v>1052</v>
      </c>
      <c r="I350" s="23">
        <v>27451944</v>
      </c>
      <c r="J350" s="23">
        <f t="shared" si="65"/>
        <v>-27451944</v>
      </c>
      <c r="K350" s="23">
        <f>3697902+936364</f>
        <v>4634266</v>
      </c>
      <c r="L350" s="23">
        <f t="shared" si="87"/>
        <v>-4634266</v>
      </c>
      <c r="M350" s="23">
        <v>6349332</v>
      </c>
      <c r="N350" s="23">
        <f t="shared" si="88"/>
        <v>-6349332</v>
      </c>
      <c r="O350" s="23">
        <v>7671826</v>
      </c>
      <c r="P350" s="23">
        <f>6639359+1381819</f>
        <v>8021178</v>
      </c>
      <c r="Q350" s="23">
        <f t="shared" si="86"/>
        <v>-8021178</v>
      </c>
      <c r="R350" s="23">
        <v>13600833</v>
      </c>
      <c r="S350" s="23">
        <f t="shared" si="67"/>
        <v>-13600833</v>
      </c>
      <c r="U350" s="23">
        <f>9854559+1381819</f>
        <v>11236378</v>
      </c>
      <c r="V350" s="23">
        <f t="shared" si="69"/>
        <v>-11236378</v>
      </c>
      <c r="W350" s="23">
        <v>20268837</v>
      </c>
      <c r="X350" s="23">
        <f t="shared" si="70"/>
        <v>-20268837</v>
      </c>
      <c r="Y350" s="23">
        <v>71287508</v>
      </c>
      <c r="Z350" s="23">
        <f>13369880+2081818</f>
        <v>15451698</v>
      </c>
      <c r="AA350" s="23">
        <f t="shared" si="71"/>
        <v>-15451698</v>
      </c>
      <c r="AB350" s="23">
        <f>2944319+1650000</f>
        <v>4594319</v>
      </c>
      <c r="AC350" s="23">
        <f t="shared" si="72"/>
        <v>-4594319</v>
      </c>
      <c r="AD350" s="23">
        <f>6455098+3813636</f>
        <v>10268734</v>
      </c>
      <c r="AE350" s="23">
        <f t="shared" si="73"/>
        <v>-10268734</v>
      </c>
      <c r="AF350" s="23">
        <f>9692602+4222728</f>
        <v>13915330</v>
      </c>
      <c r="AG350" s="23">
        <f t="shared" si="77"/>
        <v>-13915330</v>
      </c>
      <c r="AH350" s="23">
        <f>13137137+4772728</f>
        <v>17909865</v>
      </c>
      <c r="AI350" s="23">
        <f t="shared" si="78"/>
        <v>-17909865</v>
      </c>
      <c r="AJ350" s="23">
        <f>934473+3008221</f>
        <v>3942694</v>
      </c>
      <c r="AK350" s="23">
        <f t="shared" si="76"/>
        <v>-3942694</v>
      </c>
      <c r="AL350" s="23">
        <f>12114934+724927</f>
        <v>12839861</v>
      </c>
      <c r="AM350" s="23">
        <f t="shared" si="74"/>
        <v>-12839861</v>
      </c>
      <c r="AN350" s="23">
        <f>724927+17470462</f>
        <v>18195389</v>
      </c>
      <c r="AO350" s="23">
        <f t="shared" si="79"/>
        <v>-18195389</v>
      </c>
      <c r="AP350" s="41">
        <f>724927+25134918</f>
        <v>25859845</v>
      </c>
      <c r="AQ350">
        <f t="shared" si="80"/>
        <v>-25859845</v>
      </c>
    </row>
    <row r="351" spans="4:43" ht="15" customHeight="1">
      <c r="D351" t="s">
        <v>889</v>
      </c>
      <c r="E351" t="s">
        <v>397</v>
      </c>
      <c r="G351" t="s">
        <v>831</v>
      </c>
      <c r="H351" t="s">
        <v>1052</v>
      </c>
      <c r="I351" s="23">
        <v>221572185</v>
      </c>
      <c r="J351" s="23">
        <f t="shared" si="65"/>
        <v>-221572185</v>
      </c>
      <c r="K351" s="23">
        <v>0</v>
      </c>
      <c r="L351" s="23">
        <f t="shared" si="87"/>
        <v>0</v>
      </c>
      <c r="M351" s="23">
        <v>18910825</v>
      </c>
      <c r="N351" s="23">
        <f t="shared" si="88"/>
        <v>-18910825</v>
      </c>
      <c r="O351" s="23">
        <v>14752646</v>
      </c>
      <c r="P351" s="23">
        <v>0</v>
      </c>
      <c r="Q351" s="23">
        <f t="shared" si="86"/>
        <v>0</v>
      </c>
      <c r="S351" s="23">
        <f t="shared" si="67"/>
        <v>0</v>
      </c>
      <c r="V351" s="23">
        <f t="shared" si="69"/>
        <v>0</v>
      </c>
      <c r="W351" s="23">
        <v>149812215</v>
      </c>
      <c r="X351" s="23">
        <f t="shared" si="70"/>
        <v>-149812215</v>
      </c>
      <c r="Y351" s="23">
        <v>67059430</v>
      </c>
      <c r="AA351" s="23">
        <f t="shared" si="71"/>
        <v>0</v>
      </c>
      <c r="AC351" s="23">
        <f t="shared" si="72"/>
        <v>0</v>
      </c>
      <c r="AE351" s="23">
        <f t="shared" si="73"/>
        <v>0</v>
      </c>
      <c r="AG351" s="23">
        <f t="shared" si="77"/>
        <v>0</v>
      </c>
      <c r="AI351" s="23">
        <f t="shared" si="78"/>
        <v>0</v>
      </c>
      <c r="AK351" s="23">
        <f t="shared" si="76"/>
        <v>0</v>
      </c>
      <c r="AM351" s="23">
        <f t="shared" si="74"/>
        <v>0</v>
      </c>
      <c r="AO351" s="23">
        <f t="shared" si="79"/>
        <v>0</v>
      </c>
      <c r="AP351" s="41"/>
      <c r="AQ351">
        <f t="shared" si="80"/>
        <v>0</v>
      </c>
    </row>
    <row r="352" spans="4:43" ht="15" customHeight="1">
      <c r="D352" t="s">
        <v>693</v>
      </c>
      <c r="E352" t="s">
        <v>397</v>
      </c>
      <c r="G352" t="s">
        <v>831</v>
      </c>
      <c r="H352" t="s">
        <v>1052</v>
      </c>
      <c r="I352" s="23">
        <v>55075212</v>
      </c>
      <c r="J352" s="23">
        <f t="shared" si="65"/>
        <v>-55075212</v>
      </c>
      <c r="K352" s="23">
        <f>8317439+12944885</f>
        <v>21262324</v>
      </c>
      <c r="L352" s="23">
        <f t="shared" si="87"/>
        <v>-21262324</v>
      </c>
      <c r="M352" s="23">
        <v>12932570</v>
      </c>
      <c r="N352" s="23">
        <f t="shared" si="88"/>
        <v>-12932570</v>
      </c>
      <c r="O352" s="23">
        <v>8771680</v>
      </c>
      <c r="P352" s="23">
        <f>20078598+19647281</f>
        <v>39725879</v>
      </c>
      <c r="Q352" s="23">
        <f t="shared" si="86"/>
        <v>-39725879</v>
      </c>
      <c r="R352" s="23">
        <v>20633981</v>
      </c>
      <c r="S352" s="23">
        <f t="shared" si="67"/>
        <v>-20633981</v>
      </c>
      <c r="U352" s="23">
        <f>31699672+25307911</f>
        <v>57007583</v>
      </c>
      <c r="V352" s="23">
        <f t="shared" si="69"/>
        <v>-57007583</v>
      </c>
      <c r="W352" s="23">
        <v>34874687</v>
      </c>
      <c r="X352" s="23">
        <f t="shared" si="70"/>
        <v>-34874687</v>
      </c>
      <c r="Y352" s="23">
        <v>28454499</v>
      </c>
      <c r="Z352" s="23">
        <f>35866175+32156208</f>
        <v>68022383</v>
      </c>
      <c r="AA352" s="23">
        <f t="shared" si="71"/>
        <v>-68022383</v>
      </c>
      <c r="AB352" s="23">
        <f>7463938+6741638</f>
        <v>14205576</v>
      </c>
      <c r="AC352" s="23">
        <f t="shared" si="72"/>
        <v>-14205576</v>
      </c>
      <c r="AD352" s="23">
        <f>20747071+14461651</f>
        <v>35208722</v>
      </c>
      <c r="AE352" s="23">
        <f t="shared" si="73"/>
        <v>-35208722</v>
      </c>
      <c r="AF352" s="23">
        <f>42929272+20790571</f>
        <v>63719843</v>
      </c>
      <c r="AG352" s="23">
        <f t="shared" si="77"/>
        <v>-63719843</v>
      </c>
      <c r="AH352" s="23">
        <f>52622330+32125982</f>
        <v>84748312</v>
      </c>
      <c r="AI352" s="23">
        <f t="shared" si="78"/>
        <v>-84748312</v>
      </c>
      <c r="AJ352" s="23">
        <f>7499939+9460409</f>
        <v>16960348</v>
      </c>
      <c r="AK352" s="23">
        <f t="shared" si="76"/>
        <v>-16960348</v>
      </c>
      <c r="AL352" s="23">
        <f>16956872+13905592</f>
        <v>30862464</v>
      </c>
      <c r="AM352" s="23">
        <f t="shared" si="74"/>
        <v>-30862464</v>
      </c>
      <c r="AN352" s="23">
        <f>33000422+19338796</f>
        <v>52339218</v>
      </c>
      <c r="AO352" s="23">
        <f t="shared" si="79"/>
        <v>-52339218</v>
      </c>
      <c r="AP352" s="41">
        <f>43519075+24983614</f>
        <v>68502689</v>
      </c>
      <c r="AQ352">
        <f t="shared" si="80"/>
        <v>-68502689</v>
      </c>
    </row>
    <row r="353" spans="4:43" ht="15" customHeight="1">
      <c r="D353" t="s">
        <v>694</v>
      </c>
      <c r="E353" t="s">
        <v>397</v>
      </c>
      <c r="G353" t="s">
        <v>831</v>
      </c>
      <c r="H353" t="s">
        <v>1052</v>
      </c>
      <c r="I353" s="23">
        <v>216968290</v>
      </c>
      <c r="J353" s="23">
        <f t="shared" si="65"/>
        <v>-216968290</v>
      </c>
      <c r="K353" s="23">
        <f>23815252+30427163</f>
        <v>54242415</v>
      </c>
      <c r="L353" s="23">
        <f t="shared" si="87"/>
        <v>-54242415</v>
      </c>
      <c r="M353" s="23">
        <v>53293550</v>
      </c>
      <c r="N353" s="23">
        <f t="shared" si="88"/>
        <v>-53293550</v>
      </c>
      <c r="O353" s="23">
        <v>41692379</v>
      </c>
      <c r="P353" s="23">
        <f>40701582+55958482</f>
        <v>96660064</v>
      </c>
      <c r="Q353" s="23">
        <f t="shared" si="86"/>
        <v>-96660064</v>
      </c>
      <c r="R353" s="23">
        <v>103395499</v>
      </c>
      <c r="S353" s="23">
        <f t="shared" si="67"/>
        <v>-103395499</v>
      </c>
      <c r="U353" s="23">
        <f>55295112+83500333</f>
        <v>138795445</v>
      </c>
      <c r="V353" s="23">
        <f t="shared" si="69"/>
        <v>-138795445</v>
      </c>
      <c r="W353" s="23">
        <v>156049662</v>
      </c>
      <c r="X353" s="23">
        <f t="shared" si="70"/>
        <v>-156049662</v>
      </c>
      <c r="Y353" s="23">
        <v>120835143</v>
      </c>
      <c r="Z353" s="23">
        <f>72468188+111642821</f>
        <v>184111009</v>
      </c>
      <c r="AA353" s="23">
        <f t="shared" si="71"/>
        <v>-184111009</v>
      </c>
      <c r="AB353" s="23">
        <f>21991546+29255340</f>
        <v>51246886</v>
      </c>
      <c r="AC353" s="23">
        <f t="shared" si="72"/>
        <v>-51246886</v>
      </c>
      <c r="AD353" s="23">
        <f>40919047+61817235</f>
        <v>102736282</v>
      </c>
      <c r="AE353" s="23">
        <f t="shared" si="73"/>
        <v>-102736282</v>
      </c>
      <c r="AF353" s="23">
        <f>53797493+98605524</f>
        <v>152403017</v>
      </c>
      <c r="AG353" s="23">
        <f t="shared" si="77"/>
        <v>-152403017</v>
      </c>
      <c r="AH353" s="23">
        <f>67035625+132819464</f>
        <v>199855089</v>
      </c>
      <c r="AI353" s="23">
        <f t="shared" si="78"/>
        <v>-199855089</v>
      </c>
      <c r="AJ353" s="23">
        <f>28661263+40208998</f>
        <v>68870261</v>
      </c>
      <c r="AK353" s="23">
        <f t="shared" si="76"/>
        <v>-68870261</v>
      </c>
      <c r="AL353" s="23">
        <f>45077703+80346637</f>
        <v>125424340</v>
      </c>
      <c r="AM353" s="23">
        <f t="shared" si="74"/>
        <v>-125424340</v>
      </c>
      <c r="AN353" s="23">
        <f>57787889+117845974</f>
        <v>175633863</v>
      </c>
      <c r="AO353" s="23">
        <f t="shared" si="79"/>
        <v>-175633863</v>
      </c>
      <c r="AP353" s="41">
        <f>77739379+152704906</f>
        <v>230444285</v>
      </c>
      <c r="AQ353">
        <f t="shared" si="80"/>
        <v>-230444285</v>
      </c>
    </row>
    <row r="354" spans="4:43" ht="15" customHeight="1">
      <c r="D354" t="s">
        <v>695</v>
      </c>
      <c r="E354" t="s">
        <v>397</v>
      </c>
      <c r="G354" t="s">
        <v>831</v>
      </c>
      <c r="H354" t="s">
        <v>1052</v>
      </c>
      <c r="I354" s="23">
        <v>110145708</v>
      </c>
      <c r="J354" s="23">
        <f t="shared" si="65"/>
        <v>-110145708</v>
      </c>
      <c r="K354" s="23">
        <v>28990000</v>
      </c>
      <c r="L354" s="23">
        <f t="shared" si="87"/>
        <v>-28990000</v>
      </c>
      <c r="M354" s="23">
        <v>28390000</v>
      </c>
      <c r="N354" s="23">
        <f t="shared" si="88"/>
        <v>-28390000</v>
      </c>
      <c r="O354" s="23">
        <v>21300000</v>
      </c>
      <c r="P354" s="23">
        <v>59952727</v>
      </c>
      <c r="Q354" s="23">
        <f t="shared" si="86"/>
        <v>-59952727</v>
      </c>
      <c r="R354" s="23">
        <v>44580000</v>
      </c>
      <c r="S354" s="23">
        <f t="shared" si="67"/>
        <v>-44580000</v>
      </c>
      <c r="U354" s="23">
        <v>90086362</v>
      </c>
      <c r="V354" s="23">
        <f t="shared" si="69"/>
        <v>-90086362</v>
      </c>
      <c r="W354" s="23">
        <v>79182982</v>
      </c>
      <c r="X354" s="23">
        <f t="shared" si="70"/>
        <v>-79182982</v>
      </c>
      <c r="Y354" s="23">
        <v>71150000</v>
      </c>
      <c r="Z354" s="23">
        <v>121044543</v>
      </c>
      <c r="AA354" s="23">
        <f t="shared" si="71"/>
        <v>-121044543</v>
      </c>
      <c r="AB354" s="23">
        <v>30426365</v>
      </c>
      <c r="AC354" s="23">
        <f t="shared" si="72"/>
        <v>-30426365</v>
      </c>
      <c r="AD354" s="23">
        <v>62477275</v>
      </c>
      <c r="AE354" s="23">
        <f t="shared" si="73"/>
        <v>-62477275</v>
      </c>
      <c r="AF354" s="23">
        <v>93788184</v>
      </c>
      <c r="AG354" s="23">
        <f t="shared" si="77"/>
        <v>-93788184</v>
      </c>
      <c r="AH354" s="23">
        <v>126980911</v>
      </c>
      <c r="AI354" s="23">
        <f t="shared" si="78"/>
        <v>-126980911</v>
      </c>
      <c r="AJ354" s="23">
        <v>30957273</v>
      </c>
      <c r="AK354" s="23">
        <f t="shared" si="76"/>
        <v>-30957273</v>
      </c>
      <c r="AL354" s="23">
        <v>61914546</v>
      </c>
      <c r="AM354" s="23">
        <f t="shared" si="74"/>
        <v>-61914546</v>
      </c>
      <c r="AN354" s="23">
        <v>103669089</v>
      </c>
      <c r="AO354" s="23">
        <f t="shared" si="79"/>
        <v>-103669089</v>
      </c>
      <c r="AP354" s="41">
        <v>161541816</v>
      </c>
      <c r="AQ354">
        <f t="shared" si="80"/>
        <v>-161541816</v>
      </c>
    </row>
    <row r="355" spans="4:43" ht="15" customHeight="1">
      <c r="D355" t="s">
        <v>696</v>
      </c>
      <c r="E355" t="s">
        <v>397</v>
      </c>
      <c r="G355" t="s">
        <v>831</v>
      </c>
      <c r="H355" t="s">
        <v>1052</v>
      </c>
      <c r="I355" s="23">
        <v>9393364</v>
      </c>
      <c r="J355" s="23">
        <f t="shared" si="65"/>
        <v>-9393364</v>
      </c>
      <c r="K355" s="23">
        <v>11609570</v>
      </c>
      <c r="L355" s="23">
        <f t="shared" si="87"/>
        <v>-11609570</v>
      </c>
      <c r="M355" s="23">
        <v>0</v>
      </c>
      <c r="N355" s="23">
        <f t="shared" si="88"/>
        <v>0</v>
      </c>
      <c r="O355" s="23">
        <v>52000</v>
      </c>
      <c r="P355" s="23">
        <v>32191955</v>
      </c>
      <c r="Q355" s="23">
        <f t="shared" si="86"/>
        <v>-32191955</v>
      </c>
      <c r="R355" s="23">
        <v>8665364</v>
      </c>
      <c r="S355" s="23">
        <f t="shared" si="67"/>
        <v>-8665364</v>
      </c>
      <c r="U355" s="23">
        <v>65752489</v>
      </c>
      <c r="V355" s="23">
        <f t="shared" si="69"/>
        <v>-65752489</v>
      </c>
      <c r="W355" s="23">
        <v>8865364</v>
      </c>
      <c r="X355" s="23">
        <f t="shared" si="70"/>
        <v>-8865364</v>
      </c>
      <c r="Y355" s="23">
        <v>52000</v>
      </c>
      <c r="Z355" s="23">
        <v>51728337</v>
      </c>
      <c r="AA355" s="23">
        <f t="shared" si="71"/>
        <v>-51728337</v>
      </c>
      <c r="AB355" s="23">
        <v>812253</v>
      </c>
      <c r="AC355" s="23">
        <f t="shared" si="72"/>
        <v>-812253</v>
      </c>
      <c r="AD355" s="23">
        <v>3533955</v>
      </c>
      <c r="AE355" s="23">
        <f t="shared" si="73"/>
        <v>-3533955</v>
      </c>
      <c r="AF355" s="23">
        <v>27411271</v>
      </c>
      <c r="AG355" s="23">
        <f t="shared" si="77"/>
        <v>-27411271</v>
      </c>
      <c r="AH355" s="23">
        <v>66441243</v>
      </c>
      <c r="AI355" s="23">
        <f t="shared" si="78"/>
        <v>-66441243</v>
      </c>
      <c r="AJ355" s="23">
        <v>16289734</v>
      </c>
      <c r="AK355" s="23">
        <f t="shared" si="76"/>
        <v>-16289734</v>
      </c>
      <c r="AL355" s="23">
        <v>26333905</v>
      </c>
      <c r="AM355" s="23">
        <f t="shared" si="74"/>
        <v>-26333905</v>
      </c>
      <c r="AN355" s="23">
        <v>44336362</v>
      </c>
      <c r="AO355" s="23">
        <f t="shared" si="79"/>
        <v>-44336362</v>
      </c>
      <c r="AP355" s="41">
        <v>67504457</v>
      </c>
      <c r="AQ355">
        <f t="shared" si="80"/>
        <v>-67504457</v>
      </c>
    </row>
    <row r="356" spans="4:43" ht="15" customHeight="1">
      <c r="D356" t="s">
        <v>697</v>
      </c>
      <c r="E356" t="s">
        <v>397</v>
      </c>
      <c r="G356" t="s">
        <v>831</v>
      </c>
      <c r="H356" t="s">
        <v>1052</v>
      </c>
      <c r="I356" s="23">
        <v>9208395</v>
      </c>
      <c r="J356" s="23">
        <f t="shared" si="65"/>
        <v>-9208395</v>
      </c>
      <c r="K356" s="23">
        <v>1459900</v>
      </c>
      <c r="L356" s="23">
        <f t="shared" si="87"/>
        <v>-1459900</v>
      </c>
      <c r="M356" s="23">
        <v>2543890</v>
      </c>
      <c r="N356" s="23">
        <f t="shared" si="88"/>
        <v>-2543890</v>
      </c>
      <c r="O356" s="23">
        <v>1260000</v>
      </c>
      <c r="P356" s="23">
        <v>2115742</v>
      </c>
      <c r="Q356" s="23">
        <f t="shared" si="86"/>
        <v>-2115742</v>
      </c>
      <c r="R356" s="23">
        <v>7381458</v>
      </c>
      <c r="S356" s="23">
        <f t="shared" si="67"/>
        <v>-7381458</v>
      </c>
      <c r="U356" s="23">
        <v>3179173</v>
      </c>
      <c r="V356" s="23">
        <f t="shared" si="69"/>
        <v>-3179173</v>
      </c>
      <c r="W356" s="23">
        <v>9114391</v>
      </c>
      <c r="X356" s="23">
        <f t="shared" si="70"/>
        <v>-9114391</v>
      </c>
      <c r="Y356" s="23">
        <v>3312341</v>
      </c>
      <c r="Z356" s="23">
        <v>3184173</v>
      </c>
      <c r="AA356" s="23">
        <f t="shared" si="71"/>
        <v>-3184173</v>
      </c>
      <c r="AB356" s="23">
        <v>551818</v>
      </c>
      <c r="AC356" s="23">
        <f t="shared" si="72"/>
        <v>-551818</v>
      </c>
      <c r="AD356" s="23">
        <v>2983646</v>
      </c>
      <c r="AE356" s="23">
        <f t="shared" si="73"/>
        <v>-2983646</v>
      </c>
      <c r="AF356" s="23">
        <v>6573761</v>
      </c>
      <c r="AG356" s="23">
        <f t="shared" si="77"/>
        <v>-6573761</v>
      </c>
      <c r="AH356" s="23">
        <v>18299244</v>
      </c>
      <c r="AI356" s="23">
        <f t="shared" si="78"/>
        <v>-18299244</v>
      </c>
      <c r="AJ356" s="23">
        <v>12260097</v>
      </c>
      <c r="AK356" s="23">
        <f t="shared" si="76"/>
        <v>-12260097</v>
      </c>
      <c r="AL356" s="23">
        <v>16918138</v>
      </c>
      <c r="AM356" s="23">
        <f t="shared" si="74"/>
        <v>-16918138</v>
      </c>
      <c r="AN356" s="23">
        <v>20820753</v>
      </c>
      <c r="AO356" s="23">
        <f t="shared" si="79"/>
        <v>-20820753</v>
      </c>
      <c r="AP356" s="41">
        <v>25587188</v>
      </c>
      <c r="AQ356">
        <f t="shared" si="80"/>
        <v>-25587188</v>
      </c>
    </row>
    <row r="357" spans="4:43" ht="15" customHeight="1">
      <c r="D357" t="s">
        <v>698</v>
      </c>
      <c r="E357" t="s">
        <v>397</v>
      </c>
      <c r="G357" t="s">
        <v>831</v>
      </c>
      <c r="H357" t="s">
        <v>1052</v>
      </c>
      <c r="I357" s="23">
        <v>262465826</v>
      </c>
      <c r="J357" s="23">
        <f t="shared" si="65"/>
        <v>-262465826</v>
      </c>
      <c r="K357" s="23">
        <v>37138262</v>
      </c>
      <c r="L357" s="23">
        <f t="shared" si="87"/>
        <v>-37138262</v>
      </c>
      <c r="M357" s="23">
        <v>59690112</v>
      </c>
      <c r="N357" s="23">
        <f t="shared" si="88"/>
        <v>-59690112</v>
      </c>
      <c r="O357" s="23">
        <v>64025762</v>
      </c>
      <c r="P357" s="23">
        <v>56482995</v>
      </c>
      <c r="Q357" s="23">
        <f t="shared" si="86"/>
        <v>-56482995</v>
      </c>
      <c r="R357" s="23">
        <v>123355665</v>
      </c>
      <c r="S357" s="23">
        <f t="shared" si="67"/>
        <v>-123355665</v>
      </c>
      <c r="U357" s="23">
        <v>91116165</v>
      </c>
      <c r="V357" s="23">
        <f t="shared" si="69"/>
        <v>-91116165</v>
      </c>
      <c r="W357" s="23">
        <v>200674438</v>
      </c>
      <c r="X357" s="23">
        <f t="shared" si="70"/>
        <v>-200674438</v>
      </c>
      <c r="Y357" s="23">
        <v>187824909</v>
      </c>
      <c r="Z357" s="23">
        <v>120834373</v>
      </c>
      <c r="AA357" s="23">
        <f t="shared" si="71"/>
        <v>-120834373</v>
      </c>
      <c r="AB357" s="23">
        <v>24693236</v>
      </c>
      <c r="AC357" s="23">
        <f t="shared" si="72"/>
        <v>-24693236</v>
      </c>
      <c r="AD357" s="23">
        <v>51315463</v>
      </c>
      <c r="AE357" s="23">
        <f t="shared" si="73"/>
        <v>-51315463</v>
      </c>
      <c r="AF357" s="23">
        <v>69326343</v>
      </c>
      <c r="AG357" s="23">
        <f t="shared" si="77"/>
        <v>-69326343</v>
      </c>
      <c r="AH357" s="23">
        <v>87003163</v>
      </c>
      <c r="AI357" s="23">
        <f t="shared" si="78"/>
        <v>-87003163</v>
      </c>
      <c r="AJ357" s="23">
        <v>13591132</v>
      </c>
      <c r="AK357" s="23">
        <f t="shared" si="76"/>
        <v>-13591132</v>
      </c>
      <c r="AL357" s="23">
        <v>41336947</v>
      </c>
      <c r="AM357" s="23">
        <f t="shared" si="74"/>
        <v>-41336947</v>
      </c>
      <c r="AN357" s="23">
        <v>63292311</v>
      </c>
      <c r="AO357" s="23">
        <f t="shared" si="79"/>
        <v>-63292311</v>
      </c>
      <c r="AP357" s="41">
        <v>77194381</v>
      </c>
      <c r="AQ357">
        <f t="shared" si="80"/>
        <v>-77194381</v>
      </c>
    </row>
    <row r="358" spans="4:43" ht="15" customHeight="1">
      <c r="D358" t="s">
        <v>699</v>
      </c>
      <c r="E358" t="s">
        <v>397</v>
      </c>
      <c r="G358" t="s">
        <v>831</v>
      </c>
      <c r="H358" t="s">
        <v>1050</v>
      </c>
      <c r="I358" s="23">
        <v>3680512</v>
      </c>
      <c r="J358" s="23">
        <f t="shared" si="65"/>
        <v>-3680512</v>
      </c>
      <c r="K358" s="23">
        <v>0</v>
      </c>
      <c r="L358" s="23">
        <f t="shared" si="87"/>
        <v>0</v>
      </c>
      <c r="M358" s="23">
        <v>363232</v>
      </c>
      <c r="N358" s="23">
        <f t="shared" si="88"/>
        <v>-363232</v>
      </c>
      <c r="P358" s="23">
        <v>0</v>
      </c>
      <c r="Q358" s="23">
        <f t="shared" si="86"/>
        <v>0</v>
      </c>
      <c r="S358" s="23">
        <f t="shared" si="67"/>
        <v>0</v>
      </c>
      <c r="V358" s="23">
        <f t="shared" si="69"/>
        <v>0</v>
      </c>
      <c r="X358" s="23">
        <f t="shared" si="70"/>
        <v>0</v>
      </c>
      <c r="AA358" s="23">
        <f t="shared" si="71"/>
        <v>0</v>
      </c>
      <c r="AC358" s="23">
        <f t="shared" si="72"/>
        <v>0</v>
      </c>
      <c r="AE358" s="23">
        <f t="shared" si="73"/>
        <v>0</v>
      </c>
      <c r="AG358" s="23">
        <f t="shared" si="77"/>
        <v>0</v>
      </c>
      <c r="AI358" s="23">
        <f t="shared" si="78"/>
        <v>0</v>
      </c>
      <c r="AK358" s="23">
        <f t="shared" si="76"/>
        <v>0</v>
      </c>
      <c r="AM358" s="23">
        <f t="shared" si="74"/>
        <v>0</v>
      </c>
      <c r="AO358" s="23">
        <f t="shared" si="79"/>
        <v>0</v>
      </c>
      <c r="AP358" s="41"/>
      <c r="AQ358">
        <f t="shared" si="80"/>
        <v>0</v>
      </c>
    </row>
    <row r="359" spans="4:43" ht="15" customHeight="1">
      <c r="D359" t="s">
        <v>700</v>
      </c>
      <c r="E359" t="s">
        <v>397</v>
      </c>
      <c r="G359" t="s">
        <v>831</v>
      </c>
      <c r="H359" t="s">
        <v>1052</v>
      </c>
      <c r="I359" s="23">
        <v>2393847</v>
      </c>
      <c r="J359" s="23">
        <f t="shared" si="65"/>
        <v>-2393847</v>
      </c>
      <c r="K359" s="23">
        <v>2496975</v>
      </c>
      <c r="L359" s="23">
        <f t="shared" si="87"/>
        <v>-2496975</v>
      </c>
      <c r="M359" s="23">
        <v>0</v>
      </c>
      <c r="N359" s="23">
        <f t="shared" si="88"/>
        <v>0</v>
      </c>
      <c r="P359" s="23">
        <v>4947503</v>
      </c>
      <c r="Q359" s="23">
        <f t="shared" si="86"/>
        <v>-4947503</v>
      </c>
      <c r="S359" s="23">
        <f t="shared" si="67"/>
        <v>0</v>
      </c>
      <c r="U359" s="23">
        <v>8416477</v>
      </c>
      <c r="V359" s="23">
        <f t="shared" si="69"/>
        <v>-8416477</v>
      </c>
      <c r="X359" s="23">
        <f t="shared" si="70"/>
        <v>0</v>
      </c>
      <c r="Z359" s="23">
        <v>10676547</v>
      </c>
      <c r="AA359" s="23">
        <f t="shared" si="71"/>
        <v>-10676547</v>
      </c>
      <c r="AB359" s="23">
        <v>4654159</v>
      </c>
      <c r="AC359" s="23">
        <f t="shared" si="72"/>
        <v>-4654159</v>
      </c>
      <c r="AD359" s="23">
        <v>9906727</v>
      </c>
      <c r="AE359" s="23">
        <f t="shared" si="73"/>
        <v>-9906727</v>
      </c>
      <c r="AF359" s="23">
        <v>14778283</v>
      </c>
      <c r="AG359" s="23">
        <f t="shared" si="77"/>
        <v>-14778283</v>
      </c>
      <c r="AH359" s="23">
        <v>21534239</v>
      </c>
      <c r="AI359" s="23">
        <f t="shared" si="78"/>
        <v>-21534239</v>
      </c>
      <c r="AJ359" s="23">
        <v>8071222</v>
      </c>
      <c r="AK359" s="23">
        <f t="shared" si="76"/>
        <v>-8071222</v>
      </c>
      <c r="AL359" s="23">
        <v>17927939</v>
      </c>
      <c r="AM359" s="23">
        <f t="shared" si="74"/>
        <v>-17927939</v>
      </c>
      <c r="AN359" s="23">
        <v>24551451</v>
      </c>
      <c r="AO359" s="23">
        <f t="shared" si="79"/>
        <v>-24551451</v>
      </c>
      <c r="AP359" s="41">
        <v>33869895</v>
      </c>
      <c r="AQ359">
        <f t="shared" si="80"/>
        <v>-33869895</v>
      </c>
    </row>
    <row r="360" spans="4:43" ht="15" customHeight="1">
      <c r="D360" t="s">
        <v>887</v>
      </c>
      <c r="E360" t="s">
        <v>397</v>
      </c>
      <c r="G360" t="s">
        <v>831</v>
      </c>
      <c r="H360" t="s">
        <v>1052</v>
      </c>
      <c r="J360" s="23">
        <f t="shared" si="65"/>
        <v>0</v>
      </c>
      <c r="K360" s="23">
        <v>3461364</v>
      </c>
      <c r="L360" s="23">
        <f t="shared" si="87"/>
        <v>-3461364</v>
      </c>
      <c r="N360" s="23">
        <f t="shared" si="88"/>
        <v>0</v>
      </c>
      <c r="P360" s="23">
        <v>6306075</v>
      </c>
      <c r="Q360" s="23">
        <f t="shared" si="86"/>
        <v>-6306075</v>
      </c>
      <c r="S360" s="23">
        <f t="shared" si="67"/>
        <v>0</v>
      </c>
      <c r="U360" s="23">
        <v>9342439</v>
      </c>
      <c r="V360" s="23">
        <f t="shared" si="69"/>
        <v>-9342439</v>
      </c>
      <c r="X360" s="23">
        <f t="shared" si="70"/>
        <v>0</v>
      </c>
      <c r="Z360" s="23">
        <v>12237893</v>
      </c>
      <c r="AA360" s="23">
        <f t="shared" si="71"/>
        <v>-12237893</v>
      </c>
      <c r="AB360" s="23">
        <v>445455</v>
      </c>
      <c r="AC360" s="23">
        <f t="shared" si="72"/>
        <v>-445455</v>
      </c>
      <c r="AD360" s="23">
        <v>2520909</v>
      </c>
      <c r="AE360" s="23">
        <f t="shared" si="73"/>
        <v>-2520909</v>
      </c>
      <c r="AF360" s="23">
        <v>3011818</v>
      </c>
      <c r="AG360" s="23">
        <f t="shared" si="77"/>
        <v>-3011818</v>
      </c>
      <c r="AH360" s="23">
        <v>6715408</v>
      </c>
      <c r="AI360" s="23">
        <f t="shared" si="78"/>
        <v>-6715408</v>
      </c>
      <c r="AJ360" s="23">
        <v>6138182</v>
      </c>
      <c r="AK360" s="23">
        <f t="shared" si="76"/>
        <v>-6138182</v>
      </c>
      <c r="AL360" s="23">
        <v>8696187</v>
      </c>
      <c r="AM360" s="23">
        <f t="shared" si="74"/>
        <v>-8696187</v>
      </c>
      <c r="AN360" s="23">
        <v>8925278</v>
      </c>
      <c r="AO360" s="23">
        <f t="shared" si="79"/>
        <v>-8925278</v>
      </c>
      <c r="AP360" s="41">
        <v>17308500</v>
      </c>
      <c r="AQ360">
        <f t="shared" si="80"/>
        <v>-17308500</v>
      </c>
    </row>
    <row r="361" spans="4:43" ht="15" customHeight="1">
      <c r="D361" t="s">
        <v>888</v>
      </c>
      <c r="E361" t="s">
        <v>397</v>
      </c>
      <c r="G361" t="s">
        <v>831</v>
      </c>
      <c r="H361" t="s">
        <v>1052</v>
      </c>
      <c r="J361" s="23">
        <f t="shared" si="65"/>
        <v>0</v>
      </c>
      <c r="K361" s="23">
        <v>13200000</v>
      </c>
      <c r="L361" s="23">
        <f t="shared" si="87"/>
        <v>-13200000</v>
      </c>
      <c r="N361" s="23">
        <f t="shared" si="88"/>
        <v>0</v>
      </c>
      <c r="P361" s="23">
        <v>52793882</v>
      </c>
      <c r="Q361" s="23">
        <f t="shared" si="86"/>
        <v>-52793882</v>
      </c>
      <c r="S361" s="23">
        <f t="shared" si="67"/>
        <v>0</v>
      </c>
      <c r="U361" s="23">
        <v>138083005</v>
      </c>
      <c r="V361" s="23">
        <f t="shared" si="69"/>
        <v>-138083005</v>
      </c>
      <c r="X361" s="23">
        <f t="shared" si="70"/>
        <v>0</v>
      </c>
      <c r="Z361" s="23">
        <v>184883005</v>
      </c>
      <c r="AA361" s="23">
        <f t="shared" si="71"/>
        <v>-184883005</v>
      </c>
      <c r="AB361" s="23">
        <v>27507123</v>
      </c>
      <c r="AC361" s="23">
        <f t="shared" si="72"/>
        <v>-27507123</v>
      </c>
      <c r="AD361" s="23">
        <v>99879834</v>
      </c>
      <c r="AE361" s="23">
        <f t="shared" si="73"/>
        <v>-99879834</v>
      </c>
      <c r="AF361" s="23">
        <v>273249346</v>
      </c>
      <c r="AG361" s="23">
        <f t="shared" si="77"/>
        <v>-273249346</v>
      </c>
      <c r="AH361" s="23">
        <v>577571420</v>
      </c>
      <c r="AI361" s="23">
        <f t="shared" si="78"/>
        <v>-577571420</v>
      </c>
      <c r="AJ361" s="23">
        <v>66157614</v>
      </c>
      <c r="AK361" s="23">
        <f t="shared" si="76"/>
        <v>-66157614</v>
      </c>
      <c r="AL361" s="23">
        <v>100919064</v>
      </c>
      <c r="AM361" s="23">
        <f t="shared" si="74"/>
        <v>-100919064</v>
      </c>
      <c r="AN361" s="23">
        <v>149279064</v>
      </c>
      <c r="AO361" s="23">
        <f t="shared" si="79"/>
        <v>-149279064</v>
      </c>
      <c r="AP361" s="41">
        <v>220799064</v>
      </c>
      <c r="AQ361">
        <f t="shared" si="80"/>
        <v>-220799064</v>
      </c>
    </row>
    <row r="362" spans="4:43" ht="15" customHeight="1">
      <c r="D362" t="s">
        <v>890</v>
      </c>
      <c r="E362" t="s">
        <v>397</v>
      </c>
      <c r="G362" t="s">
        <v>831</v>
      </c>
      <c r="H362" t="s">
        <v>1052</v>
      </c>
      <c r="J362" s="23">
        <f t="shared" si="65"/>
        <v>0</v>
      </c>
      <c r="K362" s="23">
        <v>3246354</v>
      </c>
      <c r="L362" s="23">
        <f t="shared" si="87"/>
        <v>-3246354</v>
      </c>
      <c r="N362" s="23">
        <f t="shared" si="88"/>
        <v>0</v>
      </c>
      <c r="P362" s="23">
        <v>6789979</v>
      </c>
      <c r="Q362" s="23">
        <f t="shared" si="86"/>
        <v>-6789979</v>
      </c>
      <c r="S362" s="23">
        <f t="shared" si="67"/>
        <v>0</v>
      </c>
      <c r="U362" s="23">
        <v>11424961</v>
      </c>
      <c r="V362" s="23">
        <f t="shared" si="69"/>
        <v>-11424961</v>
      </c>
      <c r="X362" s="23">
        <f t="shared" si="70"/>
        <v>0</v>
      </c>
      <c r="Z362" s="23">
        <v>15813308</v>
      </c>
      <c r="AA362" s="23">
        <f t="shared" si="71"/>
        <v>-15813308</v>
      </c>
      <c r="AB362" s="23">
        <v>5996807</v>
      </c>
      <c r="AC362" s="23">
        <f t="shared" si="72"/>
        <v>-5996807</v>
      </c>
      <c r="AD362" s="23">
        <v>12401998</v>
      </c>
      <c r="AE362" s="23">
        <f t="shared" si="73"/>
        <v>-12401998</v>
      </c>
      <c r="AF362" s="23">
        <v>18722902</v>
      </c>
      <c r="AG362" s="23">
        <f t="shared" si="77"/>
        <v>-18722902</v>
      </c>
      <c r="AH362" s="23">
        <v>26270197</v>
      </c>
      <c r="AI362" s="23">
        <f t="shared" si="78"/>
        <v>-26270197</v>
      </c>
      <c r="AJ362" s="23">
        <v>7019082</v>
      </c>
      <c r="AK362" s="23">
        <f t="shared" si="76"/>
        <v>-7019082</v>
      </c>
      <c r="AL362" s="23">
        <v>13728112</v>
      </c>
      <c r="AM362" s="23">
        <f t="shared" si="74"/>
        <v>-13728112</v>
      </c>
      <c r="AN362" s="23">
        <v>21261483</v>
      </c>
      <c r="AO362" s="23">
        <f t="shared" si="79"/>
        <v>-21261483</v>
      </c>
      <c r="AP362" s="41">
        <v>29911367</v>
      </c>
      <c r="AQ362">
        <f t="shared" si="80"/>
        <v>-29911367</v>
      </c>
    </row>
    <row r="363" spans="4:43" ht="15" customHeight="1">
      <c r="D363" t="s">
        <v>891</v>
      </c>
      <c r="E363" t="s">
        <v>397</v>
      </c>
      <c r="G363" t="s">
        <v>831</v>
      </c>
      <c r="H363" t="s">
        <v>1052</v>
      </c>
      <c r="J363" s="23">
        <f t="shared" si="65"/>
        <v>0</v>
      </c>
      <c r="K363" s="23">
        <v>597352</v>
      </c>
      <c r="L363" s="23">
        <f t="shared" si="87"/>
        <v>-597352</v>
      </c>
      <c r="N363" s="23">
        <f t="shared" si="88"/>
        <v>0</v>
      </c>
      <c r="P363" s="23">
        <v>1947352</v>
      </c>
      <c r="Q363" s="23">
        <f t="shared" si="86"/>
        <v>-1947352</v>
      </c>
      <c r="S363" s="23">
        <f t="shared" si="67"/>
        <v>0</v>
      </c>
      <c r="U363" s="23">
        <v>2274625</v>
      </c>
      <c r="V363" s="23">
        <f t="shared" si="69"/>
        <v>-2274625</v>
      </c>
      <c r="X363" s="23">
        <f t="shared" si="70"/>
        <v>0</v>
      </c>
      <c r="Z363" s="23">
        <v>2811443</v>
      </c>
      <c r="AA363" s="23">
        <f t="shared" si="71"/>
        <v>-2811443</v>
      </c>
      <c r="AC363" s="23">
        <f t="shared" si="72"/>
        <v>0</v>
      </c>
      <c r="AE363" s="23">
        <f t="shared" si="73"/>
        <v>0</v>
      </c>
      <c r="AG363" s="23">
        <f t="shared" si="77"/>
        <v>0</v>
      </c>
      <c r="AH363" s="23">
        <v>853935</v>
      </c>
      <c r="AI363" s="23">
        <f t="shared" si="78"/>
        <v>-853935</v>
      </c>
      <c r="AK363" s="23">
        <f t="shared" si="76"/>
        <v>0</v>
      </c>
      <c r="AL363" s="23">
        <v>2493464</v>
      </c>
      <c r="AM363" s="23">
        <f t="shared" si="74"/>
        <v>-2493464</v>
      </c>
      <c r="AN363" s="23">
        <v>2493464</v>
      </c>
      <c r="AO363" s="23">
        <f t="shared" si="79"/>
        <v>-2493464</v>
      </c>
      <c r="AP363" s="41">
        <v>2493464</v>
      </c>
      <c r="AQ363">
        <f t="shared" si="80"/>
        <v>-2493464</v>
      </c>
    </row>
    <row r="364" spans="4:43" ht="15" customHeight="1">
      <c r="D364" t="s">
        <v>892</v>
      </c>
      <c r="E364" t="s">
        <v>397</v>
      </c>
      <c r="G364" t="s">
        <v>831</v>
      </c>
      <c r="H364" t="s">
        <v>1052</v>
      </c>
      <c r="J364" s="23">
        <f t="shared" si="65"/>
        <v>0</v>
      </c>
      <c r="K364" s="23">
        <v>4903369</v>
      </c>
      <c r="L364" s="23">
        <f t="shared" si="87"/>
        <v>-4903369</v>
      </c>
      <c r="N364" s="23">
        <f t="shared" si="88"/>
        <v>0</v>
      </c>
      <c r="P364" s="23">
        <v>10549106</v>
      </c>
      <c r="Q364" s="23">
        <f t="shared" si="86"/>
        <v>-10549106</v>
      </c>
      <c r="S364" s="23">
        <f t="shared" si="67"/>
        <v>0</v>
      </c>
      <c r="U364" s="23">
        <v>13756742</v>
      </c>
      <c r="V364" s="23">
        <f t="shared" si="69"/>
        <v>-13756742</v>
      </c>
      <c r="X364" s="23">
        <f t="shared" si="70"/>
        <v>0</v>
      </c>
      <c r="Z364" s="23">
        <v>21300994</v>
      </c>
      <c r="AA364" s="23">
        <f t="shared" si="71"/>
        <v>-21300994</v>
      </c>
      <c r="AB364" s="23">
        <v>4888361</v>
      </c>
      <c r="AC364" s="23">
        <f t="shared" si="72"/>
        <v>-4888361</v>
      </c>
      <c r="AD364" s="23">
        <v>19680455</v>
      </c>
      <c r="AE364" s="23">
        <f t="shared" si="73"/>
        <v>-19680455</v>
      </c>
      <c r="AF364" s="23">
        <v>27544536</v>
      </c>
      <c r="AG364" s="23">
        <f t="shared" si="77"/>
        <v>-27544536</v>
      </c>
      <c r="AH364" s="23">
        <v>54380430</v>
      </c>
      <c r="AI364" s="23">
        <f t="shared" si="78"/>
        <v>-54380430</v>
      </c>
      <c r="AJ364" s="23">
        <v>5285786</v>
      </c>
      <c r="AK364" s="23">
        <f t="shared" si="76"/>
        <v>-5285786</v>
      </c>
      <c r="AL364" s="23">
        <v>18244997</v>
      </c>
      <c r="AM364" s="23">
        <f t="shared" si="74"/>
        <v>-18244997</v>
      </c>
      <c r="AN364" s="23">
        <v>23846450</v>
      </c>
      <c r="AO364" s="23">
        <f t="shared" si="79"/>
        <v>-23846450</v>
      </c>
      <c r="AP364" s="41">
        <v>39079837</v>
      </c>
      <c r="AQ364">
        <f t="shared" si="80"/>
        <v>-39079837</v>
      </c>
    </row>
    <row r="365" spans="4:43" ht="15" customHeight="1">
      <c r="D365" t="s">
        <v>893</v>
      </c>
      <c r="E365" t="s">
        <v>397</v>
      </c>
      <c r="G365" t="s">
        <v>831</v>
      </c>
      <c r="H365" t="s">
        <v>1052</v>
      </c>
      <c r="J365" s="23">
        <f t="shared" si="65"/>
        <v>0</v>
      </c>
      <c r="K365" s="23">
        <v>217979</v>
      </c>
      <c r="L365" s="23">
        <f t="shared" si="87"/>
        <v>-217979</v>
      </c>
      <c r="N365" s="23">
        <f t="shared" si="88"/>
        <v>0</v>
      </c>
      <c r="P365" s="23">
        <v>353280</v>
      </c>
      <c r="Q365" s="23">
        <f t="shared" si="86"/>
        <v>-353280</v>
      </c>
      <c r="S365" s="23">
        <f t="shared" si="67"/>
        <v>0</v>
      </c>
      <c r="U365" s="23">
        <v>560653</v>
      </c>
      <c r="V365" s="23">
        <f t="shared" si="69"/>
        <v>-560653</v>
      </c>
      <c r="X365" s="23">
        <f t="shared" si="70"/>
        <v>0</v>
      </c>
      <c r="Z365" s="23">
        <v>1049199</v>
      </c>
      <c r="AA365" s="23">
        <f t="shared" si="71"/>
        <v>-1049199</v>
      </c>
      <c r="AB365" s="23">
        <v>181569</v>
      </c>
      <c r="AC365" s="23">
        <f t="shared" si="72"/>
        <v>-181569</v>
      </c>
      <c r="AD365" s="23">
        <v>393213</v>
      </c>
      <c r="AE365" s="23">
        <f t="shared" si="73"/>
        <v>-393213</v>
      </c>
      <c r="AF365" s="23">
        <v>641851</v>
      </c>
      <c r="AG365" s="23">
        <f t="shared" si="77"/>
        <v>-641851</v>
      </c>
      <c r="AH365" s="23">
        <v>1089418</v>
      </c>
      <c r="AI365" s="23">
        <f t="shared" si="78"/>
        <v>-1089418</v>
      </c>
      <c r="AJ365" s="23">
        <v>576476</v>
      </c>
      <c r="AK365" s="23">
        <f t="shared" si="76"/>
        <v>-576476</v>
      </c>
      <c r="AL365" s="23">
        <v>1118980</v>
      </c>
      <c r="AM365" s="23">
        <f t="shared" si="74"/>
        <v>-1118980</v>
      </c>
      <c r="AN365" s="23">
        <v>1615661</v>
      </c>
      <c r="AO365" s="23">
        <f t="shared" si="79"/>
        <v>-1615661</v>
      </c>
      <c r="AP365" s="41">
        <v>2083921</v>
      </c>
      <c r="AQ365">
        <f t="shared" si="80"/>
        <v>-2083921</v>
      </c>
    </row>
    <row r="366" spans="4:43" ht="15" customHeight="1">
      <c r="D366" t="s">
        <v>894</v>
      </c>
      <c r="E366" t="s">
        <v>397</v>
      </c>
      <c r="G366" t="s">
        <v>831</v>
      </c>
      <c r="H366" t="s">
        <v>1052</v>
      </c>
      <c r="J366" s="23">
        <f t="shared" si="65"/>
        <v>0</v>
      </c>
      <c r="K366" s="23">
        <v>249159</v>
      </c>
      <c r="L366" s="23">
        <f t="shared" si="87"/>
        <v>-249159</v>
      </c>
      <c r="N366" s="23">
        <f t="shared" si="88"/>
        <v>0</v>
      </c>
      <c r="P366" s="23">
        <v>3839749</v>
      </c>
      <c r="Q366" s="23">
        <f t="shared" si="86"/>
        <v>-3839749</v>
      </c>
      <c r="S366" s="23">
        <f t="shared" si="67"/>
        <v>0</v>
      </c>
      <c r="U366" s="23">
        <v>4257931</v>
      </c>
      <c r="V366" s="23">
        <f t="shared" si="69"/>
        <v>-4257931</v>
      </c>
      <c r="X366" s="23">
        <f t="shared" si="70"/>
        <v>0</v>
      </c>
      <c r="Z366" s="23">
        <v>4257931</v>
      </c>
      <c r="AA366" s="23">
        <f t="shared" si="71"/>
        <v>-4257931</v>
      </c>
      <c r="AB366" s="23">
        <v>152727</v>
      </c>
      <c r="AC366" s="23">
        <f t="shared" si="72"/>
        <v>-152727</v>
      </c>
      <c r="AD366" s="23">
        <v>152727</v>
      </c>
      <c r="AE366" s="23">
        <f t="shared" si="73"/>
        <v>-152727</v>
      </c>
      <c r="AF366" s="23">
        <v>734545</v>
      </c>
      <c r="AG366" s="23">
        <f t="shared" si="77"/>
        <v>-734545</v>
      </c>
      <c r="AH366" s="23">
        <v>916363</v>
      </c>
      <c r="AI366" s="23">
        <f t="shared" si="78"/>
        <v>-916363</v>
      </c>
      <c r="AK366" s="23">
        <f t="shared" si="76"/>
        <v>0</v>
      </c>
      <c r="AL366" s="23">
        <v>610955</v>
      </c>
      <c r="AM366" s="23">
        <f t="shared" si="74"/>
        <v>-610955</v>
      </c>
      <c r="AN366" s="23">
        <v>3521342</v>
      </c>
      <c r="AO366" s="23">
        <f t="shared" si="79"/>
        <v>-3521342</v>
      </c>
      <c r="AP366" s="41">
        <v>4896656</v>
      </c>
      <c r="AQ366">
        <f t="shared" si="80"/>
        <v>-4896656</v>
      </c>
    </row>
    <row r="367" spans="4:43" ht="15" customHeight="1">
      <c r="D367" t="s">
        <v>895</v>
      </c>
      <c r="E367" t="s">
        <v>397</v>
      </c>
      <c r="G367" t="s">
        <v>831</v>
      </c>
      <c r="H367" t="s">
        <v>1052</v>
      </c>
      <c r="J367" s="23">
        <f t="shared" si="65"/>
        <v>0</v>
      </c>
      <c r="K367" s="23">
        <v>503597</v>
      </c>
      <c r="L367" s="23">
        <f t="shared" si="87"/>
        <v>-503597</v>
      </c>
      <c r="N367" s="23">
        <f t="shared" si="88"/>
        <v>0</v>
      </c>
      <c r="P367" s="23">
        <v>1954661</v>
      </c>
      <c r="Q367" s="23">
        <f t="shared" si="86"/>
        <v>-1954661</v>
      </c>
      <c r="S367" s="23">
        <f t="shared" si="67"/>
        <v>0</v>
      </c>
      <c r="U367" s="23">
        <v>4000999</v>
      </c>
      <c r="V367" s="23">
        <f t="shared" si="69"/>
        <v>-4000999</v>
      </c>
      <c r="X367" s="23">
        <f t="shared" si="70"/>
        <v>0</v>
      </c>
      <c r="Z367" s="23">
        <v>6127107</v>
      </c>
      <c r="AA367" s="23">
        <f t="shared" si="71"/>
        <v>-6127107</v>
      </c>
      <c r="AB367" s="23">
        <v>546977</v>
      </c>
      <c r="AC367" s="23">
        <f t="shared" ref="AC367:AC402" si="89">-AB367</f>
        <v>-546977</v>
      </c>
      <c r="AD367" s="23">
        <v>4309250</v>
      </c>
      <c r="AE367" s="23">
        <f t="shared" ref="AE367:AE402" si="90">-AD367</f>
        <v>-4309250</v>
      </c>
      <c r="AF367" s="23">
        <v>4731204</v>
      </c>
      <c r="AG367" s="23">
        <f t="shared" si="77"/>
        <v>-4731204</v>
      </c>
      <c r="AH367" s="23">
        <v>4731204</v>
      </c>
      <c r="AI367" s="23">
        <f t="shared" si="78"/>
        <v>-4731204</v>
      </c>
      <c r="AJ367" s="23">
        <v>138546</v>
      </c>
      <c r="AK367" s="23">
        <f t="shared" ref="AK367:AK402" si="91">-AJ367</f>
        <v>-138546</v>
      </c>
      <c r="AL367" s="23">
        <v>881745</v>
      </c>
      <c r="AM367" s="23">
        <f t="shared" ref="AM367:AM400" si="92">-AL367</f>
        <v>-881745</v>
      </c>
      <c r="AN367" s="23">
        <v>1194017</v>
      </c>
      <c r="AO367" s="23">
        <f t="shared" si="79"/>
        <v>-1194017</v>
      </c>
      <c r="AP367" s="41">
        <v>2299062</v>
      </c>
      <c r="AQ367">
        <f t="shared" si="80"/>
        <v>-2299062</v>
      </c>
    </row>
    <row r="368" spans="4:43" ht="15" customHeight="1">
      <c r="D368" t="s">
        <v>896</v>
      </c>
      <c r="E368" t="s">
        <v>397</v>
      </c>
      <c r="G368" t="s">
        <v>831</v>
      </c>
      <c r="H368" t="s">
        <v>1052</v>
      </c>
      <c r="J368" s="23">
        <f t="shared" ref="J368:J402" si="93">-I368</f>
        <v>0</v>
      </c>
      <c r="K368" s="23">
        <v>10187713</v>
      </c>
      <c r="L368" s="23">
        <f t="shared" si="87"/>
        <v>-10187713</v>
      </c>
      <c r="N368" s="23">
        <f t="shared" si="88"/>
        <v>0</v>
      </c>
      <c r="P368" s="23">
        <v>26297696</v>
      </c>
      <c r="Q368" s="23">
        <f t="shared" si="86"/>
        <v>-26297696</v>
      </c>
      <c r="R368" s="23">
        <v>47831287</v>
      </c>
      <c r="S368" s="23">
        <f t="shared" ref="S368:S405" si="94">-R368</f>
        <v>-47831287</v>
      </c>
      <c r="U368" s="23">
        <v>42835411</v>
      </c>
      <c r="V368" s="23">
        <f t="shared" ref="V368:V405" si="95">-U368</f>
        <v>-42835411</v>
      </c>
      <c r="X368" s="23">
        <f t="shared" ref="X368:X405" si="96">-W368</f>
        <v>0</v>
      </c>
      <c r="Z368" s="23">
        <v>52402762</v>
      </c>
      <c r="AA368" s="23">
        <f t="shared" ref="AA368:AA405" si="97">-Z368</f>
        <v>-52402762</v>
      </c>
      <c r="AB368" s="23">
        <v>64374391</v>
      </c>
      <c r="AC368" s="23">
        <f t="shared" si="89"/>
        <v>-64374391</v>
      </c>
      <c r="AD368" s="23">
        <v>82737354</v>
      </c>
      <c r="AE368" s="23">
        <f t="shared" si="90"/>
        <v>-82737354</v>
      </c>
      <c r="AF368" s="23">
        <v>92885684</v>
      </c>
      <c r="AG368" s="23">
        <f t="shared" si="77"/>
        <v>-92885684</v>
      </c>
      <c r="AH368" s="23">
        <v>104169452</v>
      </c>
      <c r="AI368" s="23">
        <f t="shared" si="78"/>
        <v>-104169452</v>
      </c>
      <c r="AJ368" s="23">
        <f>8454208+654957</f>
        <v>9109165</v>
      </c>
      <c r="AK368" s="23">
        <f t="shared" si="91"/>
        <v>-9109165</v>
      </c>
      <c r="AL368" s="23">
        <f>26938328+654954</f>
        <v>27593282</v>
      </c>
      <c r="AM368" s="23">
        <f t="shared" si="92"/>
        <v>-27593282</v>
      </c>
      <c r="AN368" s="23">
        <f>43992702+1564048</f>
        <v>45556750</v>
      </c>
      <c r="AO368" s="23">
        <f t="shared" si="79"/>
        <v>-45556750</v>
      </c>
      <c r="AP368" s="41">
        <f>69799118+1564048</f>
        <v>71363166</v>
      </c>
      <c r="AQ368">
        <f t="shared" si="80"/>
        <v>-71363166</v>
      </c>
    </row>
    <row r="369" spans="4:43" ht="15" customHeight="1">
      <c r="D369" t="s">
        <v>919</v>
      </c>
      <c r="E369" t="s">
        <v>397</v>
      </c>
      <c r="G369" t="s">
        <v>831</v>
      </c>
      <c r="H369" t="s">
        <v>1052</v>
      </c>
      <c r="J369" s="23">
        <f t="shared" si="93"/>
        <v>0</v>
      </c>
      <c r="P369" s="23">
        <v>538364</v>
      </c>
      <c r="Q369" s="23">
        <f t="shared" si="86"/>
        <v>-538364</v>
      </c>
      <c r="S369" s="23">
        <f t="shared" si="94"/>
        <v>0</v>
      </c>
      <c r="U369" s="23">
        <v>1695359</v>
      </c>
      <c r="V369" s="23">
        <f t="shared" si="95"/>
        <v>-1695359</v>
      </c>
      <c r="X369" s="23">
        <f t="shared" si="96"/>
        <v>0</v>
      </c>
      <c r="Z369" s="23">
        <v>3475370</v>
      </c>
      <c r="AA369" s="23">
        <f t="shared" si="97"/>
        <v>-3475370</v>
      </c>
      <c r="AB369" s="23">
        <v>1639541</v>
      </c>
      <c r="AC369" s="23">
        <f t="shared" si="89"/>
        <v>-1639541</v>
      </c>
      <c r="AD369" s="23">
        <v>1639541</v>
      </c>
      <c r="AE369" s="23">
        <f t="shared" si="90"/>
        <v>-1639541</v>
      </c>
      <c r="AF369" s="23">
        <v>3413497</v>
      </c>
      <c r="AG369" s="23">
        <f t="shared" si="77"/>
        <v>-3413497</v>
      </c>
      <c r="AH369" s="23">
        <v>5143029</v>
      </c>
      <c r="AI369" s="23">
        <f t="shared" si="78"/>
        <v>-5143029</v>
      </c>
      <c r="AJ369" s="23">
        <v>1164546</v>
      </c>
      <c r="AK369" s="23">
        <f t="shared" si="91"/>
        <v>-1164546</v>
      </c>
      <c r="AL369" s="23">
        <v>3015750</v>
      </c>
      <c r="AM369" s="23">
        <f t="shared" si="92"/>
        <v>-3015750</v>
      </c>
      <c r="AN369" s="23">
        <v>4786431</v>
      </c>
      <c r="AO369" s="23">
        <f t="shared" si="79"/>
        <v>-4786431</v>
      </c>
      <c r="AP369" s="41">
        <v>6008249</v>
      </c>
      <c r="AQ369">
        <f t="shared" si="80"/>
        <v>-6008249</v>
      </c>
    </row>
    <row r="370" spans="4:43" ht="15" customHeight="1">
      <c r="J370" s="23">
        <f t="shared" si="93"/>
        <v>0</v>
      </c>
      <c r="S370" s="23">
        <f t="shared" si="94"/>
        <v>0</v>
      </c>
      <c r="V370" s="23">
        <f t="shared" si="95"/>
        <v>0</v>
      </c>
      <c r="X370" s="23">
        <f t="shared" si="96"/>
        <v>0</v>
      </c>
      <c r="AA370" s="23">
        <f t="shared" si="97"/>
        <v>0</v>
      </c>
      <c r="AC370" s="23">
        <f t="shared" si="89"/>
        <v>0</v>
      </c>
      <c r="AE370" s="23">
        <f t="shared" si="90"/>
        <v>0</v>
      </c>
      <c r="AG370" s="23">
        <f t="shared" ref="AG370:AG402" si="98">-AF370</f>
        <v>0</v>
      </c>
      <c r="AI370" s="23">
        <f t="shared" ref="AI370:AI402" si="99">-AH370</f>
        <v>0</v>
      </c>
      <c r="AK370" s="23">
        <f t="shared" si="91"/>
        <v>0</v>
      </c>
      <c r="AM370" s="23">
        <f t="shared" si="92"/>
        <v>0</v>
      </c>
      <c r="AO370" s="23">
        <f t="shared" ref="AO370:AO402" si="100">-AN370</f>
        <v>0</v>
      </c>
      <c r="AQ370">
        <f t="shared" ref="AQ370:AQ400" si="101">-AP370</f>
        <v>0</v>
      </c>
    </row>
    <row r="371" spans="4:43" s="37" customFormat="1" ht="15" customHeight="1">
      <c r="D371" s="37" t="s">
        <v>701</v>
      </c>
      <c r="I371" s="38">
        <f>SUM(I372:I377)</f>
        <v>515423031.70000064</v>
      </c>
      <c r="J371" s="38">
        <f t="shared" si="93"/>
        <v>-515423031.70000064</v>
      </c>
      <c r="K371" s="38">
        <f>SUM(K372:K377)</f>
        <v>85144229</v>
      </c>
      <c r="L371" s="38"/>
      <c r="M371" s="38">
        <f t="shared" ref="M371:R371" si="102">SUM(M372:M377)</f>
        <v>95400766</v>
      </c>
      <c r="N371" s="38">
        <f t="shared" si="102"/>
        <v>-95400766</v>
      </c>
      <c r="O371" s="38">
        <f t="shared" si="102"/>
        <v>124612358</v>
      </c>
      <c r="P371" s="38">
        <f t="shared" si="102"/>
        <v>102382384</v>
      </c>
      <c r="Q371" s="38">
        <f t="shared" si="102"/>
        <v>-102382384</v>
      </c>
      <c r="R371" s="38">
        <f t="shared" si="102"/>
        <v>172483165</v>
      </c>
      <c r="S371" s="38">
        <f t="shared" si="94"/>
        <v>-172483165</v>
      </c>
      <c r="T371" s="38"/>
      <c r="U371" s="38">
        <f t="shared" ref="U371:AD371" si="103">SUM(U372:U377)</f>
        <v>199194892</v>
      </c>
      <c r="V371" s="38">
        <f t="shared" si="95"/>
        <v>-199194892</v>
      </c>
      <c r="W371" s="38">
        <f t="shared" si="103"/>
        <v>222663595</v>
      </c>
      <c r="X371" s="38">
        <f t="shared" si="96"/>
        <v>-222663595</v>
      </c>
      <c r="Y371" s="38">
        <f t="shared" si="103"/>
        <v>284948120</v>
      </c>
      <c r="Z371" s="38">
        <f t="shared" si="103"/>
        <v>344005372</v>
      </c>
      <c r="AA371" s="38">
        <f t="shared" si="97"/>
        <v>-344005372</v>
      </c>
      <c r="AB371" s="38">
        <f t="shared" si="103"/>
        <v>163245829</v>
      </c>
      <c r="AC371" s="38">
        <f t="shared" si="89"/>
        <v>-163245829</v>
      </c>
      <c r="AD371" s="38">
        <f t="shared" si="103"/>
        <v>168483021</v>
      </c>
      <c r="AE371" s="38">
        <f t="shared" si="90"/>
        <v>-168483021</v>
      </c>
      <c r="AF371" s="38">
        <f>SUM(AF372:AF378)</f>
        <v>289951538</v>
      </c>
      <c r="AG371" s="38">
        <f t="shared" si="98"/>
        <v>-289951538</v>
      </c>
      <c r="AH371" s="38">
        <f>SUM(AH372:AH378)</f>
        <v>360465315</v>
      </c>
      <c r="AI371" s="38">
        <f t="shared" si="99"/>
        <v>-360465315</v>
      </c>
      <c r="AJ371" s="38">
        <f>SUM(AJ372:AJ378)</f>
        <v>103078203</v>
      </c>
      <c r="AK371" s="38">
        <f>SUM(AK372:AK378)</f>
        <v>-103078203</v>
      </c>
      <c r="AL371" s="38">
        <f>SUM(AL372:AL378)</f>
        <v>107998115</v>
      </c>
      <c r="AM371" s="38">
        <f t="shared" si="92"/>
        <v>-107998115</v>
      </c>
      <c r="AN371" s="38">
        <f>SUM(AN372:AN378)</f>
        <v>179534492</v>
      </c>
      <c r="AO371" s="38">
        <f t="shared" si="100"/>
        <v>-179534492</v>
      </c>
      <c r="AP371" s="38">
        <f>SUM(AP372:AP378)</f>
        <v>210252296</v>
      </c>
      <c r="AQ371" s="37">
        <f t="shared" si="101"/>
        <v>-210252296</v>
      </c>
    </row>
    <row r="372" spans="4:43" ht="15" customHeight="1">
      <c r="D372" t="s">
        <v>702</v>
      </c>
      <c r="E372" t="s">
        <v>397</v>
      </c>
      <c r="G372" t="s">
        <v>833</v>
      </c>
      <c r="H372" t="s">
        <v>1053</v>
      </c>
      <c r="I372" s="23">
        <v>95493605</v>
      </c>
      <c r="J372" s="23">
        <f t="shared" si="93"/>
        <v>-95493605</v>
      </c>
      <c r="K372" s="23">
        <f>19420900+13693336+13536795</f>
        <v>46651031</v>
      </c>
      <c r="L372" s="23">
        <f t="shared" ref="L372:L377" si="104">-K372</f>
        <v>-46651031</v>
      </c>
      <c r="M372" s="23">
        <v>48212243</v>
      </c>
      <c r="N372" s="23">
        <f t="shared" ref="N372:N377" si="105">-M372</f>
        <v>-48212243</v>
      </c>
      <c r="O372" s="23">
        <v>42521713</v>
      </c>
      <c r="P372" s="23">
        <f>19420900+13693336+13536795</f>
        <v>46651031</v>
      </c>
      <c r="Q372" s="23">
        <f t="shared" ref="Q372:Q377" si="106">-P372</f>
        <v>-46651031</v>
      </c>
      <c r="R372" s="23">
        <v>48212243</v>
      </c>
      <c r="S372" s="23">
        <f t="shared" si="94"/>
        <v>-48212243</v>
      </c>
      <c r="U372" s="23">
        <f>40303700+26675742+26734431+710930</f>
        <v>94424803</v>
      </c>
      <c r="V372" s="23">
        <f t="shared" si="95"/>
        <v>-94424803</v>
      </c>
      <c r="W372" s="23">
        <v>95493605</v>
      </c>
      <c r="X372" s="23">
        <f t="shared" si="96"/>
        <v>-95493605</v>
      </c>
      <c r="Y372" s="23">
        <v>72486130</v>
      </c>
      <c r="Z372" s="23">
        <f>40303700+26675742+26734431+710930</f>
        <v>94424803</v>
      </c>
      <c r="AA372" s="23">
        <f t="shared" si="97"/>
        <v>-94424803</v>
      </c>
      <c r="AB372" s="23">
        <f>44199639+22696392+669294</f>
        <v>67565325</v>
      </c>
      <c r="AC372" s="23">
        <f t="shared" si="89"/>
        <v>-67565325</v>
      </c>
      <c r="AD372" s="23">
        <f>44199639+22696392+669294</f>
        <v>67565325</v>
      </c>
      <c r="AE372" s="23">
        <f t="shared" si="90"/>
        <v>-67565325</v>
      </c>
      <c r="AF372" s="23">
        <f>90887352+39040673+1317551</f>
        <v>131245576</v>
      </c>
      <c r="AG372" s="23">
        <f t="shared" si="98"/>
        <v>-131245576</v>
      </c>
      <c r="AH372" s="23">
        <f>63354300+27533052+39040673+1317551</f>
        <v>131245576</v>
      </c>
      <c r="AI372" s="23">
        <f t="shared" si="99"/>
        <v>-131245576</v>
      </c>
      <c r="AJ372" s="23">
        <f>27772000+14132441+17268004+1420097</f>
        <v>60592542</v>
      </c>
      <c r="AK372" s="23">
        <f t="shared" si="91"/>
        <v>-60592542</v>
      </c>
      <c r="AL372" s="23">
        <f>27772000+14132441+17268004+1420097</f>
        <v>60592542</v>
      </c>
      <c r="AM372" s="23">
        <f t="shared" si="92"/>
        <v>-60592542</v>
      </c>
      <c r="AN372" s="23">
        <f>54763600+28264882+34181529+2270049</f>
        <v>119480060</v>
      </c>
      <c r="AO372" s="23">
        <f t="shared" si="100"/>
        <v>-119480060</v>
      </c>
      <c r="AP372" s="41">
        <f>54763600+28310882+34181529+2270049</f>
        <v>119526060</v>
      </c>
      <c r="AQ372">
        <f t="shared" si="101"/>
        <v>-119526060</v>
      </c>
    </row>
    <row r="373" spans="4:43" ht="15" customHeight="1">
      <c r="D373" t="s">
        <v>703</v>
      </c>
      <c r="E373" t="s">
        <v>397</v>
      </c>
      <c r="G373" t="s">
        <v>833</v>
      </c>
      <c r="H373" t="s">
        <v>1053</v>
      </c>
      <c r="I373" s="23">
        <v>11780992</v>
      </c>
      <c r="J373" s="23">
        <f t="shared" si="93"/>
        <v>-11780992</v>
      </c>
      <c r="K373" s="23">
        <v>0</v>
      </c>
      <c r="L373" s="23">
        <f t="shared" si="104"/>
        <v>0</v>
      </c>
      <c r="M373" s="23">
        <v>5352492</v>
      </c>
      <c r="N373" s="23">
        <f t="shared" si="105"/>
        <v>-5352492</v>
      </c>
      <c r="O373" s="23">
        <v>11949100</v>
      </c>
      <c r="Q373" s="23">
        <f t="shared" si="106"/>
        <v>0</v>
      </c>
      <c r="R373" s="23">
        <v>11780992</v>
      </c>
      <c r="S373" s="23">
        <f t="shared" si="94"/>
        <v>-11780992</v>
      </c>
      <c r="V373" s="23">
        <f t="shared" si="95"/>
        <v>0</v>
      </c>
      <c r="W373" s="23">
        <v>11780992</v>
      </c>
      <c r="X373" s="23">
        <f t="shared" si="96"/>
        <v>-11780992</v>
      </c>
      <c r="Y373" s="23">
        <v>11949100</v>
      </c>
      <c r="Z373" s="23">
        <v>7561800</v>
      </c>
      <c r="AA373" s="23">
        <f t="shared" si="97"/>
        <v>-7561800</v>
      </c>
      <c r="AB373" s="23">
        <v>19497876</v>
      </c>
      <c r="AC373" s="23">
        <f t="shared" si="89"/>
        <v>-19497876</v>
      </c>
      <c r="AD373" s="23">
        <v>19497876</v>
      </c>
      <c r="AE373" s="23">
        <f t="shared" si="90"/>
        <v>-19497876</v>
      </c>
      <c r="AF373" s="23">
        <v>19497876</v>
      </c>
      <c r="AG373" s="23">
        <f t="shared" si="98"/>
        <v>-19497876</v>
      </c>
      <c r="AH373" s="23">
        <v>19497876</v>
      </c>
      <c r="AI373" s="23">
        <f t="shared" si="99"/>
        <v>-19497876</v>
      </c>
      <c r="AJ373" s="23">
        <v>6395360</v>
      </c>
      <c r="AK373" s="23">
        <f t="shared" si="91"/>
        <v>-6395360</v>
      </c>
      <c r="AL373" s="23">
        <v>6395360</v>
      </c>
      <c r="AM373" s="23">
        <f t="shared" si="92"/>
        <v>-6395360</v>
      </c>
      <c r="AN373" s="23">
        <v>9355894</v>
      </c>
      <c r="AO373" s="23">
        <f t="shared" si="100"/>
        <v>-9355894</v>
      </c>
      <c r="AP373" s="41">
        <v>9355894</v>
      </c>
      <c r="AQ373">
        <f t="shared" si="101"/>
        <v>-9355894</v>
      </c>
    </row>
    <row r="374" spans="4:43" ht="15" customHeight="1">
      <c r="D374" t="s">
        <v>704</v>
      </c>
      <c r="E374" t="s">
        <v>397</v>
      </c>
      <c r="G374" t="s">
        <v>833</v>
      </c>
      <c r="H374" t="s">
        <v>1053</v>
      </c>
      <c r="I374" s="23">
        <v>1636204</v>
      </c>
      <c r="J374" s="23">
        <f t="shared" si="93"/>
        <v>-1636204</v>
      </c>
      <c r="K374" s="23">
        <v>0</v>
      </c>
      <c r="L374" s="23">
        <f t="shared" si="104"/>
        <v>0</v>
      </c>
      <c r="M374" s="23">
        <v>280624</v>
      </c>
      <c r="N374" s="23">
        <f t="shared" si="105"/>
        <v>-280624</v>
      </c>
      <c r="P374" s="23">
        <v>728500</v>
      </c>
      <c r="Q374" s="23">
        <f t="shared" si="106"/>
        <v>-728500</v>
      </c>
      <c r="R374" s="23">
        <v>280624</v>
      </c>
      <c r="S374" s="23">
        <f t="shared" si="94"/>
        <v>-280624</v>
      </c>
      <c r="U374" s="23">
        <v>1628500</v>
      </c>
      <c r="V374" s="23">
        <f t="shared" si="95"/>
        <v>-1628500</v>
      </c>
      <c r="W374" s="23">
        <v>680624</v>
      </c>
      <c r="X374" s="23">
        <f t="shared" si="96"/>
        <v>-680624</v>
      </c>
      <c r="Z374" s="23">
        <f>3024500+150000</f>
        <v>3174500</v>
      </c>
      <c r="AA374" s="23">
        <f t="shared" si="97"/>
        <v>-3174500</v>
      </c>
      <c r="AB374" s="23">
        <v>1150000</v>
      </c>
      <c r="AC374" s="23">
        <f t="shared" si="89"/>
        <v>-1150000</v>
      </c>
      <c r="AD374" s="23">
        <v>2150000</v>
      </c>
      <c r="AE374" s="23">
        <f t="shared" si="90"/>
        <v>-2150000</v>
      </c>
      <c r="AF374" s="23">
        <f>3596773+50000</f>
        <v>3646773</v>
      </c>
      <c r="AG374" s="23">
        <f t="shared" si="98"/>
        <v>-3646773</v>
      </c>
      <c r="AH374" s="23">
        <f>4296773+50000</f>
        <v>4346773</v>
      </c>
      <c r="AI374" s="23">
        <f t="shared" si="99"/>
        <v>-4346773</v>
      </c>
      <c r="AJ374" s="23">
        <v>2662520</v>
      </c>
      <c r="AK374" s="23">
        <f t="shared" si="91"/>
        <v>-2662520</v>
      </c>
      <c r="AL374" s="23">
        <v>4515520</v>
      </c>
      <c r="AM374" s="23">
        <f t="shared" si="92"/>
        <v>-4515520</v>
      </c>
      <c r="AN374" s="23">
        <v>6990520</v>
      </c>
      <c r="AO374" s="23">
        <f t="shared" si="100"/>
        <v>-6990520</v>
      </c>
      <c r="AP374" s="41">
        <v>7240520</v>
      </c>
      <c r="AQ374">
        <f t="shared" si="101"/>
        <v>-7240520</v>
      </c>
    </row>
    <row r="375" spans="4:43" ht="15" customHeight="1">
      <c r="D375" t="s">
        <v>705</v>
      </c>
      <c r="E375" t="s">
        <v>397</v>
      </c>
      <c r="G375" t="s">
        <v>833</v>
      </c>
      <c r="H375" t="s">
        <v>1053</v>
      </c>
      <c r="I375" s="23">
        <v>13335929</v>
      </c>
      <c r="J375" s="23">
        <f t="shared" si="93"/>
        <v>-13335929</v>
      </c>
      <c r="K375" s="23">
        <f>1959100+2964232</f>
        <v>4923332</v>
      </c>
      <c r="L375" s="23">
        <f t="shared" si="104"/>
        <v>-4923332</v>
      </c>
      <c r="M375" s="23">
        <v>190909</v>
      </c>
      <c r="N375" s="23">
        <f t="shared" si="105"/>
        <v>-190909</v>
      </c>
      <c r="O375" s="23">
        <v>13753558</v>
      </c>
      <c r="P375" s="23">
        <f>543906+1959100+2964232</f>
        <v>5467238</v>
      </c>
      <c r="Q375" s="23">
        <f t="shared" si="106"/>
        <v>-5467238</v>
      </c>
      <c r="R375" s="23">
        <v>10340829</v>
      </c>
      <c r="S375" s="23">
        <f t="shared" si="94"/>
        <v>-10340829</v>
      </c>
      <c r="U375" s="23">
        <f>543906+1959100+2964232</f>
        <v>5467238</v>
      </c>
      <c r="V375" s="23">
        <f t="shared" si="95"/>
        <v>-5467238</v>
      </c>
      <c r="W375" s="23">
        <v>10340829</v>
      </c>
      <c r="X375" s="23">
        <f t="shared" si="96"/>
        <v>-10340829</v>
      </c>
      <c r="Y375" s="23">
        <v>13753558</v>
      </c>
      <c r="Z375" s="23">
        <f>8340506+1959100+2964232</f>
        <v>13263838</v>
      </c>
      <c r="AA375" s="23">
        <f t="shared" si="97"/>
        <v>-13263838</v>
      </c>
      <c r="AB375" s="23">
        <v>2192000</v>
      </c>
      <c r="AC375" s="23">
        <f t="shared" si="89"/>
        <v>-2192000</v>
      </c>
      <c r="AD375" s="23">
        <v>3456081</v>
      </c>
      <c r="AE375" s="23">
        <f t="shared" si="90"/>
        <v>-3456081</v>
      </c>
      <c r="AF375" s="23">
        <v>3921581</v>
      </c>
      <c r="AG375" s="23">
        <f t="shared" si="98"/>
        <v>-3921581</v>
      </c>
      <c r="AH375" s="23">
        <v>4327841</v>
      </c>
      <c r="AI375" s="23">
        <f t="shared" si="99"/>
        <v>-4327841</v>
      </c>
      <c r="AJ375" s="23">
        <v>2280000</v>
      </c>
      <c r="AK375" s="23">
        <f t="shared" si="91"/>
        <v>-2280000</v>
      </c>
      <c r="AL375" s="23">
        <v>2280000</v>
      </c>
      <c r="AM375" s="23">
        <f t="shared" si="92"/>
        <v>-2280000</v>
      </c>
      <c r="AN375" s="23">
        <v>3872400</v>
      </c>
      <c r="AO375" s="23">
        <f t="shared" si="100"/>
        <v>-3872400</v>
      </c>
      <c r="AP375" s="41">
        <v>8444400</v>
      </c>
      <c r="AQ375">
        <f t="shared" si="101"/>
        <v>-8444400</v>
      </c>
    </row>
    <row r="376" spans="4:43" ht="15" customHeight="1">
      <c r="D376" t="s">
        <v>706</v>
      </c>
      <c r="E376" t="s">
        <v>397</v>
      </c>
      <c r="G376" t="s">
        <v>833</v>
      </c>
      <c r="H376" t="s">
        <v>1053</v>
      </c>
      <c r="I376" s="23">
        <v>10328424</v>
      </c>
      <c r="J376" s="23">
        <f t="shared" si="93"/>
        <v>-10328424</v>
      </c>
      <c r="K376" s="23">
        <v>314500</v>
      </c>
      <c r="L376" s="23">
        <f t="shared" si="104"/>
        <v>-314500</v>
      </c>
      <c r="M376" s="23">
        <v>3589497</v>
      </c>
      <c r="N376" s="23">
        <f t="shared" si="105"/>
        <v>-3589497</v>
      </c>
      <c r="O376" s="23">
        <v>1561466</v>
      </c>
      <c r="P376" s="23">
        <v>5218979</v>
      </c>
      <c r="Q376" s="23">
        <f t="shared" si="106"/>
        <v>-5218979</v>
      </c>
      <c r="R376" s="23">
        <v>6567047</v>
      </c>
      <c r="S376" s="23">
        <f t="shared" si="94"/>
        <v>-6567047</v>
      </c>
      <c r="U376" s="23">
        <v>6506534</v>
      </c>
      <c r="V376" s="23">
        <f t="shared" si="95"/>
        <v>-6506534</v>
      </c>
      <c r="W376" s="23">
        <v>9066115</v>
      </c>
      <c r="X376" s="23">
        <f t="shared" si="96"/>
        <v>-9066115</v>
      </c>
      <c r="Y376" s="23">
        <v>4249541</v>
      </c>
      <c r="Z376" s="23">
        <v>9229836</v>
      </c>
      <c r="AA376" s="23">
        <f t="shared" si="97"/>
        <v>-9229836</v>
      </c>
      <c r="AB376" s="23">
        <v>4367103</v>
      </c>
      <c r="AC376" s="23">
        <f t="shared" si="89"/>
        <v>-4367103</v>
      </c>
      <c r="AD376" s="23">
        <v>7340214</v>
      </c>
      <c r="AE376" s="23">
        <f t="shared" si="90"/>
        <v>-7340214</v>
      </c>
      <c r="AF376" s="23">
        <v>9322823</v>
      </c>
      <c r="AG376" s="23">
        <f t="shared" si="98"/>
        <v>-9322823</v>
      </c>
      <c r="AH376" s="23">
        <v>10307118</v>
      </c>
      <c r="AI376" s="23">
        <f t="shared" si="99"/>
        <v>-10307118</v>
      </c>
      <c r="AJ376" s="23">
        <v>1289000</v>
      </c>
      <c r="AK376" s="23">
        <f t="shared" si="91"/>
        <v>-1289000</v>
      </c>
      <c r="AL376" s="23">
        <v>4355912</v>
      </c>
      <c r="AM376" s="23">
        <f t="shared" si="92"/>
        <v>-4355912</v>
      </c>
      <c r="AN376" s="23">
        <v>9976837</v>
      </c>
      <c r="AO376" s="23">
        <f t="shared" si="100"/>
        <v>-9976837</v>
      </c>
      <c r="AP376" s="41">
        <v>10501837</v>
      </c>
      <c r="AQ376">
        <f t="shared" si="101"/>
        <v>-10501837</v>
      </c>
    </row>
    <row r="377" spans="4:43" ht="15" customHeight="1">
      <c r="D377" t="s">
        <v>707</v>
      </c>
      <c r="E377" t="s">
        <v>1576</v>
      </c>
      <c r="H377" t="s">
        <v>1051</v>
      </c>
      <c r="I377" s="23">
        <v>382847877.70000064</v>
      </c>
      <c r="J377" s="23">
        <f t="shared" si="93"/>
        <v>-382847877.70000064</v>
      </c>
      <c r="K377" s="23">
        <v>33255366</v>
      </c>
      <c r="L377" s="23">
        <f t="shared" si="104"/>
        <v>-33255366</v>
      </c>
      <c r="M377" s="23">
        <v>37775001</v>
      </c>
      <c r="N377" s="23">
        <f t="shared" si="105"/>
        <v>-37775001</v>
      </c>
      <c r="O377" s="23">
        <v>54826521</v>
      </c>
      <c r="P377" s="23">
        <v>44316636</v>
      </c>
      <c r="Q377" s="23">
        <f t="shared" si="106"/>
        <v>-44316636</v>
      </c>
      <c r="R377" s="23">
        <v>95301430</v>
      </c>
      <c r="S377" s="23">
        <f t="shared" si="94"/>
        <v>-95301430</v>
      </c>
      <c r="U377" s="23">
        <v>91167817</v>
      </c>
      <c r="V377" s="23">
        <f t="shared" si="95"/>
        <v>-91167817</v>
      </c>
      <c r="W377" s="23">
        <v>95301430</v>
      </c>
      <c r="X377" s="23">
        <f t="shared" si="96"/>
        <v>-95301430</v>
      </c>
      <c r="Y377" s="23">
        <v>182509791</v>
      </c>
      <c r="Z377" s="23">
        <v>216350595</v>
      </c>
      <c r="AA377" s="23">
        <f t="shared" si="97"/>
        <v>-216350595</v>
      </c>
      <c r="AB377" s="23">
        <v>68473525</v>
      </c>
      <c r="AC377" s="23">
        <f t="shared" si="89"/>
        <v>-68473525</v>
      </c>
      <c r="AD377" s="23">
        <v>68473525</v>
      </c>
      <c r="AE377" s="23">
        <f t="shared" si="90"/>
        <v>-68473525</v>
      </c>
      <c r="AF377" s="23">
        <v>120287009</v>
      </c>
      <c r="AG377" s="23">
        <f t="shared" si="98"/>
        <v>-120287009</v>
      </c>
      <c r="AH377" s="23">
        <v>188710231</v>
      </c>
      <c r="AI377" s="23">
        <f t="shared" si="99"/>
        <v>-188710231</v>
      </c>
      <c r="AJ377" s="23">
        <v>29858781</v>
      </c>
      <c r="AK377" s="23">
        <f t="shared" si="91"/>
        <v>-29858781</v>
      </c>
      <c r="AL377" s="23">
        <v>29858781</v>
      </c>
      <c r="AM377" s="23">
        <f t="shared" si="92"/>
        <v>-29858781</v>
      </c>
      <c r="AN377" s="23">
        <v>29858781</v>
      </c>
      <c r="AO377" s="23">
        <f t="shared" si="100"/>
        <v>-29858781</v>
      </c>
      <c r="AP377" s="41">
        <v>55183585</v>
      </c>
      <c r="AQ377">
        <f t="shared" si="101"/>
        <v>-55183585</v>
      </c>
    </row>
    <row r="378" spans="4:43" ht="15" customHeight="1">
      <c r="D378" t="s">
        <v>1084</v>
      </c>
      <c r="E378" t="s">
        <v>397</v>
      </c>
      <c r="G378" t="s">
        <v>833</v>
      </c>
      <c r="H378" t="s">
        <v>1053</v>
      </c>
      <c r="AF378" s="23">
        <v>2029900</v>
      </c>
      <c r="AG378" s="23">
        <f t="shared" si="98"/>
        <v>-2029900</v>
      </c>
      <c r="AH378" s="23">
        <v>2029900</v>
      </c>
      <c r="AI378" s="23">
        <f t="shared" si="99"/>
        <v>-2029900</v>
      </c>
      <c r="AK378" s="23">
        <f t="shared" si="91"/>
        <v>0</v>
      </c>
      <c r="AM378" s="23">
        <f t="shared" si="92"/>
        <v>0</v>
      </c>
      <c r="AO378" s="23">
        <f t="shared" si="100"/>
        <v>0</v>
      </c>
      <c r="AQ378">
        <f t="shared" si="101"/>
        <v>0</v>
      </c>
    </row>
    <row r="379" spans="4:43" ht="15" customHeight="1">
      <c r="J379" s="23">
        <f t="shared" si="93"/>
        <v>0</v>
      </c>
      <c r="S379" s="23">
        <f t="shared" si="94"/>
        <v>0</v>
      </c>
      <c r="V379" s="23">
        <f t="shared" si="95"/>
        <v>0</v>
      </c>
      <c r="X379" s="23">
        <f t="shared" si="96"/>
        <v>0</v>
      </c>
      <c r="AA379" s="23">
        <f t="shared" si="97"/>
        <v>0</v>
      </c>
      <c r="AC379" s="23">
        <f t="shared" si="89"/>
        <v>0</v>
      </c>
      <c r="AE379" s="23">
        <f t="shared" si="90"/>
        <v>0</v>
      </c>
      <c r="AG379" s="23">
        <f t="shared" si="98"/>
        <v>0</v>
      </c>
      <c r="AI379" s="23">
        <f t="shared" si="99"/>
        <v>0</v>
      </c>
      <c r="AK379" s="23">
        <f t="shared" si="91"/>
        <v>0</v>
      </c>
      <c r="AM379" s="23">
        <f t="shared" si="92"/>
        <v>0</v>
      </c>
      <c r="AO379" s="23">
        <f t="shared" si="100"/>
        <v>0</v>
      </c>
      <c r="AQ379">
        <f t="shared" si="101"/>
        <v>0</v>
      </c>
    </row>
    <row r="380" spans="4:43" s="37" customFormat="1" ht="15" customHeight="1">
      <c r="D380" s="37" t="s">
        <v>708</v>
      </c>
      <c r="I380" s="38">
        <f>SUM(I381:I388)</f>
        <v>10697436393</v>
      </c>
      <c r="J380" s="38">
        <f t="shared" si="93"/>
        <v>-10697436393</v>
      </c>
      <c r="K380" s="38">
        <f>SUM(K381:K388)</f>
        <v>2948476414</v>
      </c>
      <c r="L380" s="38"/>
      <c r="M380" s="38">
        <f t="shared" ref="M380:R380" si="107">SUM(M381:M388)</f>
        <v>2497589135</v>
      </c>
      <c r="N380" s="38">
        <f t="shared" si="107"/>
        <v>-2497589135</v>
      </c>
      <c r="O380" s="38">
        <f t="shared" si="107"/>
        <v>1756253140</v>
      </c>
      <c r="P380" s="38">
        <f>SUM(P381:P388)</f>
        <v>6215802569</v>
      </c>
      <c r="Q380" s="38">
        <f t="shared" si="107"/>
        <v>-6215802569</v>
      </c>
      <c r="R380" s="38">
        <f t="shared" si="107"/>
        <v>5052247018</v>
      </c>
      <c r="S380" s="38">
        <f t="shared" si="94"/>
        <v>-5052247018</v>
      </c>
      <c r="T380" s="38"/>
      <c r="U380" s="38">
        <f t="shared" ref="U380:AH380" si="108">SUM(U381:U388)</f>
        <v>9507998128</v>
      </c>
      <c r="V380" s="38">
        <f t="shared" si="95"/>
        <v>-9507998128</v>
      </c>
      <c r="W380" s="38">
        <f t="shared" si="108"/>
        <v>7752144945</v>
      </c>
      <c r="X380" s="38">
        <f t="shared" si="96"/>
        <v>-7752144945</v>
      </c>
      <c r="Y380" s="38">
        <f t="shared" si="108"/>
        <v>5530060026</v>
      </c>
      <c r="Z380" s="38">
        <f t="shared" si="108"/>
        <v>12878809536</v>
      </c>
      <c r="AA380" s="38">
        <f t="shared" si="97"/>
        <v>-12878809536</v>
      </c>
      <c r="AB380" s="38">
        <f t="shared" si="108"/>
        <v>3534048191</v>
      </c>
      <c r="AC380" s="38">
        <f t="shared" si="89"/>
        <v>-3534048191</v>
      </c>
      <c r="AD380" s="38">
        <f t="shared" si="108"/>
        <v>7616328397</v>
      </c>
      <c r="AE380" s="38">
        <f t="shared" si="90"/>
        <v>-7616328397</v>
      </c>
      <c r="AF380" s="38">
        <f t="shared" si="108"/>
        <v>11363344235</v>
      </c>
      <c r="AG380" s="38">
        <f t="shared" si="98"/>
        <v>-11363344235</v>
      </c>
      <c r="AH380" s="38">
        <f t="shared" si="108"/>
        <v>15555120508</v>
      </c>
      <c r="AI380" s="38">
        <f t="shared" si="99"/>
        <v>-15555120508</v>
      </c>
      <c r="AJ380" s="38">
        <f>SUM(AJ381:AJ389)</f>
        <v>3653213650</v>
      </c>
      <c r="AK380" s="38">
        <f>SUM(AK381:AK389)</f>
        <v>-3653213650</v>
      </c>
      <c r="AL380" s="38">
        <f>SUM(AL381:AL389)</f>
        <v>7227722690</v>
      </c>
      <c r="AM380" s="38">
        <f t="shared" si="92"/>
        <v>-7227722690</v>
      </c>
      <c r="AN380" s="38">
        <f>SUM(AN381:AN389)</f>
        <v>11037766314</v>
      </c>
      <c r="AO380" s="38">
        <f t="shared" si="100"/>
        <v>-11037766314</v>
      </c>
      <c r="AP380" s="38">
        <f>SUM(AP381:AP389)</f>
        <v>14774371383</v>
      </c>
      <c r="AQ380" s="37">
        <f t="shared" si="101"/>
        <v>-14774371383</v>
      </c>
    </row>
    <row r="381" spans="4:43">
      <c r="D381" t="s">
        <v>709</v>
      </c>
      <c r="E381" t="s">
        <v>1527</v>
      </c>
      <c r="F381" t="s">
        <v>1019</v>
      </c>
      <c r="G381" t="s">
        <v>320</v>
      </c>
      <c r="H381" t="s">
        <v>1053</v>
      </c>
      <c r="I381" s="23">
        <v>10012485552</v>
      </c>
      <c r="J381" s="23">
        <f t="shared" si="93"/>
        <v>-10012485552</v>
      </c>
      <c r="K381" s="23">
        <v>2381402613</v>
      </c>
      <c r="L381" s="23">
        <f>-K381</f>
        <v>-2381402613</v>
      </c>
      <c r="M381" s="23">
        <v>2386277860</v>
      </c>
      <c r="N381" s="23">
        <f>-M381</f>
        <v>-2386277860</v>
      </c>
      <c r="O381" s="23">
        <v>1677107682</v>
      </c>
      <c r="P381" s="23">
        <v>4680253587</v>
      </c>
      <c r="Q381" s="23">
        <f t="shared" ref="Q381:Q388" si="109">-P381</f>
        <v>-4680253587</v>
      </c>
      <c r="R381" s="23">
        <v>4785915123</v>
      </c>
      <c r="S381" s="23">
        <f t="shared" si="94"/>
        <v>-4785915123</v>
      </c>
      <c r="U381" s="23">
        <v>7166745632</v>
      </c>
      <c r="V381" s="23">
        <f t="shared" si="95"/>
        <v>-7166745632</v>
      </c>
      <c r="W381" s="23">
        <v>7186902971</v>
      </c>
      <c r="X381" s="23">
        <f t="shared" si="96"/>
        <v>-7186902971</v>
      </c>
      <c r="Y381" s="23">
        <v>5234476711</v>
      </c>
      <c r="Z381" s="23">
        <v>9511632349</v>
      </c>
      <c r="AA381" s="23">
        <f t="shared" si="97"/>
        <v>-9511632349</v>
      </c>
      <c r="AB381" s="23">
        <v>2608801768</v>
      </c>
      <c r="AC381" s="23">
        <f t="shared" si="89"/>
        <v>-2608801768</v>
      </c>
      <c r="AD381" s="23">
        <v>5200193792</v>
      </c>
      <c r="AE381" s="23">
        <f t="shared" si="90"/>
        <v>-5200193792</v>
      </c>
      <c r="AF381" s="23">
        <v>7759693500</v>
      </c>
      <c r="AG381" s="23">
        <f t="shared" si="98"/>
        <v>-7759693500</v>
      </c>
      <c r="AH381" s="23">
        <v>10525202004</v>
      </c>
      <c r="AI381" s="23">
        <f t="shared" si="99"/>
        <v>-10525202004</v>
      </c>
      <c r="AJ381" s="23">
        <v>2348000445</v>
      </c>
      <c r="AK381" s="23">
        <f t="shared" si="91"/>
        <v>-2348000445</v>
      </c>
      <c r="AL381" s="23">
        <v>4779669631</v>
      </c>
      <c r="AM381" s="23">
        <f t="shared" si="92"/>
        <v>-4779669631</v>
      </c>
      <c r="AN381" s="23">
        <v>7399605732</v>
      </c>
      <c r="AO381" s="23">
        <f t="shared" si="100"/>
        <v>-7399605732</v>
      </c>
      <c r="AP381" s="41">
        <v>9996345728</v>
      </c>
      <c r="AQ381">
        <f t="shared" si="101"/>
        <v>-9996345728</v>
      </c>
    </row>
    <row r="382" spans="4:43">
      <c r="D382" t="s">
        <v>710</v>
      </c>
      <c r="E382" t="s">
        <v>1527</v>
      </c>
      <c r="F382" t="s">
        <v>1019</v>
      </c>
      <c r="G382" t="s">
        <v>320</v>
      </c>
      <c r="H382" t="s">
        <v>1053</v>
      </c>
      <c r="I382" s="23">
        <v>262815344</v>
      </c>
      <c r="J382" s="23">
        <f t="shared" si="93"/>
        <v>-262815344</v>
      </c>
      <c r="K382" s="23">
        <v>142091339</v>
      </c>
      <c r="L382" s="23">
        <f t="shared" ref="L382:L388" si="110">-K382</f>
        <v>-142091339</v>
      </c>
      <c r="M382" s="23">
        <v>47634466</v>
      </c>
      <c r="N382" s="23">
        <f t="shared" ref="N382:N388" si="111">-M382</f>
        <v>-47634466</v>
      </c>
      <c r="O382" s="23">
        <v>18058026</v>
      </c>
      <c r="P382" s="23">
        <v>237131616</v>
      </c>
      <c r="Q382" s="23">
        <f t="shared" si="109"/>
        <v>-237131616</v>
      </c>
      <c r="R382" s="23">
        <v>124516800</v>
      </c>
      <c r="S382" s="23">
        <f t="shared" si="94"/>
        <v>-124516800</v>
      </c>
      <c r="U382" s="23">
        <v>308165830</v>
      </c>
      <c r="V382" s="23">
        <f t="shared" si="95"/>
        <v>-308165830</v>
      </c>
      <c r="W382" s="23">
        <v>191333789</v>
      </c>
      <c r="X382" s="23">
        <f t="shared" si="96"/>
        <v>-191333789</v>
      </c>
      <c r="Y382" s="23">
        <v>65328644</v>
      </c>
      <c r="Z382" s="23">
        <v>438689130</v>
      </c>
      <c r="AA382" s="23">
        <f t="shared" si="97"/>
        <v>-438689130</v>
      </c>
      <c r="AB382" s="23">
        <v>130746344</v>
      </c>
      <c r="AC382" s="23">
        <f t="shared" si="89"/>
        <v>-130746344</v>
      </c>
      <c r="AD382" s="23">
        <v>207564248</v>
      </c>
      <c r="AE382" s="23">
        <f t="shared" si="90"/>
        <v>-207564248</v>
      </c>
      <c r="AF382" s="23">
        <v>250281941</v>
      </c>
      <c r="AG382" s="23">
        <f t="shared" si="98"/>
        <v>-250281941</v>
      </c>
      <c r="AH382" s="23">
        <v>276217473</v>
      </c>
      <c r="AI382" s="23">
        <f t="shared" si="99"/>
        <v>-276217473</v>
      </c>
      <c r="AJ382" s="23">
        <v>12483923</v>
      </c>
      <c r="AK382" s="23">
        <f t="shared" si="91"/>
        <v>-12483923</v>
      </c>
      <c r="AL382" s="23">
        <v>40241331</v>
      </c>
      <c r="AM382" s="23">
        <f t="shared" si="92"/>
        <v>-40241331</v>
      </c>
      <c r="AN382" s="23">
        <v>59354659</v>
      </c>
      <c r="AO382" s="23">
        <f t="shared" si="100"/>
        <v>-59354659</v>
      </c>
      <c r="AP382" s="41">
        <v>144872903</v>
      </c>
      <c r="AQ382">
        <f t="shared" si="101"/>
        <v>-144872903</v>
      </c>
    </row>
    <row r="383" spans="4:43" ht="16.5" customHeight="1">
      <c r="D383" t="s">
        <v>711</v>
      </c>
      <c r="E383" t="s">
        <v>397</v>
      </c>
      <c r="G383" t="s">
        <v>831</v>
      </c>
      <c r="H383" t="s">
        <v>1053</v>
      </c>
      <c r="I383" s="23">
        <v>86853358</v>
      </c>
      <c r="J383" s="23">
        <f t="shared" si="93"/>
        <v>-86853358</v>
      </c>
      <c r="K383" s="23">
        <v>13520406</v>
      </c>
      <c r="L383" s="23">
        <f t="shared" si="110"/>
        <v>-13520406</v>
      </c>
      <c r="M383" s="23">
        <v>32968313</v>
      </c>
      <c r="N383" s="23">
        <f t="shared" si="111"/>
        <v>-32968313</v>
      </c>
      <c r="O383" s="23">
        <v>17510220</v>
      </c>
      <c r="P383" s="23">
        <v>25574757</v>
      </c>
      <c r="Q383" s="23">
        <f t="shared" si="109"/>
        <v>-25574757</v>
      </c>
      <c r="R383" s="23">
        <v>58445910</v>
      </c>
      <c r="S383" s="23">
        <f t="shared" si="94"/>
        <v>-58445910</v>
      </c>
      <c r="U383" s="23">
        <v>45274859</v>
      </c>
      <c r="V383" s="23">
        <f t="shared" si="95"/>
        <v>-45274859</v>
      </c>
      <c r="W383" s="23">
        <v>70565983</v>
      </c>
      <c r="X383" s="23">
        <f t="shared" si="96"/>
        <v>-70565983</v>
      </c>
      <c r="Y383" s="23">
        <v>59351642</v>
      </c>
      <c r="Z383" s="23">
        <v>64509269</v>
      </c>
      <c r="AA383" s="23">
        <f t="shared" si="97"/>
        <v>-64509269</v>
      </c>
      <c r="AB383" s="23">
        <v>40424766</v>
      </c>
      <c r="AC383" s="23">
        <f t="shared" si="89"/>
        <v>-40424766</v>
      </c>
      <c r="AD383" s="23">
        <v>54451865</v>
      </c>
      <c r="AE383" s="23">
        <f t="shared" si="90"/>
        <v>-54451865</v>
      </c>
      <c r="AF383" s="23">
        <v>66026095</v>
      </c>
      <c r="AG383" s="23">
        <f t="shared" si="98"/>
        <v>-66026095</v>
      </c>
      <c r="AH383" s="23">
        <v>82860568</v>
      </c>
      <c r="AI383" s="23">
        <f t="shared" si="99"/>
        <v>-82860568</v>
      </c>
      <c r="AJ383" s="23">
        <v>15881171</v>
      </c>
      <c r="AK383" s="23">
        <f t="shared" si="91"/>
        <v>-15881171</v>
      </c>
      <c r="AL383" s="23">
        <v>67287898</v>
      </c>
      <c r="AM383" s="23">
        <f t="shared" si="92"/>
        <v>-67287898</v>
      </c>
      <c r="AN383" s="23">
        <v>83316089</v>
      </c>
      <c r="AO383" s="23">
        <f t="shared" si="100"/>
        <v>-83316089</v>
      </c>
      <c r="AP383" s="41">
        <v>133311907</v>
      </c>
      <c r="AQ383">
        <f t="shared" si="101"/>
        <v>-133311907</v>
      </c>
    </row>
    <row r="384" spans="4:43">
      <c r="D384" t="s">
        <v>712</v>
      </c>
      <c r="E384" t="s">
        <v>1527</v>
      </c>
      <c r="F384" t="s">
        <v>1019</v>
      </c>
      <c r="G384" t="s">
        <v>320</v>
      </c>
      <c r="H384" t="s">
        <v>1053</v>
      </c>
      <c r="I384" s="23">
        <v>152304094</v>
      </c>
      <c r="J384" s="23">
        <f t="shared" si="93"/>
        <v>-152304094</v>
      </c>
      <c r="K384" s="23">
        <v>323398</v>
      </c>
      <c r="L384" s="23">
        <f t="shared" si="110"/>
        <v>-323398</v>
      </c>
      <c r="M384" s="23">
        <v>3118948</v>
      </c>
      <c r="N384" s="23">
        <f t="shared" si="111"/>
        <v>-3118948</v>
      </c>
      <c r="P384" s="23">
        <v>566825</v>
      </c>
      <c r="Q384" s="23">
        <f t="shared" si="109"/>
        <v>-566825</v>
      </c>
      <c r="R384" s="23">
        <v>3118948</v>
      </c>
      <c r="S384" s="23">
        <f t="shared" si="94"/>
        <v>-3118948</v>
      </c>
      <c r="U384" s="23">
        <v>3854496</v>
      </c>
      <c r="V384" s="23">
        <f t="shared" si="95"/>
        <v>-3854496</v>
      </c>
      <c r="W384" s="23">
        <v>152282024</v>
      </c>
      <c r="X384" s="23">
        <f t="shared" si="96"/>
        <v>-152282024</v>
      </c>
      <c r="Y384" s="23">
        <v>3860749</v>
      </c>
      <c r="Z384" s="23">
        <v>3908510</v>
      </c>
      <c r="AA384" s="23">
        <f t="shared" si="97"/>
        <v>-3908510</v>
      </c>
      <c r="AB384" s="23">
        <v>522011</v>
      </c>
      <c r="AC384" s="23">
        <f t="shared" si="89"/>
        <v>-522011</v>
      </c>
      <c r="AD384" s="23">
        <v>522011</v>
      </c>
      <c r="AE384" s="23">
        <f t="shared" si="90"/>
        <v>-522011</v>
      </c>
      <c r="AF384" s="23">
        <v>522011</v>
      </c>
      <c r="AG384" s="23">
        <f t="shared" si="98"/>
        <v>-522011</v>
      </c>
      <c r="AH384" s="23">
        <v>567721</v>
      </c>
      <c r="AI384" s="23">
        <f t="shared" si="99"/>
        <v>-567721</v>
      </c>
      <c r="AK384" s="23">
        <f t="shared" si="91"/>
        <v>0</v>
      </c>
      <c r="AL384" s="23">
        <v>49578</v>
      </c>
      <c r="AM384" s="23">
        <f t="shared" si="92"/>
        <v>-49578</v>
      </c>
      <c r="AN384" s="23">
        <v>49578</v>
      </c>
      <c r="AO384" s="23">
        <f t="shared" si="100"/>
        <v>-49578</v>
      </c>
      <c r="AP384" s="41">
        <v>57553</v>
      </c>
      <c r="AQ384">
        <f t="shared" si="101"/>
        <v>-57553</v>
      </c>
    </row>
    <row r="385" spans="4:43">
      <c r="D385" t="s">
        <v>713</v>
      </c>
      <c r="E385" t="s">
        <v>1527</v>
      </c>
      <c r="F385" t="s">
        <v>1019</v>
      </c>
      <c r="G385" t="s">
        <v>320</v>
      </c>
      <c r="H385" t="s">
        <v>1053</v>
      </c>
      <c r="I385" s="23">
        <v>1086733</v>
      </c>
      <c r="J385" s="23">
        <f t="shared" si="93"/>
        <v>-1086733</v>
      </c>
      <c r="K385" s="23">
        <v>97020</v>
      </c>
      <c r="L385" s="23">
        <f t="shared" si="110"/>
        <v>-97020</v>
      </c>
      <c r="M385" s="23">
        <v>950817</v>
      </c>
      <c r="N385" s="23">
        <f t="shared" si="111"/>
        <v>-950817</v>
      </c>
      <c r="P385" s="23">
        <v>171689</v>
      </c>
      <c r="Q385" s="23">
        <f t="shared" si="109"/>
        <v>-171689</v>
      </c>
      <c r="R385" s="23">
        <v>971454</v>
      </c>
      <c r="S385" s="23">
        <f t="shared" si="94"/>
        <v>-971454</v>
      </c>
      <c r="U385" s="23">
        <v>1157990</v>
      </c>
      <c r="V385" s="23">
        <f t="shared" si="95"/>
        <v>-1157990</v>
      </c>
      <c r="W385" s="23">
        <v>1080112</v>
      </c>
      <c r="X385" s="23">
        <f t="shared" si="96"/>
        <v>-1080112</v>
      </c>
      <c r="Y385" s="23">
        <v>1158311</v>
      </c>
      <c r="Z385" s="23">
        <v>1175138</v>
      </c>
      <c r="AA385" s="23">
        <f t="shared" si="97"/>
        <v>-1175138</v>
      </c>
      <c r="AB385" s="23">
        <v>156603</v>
      </c>
      <c r="AC385" s="23">
        <f t="shared" si="89"/>
        <v>-156603</v>
      </c>
      <c r="AD385" s="23">
        <v>156603</v>
      </c>
      <c r="AE385" s="23">
        <f t="shared" si="90"/>
        <v>-156603</v>
      </c>
      <c r="AF385" s="23">
        <v>156603</v>
      </c>
      <c r="AG385" s="23">
        <f t="shared" si="98"/>
        <v>-156603</v>
      </c>
      <c r="AH385" s="23">
        <v>170316</v>
      </c>
      <c r="AI385" s="23">
        <f t="shared" si="99"/>
        <v>-170316</v>
      </c>
      <c r="AK385" s="23">
        <f t="shared" si="91"/>
        <v>0</v>
      </c>
      <c r="AM385" s="23">
        <f t="shared" si="92"/>
        <v>0</v>
      </c>
      <c r="AO385" s="23">
        <f t="shared" si="100"/>
        <v>0</v>
      </c>
      <c r="AP385" s="41">
        <v>2393</v>
      </c>
      <c r="AQ385">
        <f t="shared" si="101"/>
        <v>-2393</v>
      </c>
    </row>
    <row r="386" spans="4:43" ht="15.75" customHeight="1">
      <c r="D386" t="s">
        <v>714</v>
      </c>
      <c r="E386" t="s">
        <v>397</v>
      </c>
      <c r="G386" t="s">
        <v>831</v>
      </c>
      <c r="H386" t="s">
        <v>1053</v>
      </c>
      <c r="I386" s="23">
        <v>181891312</v>
      </c>
      <c r="J386" s="23">
        <f t="shared" si="93"/>
        <v>-181891312</v>
      </c>
      <c r="K386" s="23">
        <v>65017921</v>
      </c>
      <c r="L386" s="23">
        <f t="shared" si="110"/>
        <v>-65017921</v>
      </c>
      <c r="M386" s="23">
        <v>26638731</v>
      </c>
      <c r="N386" s="23">
        <f t="shared" si="111"/>
        <v>-26638731</v>
      </c>
      <c r="O386" s="23">
        <v>43577212</v>
      </c>
      <c r="P386" s="23">
        <v>113653308</v>
      </c>
      <c r="Q386" s="23">
        <f t="shared" si="109"/>
        <v>-113653308</v>
      </c>
      <c r="R386" s="23">
        <v>79278783</v>
      </c>
      <c r="S386" s="23">
        <f t="shared" si="94"/>
        <v>-79278783</v>
      </c>
      <c r="U386" s="23">
        <v>162155101</v>
      </c>
      <c r="V386" s="23">
        <f t="shared" si="95"/>
        <v>-162155101</v>
      </c>
      <c r="W386" s="23">
        <v>149980066</v>
      </c>
      <c r="X386" s="23">
        <f t="shared" si="96"/>
        <v>-149980066</v>
      </c>
      <c r="Y386" s="23">
        <v>165883969</v>
      </c>
      <c r="Z386" s="23">
        <v>196214555</v>
      </c>
      <c r="AA386" s="23">
        <f t="shared" si="97"/>
        <v>-196214555</v>
      </c>
      <c r="AB386" s="23">
        <v>40341818</v>
      </c>
      <c r="AC386" s="23">
        <f t="shared" si="89"/>
        <v>-40341818</v>
      </c>
      <c r="AD386" s="23">
        <v>127187172</v>
      </c>
      <c r="AE386" s="23">
        <f t="shared" si="90"/>
        <v>-127187172</v>
      </c>
      <c r="AF386" s="23">
        <v>163782519</v>
      </c>
      <c r="AG386" s="23">
        <f t="shared" si="98"/>
        <v>-163782519</v>
      </c>
      <c r="AH386" s="23">
        <v>381974565</v>
      </c>
      <c r="AI386" s="23">
        <f t="shared" si="99"/>
        <v>-381974565</v>
      </c>
      <c r="AJ386" s="23">
        <v>22709091</v>
      </c>
      <c r="AK386" s="23">
        <f t="shared" si="91"/>
        <v>-22709091</v>
      </c>
      <c r="AL386" s="23">
        <v>66926135</v>
      </c>
      <c r="AM386" s="23">
        <f t="shared" si="92"/>
        <v>-66926135</v>
      </c>
      <c r="AN386" s="23">
        <v>121625250</v>
      </c>
      <c r="AO386" s="23">
        <f t="shared" si="100"/>
        <v>-121625250</v>
      </c>
      <c r="AP386" s="41">
        <v>163995517</v>
      </c>
      <c r="AQ386">
        <f t="shared" si="101"/>
        <v>-163995517</v>
      </c>
    </row>
    <row r="387" spans="4:43">
      <c r="D387" t="s">
        <v>897</v>
      </c>
      <c r="E387" t="s">
        <v>1527</v>
      </c>
      <c r="F387" t="s">
        <v>1019</v>
      </c>
      <c r="G387" t="s">
        <v>320</v>
      </c>
      <c r="H387" t="s">
        <v>1053</v>
      </c>
      <c r="J387" s="23">
        <f t="shared" si="93"/>
        <v>0</v>
      </c>
      <c r="K387" s="23">
        <v>331039886</v>
      </c>
      <c r="L387" s="23">
        <f t="shared" si="110"/>
        <v>-331039886</v>
      </c>
      <c r="N387" s="23">
        <f t="shared" si="111"/>
        <v>0</v>
      </c>
      <c r="P387" s="23">
        <v>802584791</v>
      </c>
      <c r="Q387" s="23">
        <f t="shared" si="109"/>
        <v>-802584791</v>
      </c>
      <c r="S387" s="23">
        <f t="shared" si="94"/>
        <v>0</v>
      </c>
      <c r="U387" s="23">
        <v>1121071673</v>
      </c>
      <c r="V387" s="23">
        <f t="shared" si="95"/>
        <v>-1121071673</v>
      </c>
      <c r="X387" s="23">
        <f t="shared" si="96"/>
        <v>0</v>
      </c>
      <c r="Z387" s="23">
        <v>1564946806</v>
      </c>
      <c r="AA387" s="23">
        <f t="shared" si="97"/>
        <v>-1564946806</v>
      </c>
      <c r="AB387" s="23">
        <v>260288625</v>
      </c>
      <c r="AC387" s="23">
        <f t="shared" si="89"/>
        <v>-260288625</v>
      </c>
      <c r="AD387" s="23">
        <v>610372034</v>
      </c>
      <c r="AE387" s="23">
        <f t="shared" si="90"/>
        <v>-610372034</v>
      </c>
      <c r="AF387" s="23">
        <v>956855954</v>
      </c>
      <c r="AG387" s="23">
        <f t="shared" si="98"/>
        <v>-956855954</v>
      </c>
      <c r="AH387" s="23">
        <v>1244456100</v>
      </c>
      <c r="AI387" s="23">
        <f t="shared" si="99"/>
        <v>-1244456100</v>
      </c>
      <c r="AJ387" s="23">
        <v>253010985</v>
      </c>
      <c r="AK387" s="23">
        <f t="shared" si="91"/>
        <v>-253010985</v>
      </c>
      <c r="AL387" s="23">
        <v>403317658</v>
      </c>
      <c r="AM387" s="23">
        <f t="shared" si="92"/>
        <v>-403317658</v>
      </c>
      <c r="AN387" s="23">
        <v>575175594</v>
      </c>
      <c r="AO387" s="23">
        <f t="shared" si="100"/>
        <v>-575175594</v>
      </c>
      <c r="AP387" s="41">
        <v>692632515</v>
      </c>
      <c r="AQ387">
        <f t="shared" si="101"/>
        <v>-692632515</v>
      </c>
    </row>
    <row r="388" spans="4:43">
      <c r="D388" t="s">
        <v>920</v>
      </c>
      <c r="E388" t="s">
        <v>1527</v>
      </c>
      <c r="F388" t="s">
        <v>1019</v>
      </c>
      <c r="G388" t="s">
        <v>320</v>
      </c>
      <c r="H388" t="s">
        <v>1053</v>
      </c>
      <c r="J388" s="23">
        <f t="shared" si="93"/>
        <v>0</v>
      </c>
      <c r="K388" s="23">
        <v>14983831</v>
      </c>
      <c r="L388" s="23">
        <f t="shared" si="110"/>
        <v>-14983831</v>
      </c>
      <c r="N388" s="23">
        <f t="shared" si="111"/>
        <v>0</v>
      </c>
      <c r="P388" s="23">
        <v>355865996</v>
      </c>
      <c r="Q388" s="23">
        <f t="shared" si="109"/>
        <v>-355865996</v>
      </c>
      <c r="S388" s="23">
        <f t="shared" si="94"/>
        <v>0</v>
      </c>
      <c r="U388" s="23">
        <v>699572547</v>
      </c>
      <c r="V388" s="23">
        <f t="shared" si="95"/>
        <v>-699572547</v>
      </c>
      <c r="X388" s="23">
        <f t="shared" si="96"/>
        <v>0</v>
      </c>
      <c r="Z388" s="23">
        <v>1097733779</v>
      </c>
      <c r="AA388" s="23">
        <f t="shared" si="97"/>
        <v>-1097733779</v>
      </c>
      <c r="AB388" s="23">
        <v>452766256</v>
      </c>
      <c r="AC388" s="23">
        <f t="shared" si="89"/>
        <v>-452766256</v>
      </c>
      <c r="AD388" s="23">
        <v>1415880672</v>
      </c>
      <c r="AE388" s="23">
        <f t="shared" si="90"/>
        <v>-1415880672</v>
      </c>
      <c r="AF388" s="23">
        <v>2166025612</v>
      </c>
      <c r="AG388" s="23">
        <f t="shared" si="98"/>
        <v>-2166025612</v>
      </c>
      <c r="AH388" s="23">
        <v>3043671761</v>
      </c>
      <c r="AI388" s="23">
        <f t="shared" si="99"/>
        <v>-3043671761</v>
      </c>
      <c r="AJ388" s="23">
        <v>359975238</v>
      </c>
      <c r="AK388" s="23">
        <f t="shared" si="91"/>
        <v>-359975238</v>
      </c>
      <c r="AL388" s="23">
        <v>586272584</v>
      </c>
      <c r="AM388" s="23">
        <f t="shared" si="92"/>
        <v>-586272584</v>
      </c>
      <c r="AN388" s="23">
        <v>873528738</v>
      </c>
      <c r="AO388" s="23">
        <f t="shared" si="100"/>
        <v>-873528738</v>
      </c>
      <c r="AP388" s="41">
        <v>1078541687</v>
      </c>
      <c r="AQ388">
        <f t="shared" si="101"/>
        <v>-1078541687</v>
      </c>
    </row>
    <row r="389" spans="4:43">
      <c r="D389" t="s">
        <v>1589</v>
      </c>
      <c r="E389" t="s">
        <v>1527</v>
      </c>
      <c r="F389" t="s">
        <v>1019</v>
      </c>
      <c r="G389" t="s">
        <v>320</v>
      </c>
      <c r="H389" s="116" t="s">
        <v>1053</v>
      </c>
      <c r="AJ389" s="23">
        <v>641152797</v>
      </c>
      <c r="AK389" s="23">
        <f t="shared" si="91"/>
        <v>-641152797</v>
      </c>
      <c r="AL389" s="23">
        <f>1282305594+1652281</f>
        <v>1283957875</v>
      </c>
      <c r="AM389" s="23">
        <f t="shared" si="92"/>
        <v>-1283957875</v>
      </c>
      <c r="AN389" s="23">
        <v>1925110674</v>
      </c>
      <c r="AO389" s="23">
        <f t="shared" si="100"/>
        <v>-1925110674</v>
      </c>
      <c r="AP389" s="41">
        <v>2564611180</v>
      </c>
      <c r="AQ389">
        <f t="shared" si="101"/>
        <v>-2564611180</v>
      </c>
    </row>
    <row r="390" spans="4:43" ht="15" customHeight="1">
      <c r="J390" s="23">
        <f t="shared" si="93"/>
        <v>0</v>
      </c>
      <c r="S390" s="23">
        <f t="shared" si="94"/>
        <v>0</v>
      </c>
      <c r="V390" s="23">
        <f t="shared" si="95"/>
        <v>0</v>
      </c>
      <c r="X390" s="23">
        <f t="shared" si="96"/>
        <v>0</v>
      </c>
      <c r="AA390" s="23">
        <f t="shared" si="97"/>
        <v>0</v>
      </c>
      <c r="AC390" s="23">
        <f t="shared" si="89"/>
        <v>0</v>
      </c>
      <c r="AE390" s="23">
        <f t="shared" si="90"/>
        <v>0</v>
      </c>
      <c r="AG390" s="23">
        <f t="shared" si="98"/>
        <v>0</v>
      </c>
      <c r="AI390" s="23">
        <f t="shared" si="99"/>
        <v>0</v>
      </c>
      <c r="AK390" s="23">
        <f t="shared" si="91"/>
        <v>0</v>
      </c>
      <c r="AM390" s="23">
        <f t="shared" si="92"/>
        <v>0</v>
      </c>
      <c r="AO390" s="23">
        <f t="shared" si="100"/>
        <v>0</v>
      </c>
      <c r="AQ390">
        <f t="shared" si="101"/>
        <v>0</v>
      </c>
    </row>
    <row r="391" spans="4:43" s="37" customFormat="1" ht="15" customHeight="1">
      <c r="D391" s="37" t="s">
        <v>715</v>
      </c>
      <c r="I391" s="38">
        <f>SUM(I392:I402)</f>
        <v>6546312980</v>
      </c>
      <c r="J391" s="38">
        <f t="shared" si="93"/>
        <v>-6546312980</v>
      </c>
      <c r="K391" s="38">
        <f>SUM(K392:K402)</f>
        <v>1573626840</v>
      </c>
      <c r="L391" s="38"/>
      <c r="M391" s="38">
        <f>SUM(M392:M399)</f>
        <v>2081357897</v>
      </c>
      <c r="N391" s="38">
        <f>SUM(N392:N399)</f>
        <v>-2081357897</v>
      </c>
      <c r="O391" s="38">
        <f>SUM(O392:O399)</f>
        <v>1803468838</v>
      </c>
      <c r="P391" s="38">
        <f>SUM(P392:P402)</f>
        <v>2325726346</v>
      </c>
      <c r="Q391" s="38">
        <f>SUM(Q392:Q402)</f>
        <v>-2325726346</v>
      </c>
      <c r="R391" s="38">
        <f>SUM(R392:R402)</f>
        <v>3442695662</v>
      </c>
      <c r="S391" s="38">
        <f t="shared" si="94"/>
        <v>-3442695662</v>
      </c>
      <c r="T391" s="38"/>
      <c r="U391" s="38">
        <f t="shared" ref="U391:AD391" si="112">SUM(U392:U402)</f>
        <v>2887494398</v>
      </c>
      <c r="V391" s="38">
        <f t="shared" si="95"/>
        <v>-2887494398</v>
      </c>
      <c r="W391" s="38">
        <f t="shared" si="112"/>
        <v>4189454919</v>
      </c>
      <c r="X391" s="38">
        <f t="shared" si="96"/>
        <v>-4189454919</v>
      </c>
      <c r="Y391" s="38">
        <f t="shared" si="112"/>
        <v>5418240434</v>
      </c>
      <c r="Z391" s="38">
        <f t="shared" si="112"/>
        <v>4096417756</v>
      </c>
      <c r="AA391" s="38">
        <f t="shared" si="97"/>
        <v>-4096417756</v>
      </c>
      <c r="AB391" s="38">
        <f t="shared" si="112"/>
        <v>827678119</v>
      </c>
      <c r="AC391" s="38">
        <f t="shared" si="89"/>
        <v>-827678119</v>
      </c>
      <c r="AD391" s="38">
        <f t="shared" si="112"/>
        <v>1918917699</v>
      </c>
      <c r="AE391" s="38">
        <f t="shared" si="90"/>
        <v>-1918917699</v>
      </c>
      <c r="AF391" s="38">
        <f>SUM(AF392:AF402)</f>
        <v>2643125816</v>
      </c>
      <c r="AG391" s="38">
        <f t="shared" si="98"/>
        <v>-2643125816</v>
      </c>
      <c r="AH391" s="38">
        <f>SUM(AH392:AH402)</f>
        <v>3616108405</v>
      </c>
      <c r="AI391" s="38">
        <f t="shared" si="99"/>
        <v>-3616108405</v>
      </c>
      <c r="AJ391" s="38">
        <f>SUM(AJ392:AJ402)</f>
        <v>1099543586</v>
      </c>
      <c r="AK391" s="38">
        <f>SUM(AK392:AK402)</f>
        <v>-695853458</v>
      </c>
      <c r="AL391" s="38">
        <f>SUM(AL392:AL402)</f>
        <v>2250900582</v>
      </c>
      <c r="AM391" s="38">
        <f t="shared" si="92"/>
        <v>-2250900582</v>
      </c>
      <c r="AN391" s="38">
        <f>SUM(AN392:AN402)</f>
        <v>5656525105</v>
      </c>
      <c r="AO391" s="38">
        <f t="shared" si="100"/>
        <v>-5656525105</v>
      </c>
      <c r="AP391" s="38">
        <f>SUM(AP392:AP402)</f>
        <v>6820366794</v>
      </c>
      <c r="AQ391" s="37">
        <f t="shared" si="101"/>
        <v>-6820366794</v>
      </c>
    </row>
    <row r="392" spans="4:43" ht="18" customHeight="1">
      <c r="D392" t="s">
        <v>716</v>
      </c>
      <c r="E392" t="s">
        <v>397</v>
      </c>
      <c r="G392" t="s">
        <v>831</v>
      </c>
      <c r="H392" t="s">
        <v>1047</v>
      </c>
      <c r="I392" s="23">
        <v>52366008</v>
      </c>
      <c r="J392" s="23">
        <f t="shared" si="93"/>
        <v>-52366008</v>
      </c>
      <c r="K392" s="23">
        <v>14237549</v>
      </c>
      <c r="L392" s="23">
        <f>-K392</f>
        <v>-14237549</v>
      </c>
      <c r="M392" s="23">
        <v>11866171</v>
      </c>
      <c r="N392" s="23">
        <f>-M392</f>
        <v>-11866171</v>
      </c>
      <c r="O392" s="23">
        <v>10720604</v>
      </c>
      <c r="P392" s="23">
        <v>20353995</v>
      </c>
      <c r="Q392" s="23">
        <f t="shared" ref="Q392:Q402" si="113">-P392</f>
        <v>-20353995</v>
      </c>
      <c r="R392" s="23">
        <v>21059703</v>
      </c>
      <c r="S392" s="23">
        <f t="shared" si="94"/>
        <v>-21059703</v>
      </c>
      <c r="U392" s="23">
        <v>28766488</v>
      </c>
      <c r="V392" s="23">
        <f t="shared" si="95"/>
        <v>-28766488</v>
      </c>
      <c r="W392" s="23">
        <v>36260524</v>
      </c>
      <c r="X392" s="23">
        <f t="shared" si="96"/>
        <v>-36260524</v>
      </c>
      <c r="Y392" s="23">
        <v>23769183</v>
      </c>
      <c r="Z392" s="23">
        <v>42507499</v>
      </c>
      <c r="AA392" s="23">
        <f t="shared" si="97"/>
        <v>-42507499</v>
      </c>
      <c r="AB392" s="23">
        <v>14645109</v>
      </c>
      <c r="AC392" s="23">
        <f t="shared" si="89"/>
        <v>-14645109</v>
      </c>
      <c r="AD392" s="23">
        <v>24090814</v>
      </c>
      <c r="AE392" s="23">
        <f t="shared" si="90"/>
        <v>-24090814</v>
      </c>
      <c r="AF392" s="23">
        <v>51713234</v>
      </c>
      <c r="AG392" s="23">
        <f t="shared" si="98"/>
        <v>-51713234</v>
      </c>
      <c r="AH392" s="23">
        <v>63043089</v>
      </c>
      <c r="AI392" s="23">
        <f t="shared" si="99"/>
        <v>-63043089</v>
      </c>
      <c r="AJ392" s="23">
        <v>8988720</v>
      </c>
      <c r="AK392" s="23">
        <f t="shared" si="91"/>
        <v>-8988720</v>
      </c>
      <c r="AL392" s="23">
        <v>25655387</v>
      </c>
      <c r="AM392" s="23">
        <f t="shared" si="92"/>
        <v>-25655387</v>
      </c>
      <c r="AN392" s="23">
        <v>43655387</v>
      </c>
      <c r="AO392" s="23">
        <f t="shared" si="100"/>
        <v>-43655387</v>
      </c>
      <c r="AP392" s="41">
        <v>79488721</v>
      </c>
      <c r="AQ392">
        <f t="shared" si="101"/>
        <v>-79488721</v>
      </c>
    </row>
    <row r="393" spans="4:43" ht="16.5" customHeight="1">
      <c r="D393" t="s">
        <v>651</v>
      </c>
      <c r="E393" t="s">
        <v>1584</v>
      </c>
      <c r="F393" t="s">
        <v>1006</v>
      </c>
      <c r="H393" t="s">
        <v>1586</v>
      </c>
      <c r="I393" s="23">
        <v>4280946883</v>
      </c>
      <c r="J393" s="23">
        <f t="shared" si="93"/>
        <v>-4280946883</v>
      </c>
      <c r="K393" s="23">
        <v>1313252653</v>
      </c>
      <c r="L393" s="23">
        <f t="shared" ref="L393:L402" si="114">-K393</f>
        <v>-1313252653</v>
      </c>
      <c r="M393" s="23">
        <v>1431865327</v>
      </c>
      <c r="N393" s="23">
        <f t="shared" ref="N393:N402" si="115">-M393</f>
        <v>-1431865327</v>
      </c>
      <c r="O393" s="23">
        <v>1564209097</v>
      </c>
      <c r="P393" s="23">
        <v>1858613892</v>
      </c>
      <c r="Q393" s="23">
        <f t="shared" si="113"/>
        <v>-1858613892</v>
      </c>
      <c r="R393" s="23">
        <v>2581014216</v>
      </c>
      <c r="S393" s="23">
        <f t="shared" si="94"/>
        <v>-2581014216</v>
      </c>
      <c r="U393" s="23">
        <v>2069264896</v>
      </c>
      <c r="V393" s="23">
        <f t="shared" si="95"/>
        <v>-2069264896</v>
      </c>
      <c r="W393" s="23">
        <v>3007635631</v>
      </c>
      <c r="X393" s="23">
        <f t="shared" si="96"/>
        <v>-3007635631</v>
      </c>
      <c r="Y393" s="23">
        <v>4663183729</v>
      </c>
      <c r="Z393" s="23">
        <v>2836318069</v>
      </c>
      <c r="AA393" s="23">
        <f t="shared" si="97"/>
        <v>-2836318069</v>
      </c>
      <c r="AB393" s="23">
        <v>303390780</v>
      </c>
      <c r="AC393" s="23">
        <f t="shared" si="89"/>
        <v>-303390780</v>
      </c>
      <c r="AD393" s="23">
        <v>809772638</v>
      </c>
      <c r="AE393" s="23">
        <f t="shared" si="90"/>
        <v>-809772638</v>
      </c>
      <c r="AF393" s="23">
        <v>1150324150</v>
      </c>
      <c r="AG393" s="23">
        <f t="shared" si="98"/>
        <v>-1150324150</v>
      </c>
      <c r="AH393" s="23">
        <v>1625125315</v>
      </c>
      <c r="AI393" s="23">
        <f t="shared" si="99"/>
        <v>-1625125315</v>
      </c>
      <c r="AJ393" s="23">
        <v>711615675</v>
      </c>
      <c r="AK393" s="23">
        <f t="shared" si="91"/>
        <v>-711615675</v>
      </c>
      <c r="AL393" s="23">
        <v>1561868225</v>
      </c>
      <c r="AM393" s="23">
        <f t="shared" si="92"/>
        <v>-1561868225</v>
      </c>
      <c r="AN393" s="23">
        <v>4620235175</v>
      </c>
      <c r="AO393" s="23">
        <f t="shared" si="100"/>
        <v>-4620235175</v>
      </c>
      <c r="AP393" s="41">
        <v>5373169072</v>
      </c>
      <c r="AQ393">
        <f t="shared" si="101"/>
        <v>-5373169072</v>
      </c>
    </row>
    <row r="394" spans="4:43" ht="15" customHeight="1">
      <c r="D394" t="s">
        <v>717</v>
      </c>
      <c r="E394" t="s">
        <v>397</v>
      </c>
      <c r="G394" t="s">
        <v>321</v>
      </c>
      <c r="H394" t="s">
        <v>1048</v>
      </c>
      <c r="I394" s="23">
        <v>452186248</v>
      </c>
      <c r="J394" s="23">
        <f t="shared" si="93"/>
        <v>-452186248</v>
      </c>
      <c r="K394" s="23">
        <f>98069133-3590445</f>
        <v>94478688</v>
      </c>
      <c r="L394" s="23">
        <f t="shared" si="114"/>
        <v>-94478688</v>
      </c>
      <c r="M394" s="23">
        <v>98335227</v>
      </c>
      <c r="N394" s="23">
        <f t="shared" si="115"/>
        <v>-98335227</v>
      </c>
      <c r="O394" s="23">
        <v>100477344</v>
      </c>
      <c r="P394" s="23">
        <f>196138266-P398</f>
        <v>188957376</v>
      </c>
      <c r="Q394" s="23">
        <f t="shared" si="113"/>
        <v>-188957376</v>
      </c>
      <c r="R394" s="23">
        <v>189148275</v>
      </c>
      <c r="S394" s="23">
        <f t="shared" si="94"/>
        <v>-189148275</v>
      </c>
      <c r="U394" s="23">
        <f>294207399-10771335</f>
        <v>283436064</v>
      </c>
      <c r="V394" s="23">
        <f t="shared" si="95"/>
        <v>-283436064</v>
      </c>
      <c r="W394" s="23">
        <v>346710636</v>
      </c>
      <c r="X394" s="23">
        <f t="shared" si="96"/>
        <v>-346710636</v>
      </c>
      <c r="Y394" s="23">
        <v>307233277</v>
      </c>
      <c r="Z394" s="23">
        <f>413483662+11102699+82997049+6421024+46973904</f>
        <v>560978338</v>
      </c>
      <c r="AA394" s="23">
        <f t="shared" si="97"/>
        <v>-560978338</v>
      </c>
      <c r="AB394" s="23">
        <f>130836357-AB398</f>
        <v>123966993</v>
      </c>
      <c r="AC394" s="23">
        <f t="shared" si="89"/>
        <v>-123966993</v>
      </c>
      <c r="AD394" s="23">
        <f>261672714-13738728</f>
        <v>247933986</v>
      </c>
      <c r="AE394" s="23">
        <f t="shared" si="90"/>
        <v>-247933986</v>
      </c>
      <c r="AF394" s="23">
        <f>392509071-20608092</f>
        <v>371900979</v>
      </c>
      <c r="AG394" s="23">
        <f t="shared" si="98"/>
        <v>-371900979</v>
      </c>
      <c r="AH394" s="23">
        <f>607882543-AH398</f>
        <v>580405087</v>
      </c>
      <c r="AI394" s="23">
        <f t="shared" si="99"/>
        <v>-580405087</v>
      </c>
      <c r="AJ394" s="23">
        <f>201845064-AJ398</f>
        <v>192719889</v>
      </c>
      <c r="AK394" s="23">
        <f>201845064-AK398</f>
        <v>210970239</v>
      </c>
      <c r="AL394" s="23">
        <f>403690128-AL398</f>
        <v>385439778</v>
      </c>
      <c r="AM394" s="23">
        <f t="shared" si="92"/>
        <v>-385439778</v>
      </c>
      <c r="AN394" s="23">
        <f>605535192-AN398</f>
        <v>578159667</v>
      </c>
      <c r="AO394" s="23">
        <f t="shared" si="100"/>
        <v>-578159667</v>
      </c>
      <c r="AP394" s="41">
        <f>632317142-36500700</f>
        <v>595816442</v>
      </c>
      <c r="AQ394">
        <f t="shared" si="101"/>
        <v>-595816442</v>
      </c>
    </row>
    <row r="395" spans="4:43" ht="15" customHeight="1">
      <c r="D395" t="s">
        <v>718</v>
      </c>
      <c r="E395" t="s">
        <v>397</v>
      </c>
      <c r="G395" t="s">
        <v>323</v>
      </c>
      <c r="H395" t="s">
        <v>1049</v>
      </c>
      <c r="I395" s="23">
        <v>1087222963</v>
      </c>
      <c r="J395" s="23">
        <f t="shared" si="93"/>
        <v>-1087222963</v>
      </c>
      <c r="K395" s="23">
        <v>34081323</v>
      </c>
      <c r="L395" s="23">
        <f t="shared" si="114"/>
        <v>-34081323</v>
      </c>
      <c r="M395" s="23">
        <v>47145888</v>
      </c>
      <c r="N395" s="23">
        <f t="shared" si="115"/>
        <v>-47145888</v>
      </c>
      <c r="O395" s="23">
        <v>44866704</v>
      </c>
      <c r="P395" s="23">
        <v>68162646</v>
      </c>
      <c r="Q395" s="23">
        <f t="shared" si="113"/>
        <v>-68162646</v>
      </c>
      <c r="R395" s="23">
        <v>94291776</v>
      </c>
      <c r="S395" s="23">
        <f t="shared" si="94"/>
        <v>-94291776</v>
      </c>
      <c r="U395" s="23">
        <v>102243969</v>
      </c>
      <c r="V395" s="23">
        <f t="shared" si="95"/>
        <v>-102243969</v>
      </c>
      <c r="W395" s="23">
        <v>141437664</v>
      </c>
      <c r="X395" s="23">
        <f t="shared" si="96"/>
        <v>-141437664</v>
      </c>
      <c r="Y395" s="23">
        <v>134600112</v>
      </c>
      <c r="Z395" s="23">
        <v>102330435</v>
      </c>
      <c r="AA395" s="23">
        <f t="shared" si="97"/>
        <v>-102330435</v>
      </c>
      <c r="AB395" s="23">
        <v>59663931</v>
      </c>
      <c r="AC395" s="23">
        <f t="shared" si="89"/>
        <v>-59663931</v>
      </c>
      <c r="AD395" s="23">
        <v>119327862</v>
      </c>
      <c r="AE395" s="23">
        <f t="shared" si="90"/>
        <v>-119327862</v>
      </c>
      <c r="AF395" s="23">
        <v>178991793</v>
      </c>
      <c r="AG395" s="23">
        <f t="shared" si="98"/>
        <v>-178991793</v>
      </c>
      <c r="AH395" s="23">
        <v>43120894</v>
      </c>
      <c r="AI395" s="23">
        <f t="shared" si="99"/>
        <v>-43120894</v>
      </c>
      <c r="AK395" s="23">
        <f t="shared" si="91"/>
        <v>0</v>
      </c>
      <c r="AM395" s="23">
        <f t="shared" si="92"/>
        <v>0</v>
      </c>
      <c r="AO395" s="23">
        <f t="shared" si="100"/>
        <v>0</v>
      </c>
      <c r="AQ395">
        <f t="shared" si="101"/>
        <v>0</v>
      </c>
    </row>
    <row r="396" spans="4:43" ht="15.75" customHeight="1">
      <c r="D396" t="s">
        <v>632</v>
      </c>
      <c r="E396" t="s">
        <v>397</v>
      </c>
      <c r="G396" t="s">
        <v>831</v>
      </c>
      <c r="H396" t="s">
        <v>1053</v>
      </c>
      <c r="I396" s="23">
        <v>108870843</v>
      </c>
      <c r="J396" s="23">
        <f t="shared" si="93"/>
        <v>-108870843</v>
      </c>
      <c r="K396" s="23">
        <v>0</v>
      </c>
      <c r="L396" s="23">
        <f t="shared" si="114"/>
        <v>0</v>
      </c>
      <c r="N396" s="23">
        <f t="shared" si="115"/>
        <v>0</v>
      </c>
      <c r="Q396" s="23">
        <f t="shared" si="113"/>
        <v>0</v>
      </c>
      <c r="S396" s="23">
        <f t="shared" si="94"/>
        <v>0</v>
      </c>
      <c r="V396" s="23">
        <f t="shared" si="95"/>
        <v>0</v>
      </c>
      <c r="X396" s="23">
        <f t="shared" si="96"/>
        <v>0</v>
      </c>
      <c r="Z396" s="23">
        <v>81482226</v>
      </c>
      <c r="AA396" s="23">
        <f t="shared" si="97"/>
        <v>-81482226</v>
      </c>
      <c r="AB396" s="23">
        <v>30813086</v>
      </c>
      <c r="AC396" s="23">
        <f t="shared" si="89"/>
        <v>-30813086</v>
      </c>
      <c r="AD396" s="23">
        <v>30813086</v>
      </c>
      <c r="AE396" s="23">
        <f t="shared" si="90"/>
        <v>-30813086</v>
      </c>
      <c r="AF396" s="23">
        <v>54129154</v>
      </c>
      <c r="AG396" s="23">
        <f t="shared" si="98"/>
        <v>-54129154</v>
      </c>
      <c r="AH396" s="23">
        <v>48949792</v>
      </c>
      <c r="AI396" s="23">
        <f t="shared" si="99"/>
        <v>-48949792</v>
      </c>
      <c r="AJ396" s="23">
        <v>8597720</v>
      </c>
      <c r="AK396" s="23">
        <f t="shared" si="91"/>
        <v>-8597720</v>
      </c>
      <c r="AL396" s="23">
        <v>8597720</v>
      </c>
      <c r="AM396" s="23">
        <f t="shared" si="92"/>
        <v>-8597720</v>
      </c>
      <c r="AN396" s="23">
        <v>8597720</v>
      </c>
      <c r="AO396" s="23">
        <f t="shared" si="100"/>
        <v>-8597720</v>
      </c>
      <c r="AP396" s="41">
        <v>22413300</v>
      </c>
      <c r="AQ396">
        <f t="shared" si="101"/>
        <v>-22413300</v>
      </c>
    </row>
    <row r="397" spans="4:43" ht="17.25" customHeight="1">
      <c r="D397" t="s">
        <v>719</v>
      </c>
      <c r="E397" t="s">
        <v>397</v>
      </c>
      <c r="G397" t="s">
        <v>831</v>
      </c>
      <c r="H397" t="s">
        <v>1053</v>
      </c>
      <c r="I397" s="23">
        <v>306523883</v>
      </c>
      <c r="J397" s="23">
        <f t="shared" si="93"/>
        <v>-306523883</v>
      </c>
      <c r="K397" s="23">
        <v>112736354</v>
      </c>
      <c r="L397" s="23">
        <f t="shared" si="114"/>
        <v>-112736354</v>
      </c>
      <c r="M397" s="23">
        <v>480299073</v>
      </c>
      <c r="N397" s="23">
        <f t="shared" si="115"/>
        <v>-480299073</v>
      </c>
      <c r="O397" s="23">
        <v>71625811</v>
      </c>
      <c r="P397" s="23">
        <v>181207719</v>
      </c>
      <c r="Q397" s="23">
        <f t="shared" si="113"/>
        <v>-181207719</v>
      </c>
      <c r="R397" s="23">
        <v>533489270</v>
      </c>
      <c r="S397" s="23">
        <f t="shared" si="94"/>
        <v>-533489270</v>
      </c>
      <c r="U397" s="23">
        <v>222737238</v>
      </c>
      <c r="V397" s="23">
        <f t="shared" si="95"/>
        <v>-222737238</v>
      </c>
      <c r="W397" s="23">
        <v>621871831</v>
      </c>
      <c r="X397" s="23">
        <f t="shared" si="96"/>
        <v>-621871831</v>
      </c>
      <c r="Y397" s="23">
        <v>254746299</v>
      </c>
      <c r="Z397" s="23">
        <v>269804755</v>
      </c>
      <c r="AA397" s="23">
        <f t="shared" si="97"/>
        <v>-269804755</v>
      </c>
      <c r="AB397" s="23">
        <v>139617517</v>
      </c>
      <c r="AC397" s="23">
        <f t="shared" si="89"/>
        <v>-139617517</v>
      </c>
      <c r="AD397" s="23">
        <v>307746126</v>
      </c>
      <c r="AE397" s="23">
        <f t="shared" si="90"/>
        <v>-307746126</v>
      </c>
      <c r="AF397" s="23">
        <v>445405555</v>
      </c>
      <c r="AG397" s="23">
        <f t="shared" si="98"/>
        <v>-445405555</v>
      </c>
      <c r="AH397" s="23">
        <f>632339420+54997012+4930000</f>
        <v>692266432</v>
      </c>
      <c r="AI397" s="23">
        <f t="shared" si="99"/>
        <v>-692266432</v>
      </c>
      <c r="AJ397" s="23">
        <v>140030140</v>
      </c>
      <c r="AK397" s="23">
        <f t="shared" si="91"/>
        <v>-140030140</v>
      </c>
      <c r="AL397" s="23">
        <v>222622855</v>
      </c>
      <c r="AM397" s="23">
        <f t="shared" si="92"/>
        <v>-222622855</v>
      </c>
      <c r="AN397" s="23">
        <v>321035364</v>
      </c>
      <c r="AO397" s="23">
        <f t="shared" si="100"/>
        <v>-321035364</v>
      </c>
      <c r="AP397" s="41">
        <v>584304115</v>
      </c>
      <c r="AQ397">
        <f t="shared" si="101"/>
        <v>-584304115</v>
      </c>
    </row>
    <row r="398" spans="4:43" ht="15" customHeight="1">
      <c r="D398" t="s">
        <v>720</v>
      </c>
      <c r="E398" t="s">
        <v>397</v>
      </c>
      <c r="G398" t="s">
        <v>322</v>
      </c>
      <c r="H398" t="s">
        <v>1048</v>
      </c>
      <c r="I398" s="23">
        <v>47384839</v>
      </c>
      <c r="J398" s="23">
        <f t="shared" si="93"/>
        <v>-47384839</v>
      </c>
      <c r="K398" s="23">
        <v>3590445</v>
      </c>
      <c r="L398" s="23">
        <f t="shared" si="114"/>
        <v>-3590445</v>
      </c>
      <c r="M398" s="23">
        <v>11846211</v>
      </c>
      <c r="N398" s="23">
        <f t="shared" si="115"/>
        <v>-11846211</v>
      </c>
      <c r="O398" s="23">
        <v>11569278</v>
      </c>
      <c r="P398" s="23">
        <v>7180890</v>
      </c>
      <c r="Q398" s="23">
        <f t="shared" si="113"/>
        <v>-7180890</v>
      </c>
      <c r="R398" s="23">
        <v>23692422</v>
      </c>
      <c r="S398" s="23">
        <f t="shared" si="94"/>
        <v>-23692422</v>
      </c>
      <c r="U398" s="23">
        <v>10771335</v>
      </c>
      <c r="V398" s="23">
        <f t="shared" si="95"/>
        <v>-10771335</v>
      </c>
      <c r="W398" s="23">
        <v>35538633</v>
      </c>
      <c r="X398" s="23">
        <f t="shared" si="96"/>
        <v>-35538633</v>
      </c>
      <c r="Y398" s="23">
        <v>34707834</v>
      </c>
      <c r="Z398" s="23">
        <v>14361780</v>
      </c>
      <c r="AA398" s="23">
        <f t="shared" si="97"/>
        <v>-14361780</v>
      </c>
      <c r="AB398" s="23">
        <v>6869364</v>
      </c>
      <c r="AC398" s="23">
        <f t="shared" si="89"/>
        <v>-6869364</v>
      </c>
      <c r="AD398" s="23">
        <v>13738728</v>
      </c>
      <c r="AE398" s="23">
        <f t="shared" si="90"/>
        <v>-13738728</v>
      </c>
      <c r="AF398" s="23">
        <v>20608092</v>
      </c>
      <c r="AG398" s="23">
        <f t="shared" si="98"/>
        <v>-20608092</v>
      </c>
      <c r="AH398" s="23">
        <v>27477456</v>
      </c>
      <c r="AI398" s="23">
        <f t="shared" si="99"/>
        <v>-27477456</v>
      </c>
      <c r="AJ398" s="23">
        <v>9125175</v>
      </c>
      <c r="AK398" s="23">
        <f t="shared" si="91"/>
        <v>-9125175</v>
      </c>
      <c r="AL398" s="23">
        <v>18250350</v>
      </c>
      <c r="AM398" s="23">
        <f t="shared" si="92"/>
        <v>-18250350</v>
      </c>
      <c r="AN398" s="23">
        <v>27375525</v>
      </c>
      <c r="AO398" s="23">
        <f t="shared" si="100"/>
        <v>-27375525</v>
      </c>
      <c r="AP398" s="41">
        <v>36500700</v>
      </c>
      <c r="AQ398">
        <f t="shared" si="101"/>
        <v>-36500700</v>
      </c>
    </row>
    <row r="399" spans="4:43" ht="15" customHeight="1">
      <c r="D399" t="s">
        <v>721</v>
      </c>
      <c r="E399" t="s">
        <v>397</v>
      </c>
      <c r="G399" t="s">
        <v>831</v>
      </c>
      <c r="H399" t="s">
        <v>1053</v>
      </c>
      <c r="I399" s="23">
        <v>210811313</v>
      </c>
      <c r="J399" s="23">
        <f t="shared" si="93"/>
        <v>-210811313</v>
      </c>
      <c r="K399" s="23">
        <v>727273</v>
      </c>
      <c r="L399" s="23">
        <f t="shared" si="114"/>
        <v>-727273</v>
      </c>
      <c r="M399" s="23">
        <v>0</v>
      </c>
      <c r="N399" s="23">
        <f t="shared" si="115"/>
        <v>0</v>
      </c>
      <c r="P399" s="23">
        <v>727273</v>
      </c>
      <c r="Q399" s="23">
        <f t="shared" si="113"/>
        <v>-727273</v>
      </c>
      <c r="S399" s="23">
        <f t="shared" si="94"/>
        <v>0</v>
      </c>
      <c r="U399" s="23">
        <v>169751853</v>
      </c>
      <c r="V399" s="23">
        <f t="shared" si="95"/>
        <v>-169751853</v>
      </c>
      <c r="X399" s="23">
        <f t="shared" si="96"/>
        <v>0</v>
      </c>
      <c r="Z399" s="23">
        <v>169751853</v>
      </c>
      <c r="AA399" s="23">
        <f t="shared" si="97"/>
        <v>-169751853</v>
      </c>
      <c r="AC399" s="23">
        <f t="shared" si="89"/>
        <v>0</v>
      </c>
      <c r="AD399" s="23">
        <v>216781216</v>
      </c>
      <c r="AE399" s="23">
        <f t="shared" si="90"/>
        <v>-216781216</v>
      </c>
      <c r="AF399" s="23">
        <v>221339616</v>
      </c>
      <c r="AG399" s="23">
        <f t="shared" si="98"/>
        <v>-221339616</v>
      </c>
      <c r="AH399" s="23">
        <v>224785124</v>
      </c>
      <c r="AI399" s="23">
        <f t="shared" si="99"/>
        <v>-224785124</v>
      </c>
      <c r="AK399" s="23">
        <f t="shared" si="91"/>
        <v>0</v>
      </c>
      <c r="AM399" s="23">
        <f t="shared" si="92"/>
        <v>0</v>
      </c>
      <c r="AN399" s="23">
        <v>29000000</v>
      </c>
      <c r="AO399" s="23">
        <f t="shared" si="100"/>
        <v>-29000000</v>
      </c>
      <c r="AP399" s="41">
        <v>100208177</v>
      </c>
      <c r="AQ399">
        <f t="shared" si="101"/>
        <v>-100208177</v>
      </c>
    </row>
    <row r="400" spans="4:43" ht="15" customHeight="1">
      <c r="D400" t="s">
        <v>1004</v>
      </c>
      <c r="E400" t="s">
        <v>397</v>
      </c>
      <c r="G400" t="s">
        <v>831</v>
      </c>
      <c r="H400" t="s">
        <v>1053</v>
      </c>
      <c r="J400" s="23">
        <f t="shared" si="93"/>
        <v>0</v>
      </c>
      <c r="Z400" s="23">
        <v>18082182</v>
      </c>
      <c r="AA400" s="23">
        <f t="shared" si="97"/>
        <v>-18082182</v>
      </c>
      <c r="AB400" s="23">
        <v>148711339</v>
      </c>
      <c r="AC400" s="23">
        <f t="shared" si="89"/>
        <v>-148711339</v>
      </c>
      <c r="AD400" s="23">
        <v>148711339</v>
      </c>
      <c r="AE400" s="23">
        <f t="shared" si="90"/>
        <v>-148711339</v>
      </c>
      <c r="AF400" s="23">
        <v>148711339</v>
      </c>
      <c r="AG400" s="23">
        <f t="shared" si="98"/>
        <v>-148711339</v>
      </c>
      <c r="AH400" s="23">
        <v>310933312</v>
      </c>
      <c r="AI400" s="23">
        <f t="shared" si="99"/>
        <v>-310933312</v>
      </c>
      <c r="AJ400" s="23">
        <v>28466267</v>
      </c>
      <c r="AK400" s="23">
        <f t="shared" si="91"/>
        <v>-28466267</v>
      </c>
      <c r="AL400" s="23">
        <v>28466267</v>
      </c>
      <c r="AM400" s="23">
        <f t="shared" si="92"/>
        <v>-28466267</v>
      </c>
      <c r="AN400" s="23">
        <v>28466267</v>
      </c>
      <c r="AO400" s="23">
        <f t="shared" si="100"/>
        <v>-28466267</v>
      </c>
      <c r="AP400" s="41">
        <v>28466267</v>
      </c>
      <c r="AQ400">
        <f t="shared" si="101"/>
        <v>-28466267</v>
      </c>
    </row>
    <row r="401" spans="4:42" ht="15" customHeight="1">
      <c r="D401" t="s">
        <v>1093</v>
      </c>
      <c r="E401" t="s">
        <v>397</v>
      </c>
      <c r="G401" t="s">
        <v>831</v>
      </c>
      <c r="AH401" s="23">
        <v>0</v>
      </c>
      <c r="AI401" s="23">
        <f t="shared" si="99"/>
        <v>0</v>
      </c>
      <c r="AK401" s="23">
        <f t="shared" si="91"/>
        <v>0</v>
      </c>
      <c r="AO401" s="23">
        <f t="shared" si="100"/>
        <v>0</v>
      </c>
    </row>
    <row r="402" spans="4:42" ht="15" customHeight="1">
      <c r="D402" t="s">
        <v>946</v>
      </c>
      <c r="E402" t="s">
        <v>397</v>
      </c>
      <c r="G402" t="s">
        <v>831</v>
      </c>
      <c r="H402" t="s">
        <v>1053</v>
      </c>
      <c r="J402" s="23">
        <f t="shared" si="93"/>
        <v>0</v>
      </c>
      <c r="K402" s="23">
        <v>522555</v>
      </c>
      <c r="L402" s="23">
        <f t="shared" si="114"/>
        <v>-522555</v>
      </c>
      <c r="N402" s="23">
        <f t="shared" si="115"/>
        <v>0</v>
      </c>
      <c r="P402" s="23">
        <v>522555</v>
      </c>
      <c r="Q402" s="23">
        <f t="shared" si="113"/>
        <v>-522555</v>
      </c>
      <c r="S402" s="23">
        <f t="shared" si="94"/>
        <v>0</v>
      </c>
      <c r="U402" s="23">
        <v>522555</v>
      </c>
      <c r="V402" s="23">
        <f t="shared" si="95"/>
        <v>-522555</v>
      </c>
      <c r="X402" s="23">
        <f t="shared" si="96"/>
        <v>0</v>
      </c>
      <c r="Z402" s="23">
        <v>800619</v>
      </c>
      <c r="AA402" s="23">
        <f t="shared" si="97"/>
        <v>-800619</v>
      </c>
      <c r="AC402" s="23">
        <f t="shared" si="89"/>
        <v>0</v>
      </c>
      <c r="AD402" s="23">
        <v>1904</v>
      </c>
      <c r="AE402" s="23">
        <f t="shared" si="90"/>
        <v>-1904</v>
      </c>
      <c r="AF402" s="23">
        <v>1904</v>
      </c>
      <c r="AG402" s="23">
        <f t="shared" si="98"/>
        <v>-1904</v>
      </c>
      <c r="AH402" s="23">
        <v>1904</v>
      </c>
      <c r="AI402" s="23">
        <f t="shared" si="99"/>
        <v>-1904</v>
      </c>
      <c r="AK402" s="23">
        <f t="shared" si="91"/>
        <v>0</v>
      </c>
      <c r="AO402" s="23">
        <f t="shared" si="100"/>
        <v>0</v>
      </c>
    </row>
    <row r="403" spans="4:42" ht="15" customHeight="1">
      <c r="S403" s="23">
        <f t="shared" si="94"/>
        <v>0</v>
      </c>
      <c r="V403" s="23">
        <f t="shared" si="95"/>
        <v>0</v>
      </c>
      <c r="X403" s="23">
        <f t="shared" si="96"/>
        <v>0</v>
      </c>
      <c r="AA403" s="23">
        <f t="shared" si="97"/>
        <v>0</v>
      </c>
    </row>
    <row r="404" spans="4:42" s="37" customFormat="1" ht="15" customHeight="1">
      <c r="D404" s="37" t="s">
        <v>722</v>
      </c>
      <c r="I404" s="38">
        <f>+I281-I302</f>
        <v>1961691561.3000031</v>
      </c>
      <c r="J404" s="38"/>
      <c r="K404" s="38">
        <f>+K281-K302-K396</f>
        <v>-230996595</v>
      </c>
      <c r="L404" s="38"/>
      <c r="M404" s="38">
        <f t="shared" ref="M404:R404" si="116">+M281-M302</f>
        <v>1231215783</v>
      </c>
      <c r="N404" s="38">
        <f t="shared" si="116"/>
        <v>41913618745</v>
      </c>
      <c r="O404" s="38">
        <f t="shared" si="116"/>
        <v>590442641</v>
      </c>
      <c r="P404" s="38">
        <f t="shared" si="116"/>
        <v>461758606</v>
      </c>
      <c r="Q404" s="38">
        <f t="shared" si="116"/>
        <v>87055805530</v>
      </c>
      <c r="R404" s="38">
        <f t="shared" si="116"/>
        <v>843042942</v>
      </c>
      <c r="S404" s="38">
        <f t="shared" si="94"/>
        <v>-843042942</v>
      </c>
      <c r="T404" s="38"/>
      <c r="U404" s="38">
        <f>+U281-U302</f>
        <v>972379411</v>
      </c>
      <c r="V404" s="38">
        <f t="shared" si="95"/>
        <v>-972379411</v>
      </c>
      <c r="W404" s="38">
        <f>+W281-W302</f>
        <v>3258750815</v>
      </c>
      <c r="X404" s="38">
        <f t="shared" si="96"/>
        <v>-3258750815</v>
      </c>
      <c r="Y404" s="38">
        <f>+Y281-Y302</f>
        <v>4534006555</v>
      </c>
      <c r="Z404" s="38">
        <f>+Z281-Z302</f>
        <v>1548162285</v>
      </c>
      <c r="AA404" s="38">
        <f t="shared" si="97"/>
        <v>-1548162285</v>
      </c>
      <c r="AB404" s="38">
        <f>+AB281-AB302</f>
        <v>299626083</v>
      </c>
      <c r="AC404" s="38"/>
      <c r="AD404" s="38">
        <f>+AD281-AD302</f>
        <v>246439303</v>
      </c>
      <c r="AE404" s="38"/>
      <c r="AF404" s="38">
        <f>+AF281-AF302</f>
        <v>1115301748</v>
      </c>
      <c r="AG404" s="38"/>
      <c r="AH404" s="38">
        <f>+AH281-AH302</f>
        <v>930046058</v>
      </c>
      <c r="AI404" s="38"/>
      <c r="AJ404" s="38">
        <f>+AJ281-AJ302</f>
        <v>191881645</v>
      </c>
      <c r="AK404" s="38">
        <f>+AK281-AK302</f>
        <v>43182983471</v>
      </c>
      <c r="AL404" s="38">
        <f>+AL281-AL302</f>
        <v>-802328239</v>
      </c>
      <c r="AM404" s="38"/>
      <c r="AN404" s="38">
        <f>+AN281-AN302</f>
        <v>-990621310</v>
      </c>
      <c r="AO404" s="38"/>
      <c r="AP404" s="38">
        <f>+AP281-AP302</f>
        <v>425852710</v>
      </c>
    </row>
    <row r="405" spans="4:42" ht="15" customHeight="1">
      <c r="I405" s="23">
        <f>+I404+I377</f>
        <v>2344539439.0000038</v>
      </c>
      <c r="O405" s="23">
        <f>+O404-O272</f>
        <v>0</v>
      </c>
      <c r="P405" s="23">
        <f>+P404-P272</f>
        <v>0</v>
      </c>
      <c r="Q405" s="23">
        <f>+Q404-Q272</f>
        <v>87055805530</v>
      </c>
      <c r="R405" s="23">
        <f>+R404-R272</f>
        <v>0</v>
      </c>
      <c r="S405" s="23">
        <f t="shared" si="94"/>
        <v>0</v>
      </c>
      <c r="U405" s="23">
        <f>+U404-U272</f>
        <v>0</v>
      </c>
      <c r="V405" s="23">
        <f t="shared" si="95"/>
        <v>0</v>
      </c>
      <c r="W405" s="23">
        <f>+W404-W272</f>
        <v>0</v>
      </c>
      <c r="X405" s="23">
        <f t="shared" si="96"/>
        <v>0</v>
      </c>
      <c r="Y405" s="23">
        <f>+Y404-Y272</f>
        <v>0</v>
      </c>
      <c r="Z405" s="23">
        <f>+Z404-Z272</f>
        <v>0</v>
      </c>
      <c r="AA405" s="23">
        <f t="shared" si="97"/>
        <v>0</v>
      </c>
      <c r="AB405" s="23">
        <f>+AB404-AB272</f>
        <v>0</v>
      </c>
      <c r="AD405" s="23">
        <f>+AD404-AD272</f>
        <v>0</v>
      </c>
      <c r="AF405" s="23">
        <f>+AF404-AF272</f>
        <v>0</v>
      </c>
      <c r="AH405" s="23">
        <f>+AH404-AH272</f>
        <v>0</v>
      </c>
      <c r="AJ405" s="23">
        <f>+AJ404-AJ272</f>
        <v>0</v>
      </c>
      <c r="AK405" s="23">
        <f>+AK404-AK272</f>
        <v>43182983471</v>
      </c>
      <c r="AL405" s="23">
        <f>+AL404-AL272</f>
        <v>0</v>
      </c>
      <c r="AN405" s="23">
        <f>+AN404-AN272</f>
        <v>0</v>
      </c>
      <c r="AP405" s="23">
        <f>+AP404-AP272</f>
        <v>0</v>
      </c>
    </row>
    <row r="406" spans="4:42" ht="13.5" customHeight="1" thickBot="1"/>
    <row r="407" spans="4:42" ht="13.5" customHeight="1" thickTop="1">
      <c r="I407" s="23">
        <v>2016</v>
      </c>
      <c r="K407" s="23">
        <v>2017</v>
      </c>
      <c r="M407" s="23">
        <v>2016</v>
      </c>
      <c r="O407" s="23">
        <v>2015</v>
      </c>
    </row>
    <row r="408" spans="4:42" ht="12.75" customHeight="1">
      <c r="D408" t="s">
        <v>304</v>
      </c>
      <c r="I408" s="23">
        <f>+I6</f>
        <v>126386519399.3</v>
      </c>
      <c r="K408" s="23">
        <f>+K6</f>
        <v>132533316758</v>
      </c>
      <c r="M408" s="23">
        <f>+M6</f>
        <v>129129011437</v>
      </c>
      <c r="O408" s="23">
        <f>+O6</f>
        <v>104450633966</v>
      </c>
      <c r="AP408" s="23">
        <v>405000000</v>
      </c>
    </row>
    <row r="409" spans="4:42" ht="12.75" customHeight="1">
      <c r="D409" t="s">
        <v>471</v>
      </c>
      <c r="I409" s="23" t="e">
        <f>+I179</f>
        <v>#REF!</v>
      </c>
      <c r="K409" s="23">
        <f>+K179</f>
        <v>89912907535</v>
      </c>
      <c r="M409" s="23">
        <f>+M179</f>
        <v>87892084586</v>
      </c>
      <c r="O409" s="23">
        <f>+O180</f>
        <v>62709017100</v>
      </c>
      <c r="AP409" s="23">
        <f>+AP408-AP404</f>
        <v>-20852710</v>
      </c>
    </row>
    <row r="410" spans="4:42" ht="12.75" customHeight="1">
      <c r="D410" t="s">
        <v>170</v>
      </c>
      <c r="I410" s="23">
        <f>+I261</f>
        <v>42741000310.300003</v>
      </c>
      <c r="K410" s="23">
        <f>+K261</f>
        <v>42620409223</v>
      </c>
      <c r="M410" s="23">
        <f>+M261</f>
        <v>41236926851</v>
      </c>
      <c r="O410" s="23">
        <f>+O234</f>
        <v>54826521</v>
      </c>
    </row>
    <row r="411" spans="4:42" ht="13.5" customHeight="1" thickBot="1">
      <c r="I411" s="23" t="e">
        <f>+I408-(I409+I410)</f>
        <v>#REF!</v>
      </c>
      <c r="K411" s="23">
        <f>+K408-(K409+K410)</f>
        <v>0</v>
      </c>
      <c r="M411" s="23">
        <f>+M408-(M409+M410)</f>
        <v>0</v>
      </c>
      <c r="O411" s="23">
        <f>+O408-(O409+O410)</f>
        <v>41686790345</v>
      </c>
    </row>
    <row r="412" spans="4:42" ht="13.5" customHeight="1" thickTop="1"/>
    <row r="413" spans="4:42" ht="12.75" customHeight="1"/>
    <row r="414" spans="4:42" ht="12.75" customHeight="1">
      <c r="D414" t="s">
        <v>2</v>
      </c>
      <c r="I414" s="23">
        <f>+I281</f>
        <v>93685437421</v>
      </c>
      <c r="K414" s="23">
        <f>+K281</f>
        <v>18943508804</v>
      </c>
      <c r="M414" s="23">
        <f>+M281</f>
        <v>21572417264</v>
      </c>
      <c r="O414" s="23">
        <f>+O281</f>
        <v>17528816264</v>
      </c>
    </row>
    <row r="415" spans="4:42" ht="12.75" customHeight="1">
      <c r="D415" t="s">
        <v>3</v>
      </c>
      <c r="I415" s="23">
        <f>+I302</f>
        <v>91723745859.699997</v>
      </c>
      <c r="K415" s="23">
        <f>+K302</f>
        <v>19174505399</v>
      </c>
      <c r="M415" s="23">
        <f>+M302</f>
        <v>20341201481</v>
      </c>
      <c r="O415" s="23">
        <f>+O324</f>
        <v>0</v>
      </c>
    </row>
    <row r="416" spans="4:42" ht="13.5" customHeight="1" thickBot="1">
      <c r="D416" t="s">
        <v>4</v>
      </c>
      <c r="I416" s="23">
        <f>+I414-I415</f>
        <v>1961691561.3000031</v>
      </c>
      <c r="K416" s="23">
        <f>+K414-K415</f>
        <v>-230996595</v>
      </c>
      <c r="M416" s="23">
        <f>+M414-M415</f>
        <v>1231215783</v>
      </c>
      <c r="O416" s="23">
        <f>+O414-O415</f>
        <v>17528816264</v>
      </c>
    </row>
    <row r="417" spans="15:15" ht="13.5" customHeight="1" thickTop="1"/>
    <row r="418" spans="15:15" ht="12.75" customHeight="1">
      <c r="O418" s="23">
        <f>+O239+O240</f>
        <v>10478757148</v>
      </c>
    </row>
    <row r="419" spans="15:15" ht="13.5" customHeight="1" thickBot="1"/>
    <row r="420" spans="15:15" ht="13.5" customHeight="1" thickTop="1"/>
    <row r="421" spans="15:15" ht="12.75" customHeight="1">
      <c r="O421" s="23">
        <f>+O416-O418</f>
        <v>7050059116</v>
      </c>
    </row>
    <row r="422" spans="15:15" ht="12.75" customHeight="1"/>
    <row r="423" spans="15:15" ht="12.75" customHeight="1"/>
  </sheetData>
  <autoFilter ref="A2:T423" xr:uid="{00000000-0009-0000-0000-00000C000000}"/>
  <phoneticPr fontId="4" type="noConversion"/>
  <pageMargins left="0.7" right="0.7" top="0.75" bottom="0.75" header="0.3" footer="0.3"/>
  <pageSetup paperSize="9" orientation="portrait" horizontalDpi="4294967292" verticalDpi="4294967292"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7"/>
  <sheetViews>
    <sheetView showGridLines="0" topLeftCell="B2" zoomScale="125" zoomScaleNormal="85" zoomScaleSheetLayoutView="100" workbookViewId="0">
      <selection activeCell="M28" sqref="M28"/>
    </sheetView>
  </sheetViews>
  <sheetFormatPr baseColWidth="10" defaultColWidth="11.5" defaultRowHeight="13"/>
  <cols>
    <col min="1" max="1" width="11.5" style="254"/>
    <col min="2" max="2" width="5" style="39" customWidth="1"/>
    <col min="3" max="3" width="27.5" style="39" customWidth="1"/>
    <col min="4" max="5" width="11.5" style="39"/>
    <col min="6" max="6" width="9.6640625" style="39" customWidth="1"/>
    <col min="7" max="12" width="11.5" style="39"/>
    <col min="13" max="13" width="10.1640625" style="39" customWidth="1"/>
    <col min="14" max="16384" width="11.5" style="39"/>
  </cols>
  <sheetData>
    <row r="1" spans="2:16" s="254" customFormat="1" ht="14" thickBot="1"/>
    <row r="2" spans="2:16" ht="14" thickTop="1">
      <c r="B2" s="268"/>
      <c r="C2" s="269"/>
      <c r="D2" s="269"/>
      <c r="E2" s="269"/>
      <c r="F2" s="269"/>
      <c r="G2" s="269"/>
      <c r="H2" s="269"/>
      <c r="I2" s="269"/>
      <c r="J2" s="269"/>
      <c r="K2" s="269"/>
      <c r="L2" s="269"/>
      <c r="M2" s="269"/>
      <c r="N2" s="269"/>
      <c r="O2" s="269"/>
      <c r="P2" s="270"/>
    </row>
    <row r="3" spans="2:16" ht="16">
      <c r="B3" s="271"/>
      <c r="C3" s="383" t="s">
        <v>723</v>
      </c>
      <c r="D3" s="383"/>
      <c r="E3" s="383"/>
      <c r="F3" s="383"/>
      <c r="G3" s="383"/>
      <c r="H3" s="383"/>
      <c r="I3" s="383"/>
      <c r="J3" s="383"/>
      <c r="K3" s="383"/>
      <c r="L3" s="383"/>
      <c r="M3" s="383"/>
      <c r="N3" s="383"/>
      <c r="O3" s="383"/>
      <c r="P3" s="272"/>
    </row>
    <row r="4" spans="2:16" ht="14">
      <c r="B4" s="271"/>
      <c r="C4" s="258"/>
      <c r="D4" s="258"/>
      <c r="E4" s="258"/>
      <c r="F4" s="258"/>
      <c r="G4" s="258"/>
      <c r="H4" s="258"/>
      <c r="I4" s="258"/>
      <c r="J4" s="258"/>
      <c r="K4" s="258"/>
      <c r="L4" s="258"/>
      <c r="M4" s="258"/>
      <c r="N4" s="322" t="s">
        <v>295</v>
      </c>
      <c r="O4" s="258"/>
      <c r="P4" s="272"/>
    </row>
    <row r="5" spans="2:16" ht="14">
      <c r="B5" s="271"/>
      <c r="C5" s="394" t="s">
        <v>258</v>
      </c>
      <c r="D5" s="394"/>
      <c r="E5" s="394"/>
      <c r="F5" s="394"/>
      <c r="G5" s="394"/>
      <c r="H5" s="394"/>
      <c r="I5" s="394"/>
      <c r="J5" s="394"/>
      <c r="K5" s="394"/>
      <c r="L5" s="394"/>
      <c r="M5" s="394"/>
      <c r="N5" s="394"/>
      <c r="O5" s="394"/>
      <c r="P5" s="272"/>
    </row>
    <row r="6" spans="2:16" ht="14">
      <c r="B6" s="271"/>
      <c r="C6" s="394" t="s">
        <v>292</v>
      </c>
      <c r="D6" s="394"/>
      <c r="E6" s="394"/>
      <c r="F6" s="394"/>
      <c r="G6" s="394"/>
      <c r="H6" s="394"/>
      <c r="I6" s="394"/>
      <c r="J6" s="394"/>
      <c r="K6" s="394"/>
      <c r="L6" s="394"/>
      <c r="M6" s="394"/>
      <c r="N6" s="394"/>
      <c r="O6" s="394"/>
      <c r="P6" s="272"/>
    </row>
    <row r="7" spans="2:16" ht="14">
      <c r="B7" s="271"/>
      <c r="C7" s="394" t="s">
        <v>4053</v>
      </c>
      <c r="D7" s="394"/>
      <c r="E7" s="394"/>
      <c r="F7" s="394"/>
      <c r="G7" s="394"/>
      <c r="H7" s="394"/>
      <c r="I7" s="394"/>
      <c r="J7" s="394"/>
      <c r="K7" s="394"/>
      <c r="L7" s="394"/>
      <c r="M7" s="394"/>
      <c r="N7" s="394"/>
      <c r="O7" s="394"/>
      <c r="P7" s="272"/>
    </row>
    <row r="8" spans="2:16">
      <c r="B8" s="271"/>
      <c r="C8" s="258"/>
      <c r="D8" s="258"/>
      <c r="E8" s="258"/>
      <c r="F8" s="258"/>
      <c r="G8" s="258"/>
      <c r="H8" s="258"/>
      <c r="I8" s="258"/>
      <c r="J8" s="258"/>
      <c r="K8" s="258"/>
      <c r="L8" s="258"/>
      <c r="M8" s="258"/>
      <c r="N8" s="258"/>
      <c r="O8" s="258"/>
      <c r="P8" s="272"/>
    </row>
    <row r="9" spans="2:16">
      <c r="B9" s="271"/>
      <c r="C9" s="258"/>
      <c r="D9" s="258"/>
      <c r="E9" s="258"/>
      <c r="F9" s="258"/>
      <c r="G9" s="258"/>
      <c r="H9" s="258"/>
      <c r="I9" s="258"/>
      <c r="J9" s="258"/>
      <c r="K9" s="258"/>
      <c r="L9" s="258"/>
      <c r="M9" s="258"/>
      <c r="N9" s="258"/>
      <c r="O9" s="258"/>
      <c r="P9" s="272"/>
    </row>
    <row r="10" spans="2:16">
      <c r="B10" s="271"/>
      <c r="C10" s="456" t="s">
        <v>259</v>
      </c>
      <c r="D10" s="456" t="s">
        <v>260</v>
      </c>
      <c r="E10" s="456" t="s">
        <v>261</v>
      </c>
      <c r="F10" s="456" t="s">
        <v>262</v>
      </c>
      <c r="G10" s="456" t="s">
        <v>263</v>
      </c>
      <c r="H10" s="456" t="s">
        <v>264</v>
      </c>
      <c r="I10" s="456" t="s">
        <v>265</v>
      </c>
      <c r="J10" s="456" t="s">
        <v>266</v>
      </c>
      <c r="K10" s="453" t="s">
        <v>267</v>
      </c>
      <c r="L10" s="454"/>
      <c r="M10" s="454"/>
      <c r="N10" s="454"/>
      <c r="O10" s="455"/>
      <c r="P10" s="272"/>
    </row>
    <row r="11" spans="2:16" ht="12.75" customHeight="1">
      <c r="B11" s="271"/>
      <c r="C11" s="457"/>
      <c r="D11" s="457"/>
      <c r="E11" s="457"/>
      <c r="F11" s="457"/>
      <c r="G11" s="457"/>
      <c r="H11" s="457"/>
      <c r="I11" s="457"/>
      <c r="J11" s="457"/>
      <c r="K11" s="456" t="s">
        <v>268</v>
      </c>
      <c r="L11" s="456" t="s">
        <v>269</v>
      </c>
      <c r="M11" s="456" t="s">
        <v>270</v>
      </c>
      <c r="N11" s="459" t="s">
        <v>271</v>
      </c>
      <c r="O11" s="459"/>
      <c r="P11" s="272"/>
    </row>
    <row r="12" spans="2:16">
      <c r="B12" s="271"/>
      <c r="C12" s="458"/>
      <c r="D12" s="458"/>
      <c r="E12" s="458"/>
      <c r="F12" s="458"/>
      <c r="G12" s="458"/>
      <c r="H12" s="458"/>
      <c r="I12" s="458"/>
      <c r="J12" s="458"/>
      <c r="K12" s="457"/>
      <c r="L12" s="457"/>
      <c r="M12" s="457"/>
      <c r="N12" s="262" t="s">
        <v>272</v>
      </c>
      <c r="O12" s="262" t="s">
        <v>273</v>
      </c>
      <c r="P12" s="272"/>
    </row>
    <row r="13" spans="2:16" ht="32.25" customHeight="1">
      <c r="B13" s="271"/>
      <c r="C13" s="86" t="s">
        <v>945</v>
      </c>
      <c r="D13" s="86"/>
      <c r="E13" s="86"/>
      <c r="F13" s="86"/>
      <c r="G13" s="86"/>
      <c r="H13" s="86"/>
      <c r="I13" s="86"/>
      <c r="J13" s="86"/>
      <c r="K13" s="86"/>
      <c r="L13" s="86"/>
      <c r="M13" s="86"/>
      <c r="N13" s="86"/>
      <c r="O13" s="86"/>
      <c r="P13" s="272"/>
    </row>
    <row r="14" spans="2:16">
      <c r="B14" s="271"/>
      <c r="C14" s="86" t="s">
        <v>274</v>
      </c>
      <c r="D14" s="86"/>
      <c r="E14" s="86"/>
      <c r="F14" s="86"/>
      <c r="G14" s="86"/>
      <c r="H14" s="86"/>
      <c r="I14" s="86"/>
      <c r="J14" s="86"/>
      <c r="K14" s="86"/>
      <c r="L14" s="86"/>
      <c r="M14" s="86"/>
      <c r="N14" s="86"/>
      <c r="O14" s="86"/>
      <c r="P14" s="272"/>
    </row>
    <row r="15" spans="2:16">
      <c r="B15" s="271"/>
      <c r="C15" s="86" t="s">
        <v>275</v>
      </c>
      <c r="D15" s="86"/>
      <c r="E15" s="86"/>
      <c r="F15" s="86"/>
      <c r="G15" s="86"/>
      <c r="H15" s="86"/>
      <c r="I15" s="86"/>
      <c r="J15" s="86"/>
      <c r="K15" s="86"/>
      <c r="L15" s="86"/>
      <c r="M15" s="86"/>
      <c r="N15" s="86"/>
      <c r="O15" s="86"/>
      <c r="P15" s="272"/>
    </row>
    <row r="16" spans="2:16">
      <c r="B16" s="271"/>
      <c r="C16" s="86"/>
      <c r="D16" s="86"/>
      <c r="E16" s="86"/>
      <c r="F16" s="86"/>
      <c r="G16" s="86"/>
      <c r="H16" s="86"/>
      <c r="I16" s="86"/>
      <c r="J16" s="86"/>
      <c r="K16" s="86"/>
      <c r="L16" s="86"/>
      <c r="M16" s="86"/>
      <c r="N16" s="86"/>
      <c r="O16" s="86"/>
      <c r="P16" s="272"/>
    </row>
    <row r="17" spans="1:16">
      <c r="B17" s="271"/>
      <c r="C17" s="86"/>
      <c r="D17" s="86"/>
      <c r="E17" s="86"/>
      <c r="F17" s="86"/>
      <c r="G17" s="86"/>
      <c r="H17" s="86"/>
      <c r="I17" s="86"/>
      <c r="J17" s="86"/>
      <c r="K17" s="86"/>
      <c r="L17" s="86"/>
      <c r="M17" s="86"/>
      <c r="N17" s="86"/>
      <c r="O17" s="86"/>
      <c r="P17" s="272"/>
    </row>
    <row r="18" spans="1:16">
      <c r="B18" s="271"/>
      <c r="C18" s="86" t="s">
        <v>276</v>
      </c>
      <c r="D18" s="86"/>
      <c r="E18" s="86"/>
      <c r="F18" s="86"/>
      <c r="G18" s="86"/>
      <c r="H18" s="86"/>
      <c r="I18" s="86"/>
      <c r="J18" s="86"/>
      <c r="K18" s="86"/>
      <c r="L18" s="86"/>
      <c r="M18" s="86"/>
      <c r="N18" s="86"/>
      <c r="O18" s="86"/>
      <c r="P18" s="272"/>
    </row>
    <row r="19" spans="1:16">
      <c r="B19" s="271"/>
      <c r="C19" s="86" t="s">
        <v>274</v>
      </c>
      <c r="D19" s="86"/>
      <c r="E19" s="86"/>
      <c r="F19" s="86"/>
      <c r="G19" s="86"/>
      <c r="H19" s="86"/>
      <c r="I19" s="86"/>
      <c r="J19" s="86"/>
      <c r="K19" s="86"/>
      <c r="L19" s="86"/>
      <c r="M19" s="86"/>
      <c r="N19" s="86"/>
      <c r="O19" s="86"/>
      <c r="P19" s="272"/>
    </row>
    <row r="20" spans="1:16">
      <c r="B20" s="271"/>
      <c r="C20" s="86" t="s">
        <v>275</v>
      </c>
      <c r="D20" s="86"/>
      <c r="E20" s="86"/>
      <c r="F20" s="86"/>
      <c r="G20" s="86"/>
      <c r="H20" s="86"/>
      <c r="I20" s="86"/>
      <c r="J20" s="86"/>
      <c r="K20" s="86"/>
      <c r="L20" s="86"/>
      <c r="M20" s="86"/>
      <c r="N20" s="86"/>
      <c r="O20" s="86"/>
      <c r="P20" s="272"/>
    </row>
    <row r="21" spans="1:16">
      <c r="B21" s="271"/>
      <c r="C21" s="258"/>
      <c r="D21" s="258"/>
      <c r="E21" s="258"/>
      <c r="F21" s="258"/>
      <c r="G21" s="258"/>
      <c r="H21" s="258"/>
      <c r="I21" s="258"/>
      <c r="J21" s="258"/>
      <c r="K21" s="258"/>
      <c r="L21" s="258"/>
      <c r="M21" s="258"/>
      <c r="N21" s="258"/>
      <c r="O21" s="258"/>
      <c r="P21" s="272"/>
    </row>
    <row r="22" spans="1:16" ht="14" thickBot="1">
      <c r="B22" s="292"/>
      <c r="C22" s="325"/>
      <c r="D22" s="325"/>
      <c r="E22" s="325"/>
      <c r="F22" s="325"/>
      <c r="G22" s="325"/>
      <c r="H22" s="325"/>
      <c r="I22" s="325"/>
      <c r="J22" s="325"/>
      <c r="K22" s="325"/>
      <c r="L22" s="325"/>
      <c r="M22" s="325"/>
      <c r="N22" s="325"/>
      <c r="O22" s="325"/>
      <c r="P22" s="293"/>
    </row>
    <row r="23" spans="1:16" ht="20.25" customHeight="1" thickTop="1"/>
    <row r="24" spans="1:16" ht="20.25" customHeight="1"/>
    <row r="26" spans="1:16" s="9" customFormat="1">
      <c r="A26" s="258"/>
    </row>
    <row r="27" spans="1:16" s="9" customFormat="1">
      <c r="A27" s="258"/>
    </row>
    <row r="29" spans="1:16">
      <c r="D29" s="372"/>
      <c r="E29" s="372"/>
      <c r="K29" s="372"/>
      <c r="L29" s="372"/>
    </row>
    <row r="47" spans="15:15">
      <c r="O47" s="39">
        <v>20</v>
      </c>
    </row>
  </sheetData>
  <mergeCells count="19">
    <mergeCell ref="C3:O3"/>
    <mergeCell ref="C5:O5"/>
    <mergeCell ref="C6:O6"/>
    <mergeCell ref="C7:O7"/>
    <mergeCell ref="D10:D12"/>
    <mergeCell ref="C10:C12"/>
    <mergeCell ref="G10:G12"/>
    <mergeCell ref="F10:F12"/>
    <mergeCell ref="E10:E12"/>
    <mergeCell ref="J10:J12"/>
    <mergeCell ref="I10:I12"/>
    <mergeCell ref="H10:H12"/>
    <mergeCell ref="N11:O11"/>
    <mergeCell ref="K10:O10"/>
    <mergeCell ref="M11:M12"/>
    <mergeCell ref="L11:L12"/>
    <mergeCell ref="K11:K12"/>
    <mergeCell ref="D29:E29"/>
    <mergeCell ref="K29:L29"/>
  </mergeCells>
  <phoneticPr fontId="4" type="noConversion"/>
  <printOptions horizontalCentered="1"/>
  <pageMargins left="1.0629921259842521" right="1.1417322834645669" top="0.98425196850393704" bottom="0" header="0.11811023622047245" footer="0"/>
  <pageSetup paperSize="9" scale="63" orientation="landscape" r:id="rId1"/>
  <headerFooter>
    <oddHeader>&amp;L
&amp;G</oddHead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K58"/>
  <sheetViews>
    <sheetView showGridLines="0" zoomScale="92" zoomScaleNormal="115" zoomScaleSheetLayoutView="115" zoomScalePageLayoutView="115" workbookViewId="0">
      <selection activeCell="J59" sqref="J59"/>
    </sheetView>
  </sheetViews>
  <sheetFormatPr baseColWidth="10" defaultColWidth="11.5" defaultRowHeight="13"/>
  <cols>
    <col min="1" max="1" width="11.5" style="254"/>
    <col min="2" max="2" width="5" style="39" customWidth="1"/>
    <col min="3" max="3" width="33.5" style="39" customWidth="1"/>
    <col min="4" max="4" width="15.5" style="39" customWidth="1"/>
    <col min="5" max="5" width="15" style="39" customWidth="1"/>
    <col min="6" max="6" width="11.5" style="39" bestFit="1" customWidth="1"/>
    <col min="7" max="8" width="15.33203125" style="39" customWidth="1"/>
    <col min="9" max="9" width="2.6640625" style="39" customWidth="1"/>
    <col min="10" max="16384" width="11.5" style="39"/>
  </cols>
  <sheetData>
    <row r="2" spans="2:11" ht="14" thickBot="1"/>
    <row r="3" spans="2:11" ht="17" thickTop="1">
      <c r="B3" s="268"/>
      <c r="C3" s="282"/>
      <c r="D3" s="282"/>
      <c r="E3" s="282"/>
      <c r="F3" s="282"/>
      <c r="G3" s="282"/>
      <c r="H3" s="282"/>
      <c r="I3" s="270"/>
    </row>
    <row r="4" spans="2:11" ht="16">
      <c r="B4" s="283"/>
      <c r="C4" s="383" t="s">
        <v>723</v>
      </c>
      <c r="D4" s="383"/>
      <c r="E4" s="383"/>
      <c r="F4" s="383"/>
      <c r="G4" s="383"/>
      <c r="H4" s="383"/>
      <c r="I4" s="285"/>
    </row>
    <row r="5" spans="2:11" ht="16">
      <c r="B5" s="271"/>
      <c r="C5" s="167"/>
      <c r="D5" s="167"/>
      <c r="E5" s="167"/>
      <c r="F5" s="167"/>
      <c r="G5" s="167"/>
      <c r="H5" s="163" t="s">
        <v>296</v>
      </c>
      <c r="I5" s="272"/>
    </row>
    <row r="6" spans="2:11" ht="16">
      <c r="B6" s="290"/>
      <c r="C6" s="383" t="s">
        <v>4054</v>
      </c>
      <c r="D6" s="383"/>
      <c r="E6" s="383"/>
      <c r="F6" s="383"/>
      <c r="G6" s="383"/>
      <c r="H6" s="383"/>
      <c r="I6" s="291"/>
    </row>
    <row r="7" spans="2:11" ht="16">
      <c r="B7" s="271"/>
      <c r="C7" s="167"/>
      <c r="D7" s="167"/>
      <c r="E7" s="167"/>
      <c r="F7" s="167"/>
      <c r="G7" s="167"/>
      <c r="H7" s="167"/>
      <c r="I7" s="272"/>
    </row>
    <row r="8" spans="2:11" ht="16">
      <c r="B8" s="271"/>
      <c r="C8" s="167"/>
      <c r="D8" s="167"/>
      <c r="E8" s="167"/>
      <c r="F8" s="167"/>
      <c r="G8" s="167"/>
      <c r="H8" s="167"/>
      <c r="I8" s="272"/>
    </row>
    <row r="9" spans="2:11" ht="16">
      <c r="B9" s="290"/>
      <c r="C9" s="383" t="s">
        <v>283</v>
      </c>
      <c r="D9" s="383"/>
      <c r="E9" s="383"/>
      <c r="F9" s="383"/>
      <c r="G9" s="383"/>
      <c r="H9" s="383"/>
      <c r="I9" s="291"/>
    </row>
    <row r="10" spans="2:11" ht="16">
      <c r="B10" s="271"/>
      <c r="C10" s="540"/>
      <c r="D10" s="540"/>
      <c r="E10" s="540"/>
      <c r="F10" s="540"/>
      <c r="G10" s="540"/>
      <c r="H10" s="540"/>
      <c r="I10" s="272"/>
    </row>
    <row r="11" spans="2:11" ht="16" hidden="1">
      <c r="B11" s="271"/>
      <c r="C11" s="167"/>
      <c r="D11" s="167"/>
      <c r="E11" s="167"/>
      <c r="F11" s="167"/>
      <c r="G11" s="167"/>
      <c r="H11" s="167"/>
      <c r="I11" s="272"/>
    </row>
    <row r="12" spans="2:11" ht="16">
      <c r="B12" s="271"/>
      <c r="C12" s="167"/>
      <c r="D12" s="167"/>
      <c r="E12" s="167"/>
      <c r="F12" s="167"/>
      <c r="G12" s="167"/>
      <c r="H12" s="167"/>
      <c r="I12" s="272"/>
    </row>
    <row r="13" spans="2:11" ht="51">
      <c r="B13" s="271"/>
      <c r="C13" s="260" t="s">
        <v>277</v>
      </c>
      <c r="D13" s="260" t="s">
        <v>278</v>
      </c>
      <c r="E13" s="260" t="s">
        <v>279</v>
      </c>
      <c r="F13" s="260" t="s">
        <v>280</v>
      </c>
      <c r="G13" s="260" t="s">
        <v>1063</v>
      </c>
      <c r="H13" s="260" t="s">
        <v>1064</v>
      </c>
      <c r="I13" s="541"/>
      <c r="J13" s="22" t="s">
        <v>4052</v>
      </c>
      <c r="K13" s="22"/>
    </row>
    <row r="14" spans="2:11" ht="34">
      <c r="B14" s="271"/>
      <c r="C14" s="223" t="s">
        <v>1617</v>
      </c>
      <c r="D14" s="266"/>
      <c r="E14" s="266"/>
      <c r="F14" s="266"/>
      <c r="G14" s="266"/>
      <c r="H14" s="266"/>
      <c r="I14" s="272"/>
      <c r="J14" s="22"/>
      <c r="K14" s="22"/>
    </row>
    <row r="15" spans="2:11" ht="16" hidden="1">
      <c r="B15" s="271"/>
      <c r="C15" s="266" t="s">
        <v>782</v>
      </c>
      <c r="D15" s="266">
        <f>+COMPARATIVO!AL102/1000</f>
        <v>0</v>
      </c>
      <c r="E15" s="266">
        <v>0</v>
      </c>
      <c r="F15" s="266">
        <v>0</v>
      </c>
      <c r="G15" s="266">
        <f>+D15</f>
        <v>0</v>
      </c>
      <c r="H15" s="266">
        <f>+(COMPARATIVO!AH102)/1000</f>
        <v>0</v>
      </c>
      <c r="I15" s="272"/>
      <c r="J15" s="22"/>
      <c r="K15" s="22"/>
    </row>
    <row r="16" spans="2:11" ht="16">
      <c r="B16" s="271"/>
      <c r="C16" s="266" t="s">
        <v>785</v>
      </c>
      <c r="D16" s="218">
        <f>(COMPARATIVO!AP89)/1000</f>
        <v>4364093.3</v>
      </c>
      <c r="E16" s="218">
        <v>0</v>
      </c>
      <c r="F16" s="218">
        <v>0</v>
      </c>
      <c r="G16" s="218">
        <f>+D16</f>
        <v>4364093.3</v>
      </c>
      <c r="H16" s="218">
        <f>(COMPARATIVO!AH89)/1000</f>
        <v>10158445.216</v>
      </c>
      <c r="I16" s="272"/>
      <c r="J16" s="22">
        <f>+G16-BG!E17</f>
        <v>0.29999999981373549</v>
      </c>
      <c r="K16" s="22">
        <f>+H16-BG!G17</f>
        <v>0</v>
      </c>
    </row>
    <row r="17" spans="1:11" ht="34" hidden="1">
      <c r="B17" s="271"/>
      <c r="C17" s="223" t="s">
        <v>1618</v>
      </c>
      <c r="D17" s="218"/>
      <c r="E17" s="218"/>
      <c r="F17" s="218"/>
      <c r="G17" s="218"/>
      <c r="H17" s="218"/>
      <c r="I17" s="272"/>
      <c r="J17" s="22"/>
      <c r="K17" s="22"/>
    </row>
    <row r="18" spans="1:11" ht="16" hidden="1">
      <c r="B18" s="271"/>
      <c r="C18" s="266" t="s">
        <v>785</v>
      </c>
      <c r="D18" s="218">
        <f>(COMPARATIVO!AP168)/1000</f>
        <v>0</v>
      </c>
      <c r="E18" s="218">
        <v>0</v>
      </c>
      <c r="F18" s="218">
        <v>0</v>
      </c>
      <c r="G18" s="218">
        <f>+D18</f>
        <v>0</v>
      </c>
      <c r="H18" s="218">
        <f>(COMPARATIVO!AH92)/1000</f>
        <v>0</v>
      </c>
      <c r="I18" s="272"/>
      <c r="J18" s="22" t="e">
        <f>+G18-BG!#REF!</f>
        <v>#REF!</v>
      </c>
      <c r="K18" s="22">
        <v>0</v>
      </c>
    </row>
    <row r="19" spans="1:11" ht="16">
      <c r="B19" s="271"/>
      <c r="C19" s="266"/>
      <c r="D19" s="218"/>
      <c r="E19" s="218"/>
      <c r="F19" s="218"/>
      <c r="G19" s="218"/>
      <c r="H19" s="218"/>
      <c r="I19" s="272"/>
      <c r="J19" s="22"/>
      <c r="K19" s="22"/>
    </row>
    <row r="20" spans="1:11" s="3" customFormat="1" ht="16">
      <c r="A20" s="90"/>
      <c r="B20" s="295"/>
      <c r="C20" s="217" t="s">
        <v>281</v>
      </c>
      <c r="D20" s="219">
        <f>SUM(D15:D18)</f>
        <v>4364093.3</v>
      </c>
      <c r="E20" s="219">
        <f>SUM(E15:E18)</f>
        <v>0</v>
      </c>
      <c r="F20" s="219">
        <f>SUM(F15:F18)</f>
        <v>0</v>
      </c>
      <c r="G20" s="219">
        <f>SUM(G15:G18)</f>
        <v>4364093.3</v>
      </c>
      <c r="H20" s="219">
        <f>SUM(H15:H18)</f>
        <v>10158445.216</v>
      </c>
      <c r="I20" s="296"/>
      <c r="J20" s="14"/>
      <c r="K20" s="14"/>
    </row>
    <row r="21" spans="1:11" ht="16">
      <c r="B21" s="271"/>
      <c r="C21" s="266"/>
      <c r="D21" s="218"/>
      <c r="E21" s="218"/>
      <c r="F21" s="218"/>
      <c r="G21" s="218"/>
      <c r="H21" s="218"/>
      <c r="I21" s="272"/>
      <c r="J21" s="22"/>
      <c r="K21" s="22"/>
    </row>
    <row r="22" spans="1:11" ht="16">
      <c r="B22" s="271"/>
      <c r="C22" s="266" t="s">
        <v>1542</v>
      </c>
      <c r="D22" s="218"/>
      <c r="E22" s="218"/>
      <c r="F22" s="218"/>
      <c r="G22" s="218"/>
      <c r="H22" s="218"/>
      <c r="I22" s="272"/>
      <c r="J22" s="22"/>
      <c r="K22" s="22"/>
    </row>
    <row r="23" spans="1:11" ht="16">
      <c r="B23" s="271"/>
      <c r="C23" s="266" t="s">
        <v>873</v>
      </c>
      <c r="D23" s="218">
        <f>+COMPARATIVO!AP143/1000</f>
        <v>14167706.577</v>
      </c>
      <c r="E23" s="218">
        <v>0</v>
      </c>
      <c r="F23" s="218">
        <v>0</v>
      </c>
      <c r="G23" s="218">
        <f>+D23</f>
        <v>14167706.577</v>
      </c>
      <c r="H23" s="218">
        <f>+COMPARATIVO!AH143/1000</f>
        <v>17838304.206</v>
      </c>
      <c r="I23" s="272"/>
      <c r="J23" s="22">
        <f>+G23-(BG!E23)</f>
        <v>-0.42300000041723251</v>
      </c>
      <c r="K23" s="22">
        <f>+BG!G23-H23</f>
        <v>0</v>
      </c>
    </row>
    <row r="24" spans="1:11" ht="16">
      <c r="B24" s="271"/>
      <c r="C24" s="266"/>
      <c r="D24" s="218"/>
      <c r="E24" s="218"/>
      <c r="F24" s="218"/>
      <c r="G24" s="218"/>
      <c r="H24" s="218"/>
      <c r="I24" s="272"/>
      <c r="J24" s="22"/>
      <c r="K24" s="22"/>
    </row>
    <row r="25" spans="1:11" s="3" customFormat="1" ht="16">
      <c r="A25" s="90"/>
      <c r="B25" s="295"/>
      <c r="C25" s="217" t="s">
        <v>281</v>
      </c>
      <c r="D25" s="219">
        <f>+D23</f>
        <v>14167706.577</v>
      </c>
      <c r="E25" s="219">
        <f>+E23</f>
        <v>0</v>
      </c>
      <c r="F25" s="219">
        <f>+F23</f>
        <v>0</v>
      </c>
      <c r="G25" s="219">
        <f>+G23</f>
        <v>14167706.577</v>
      </c>
      <c r="H25" s="219">
        <f>+H23</f>
        <v>17838304.206</v>
      </c>
      <c r="I25" s="296"/>
      <c r="J25" s="14"/>
      <c r="K25" s="14"/>
    </row>
    <row r="26" spans="1:11" ht="16">
      <c r="B26" s="271"/>
      <c r="C26" s="266"/>
      <c r="D26" s="218"/>
      <c r="E26" s="218"/>
      <c r="F26" s="218"/>
      <c r="G26" s="218"/>
      <c r="H26" s="218"/>
      <c r="I26" s="272"/>
      <c r="J26" s="22"/>
      <c r="K26" s="22"/>
    </row>
    <row r="27" spans="1:11" s="3" customFormat="1" ht="16">
      <c r="A27" s="90"/>
      <c r="B27" s="295"/>
      <c r="C27" s="217" t="s">
        <v>282</v>
      </c>
      <c r="D27" s="219">
        <f>+D20+D25</f>
        <v>18531799.877</v>
      </c>
      <c r="E27" s="219">
        <f>+E20+E25</f>
        <v>0</v>
      </c>
      <c r="F27" s="219">
        <f>+F20+F25</f>
        <v>0</v>
      </c>
      <c r="G27" s="219">
        <f>+G20+G25</f>
        <v>18531799.877</v>
      </c>
      <c r="H27" s="219">
        <f>+H20+H25</f>
        <v>27996749.421999998</v>
      </c>
      <c r="I27" s="296"/>
      <c r="J27" s="14"/>
      <c r="K27" s="14"/>
    </row>
    <row r="28" spans="1:11" ht="16">
      <c r="B28" s="271"/>
      <c r="C28" s="167"/>
      <c r="D28" s="167"/>
      <c r="E28" s="167"/>
      <c r="F28" s="167"/>
      <c r="G28" s="167"/>
      <c r="H28" s="167"/>
      <c r="I28" s="272"/>
      <c r="J28" s="22"/>
      <c r="K28" s="22"/>
    </row>
    <row r="29" spans="1:11" ht="16">
      <c r="B29" s="271"/>
      <c r="C29" s="542" t="s">
        <v>1619</v>
      </c>
      <c r="D29" s="542"/>
      <c r="E29" s="167"/>
      <c r="F29" s="167"/>
      <c r="G29" s="167"/>
      <c r="H29" s="167"/>
      <c r="I29" s="272"/>
      <c r="J29" s="22"/>
      <c r="K29" s="22"/>
    </row>
    <row r="30" spans="1:11" ht="16">
      <c r="B30" s="271"/>
      <c r="C30" s="167" t="s">
        <v>1645</v>
      </c>
      <c r="D30" s="167"/>
      <c r="E30" s="167"/>
      <c r="F30" s="167"/>
      <c r="G30" s="167"/>
      <c r="H30" s="167"/>
      <c r="I30" s="272"/>
      <c r="J30" s="22"/>
      <c r="K30" s="22"/>
    </row>
    <row r="31" spans="1:11" ht="16">
      <c r="B31" s="271"/>
      <c r="C31" s="167" t="s">
        <v>1017</v>
      </c>
      <c r="D31" s="167"/>
      <c r="E31" s="167"/>
      <c r="F31" s="167"/>
      <c r="G31" s="167"/>
      <c r="H31" s="167"/>
      <c r="I31" s="272"/>
      <c r="J31" s="22"/>
      <c r="K31" s="22"/>
    </row>
    <row r="32" spans="1:11" ht="16">
      <c r="B32" s="271"/>
      <c r="C32" s="167" t="s">
        <v>1646</v>
      </c>
      <c r="D32" s="167"/>
      <c r="E32" s="167"/>
      <c r="F32" s="167"/>
      <c r="G32" s="167"/>
      <c r="H32" s="167"/>
      <c r="I32" s="272"/>
      <c r="J32" s="22"/>
      <c r="K32" s="22"/>
    </row>
    <row r="33" spans="2:11" ht="16">
      <c r="B33" s="271"/>
      <c r="C33" s="167" t="s">
        <v>972</v>
      </c>
      <c r="D33" s="167"/>
      <c r="E33" s="167"/>
      <c r="F33" s="167"/>
      <c r="G33" s="167"/>
      <c r="H33" s="167"/>
      <c r="I33" s="272"/>
      <c r="J33" s="22"/>
      <c r="K33" s="22"/>
    </row>
    <row r="34" spans="2:11" ht="16">
      <c r="B34" s="271"/>
      <c r="C34" s="167"/>
      <c r="D34" s="167"/>
      <c r="E34" s="167"/>
      <c r="F34" s="167"/>
      <c r="G34" s="167"/>
      <c r="H34" s="167"/>
      <c r="I34" s="272"/>
      <c r="J34" s="22"/>
      <c r="K34" s="22"/>
    </row>
    <row r="35" spans="2:11" ht="16">
      <c r="B35" s="271"/>
      <c r="C35" s="542" t="s">
        <v>1540</v>
      </c>
      <c r="D35" s="167"/>
      <c r="E35" s="167"/>
      <c r="F35" s="167"/>
      <c r="G35" s="167"/>
      <c r="H35" s="167"/>
      <c r="I35" s="272"/>
      <c r="J35" s="22"/>
      <c r="K35" s="22"/>
    </row>
    <row r="36" spans="2:11" ht="16">
      <c r="B36" s="271"/>
      <c r="C36" s="167" t="s">
        <v>4057</v>
      </c>
      <c r="D36" s="167"/>
      <c r="E36" s="167"/>
      <c r="F36" s="167"/>
      <c r="G36" s="167"/>
      <c r="H36" s="167"/>
      <c r="I36" s="272"/>
      <c r="J36" s="22"/>
      <c r="K36" s="22"/>
    </row>
    <row r="37" spans="2:11" ht="16">
      <c r="B37" s="271"/>
      <c r="C37" s="167" t="s">
        <v>4058</v>
      </c>
      <c r="D37" s="167"/>
      <c r="E37" s="167"/>
      <c r="F37" s="167"/>
      <c r="G37" s="167"/>
      <c r="H37" s="167"/>
      <c r="I37" s="272"/>
      <c r="J37" s="22"/>
      <c r="K37" s="22"/>
    </row>
    <row r="38" spans="2:11" ht="16">
      <c r="B38" s="271"/>
      <c r="C38" s="167" t="s">
        <v>4801</v>
      </c>
      <c r="D38" s="167"/>
      <c r="E38" s="167"/>
      <c r="F38" s="167"/>
      <c r="G38" s="167"/>
      <c r="H38" s="167"/>
      <c r="I38" s="272"/>
      <c r="J38" s="22"/>
      <c r="K38" s="22"/>
    </row>
    <row r="39" spans="2:11" ht="16">
      <c r="B39" s="271"/>
      <c r="C39" s="167" t="s">
        <v>4802</v>
      </c>
      <c r="D39" s="167"/>
      <c r="E39" s="167"/>
      <c r="F39" s="167"/>
      <c r="G39" s="167"/>
      <c r="H39" s="167"/>
      <c r="I39" s="272"/>
      <c r="J39" s="22"/>
      <c r="K39" s="22"/>
    </row>
    <row r="40" spans="2:11" ht="16">
      <c r="B40" s="271"/>
      <c r="C40" s="167" t="s">
        <v>1541</v>
      </c>
      <c r="D40" s="167"/>
      <c r="E40" s="167"/>
      <c r="F40" s="167"/>
      <c r="G40" s="167"/>
      <c r="H40" s="167"/>
      <c r="I40" s="272"/>
      <c r="J40" s="22"/>
      <c r="K40" s="22"/>
    </row>
    <row r="41" spans="2:11" ht="16">
      <c r="B41" s="271"/>
      <c r="C41" s="167"/>
      <c r="D41" s="167"/>
      <c r="E41" s="167"/>
      <c r="F41" s="167"/>
      <c r="G41" s="167"/>
      <c r="H41" s="167"/>
      <c r="I41" s="272"/>
      <c r="J41" s="22"/>
      <c r="K41" s="22"/>
    </row>
    <row r="42" spans="2:11" ht="18" customHeight="1">
      <c r="B42" s="271"/>
      <c r="C42" s="167"/>
      <c r="D42" s="167"/>
      <c r="E42" s="543" t="s">
        <v>1991</v>
      </c>
      <c r="F42" s="163"/>
      <c r="G42" s="543" t="s">
        <v>1098</v>
      </c>
      <c r="H42" s="167"/>
      <c r="I42" s="272"/>
      <c r="J42" s="22"/>
      <c r="K42" s="22"/>
    </row>
    <row r="43" spans="2:11" ht="16">
      <c r="B43" s="271"/>
      <c r="C43" s="167" t="s">
        <v>835</v>
      </c>
      <c r="D43" s="167"/>
      <c r="E43" s="226">
        <f>(783750000+4769296645)/1000</f>
        <v>5553046.6449999996</v>
      </c>
      <c r="F43" s="226"/>
      <c r="G43" s="226">
        <f>(783750000+4769296645)/1000</f>
        <v>5553046.6449999996</v>
      </c>
      <c r="H43" s="167"/>
      <c r="I43" s="272"/>
      <c r="J43" s="22"/>
      <c r="K43" s="22"/>
    </row>
    <row r="44" spans="2:11" ht="16">
      <c r="B44" s="271"/>
      <c r="C44" s="167" t="s">
        <v>957</v>
      </c>
      <c r="D44" s="167"/>
      <c r="E44" s="226">
        <f>3303801173/1000</f>
        <v>3303801.173</v>
      </c>
      <c r="F44" s="226"/>
      <c r="G44" s="226">
        <f>3303801173/1000</f>
        <v>3303801.173</v>
      </c>
      <c r="H44" s="167"/>
      <c r="I44" s="272"/>
      <c r="J44" s="22"/>
      <c r="K44" s="22"/>
    </row>
    <row r="45" spans="2:11" ht="16">
      <c r="B45" s="271"/>
      <c r="C45" s="167" t="s">
        <v>958</v>
      </c>
      <c r="D45" s="167"/>
      <c r="E45" s="226">
        <v>0</v>
      </c>
      <c r="F45" s="226"/>
      <c r="G45" s="226">
        <f>7802254166/1000</f>
        <v>7802254.1660000002</v>
      </c>
      <c r="H45" s="167"/>
      <c r="I45" s="272"/>
      <c r="J45" s="22"/>
      <c r="K45" s="22"/>
    </row>
    <row r="46" spans="2:11" ht="16">
      <c r="B46" s="271"/>
      <c r="C46" s="167" t="s">
        <v>4055</v>
      </c>
      <c r="D46" s="167"/>
      <c r="E46" s="226">
        <f>589601111/1000</f>
        <v>589601.11100000003</v>
      </c>
      <c r="F46" s="226"/>
      <c r="G46" s="226">
        <f>(4375200166-3195997944)/1000</f>
        <v>1179202.2220000001</v>
      </c>
      <c r="H46" s="167"/>
      <c r="I46" s="272"/>
      <c r="J46" s="22"/>
      <c r="K46" s="22"/>
    </row>
    <row r="47" spans="2:11" ht="16">
      <c r="B47" s="271"/>
      <c r="C47" s="167" t="s">
        <v>4056</v>
      </c>
      <c r="D47" s="167"/>
      <c r="E47" s="226">
        <f>4721257648/1000</f>
        <v>4721257.648</v>
      </c>
      <c r="F47" s="226"/>
      <c r="G47" s="226">
        <v>0</v>
      </c>
      <c r="H47" s="167"/>
      <c r="I47" s="272"/>
      <c r="J47" s="22"/>
      <c r="K47" s="22"/>
    </row>
    <row r="48" spans="2:11" ht="17" thickBot="1">
      <c r="B48" s="271"/>
      <c r="C48" s="167"/>
      <c r="D48" s="167"/>
      <c r="E48" s="225">
        <f>SUM(E43:E47)</f>
        <v>14167706.577</v>
      </c>
      <c r="F48" s="544"/>
      <c r="G48" s="225">
        <f>SUM(G43:G46)</f>
        <v>17838304.206</v>
      </c>
      <c r="H48" s="167"/>
      <c r="I48" s="272"/>
      <c r="J48" s="22"/>
      <c r="K48" s="22"/>
    </row>
    <row r="49" spans="1:11" ht="17" thickTop="1">
      <c r="B49" s="271"/>
      <c r="C49" s="167"/>
      <c r="D49" s="167"/>
      <c r="E49" s="167"/>
      <c r="F49" s="167"/>
      <c r="G49" s="167"/>
      <c r="H49" s="167"/>
      <c r="I49" s="272"/>
      <c r="J49" s="22"/>
      <c r="K49" s="22"/>
    </row>
    <row r="50" spans="1:11" ht="14" thickBot="1">
      <c r="B50" s="292"/>
      <c r="C50" s="325"/>
      <c r="D50" s="325"/>
      <c r="E50" s="325"/>
      <c r="F50" s="325"/>
      <c r="G50" s="325"/>
      <c r="H50" s="325"/>
      <c r="I50" s="293"/>
      <c r="J50" s="22"/>
      <c r="K50" s="22"/>
    </row>
    <row r="51" spans="1:11" ht="14" thickTop="1">
      <c r="J51" s="22"/>
      <c r="K51" s="22"/>
    </row>
    <row r="52" spans="1:11">
      <c r="J52" s="22"/>
      <c r="K52" s="22"/>
    </row>
    <row r="53" spans="1:11" hidden="1">
      <c r="C53" s="39" t="s">
        <v>411</v>
      </c>
      <c r="E53" s="372" t="s">
        <v>411</v>
      </c>
      <c r="F53" s="372"/>
      <c r="H53" s="372" t="s">
        <v>411</v>
      </c>
      <c r="I53" s="372"/>
      <c r="J53" s="22"/>
      <c r="K53" s="22"/>
    </row>
    <row r="54" spans="1:11" s="9" customFormat="1">
      <c r="A54" s="258"/>
      <c r="J54" s="158"/>
      <c r="K54" s="158"/>
    </row>
    <row r="55" spans="1:11">
      <c r="J55" s="22"/>
      <c r="K55" s="22"/>
    </row>
    <row r="56" spans="1:11">
      <c r="J56" s="22"/>
      <c r="K56" s="22"/>
    </row>
    <row r="57" spans="1:11">
      <c r="J57" s="22"/>
      <c r="K57" s="22"/>
    </row>
    <row r="58" spans="1:11">
      <c r="J58" s="22"/>
      <c r="K58" s="22"/>
    </row>
  </sheetData>
  <mergeCells count="6">
    <mergeCell ref="C10:H10"/>
    <mergeCell ref="E53:F53"/>
    <mergeCell ref="H53:I53"/>
    <mergeCell ref="C4:H4"/>
    <mergeCell ref="C6:H6"/>
    <mergeCell ref="C9:H9"/>
  </mergeCells>
  <phoneticPr fontId="4" type="noConversion"/>
  <printOptions horizontalCentered="1"/>
  <pageMargins left="0.74803149606299213" right="0.74803149606299213" top="1.1023622047244095" bottom="0.19685039370078741" header="0" footer="0"/>
  <pageSetup paperSize="9" scale="77" orientation="portrait" r:id="rId1"/>
  <headerFooter>
    <oddHeader>&amp;L
&amp;G</oddHead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61"/>
  <sheetViews>
    <sheetView showGridLines="0" zoomScaleNormal="100" zoomScaleSheetLayoutView="115" zoomScalePageLayoutView="115" workbookViewId="0">
      <selection activeCell="G23" sqref="G23"/>
    </sheetView>
  </sheetViews>
  <sheetFormatPr baseColWidth="10" defaultColWidth="11.5" defaultRowHeight="13"/>
  <cols>
    <col min="1" max="1" width="11.5" style="254"/>
    <col min="2" max="2" width="5" style="39" customWidth="1"/>
    <col min="3" max="3" width="18.33203125" style="39" customWidth="1"/>
    <col min="4" max="4" width="12.6640625" style="39" bestFit="1" customWidth="1"/>
    <col min="5" max="5" width="11.5" style="39" bestFit="1" customWidth="1"/>
    <col min="6" max="6" width="12.6640625" style="39" customWidth="1"/>
    <col min="7" max="7" width="16.5" style="39" bestFit="1" customWidth="1"/>
    <col min="8" max="8" width="12.6640625" style="39" bestFit="1" customWidth="1"/>
    <col min="9" max="9" width="6" style="39" customWidth="1"/>
    <col min="10" max="10" width="5.83203125" style="39" customWidth="1"/>
    <col min="11" max="16384" width="11.5" style="39"/>
  </cols>
  <sheetData>
    <row r="1" spans="2:10" ht="20.25" customHeight="1"/>
    <row r="2" spans="2:10" ht="18.75" customHeight="1" thickBot="1"/>
    <row r="3" spans="2:10" ht="14" thickTop="1">
      <c r="B3" s="268"/>
      <c r="C3" s="269"/>
      <c r="D3" s="269"/>
      <c r="E3" s="269"/>
      <c r="F3" s="269"/>
      <c r="G3" s="269"/>
      <c r="H3" s="269"/>
      <c r="I3" s="269"/>
      <c r="J3" s="270"/>
    </row>
    <row r="4" spans="2:10" ht="16">
      <c r="B4" s="271"/>
      <c r="C4" s="383" t="s">
        <v>723</v>
      </c>
      <c r="D4" s="383"/>
      <c r="E4" s="383"/>
      <c r="F4" s="383"/>
      <c r="G4" s="383"/>
      <c r="H4" s="383"/>
      <c r="I4" s="167"/>
      <c r="J4" s="272"/>
    </row>
    <row r="5" spans="2:10" ht="16">
      <c r="B5" s="271"/>
      <c r="C5" s="167"/>
      <c r="D5" s="167"/>
      <c r="E5" s="167"/>
      <c r="F5" s="167"/>
      <c r="G5" s="167"/>
      <c r="H5" s="167"/>
      <c r="I5" s="284" t="s">
        <v>297</v>
      </c>
      <c r="J5" s="272"/>
    </row>
    <row r="6" spans="2:10" ht="16">
      <c r="B6" s="271"/>
      <c r="C6" s="383" t="s">
        <v>4059</v>
      </c>
      <c r="D6" s="383"/>
      <c r="E6" s="383"/>
      <c r="F6" s="383"/>
      <c r="G6" s="383"/>
      <c r="H6" s="383"/>
      <c r="I6" s="167"/>
      <c r="J6" s="272"/>
    </row>
    <row r="7" spans="2:10" ht="16">
      <c r="B7" s="271"/>
      <c r="C7" s="167"/>
      <c r="D7" s="167"/>
      <c r="E7" s="167"/>
      <c r="F7" s="167"/>
      <c r="G7" s="167"/>
      <c r="H7" s="167"/>
      <c r="I7" s="167"/>
      <c r="J7" s="272"/>
    </row>
    <row r="8" spans="2:10" ht="16">
      <c r="B8" s="271"/>
      <c r="C8" s="384" t="s">
        <v>387</v>
      </c>
      <c r="D8" s="384"/>
      <c r="E8" s="384"/>
      <c r="F8" s="384"/>
      <c r="G8" s="384"/>
      <c r="H8" s="384"/>
      <c r="I8" s="167"/>
      <c r="J8" s="272"/>
    </row>
    <row r="9" spans="2:10" ht="16">
      <c r="B9" s="271"/>
      <c r="C9" s="540"/>
      <c r="D9" s="540"/>
      <c r="E9" s="540"/>
      <c r="F9" s="540"/>
      <c r="G9" s="540"/>
      <c r="H9" s="540"/>
      <c r="I9" s="167"/>
      <c r="J9" s="272"/>
    </row>
    <row r="10" spans="2:10" ht="16">
      <c r="B10" s="271"/>
      <c r="C10" s="383" t="s">
        <v>284</v>
      </c>
      <c r="D10" s="383"/>
      <c r="E10" s="383"/>
      <c r="F10" s="383"/>
      <c r="G10" s="383"/>
      <c r="H10" s="383"/>
      <c r="I10" s="167"/>
      <c r="J10" s="272"/>
    </row>
    <row r="11" spans="2:10" ht="16">
      <c r="B11" s="271"/>
      <c r="C11" s="167"/>
      <c r="D11" s="167"/>
      <c r="E11" s="167"/>
      <c r="F11" s="167"/>
      <c r="G11" s="167"/>
      <c r="H11" s="167"/>
      <c r="I11" s="167"/>
      <c r="J11" s="272"/>
    </row>
    <row r="12" spans="2:10" ht="68">
      <c r="B12" s="271"/>
      <c r="C12" s="260" t="s">
        <v>286</v>
      </c>
      <c r="D12" s="260" t="s">
        <v>287</v>
      </c>
      <c r="E12" s="260" t="s">
        <v>427</v>
      </c>
      <c r="F12" s="260" t="s">
        <v>288</v>
      </c>
      <c r="G12" s="260" t="s">
        <v>289</v>
      </c>
      <c r="H12" s="260" t="s">
        <v>290</v>
      </c>
      <c r="I12" s="545"/>
      <c r="J12" s="272"/>
    </row>
    <row r="13" spans="2:10" ht="16">
      <c r="B13" s="271"/>
      <c r="C13" s="266" t="s">
        <v>285</v>
      </c>
      <c r="D13" s="218">
        <f>-(COMPARATIVO!AH62+COMPARATIVO!AH165)/1000</f>
        <v>1232674.2919999999</v>
      </c>
      <c r="E13" s="218">
        <f>+G13-D13</f>
        <v>0</v>
      </c>
      <c r="F13" s="218">
        <v>0</v>
      </c>
      <c r="G13" s="218">
        <f>-(COMPARATIVO!AP62+COMPARATIVO!AP165)/1000</f>
        <v>1232674.2919999999</v>
      </c>
      <c r="H13" s="218">
        <f>D13</f>
        <v>1232674.2919999999</v>
      </c>
      <c r="I13" s="167"/>
      <c r="J13" s="272"/>
    </row>
    <row r="14" spans="2:10" ht="24" customHeight="1">
      <c r="B14" s="271"/>
      <c r="C14" s="217" t="s">
        <v>214</v>
      </c>
      <c r="D14" s="219">
        <f>+D13</f>
        <v>1232674.2919999999</v>
      </c>
      <c r="E14" s="219">
        <f>+E13</f>
        <v>0</v>
      </c>
      <c r="F14" s="219">
        <f>+F13</f>
        <v>0</v>
      </c>
      <c r="G14" s="219">
        <f>+G13</f>
        <v>1232674.2919999999</v>
      </c>
      <c r="H14" s="219">
        <f>+H13</f>
        <v>1232674.2919999999</v>
      </c>
      <c r="I14" s="167"/>
      <c r="J14" s="272"/>
    </row>
    <row r="15" spans="2:10" hidden="1">
      <c r="B15" s="271"/>
      <c r="C15" s="258"/>
      <c r="D15" s="258"/>
      <c r="E15" s="258"/>
      <c r="F15" s="258"/>
      <c r="G15" s="258"/>
      <c r="H15" s="258"/>
      <c r="I15" s="258"/>
      <c r="J15" s="272"/>
    </row>
    <row r="16" spans="2:10" hidden="1">
      <c r="B16" s="271"/>
      <c r="C16" s="258" t="s">
        <v>291</v>
      </c>
      <c r="D16" s="258"/>
      <c r="E16" s="258"/>
      <c r="F16" s="258"/>
      <c r="G16" s="258"/>
      <c r="H16" s="258">
        <v>0</v>
      </c>
      <c r="I16" s="258"/>
      <c r="J16" s="272"/>
    </row>
    <row r="17" spans="1:10" ht="24.75" hidden="1" customHeight="1">
      <c r="B17" s="271"/>
      <c r="C17" s="258" t="s">
        <v>281</v>
      </c>
      <c r="D17" s="258"/>
      <c r="E17" s="258"/>
      <c r="F17" s="258"/>
      <c r="G17" s="258"/>
      <c r="H17" s="258">
        <f>+H16</f>
        <v>0</v>
      </c>
      <c r="I17" s="258"/>
      <c r="J17" s="272"/>
    </row>
    <row r="18" spans="1:10" ht="24.75" hidden="1" customHeight="1">
      <c r="B18" s="271"/>
      <c r="C18" s="258"/>
      <c r="D18" s="258"/>
      <c r="E18" s="258"/>
      <c r="F18" s="258"/>
      <c r="G18" s="258"/>
      <c r="H18" s="258"/>
      <c r="I18" s="258"/>
      <c r="J18" s="272"/>
    </row>
    <row r="19" spans="1:10" hidden="1">
      <c r="B19" s="271"/>
      <c r="C19" s="258" t="s">
        <v>214</v>
      </c>
      <c r="D19" s="258">
        <f>D14</f>
        <v>1232674.2919999999</v>
      </c>
      <c r="E19" s="258">
        <f>E14</f>
        <v>0</v>
      </c>
      <c r="F19" s="258">
        <f>F14</f>
        <v>0</v>
      </c>
      <c r="G19" s="258">
        <f>G14</f>
        <v>1232674.2919999999</v>
      </c>
      <c r="H19" s="258">
        <f>H14</f>
        <v>1232674.2919999999</v>
      </c>
      <c r="I19" s="258"/>
      <c r="J19" s="272"/>
    </row>
    <row r="20" spans="1:10" ht="23.25" customHeight="1">
      <c r="B20" s="271"/>
      <c r="C20" s="258"/>
      <c r="D20" s="258"/>
      <c r="E20" s="258"/>
      <c r="F20" s="258"/>
      <c r="G20" s="258"/>
      <c r="H20" s="258"/>
      <c r="I20" s="258"/>
      <c r="J20" s="272"/>
    </row>
    <row r="21" spans="1:10" ht="14" thickBot="1">
      <c r="B21" s="292"/>
      <c r="C21" s="325"/>
      <c r="D21" s="325"/>
      <c r="E21" s="325"/>
      <c r="F21" s="325"/>
      <c r="G21" s="325"/>
      <c r="H21" s="325"/>
      <c r="I21" s="325"/>
      <c r="J21" s="293"/>
    </row>
    <row r="22" spans="1:10" ht="21" customHeight="1" thickTop="1"/>
    <row r="23" spans="1:10" s="9" customFormat="1" ht="21" customHeight="1">
      <c r="A23" s="258"/>
    </row>
    <row r="24" spans="1:10" s="9" customFormat="1" ht="21" customHeight="1">
      <c r="A24" s="258"/>
    </row>
    <row r="26" spans="1:10">
      <c r="C26" s="372"/>
      <c r="D26" s="372"/>
    </row>
    <row r="61" spans="9:9">
      <c r="I61" s="39">
        <v>22</v>
      </c>
    </row>
  </sheetData>
  <mergeCells count="6">
    <mergeCell ref="C26:D26"/>
    <mergeCell ref="C4:H4"/>
    <mergeCell ref="C9:H9"/>
    <mergeCell ref="C10:H10"/>
    <mergeCell ref="C6:H6"/>
    <mergeCell ref="C8:H8"/>
  </mergeCells>
  <phoneticPr fontId="4" type="noConversion"/>
  <printOptions horizontalCentered="1"/>
  <pageMargins left="0.74803149606299213" right="0.74803149606299213" top="0.98425196850393704" bottom="0.19685039370078741" header="0" footer="0"/>
  <pageSetup paperSize="9" scale="88" orientation="portrait" r:id="rId1"/>
  <headerFooter>
    <oddHeader>&amp;L
&amp;G</oddHead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77"/>
  <sheetViews>
    <sheetView showGridLines="0" zoomScale="85" zoomScaleNormal="85" zoomScaleSheetLayoutView="115" workbookViewId="0">
      <selection activeCell="L42" sqref="L42"/>
    </sheetView>
  </sheetViews>
  <sheetFormatPr baseColWidth="10" defaultColWidth="11.5" defaultRowHeight="13"/>
  <cols>
    <col min="1" max="1" width="11.5" style="254"/>
    <col min="2" max="2" width="8" style="254" customWidth="1"/>
    <col min="3" max="3" width="53" style="84" customWidth="1"/>
    <col min="4" max="4" width="13.6640625" style="84" bestFit="1" customWidth="1"/>
    <col min="5" max="5" width="14.5" style="84" bestFit="1" customWidth="1"/>
    <col min="6" max="6" width="13.6640625" style="84" bestFit="1" customWidth="1"/>
    <col min="7" max="7" width="18.1640625" style="84" customWidth="1"/>
    <col min="8" max="8" width="0.1640625" style="84" customWidth="1"/>
    <col min="9" max="9" width="7.1640625" style="84" customWidth="1"/>
    <col min="10" max="16384" width="11.5" style="84"/>
  </cols>
  <sheetData>
    <row r="1" spans="2:9" ht="9" customHeight="1"/>
    <row r="2" spans="2:9" hidden="1"/>
    <row r="3" spans="2:9" hidden="1"/>
    <row r="4" spans="2:9" hidden="1"/>
    <row r="5" spans="2:9" hidden="1"/>
    <row r="6" spans="2:9" hidden="1"/>
    <row r="7" spans="2:9" hidden="1"/>
    <row r="8" spans="2:9" ht="8.25" customHeight="1" thickBot="1"/>
    <row r="9" spans="2:9" ht="14" thickTop="1">
      <c r="B9" s="268"/>
      <c r="C9" s="269"/>
      <c r="D9" s="269"/>
      <c r="E9" s="269"/>
      <c r="F9" s="269"/>
      <c r="G9" s="269"/>
      <c r="H9" s="269"/>
      <c r="I9" s="270"/>
    </row>
    <row r="10" spans="2:9" ht="16">
      <c r="B10" s="271"/>
      <c r="C10" s="383" t="s">
        <v>723</v>
      </c>
      <c r="D10" s="383"/>
      <c r="E10" s="383"/>
      <c r="F10" s="383"/>
      <c r="G10" s="383"/>
      <c r="H10" s="258"/>
      <c r="I10" s="272"/>
    </row>
    <row r="11" spans="2:9" ht="16">
      <c r="B11" s="271"/>
      <c r="C11" s="163"/>
      <c r="D11" s="163"/>
      <c r="E11" s="163"/>
      <c r="F11" s="163"/>
      <c r="G11" s="163" t="s">
        <v>324</v>
      </c>
      <c r="H11" s="258"/>
      <c r="I11" s="272"/>
    </row>
    <row r="12" spans="2:9" ht="16">
      <c r="B12" s="271"/>
      <c r="C12" s="383" t="s">
        <v>4051</v>
      </c>
      <c r="D12" s="383"/>
      <c r="E12" s="383"/>
      <c r="F12" s="383"/>
      <c r="G12" s="383"/>
      <c r="H12" s="258"/>
      <c r="I12" s="272"/>
    </row>
    <row r="13" spans="2:9" ht="16">
      <c r="B13" s="271"/>
      <c r="C13" s="167"/>
      <c r="D13" s="167"/>
      <c r="E13" s="167"/>
      <c r="F13" s="167"/>
      <c r="G13" s="167"/>
      <c r="H13" s="258"/>
      <c r="I13" s="272"/>
    </row>
    <row r="14" spans="2:9" ht="16">
      <c r="B14" s="271"/>
      <c r="C14" s="384" t="s">
        <v>387</v>
      </c>
      <c r="D14" s="384"/>
      <c r="E14" s="384"/>
      <c r="F14" s="384"/>
      <c r="G14" s="384"/>
      <c r="H14" s="258"/>
      <c r="I14" s="272"/>
    </row>
    <row r="15" spans="2:9" ht="16">
      <c r="B15" s="271"/>
      <c r="C15" s="167"/>
      <c r="D15" s="167"/>
      <c r="E15" s="167"/>
      <c r="F15" s="167"/>
      <c r="G15" s="167"/>
      <c r="H15" s="258"/>
      <c r="I15" s="272"/>
    </row>
    <row r="16" spans="2:9" ht="16">
      <c r="B16" s="271"/>
      <c r="C16" s="383" t="s">
        <v>428</v>
      </c>
      <c r="D16" s="383"/>
      <c r="E16" s="383"/>
      <c r="F16" s="383"/>
      <c r="G16" s="383"/>
      <c r="H16" s="258"/>
      <c r="I16" s="272"/>
    </row>
    <row r="17" spans="1:9" ht="16">
      <c r="B17" s="271"/>
      <c r="C17" s="167"/>
      <c r="D17" s="167"/>
      <c r="E17" s="167"/>
      <c r="F17" s="167"/>
      <c r="G17" s="167"/>
      <c r="H17" s="258"/>
      <c r="I17" s="272"/>
    </row>
    <row r="18" spans="1:9" ht="16">
      <c r="B18" s="271"/>
      <c r="C18" s="167"/>
      <c r="D18" s="167"/>
      <c r="E18" s="167"/>
      <c r="F18" s="167"/>
      <c r="G18" s="167"/>
      <c r="H18" s="258"/>
      <c r="I18" s="272"/>
    </row>
    <row r="19" spans="1:9" s="85" customFormat="1" ht="12.75" customHeight="1">
      <c r="A19" s="90"/>
      <c r="B19" s="295"/>
      <c r="C19" s="433" t="s">
        <v>299</v>
      </c>
      <c r="D19" s="462" t="s">
        <v>4701</v>
      </c>
      <c r="E19" s="463"/>
      <c r="F19" s="462" t="s">
        <v>4701</v>
      </c>
      <c r="G19" s="463"/>
      <c r="H19" s="261"/>
      <c r="I19" s="296"/>
    </row>
    <row r="20" spans="1:9" s="85" customFormat="1" ht="12.75" customHeight="1">
      <c r="A20" s="90"/>
      <c r="B20" s="295"/>
      <c r="C20" s="433"/>
      <c r="D20" s="460">
        <v>2019</v>
      </c>
      <c r="E20" s="461"/>
      <c r="F20" s="460">
        <v>2018</v>
      </c>
      <c r="G20" s="461"/>
      <c r="H20" s="261"/>
      <c r="I20" s="296"/>
    </row>
    <row r="21" spans="1:9" ht="16">
      <c r="B21" s="271"/>
      <c r="C21" s="167" t="s">
        <v>331</v>
      </c>
      <c r="D21" s="167"/>
      <c r="E21" s="167"/>
      <c r="F21" s="167"/>
      <c r="G21" s="167"/>
      <c r="H21" s="258"/>
      <c r="I21" s="272"/>
    </row>
    <row r="22" spans="1:9" ht="16">
      <c r="B22" s="271"/>
      <c r="C22" s="167"/>
      <c r="D22" s="226"/>
      <c r="E22" s="226"/>
      <c r="F22" s="226"/>
      <c r="G22" s="226"/>
      <c r="H22" s="258"/>
      <c r="I22" s="272"/>
    </row>
    <row r="23" spans="1:9" ht="16">
      <c r="B23" s="271"/>
      <c r="C23" s="266" t="s">
        <v>325</v>
      </c>
      <c r="D23" s="218"/>
      <c r="E23" s="218">
        <f>SUM(D24:D24)</f>
        <v>31160415.5</v>
      </c>
      <c r="F23" s="218"/>
      <c r="G23" s="218">
        <f>SUM(F24:F24)</f>
        <v>18084227.736000001</v>
      </c>
      <c r="H23" s="258"/>
      <c r="I23" s="272"/>
    </row>
    <row r="24" spans="1:9" ht="16">
      <c r="B24" s="271"/>
      <c r="C24" s="266" t="s">
        <v>326</v>
      </c>
      <c r="D24" s="218">
        <f>+ROUND(COMPARATIVO!AH110/1000,0)-0.5</f>
        <v>31160415.5</v>
      </c>
      <c r="E24" s="218"/>
      <c r="F24" s="218">
        <f>+COMPARATIVO!Z110/1000</f>
        <v>18084227.736000001</v>
      </c>
      <c r="G24" s="218"/>
      <c r="H24" s="258"/>
      <c r="I24" s="272"/>
    </row>
    <row r="25" spans="1:9" ht="16">
      <c r="B25" s="271"/>
      <c r="C25" s="266" t="s">
        <v>332</v>
      </c>
      <c r="D25" s="218"/>
      <c r="E25" s="218">
        <f>SUM(D26:D27)</f>
        <v>51043612.160999998</v>
      </c>
      <c r="F25" s="218"/>
      <c r="G25" s="218">
        <f>SUM(F26:F27)</f>
        <v>85388632.974999994</v>
      </c>
      <c r="H25" s="258"/>
      <c r="I25" s="272"/>
    </row>
    <row r="26" spans="1:9" ht="16">
      <c r="B26" s="271"/>
      <c r="C26" s="266" t="s">
        <v>333</v>
      </c>
      <c r="D26" s="218">
        <f>+ROUND(COMPARATIVO!AP110-COMPARATIVO!AH110+COMPARATIVO!AP304-COMPARATIVO!AP309,0)/1000-0.5</f>
        <v>51043612.160999998</v>
      </c>
      <c r="E26" s="218"/>
      <c r="F26" s="218">
        <f>(COMPARATIVO!AH110-COMPARATIVO!Z110+COMPARATIVO!AH304-COMPARATIVO!AH309)/1000</f>
        <v>85388632.974999994</v>
      </c>
      <c r="G26" s="218"/>
      <c r="H26" s="258"/>
      <c r="I26" s="272"/>
    </row>
    <row r="27" spans="1:9" ht="16">
      <c r="B27" s="271"/>
      <c r="C27" s="266" t="s">
        <v>339</v>
      </c>
      <c r="D27" s="218"/>
      <c r="E27" s="218"/>
      <c r="F27" s="218"/>
      <c r="G27" s="218"/>
      <c r="H27" s="258"/>
      <c r="I27" s="272"/>
    </row>
    <row r="28" spans="1:9" ht="16">
      <c r="B28" s="271"/>
      <c r="C28" s="266" t="s">
        <v>334</v>
      </c>
      <c r="D28" s="218"/>
      <c r="E28" s="218">
        <f>SUM(D29:D33)</f>
        <v>21087498</v>
      </c>
      <c r="F28" s="218"/>
      <c r="G28" s="218">
        <f>SUM(F29:F33)</f>
        <v>31160415.634</v>
      </c>
      <c r="H28" s="258"/>
      <c r="I28" s="272"/>
    </row>
    <row r="29" spans="1:9" ht="16">
      <c r="B29" s="271"/>
      <c r="C29" s="266" t="s">
        <v>326</v>
      </c>
      <c r="D29" s="218">
        <f>+ROUND(COMPARATIVO!AP110/1000,0)</f>
        <v>21087498</v>
      </c>
      <c r="E29" s="218"/>
      <c r="F29" s="218">
        <f>+COMPARATIVO!AH110/1000</f>
        <v>31160415.634</v>
      </c>
      <c r="G29" s="218"/>
      <c r="H29" s="258"/>
      <c r="I29" s="272"/>
    </row>
    <row r="30" spans="1:9" ht="16" hidden="1">
      <c r="B30" s="271"/>
      <c r="C30" s="167" t="s">
        <v>327</v>
      </c>
      <c r="D30" s="226"/>
      <c r="E30" s="226"/>
      <c r="F30" s="226"/>
      <c r="G30" s="226"/>
      <c r="H30" s="258"/>
      <c r="I30" s="272"/>
    </row>
    <row r="31" spans="1:9" ht="16" hidden="1">
      <c r="B31" s="271"/>
      <c r="C31" s="167" t="s">
        <v>328</v>
      </c>
      <c r="D31" s="226"/>
      <c r="E31" s="226"/>
      <c r="F31" s="226"/>
      <c r="G31" s="226"/>
      <c r="H31" s="258"/>
      <c r="I31" s="272"/>
    </row>
    <row r="32" spans="1:9" ht="16" hidden="1">
      <c r="B32" s="271"/>
      <c r="C32" s="167" t="s">
        <v>329</v>
      </c>
      <c r="D32" s="226"/>
      <c r="E32" s="226"/>
      <c r="F32" s="226"/>
      <c r="G32" s="226"/>
      <c r="H32" s="258"/>
      <c r="I32" s="272"/>
    </row>
    <row r="33" spans="1:9" ht="16" hidden="1">
      <c r="B33" s="271"/>
      <c r="C33" s="167" t="s">
        <v>330</v>
      </c>
      <c r="D33" s="226"/>
      <c r="E33" s="226"/>
      <c r="F33" s="226"/>
      <c r="G33" s="226"/>
      <c r="H33" s="258"/>
      <c r="I33" s="272"/>
    </row>
    <row r="34" spans="1:9" ht="16">
      <c r="B34" s="271"/>
      <c r="C34" s="167"/>
      <c r="D34" s="226"/>
      <c r="E34" s="226"/>
      <c r="F34" s="226"/>
      <c r="G34" s="226"/>
      <c r="H34" s="258"/>
      <c r="I34" s="272"/>
    </row>
    <row r="35" spans="1:9" ht="16">
      <c r="B35" s="271"/>
      <c r="C35" s="266" t="s">
        <v>335</v>
      </c>
      <c r="D35" s="218"/>
      <c r="E35" s="218"/>
      <c r="F35" s="218"/>
      <c r="G35" s="218"/>
      <c r="H35" s="258"/>
      <c r="I35" s="272"/>
    </row>
    <row r="36" spans="1:9" ht="16">
      <c r="B36" s="271"/>
      <c r="C36" s="167"/>
      <c r="D36" s="226"/>
      <c r="E36" s="226"/>
      <c r="F36" s="226"/>
      <c r="G36" s="226"/>
      <c r="H36" s="258"/>
      <c r="I36" s="272"/>
    </row>
    <row r="37" spans="1:9" ht="33" customHeight="1">
      <c r="B37" s="271"/>
      <c r="C37" s="227" t="s">
        <v>336</v>
      </c>
      <c r="D37" s="219"/>
      <c r="E37" s="219">
        <f>E23-E28+E25</f>
        <v>61116529.660999998</v>
      </c>
      <c r="F37" s="219"/>
      <c r="G37" s="219">
        <f>G23-G28+G25</f>
        <v>72312445.076999992</v>
      </c>
      <c r="H37" s="258"/>
      <c r="I37" s="272"/>
    </row>
    <row r="38" spans="1:9">
      <c r="B38" s="271"/>
      <c r="C38" s="258"/>
      <c r="D38" s="44"/>
      <c r="E38" s="44"/>
      <c r="F38" s="44"/>
      <c r="G38" s="44"/>
      <c r="H38" s="258"/>
      <c r="I38" s="272"/>
    </row>
    <row r="39" spans="1:9" ht="14" thickBot="1">
      <c r="B39" s="292"/>
      <c r="C39" s="325" t="s">
        <v>434</v>
      </c>
      <c r="D39" s="326"/>
      <c r="E39" s="326"/>
      <c r="F39" s="326"/>
      <c r="G39" s="326"/>
      <c r="H39" s="325"/>
      <c r="I39" s="293"/>
    </row>
    <row r="40" spans="1:9" ht="14" thickTop="1">
      <c r="D40" s="50"/>
      <c r="E40" s="50"/>
      <c r="F40" s="50"/>
      <c r="G40" s="50"/>
    </row>
    <row r="41" spans="1:9">
      <c r="D41" s="50"/>
      <c r="E41" s="50"/>
      <c r="F41" s="50"/>
      <c r="G41" s="50"/>
    </row>
    <row r="42" spans="1:9">
      <c r="D42" s="50"/>
      <c r="E42" s="50"/>
      <c r="F42" s="50"/>
      <c r="G42" s="50"/>
    </row>
    <row r="44" spans="1:9" s="9" customFormat="1">
      <c r="A44" s="258"/>
      <c r="B44" s="258"/>
    </row>
    <row r="45" spans="1:9">
      <c r="H45" s="84">
        <f>-H39-H37</f>
        <v>0</v>
      </c>
    </row>
    <row r="50" spans="3:6">
      <c r="C50" s="372"/>
      <c r="D50" s="372"/>
    </row>
    <row r="51" spans="3:6">
      <c r="E51" s="372"/>
      <c r="F51" s="372"/>
    </row>
    <row r="54" spans="3:6">
      <c r="E54" s="84" t="s">
        <v>434</v>
      </c>
    </row>
    <row r="77" spans="7:7">
      <c r="G77" s="84">
        <v>23</v>
      </c>
    </row>
  </sheetData>
  <mergeCells count="11">
    <mergeCell ref="C10:G10"/>
    <mergeCell ref="C12:G12"/>
    <mergeCell ref="C14:G14"/>
    <mergeCell ref="E51:F51"/>
    <mergeCell ref="C50:D50"/>
    <mergeCell ref="C16:G16"/>
    <mergeCell ref="C19:C20"/>
    <mergeCell ref="D20:E20"/>
    <mergeCell ref="F20:G20"/>
    <mergeCell ref="D19:E19"/>
    <mergeCell ref="F19:G19"/>
  </mergeCells>
  <phoneticPr fontId="4" type="noConversion"/>
  <printOptions horizontalCentered="1"/>
  <pageMargins left="0.6692913385826772" right="0.39370078740157483" top="1.3779527559055118" bottom="0.19685039370078741" header="0" footer="0"/>
  <pageSetup paperSize="9" scale="78" orientation="portrait" r:id="rId1"/>
  <headerFooter>
    <oddHeader>&amp;L
&amp;G</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J85"/>
  <sheetViews>
    <sheetView showGridLines="0" topLeftCell="A2" zoomScaleNormal="115" zoomScaleSheetLayoutView="115" zoomScalePageLayoutView="115" workbookViewId="0">
      <selection activeCell="N30" sqref="N30"/>
    </sheetView>
  </sheetViews>
  <sheetFormatPr baseColWidth="10" defaultColWidth="10.83203125" defaultRowHeight="13"/>
  <cols>
    <col min="1" max="1" width="10.83203125" style="254"/>
    <col min="2" max="2" width="4.6640625" style="254" customWidth="1"/>
    <col min="3" max="3" width="28.5" style="84" bestFit="1" customWidth="1"/>
    <col min="4" max="4" width="10.83203125" style="84"/>
    <col min="5" max="5" width="16.33203125" style="84" customWidth="1"/>
    <col min="6" max="6" width="15.6640625" style="84" bestFit="1" customWidth="1"/>
    <col min="7" max="7" width="16.5" style="84" bestFit="1" customWidth="1"/>
    <col min="8" max="8" width="16.5" style="84" hidden="1" customWidth="1"/>
    <col min="9" max="9" width="17.1640625" style="84" customWidth="1"/>
    <col min="10" max="16384" width="10.83203125" style="84"/>
  </cols>
  <sheetData>
    <row r="3" spans="1:10" ht="14" thickBot="1"/>
    <row r="4" spans="1:10" ht="14" thickTop="1">
      <c r="B4" s="268"/>
      <c r="C4" s="269"/>
      <c r="D4" s="269"/>
      <c r="E4" s="269"/>
      <c r="F4" s="269"/>
      <c r="G4" s="269"/>
      <c r="H4" s="269"/>
      <c r="I4" s="269"/>
      <c r="J4" s="270"/>
    </row>
    <row r="5" spans="1:10">
      <c r="B5" s="271"/>
      <c r="C5" s="258"/>
      <c r="D5" s="258"/>
      <c r="E5" s="258"/>
      <c r="F5" s="258"/>
      <c r="G5" s="258"/>
      <c r="H5" s="258"/>
      <c r="I5" s="258"/>
      <c r="J5" s="272"/>
    </row>
    <row r="6" spans="1:10" s="85" customFormat="1" ht="16">
      <c r="A6" s="90"/>
      <c r="B6" s="295"/>
      <c r="C6" s="383" t="s">
        <v>1583</v>
      </c>
      <c r="D6" s="383"/>
      <c r="E6" s="383"/>
      <c r="F6" s="383"/>
      <c r="G6" s="383"/>
      <c r="H6" s="383"/>
      <c r="I6" s="383"/>
      <c r="J6" s="296"/>
    </row>
    <row r="7" spans="1:10" s="85" customFormat="1" ht="16">
      <c r="A7" s="90"/>
      <c r="B7" s="295"/>
      <c r="C7" s="163"/>
      <c r="D7" s="163"/>
      <c r="E7" s="163"/>
      <c r="F7" s="163"/>
      <c r="G7" s="163"/>
      <c r="H7" s="163"/>
      <c r="I7" s="163" t="s">
        <v>1026</v>
      </c>
      <c r="J7" s="296"/>
    </row>
    <row r="8" spans="1:10" s="85" customFormat="1" ht="16">
      <c r="A8" s="90"/>
      <c r="B8" s="295"/>
      <c r="C8" s="383" t="s">
        <v>4703</v>
      </c>
      <c r="D8" s="383"/>
      <c r="E8" s="383"/>
      <c r="F8" s="383"/>
      <c r="G8" s="383"/>
      <c r="H8" s="383"/>
      <c r="I8" s="383"/>
      <c r="J8" s="296"/>
    </row>
    <row r="9" spans="1:10" ht="16">
      <c r="B9" s="271"/>
      <c r="C9" s="384" t="s">
        <v>466</v>
      </c>
      <c r="D9" s="384"/>
      <c r="E9" s="384"/>
      <c r="F9" s="384"/>
      <c r="G9" s="384"/>
      <c r="H9" s="384"/>
      <c r="I9" s="384"/>
      <c r="J9" s="272"/>
    </row>
    <row r="10" spans="1:10" ht="16">
      <c r="B10" s="271"/>
      <c r="C10" s="167"/>
      <c r="D10" s="167"/>
      <c r="E10" s="167"/>
      <c r="F10" s="167"/>
      <c r="G10" s="167"/>
      <c r="H10" s="167"/>
      <c r="I10" s="167"/>
      <c r="J10" s="272"/>
    </row>
    <row r="11" spans="1:10" s="254" customFormat="1" ht="16">
      <c r="B11" s="271"/>
      <c r="C11" s="167"/>
      <c r="D11" s="167"/>
      <c r="E11" s="167"/>
      <c r="F11" s="167"/>
      <c r="G11" s="167"/>
      <c r="H11" s="167"/>
      <c r="I11" s="167"/>
      <c r="J11" s="272"/>
    </row>
    <row r="12" spans="1:10" s="85" customFormat="1" ht="16">
      <c r="A12" s="90"/>
      <c r="B12" s="295"/>
      <c r="C12" s="383" t="s">
        <v>436</v>
      </c>
      <c r="D12" s="383"/>
      <c r="E12" s="383"/>
      <c r="F12" s="383"/>
      <c r="G12" s="383"/>
      <c r="H12" s="383"/>
      <c r="I12" s="383"/>
      <c r="J12" s="296"/>
    </row>
    <row r="13" spans="1:10" ht="16">
      <c r="B13" s="271"/>
      <c r="C13" s="167"/>
      <c r="D13" s="167"/>
      <c r="E13" s="167"/>
      <c r="F13" s="167"/>
      <c r="G13" s="167"/>
      <c r="H13" s="167"/>
      <c r="I13" s="278"/>
      <c r="J13" s="272"/>
    </row>
    <row r="14" spans="1:10" s="85" customFormat="1" ht="16">
      <c r="A14" s="90"/>
      <c r="B14" s="295"/>
      <c r="C14" s="433" t="s">
        <v>299</v>
      </c>
      <c r="D14" s="433" t="s">
        <v>463</v>
      </c>
      <c r="E14" s="433"/>
      <c r="F14" s="431" t="s">
        <v>301</v>
      </c>
      <c r="G14" s="433" t="s">
        <v>302</v>
      </c>
      <c r="H14" s="433"/>
      <c r="I14" s="433"/>
      <c r="J14" s="296"/>
    </row>
    <row r="15" spans="1:10" s="85" customFormat="1" ht="16">
      <c r="A15" s="90"/>
      <c r="B15" s="295"/>
      <c r="C15" s="433"/>
      <c r="D15" s="259" t="s">
        <v>260</v>
      </c>
      <c r="E15" s="259" t="s">
        <v>300</v>
      </c>
      <c r="F15" s="432"/>
      <c r="G15" s="259" t="s">
        <v>303</v>
      </c>
      <c r="H15" s="259"/>
      <c r="I15" s="259" t="s">
        <v>465</v>
      </c>
      <c r="J15" s="296"/>
    </row>
    <row r="16" spans="1:10" ht="16">
      <c r="B16" s="271"/>
      <c r="C16" s="217" t="s">
        <v>298</v>
      </c>
      <c r="D16" s="469"/>
      <c r="E16" s="470"/>
      <c r="F16" s="470"/>
      <c r="G16" s="470"/>
      <c r="H16" s="470"/>
      <c r="I16" s="471"/>
      <c r="J16" s="272"/>
    </row>
    <row r="17" spans="2:10" ht="16">
      <c r="B17" s="271"/>
      <c r="C17" s="266" t="s">
        <v>736</v>
      </c>
      <c r="D17" s="266" t="s">
        <v>464</v>
      </c>
      <c r="E17" s="197">
        <v>34136.531503353603</v>
      </c>
      <c r="F17" s="197">
        <v>6442.33</v>
      </c>
      <c r="G17" s="197">
        <v>219918.80100000001</v>
      </c>
      <c r="H17" s="197">
        <v>219918801</v>
      </c>
      <c r="I17" s="197">
        <v>395265.65899999999</v>
      </c>
      <c r="J17" s="272"/>
    </row>
    <row r="18" spans="2:10" ht="16">
      <c r="B18" s="271"/>
      <c r="C18" s="266" t="s">
        <v>413</v>
      </c>
      <c r="D18" s="266" t="s">
        <v>464</v>
      </c>
      <c r="E18" s="197">
        <v>341500.49004009418</v>
      </c>
      <c r="F18" s="197">
        <v>6442.33</v>
      </c>
      <c r="G18" s="197">
        <v>2200058.852</v>
      </c>
      <c r="H18" s="197">
        <v>2200058852</v>
      </c>
      <c r="I18" s="197">
        <v>320995.016</v>
      </c>
      <c r="J18" s="272"/>
    </row>
    <row r="19" spans="2:10" ht="16">
      <c r="B19" s="271"/>
      <c r="C19" s="266" t="s">
        <v>737</v>
      </c>
      <c r="D19" s="266" t="s">
        <v>464</v>
      </c>
      <c r="E19" s="197">
        <v>2318354.39</v>
      </c>
      <c r="F19" s="197">
        <v>6442.33</v>
      </c>
      <c r="G19" s="197">
        <v>14935604.037328701</v>
      </c>
      <c r="H19" s="197">
        <v>0</v>
      </c>
      <c r="I19" s="197">
        <v>13318936.934785802</v>
      </c>
      <c r="J19" s="272"/>
    </row>
    <row r="20" spans="2:10" ht="16">
      <c r="B20" s="271"/>
      <c r="C20" s="266" t="s">
        <v>357</v>
      </c>
      <c r="D20" s="266" t="s">
        <v>464</v>
      </c>
      <c r="E20" s="197">
        <v>114460.95</v>
      </c>
      <c r="F20" s="197">
        <v>6442.33</v>
      </c>
      <c r="G20" s="197">
        <v>737395.21201349993</v>
      </c>
      <c r="H20" s="197">
        <v>0</v>
      </c>
      <c r="I20" s="197">
        <v>385062.77168619999</v>
      </c>
      <c r="J20" s="272"/>
    </row>
    <row r="21" spans="2:10" s="90" customFormat="1" ht="16">
      <c r="B21" s="295"/>
      <c r="C21" s="217" t="s">
        <v>305</v>
      </c>
      <c r="D21" s="217"/>
      <c r="E21" s="234">
        <v>2808452.3615434482</v>
      </c>
      <c r="F21" s="233"/>
      <c r="G21" s="234">
        <v>18092976.902342204</v>
      </c>
      <c r="H21" s="234"/>
      <c r="I21" s="234">
        <v>14420260.381472003</v>
      </c>
      <c r="J21" s="296"/>
    </row>
    <row r="22" spans="2:10" s="90" customFormat="1" ht="16">
      <c r="B22" s="295"/>
      <c r="C22" s="217" t="s">
        <v>306</v>
      </c>
      <c r="D22" s="428"/>
      <c r="E22" s="418"/>
      <c r="F22" s="418"/>
      <c r="G22" s="418"/>
      <c r="H22" s="418"/>
      <c r="I22" s="429"/>
      <c r="J22" s="296"/>
    </row>
    <row r="23" spans="2:10" ht="16">
      <c r="B23" s="271"/>
      <c r="C23" s="266" t="s">
        <v>737</v>
      </c>
      <c r="D23" s="266" t="s">
        <v>464</v>
      </c>
      <c r="E23" s="197">
        <v>1532308.05</v>
      </c>
      <c r="F23" s="197">
        <v>6442.33</v>
      </c>
      <c r="G23" s="197">
        <v>9871634.1197565012</v>
      </c>
      <c r="H23" s="197">
        <v>0</v>
      </c>
      <c r="I23" s="197">
        <v>9136328.4067000002</v>
      </c>
      <c r="J23" s="272"/>
    </row>
    <row r="24" spans="2:10" ht="16">
      <c r="B24" s="271"/>
      <c r="C24" s="266" t="s">
        <v>738</v>
      </c>
      <c r="D24" s="266" t="s">
        <v>464</v>
      </c>
      <c r="E24" s="197">
        <v>622339</v>
      </c>
      <c r="F24" s="197">
        <v>6442.33</v>
      </c>
      <c r="G24" s="197">
        <v>4009313.2098699999</v>
      </c>
      <c r="H24" s="197">
        <v>4009313209.8699999</v>
      </c>
      <c r="I24" s="197">
        <v>3452417.0551400003</v>
      </c>
      <c r="J24" s="272"/>
    </row>
    <row r="25" spans="2:10" s="90" customFormat="1" ht="16">
      <c r="B25" s="295"/>
      <c r="C25" s="217" t="s">
        <v>305</v>
      </c>
      <c r="D25" s="217"/>
      <c r="E25" s="234">
        <v>2154647.0499999998</v>
      </c>
      <c r="F25" s="234"/>
      <c r="G25" s="234">
        <v>13880947.329626501</v>
      </c>
      <c r="H25" s="234"/>
      <c r="I25" s="234">
        <v>12588745.46184</v>
      </c>
      <c r="J25" s="296"/>
    </row>
    <row r="26" spans="2:10" s="90" customFormat="1" ht="16">
      <c r="B26" s="295"/>
      <c r="C26" s="217" t="s">
        <v>307</v>
      </c>
      <c r="D26" s="217"/>
      <c r="E26" s="234">
        <v>4963099.4115434475</v>
      </c>
      <c r="F26" s="234"/>
      <c r="G26" s="234">
        <v>31973924.231968705</v>
      </c>
      <c r="H26" s="234"/>
      <c r="I26" s="234">
        <v>27009005.843312003</v>
      </c>
      <c r="J26" s="296"/>
    </row>
    <row r="27" spans="2:10" s="90" customFormat="1" ht="16">
      <c r="B27" s="295"/>
      <c r="C27" s="217" t="s">
        <v>308</v>
      </c>
      <c r="D27" s="428"/>
      <c r="E27" s="418"/>
      <c r="F27" s="418"/>
      <c r="G27" s="418"/>
      <c r="H27" s="418"/>
      <c r="I27" s="429"/>
      <c r="J27" s="296"/>
    </row>
    <row r="28" spans="2:10" ht="16">
      <c r="B28" s="271"/>
      <c r="C28" s="266" t="s">
        <v>415</v>
      </c>
      <c r="D28" s="266" t="s">
        <v>464</v>
      </c>
      <c r="E28" s="197">
        <v>1563804.96</v>
      </c>
      <c r="F28" s="197">
        <v>6463.95</v>
      </c>
      <c r="G28" s="197">
        <v>10108357.071192</v>
      </c>
      <c r="H28" s="197">
        <v>10108357071.191999</v>
      </c>
      <c r="I28" s="197">
        <v>10988838.859310398</v>
      </c>
      <c r="J28" s="272"/>
    </row>
    <row r="29" spans="2:10" ht="16">
      <c r="B29" s="271"/>
      <c r="C29" s="266" t="s">
        <v>739</v>
      </c>
      <c r="D29" s="266" t="s">
        <v>464</v>
      </c>
      <c r="E29" s="197">
        <v>1271770.02</v>
      </c>
      <c r="F29" s="197">
        <v>6463.95</v>
      </c>
      <c r="G29" s="197">
        <v>8220657.8207790004</v>
      </c>
      <c r="H29" s="197">
        <v>8220657820.7790003</v>
      </c>
      <c r="I29" s="197">
        <v>3352463.9509350001</v>
      </c>
      <c r="J29" s="272"/>
    </row>
    <row r="30" spans="2:10" ht="16">
      <c r="B30" s="271"/>
      <c r="C30" s="266" t="s">
        <v>899</v>
      </c>
      <c r="D30" s="266" t="s">
        <v>464</v>
      </c>
      <c r="E30" s="197">
        <v>91215.58</v>
      </c>
      <c r="F30" s="197">
        <v>6463.95</v>
      </c>
      <c r="G30" s="197">
        <v>589612.94834100001</v>
      </c>
      <c r="H30" s="197">
        <v>589612948.34099996</v>
      </c>
      <c r="I30" s="197">
        <v>300299.10274139995</v>
      </c>
      <c r="J30" s="272"/>
    </row>
    <row r="31" spans="2:10" ht="16">
      <c r="B31" s="271"/>
      <c r="C31" s="266" t="s">
        <v>4705</v>
      </c>
      <c r="D31" s="266" t="s">
        <v>464</v>
      </c>
      <c r="E31" s="197">
        <v>583800.08725315018</v>
      </c>
      <c r="F31" s="197">
        <v>6463.95</v>
      </c>
      <c r="G31" s="197">
        <v>3773654.574</v>
      </c>
      <c r="H31" s="197">
        <v>3773654574</v>
      </c>
      <c r="I31" s="197">
        <v>0</v>
      </c>
      <c r="J31" s="272"/>
    </row>
    <row r="32" spans="2:10" s="90" customFormat="1" ht="16">
      <c r="B32" s="295"/>
      <c r="C32" s="217" t="s">
        <v>305</v>
      </c>
      <c r="D32" s="217"/>
      <c r="E32" s="234">
        <v>3510590.6472531501</v>
      </c>
      <c r="F32" s="234"/>
      <c r="G32" s="234">
        <v>22692283.414312001</v>
      </c>
      <c r="H32" s="234"/>
      <c r="I32" s="234">
        <v>14641601.912986798</v>
      </c>
      <c r="J32" s="296"/>
    </row>
    <row r="33" spans="1:10" s="90" customFormat="1" ht="16">
      <c r="B33" s="295"/>
      <c r="C33" s="217" t="s">
        <v>309</v>
      </c>
      <c r="D33" s="472" t="s">
        <v>434</v>
      </c>
      <c r="E33" s="473"/>
      <c r="F33" s="473"/>
      <c r="G33" s="473"/>
      <c r="H33" s="473"/>
      <c r="I33" s="474"/>
      <c r="J33" s="296"/>
    </row>
    <row r="34" spans="1:10" ht="12.75" hidden="1" customHeight="1">
      <c r="B34" s="271"/>
      <c r="C34" s="266" t="s">
        <v>415</v>
      </c>
      <c r="D34" s="266" t="s">
        <v>464</v>
      </c>
      <c r="E34" s="218">
        <v>0</v>
      </c>
      <c r="F34" s="218">
        <v>6190.45</v>
      </c>
      <c r="G34" s="218">
        <v>0</v>
      </c>
      <c r="H34" s="218">
        <v>0</v>
      </c>
      <c r="I34" s="218">
        <v>0</v>
      </c>
      <c r="J34" s="272"/>
    </row>
    <row r="35" spans="1:10" ht="16">
      <c r="B35" s="271"/>
      <c r="C35" s="266" t="s">
        <v>739</v>
      </c>
      <c r="D35" s="266" t="s">
        <v>464</v>
      </c>
      <c r="E35" s="197">
        <v>187550.83</v>
      </c>
      <c r="F35" s="197">
        <v>6463.95</v>
      </c>
      <c r="G35" s="197">
        <v>1212319.1875784998</v>
      </c>
      <c r="H35" s="197">
        <v>1212319187.5784998</v>
      </c>
      <c r="I35" s="197">
        <v>784578.92279999994</v>
      </c>
      <c r="J35" s="272"/>
    </row>
    <row r="36" spans="1:10" ht="16">
      <c r="B36" s="271"/>
      <c r="C36" s="266" t="s">
        <v>899</v>
      </c>
      <c r="D36" s="266" t="s">
        <v>464</v>
      </c>
      <c r="E36" s="197">
        <v>5636.02</v>
      </c>
      <c r="F36" s="197">
        <v>6463.95</v>
      </c>
      <c r="G36" s="197">
        <v>36430.951479000003</v>
      </c>
      <c r="H36" s="197">
        <v>36430951.479000002</v>
      </c>
      <c r="I36" s="197">
        <v>24199.091633399999</v>
      </c>
      <c r="J36" s="272"/>
    </row>
    <row r="37" spans="1:10" s="90" customFormat="1" ht="16">
      <c r="B37" s="295"/>
      <c r="C37" s="217" t="s">
        <v>305</v>
      </c>
      <c r="D37" s="217"/>
      <c r="E37" s="234">
        <v>193186.84999999998</v>
      </c>
      <c r="F37" s="234"/>
      <c r="G37" s="234">
        <v>1248750.1390574998</v>
      </c>
      <c r="H37" s="234"/>
      <c r="I37" s="234">
        <v>808778.01443339989</v>
      </c>
      <c r="J37" s="296"/>
    </row>
    <row r="38" spans="1:10" s="90" customFormat="1" ht="16">
      <c r="B38" s="295"/>
      <c r="C38" s="217" t="s">
        <v>307</v>
      </c>
      <c r="D38" s="217"/>
      <c r="E38" s="234">
        <v>3703777.4972531502</v>
      </c>
      <c r="F38" s="234"/>
      <c r="G38" s="234">
        <v>23941032.5533695</v>
      </c>
      <c r="H38" s="234"/>
      <c r="I38" s="234">
        <v>15450379.927420199</v>
      </c>
      <c r="J38" s="296"/>
    </row>
    <row r="39" spans="1:10" ht="16">
      <c r="B39" s="271"/>
      <c r="C39" s="167"/>
      <c r="D39" s="167"/>
      <c r="E39" s="226"/>
      <c r="F39" s="226"/>
      <c r="G39" s="226"/>
      <c r="H39" s="226"/>
      <c r="I39" s="226"/>
      <c r="J39" s="272"/>
    </row>
    <row r="40" spans="1:10" ht="17" thickBot="1">
      <c r="B40" s="292"/>
      <c r="C40" s="280"/>
      <c r="D40" s="280"/>
      <c r="E40" s="280"/>
      <c r="F40" s="280"/>
      <c r="G40" s="280"/>
      <c r="H40" s="280"/>
      <c r="I40" s="280"/>
      <c r="J40" s="293"/>
    </row>
    <row r="41" spans="1:10" ht="14" thickTop="1"/>
    <row r="45" spans="1:10" s="9" customFormat="1">
      <c r="A45" s="258"/>
      <c r="B45" s="258"/>
    </row>
    <row r="78" spans="6:7">
      <c r="F78" s="84" t="s">
        <v>1065</v>
      </c>
    </row>
    <row r="79" spans="6:7">
      <c r="F79" s="84" t="s">
        <v>1066</v>
      </c>
      <c r="G79" s="93">
        <v>1563804.96</v>
      </c>
    </row>
    <row r="80" spans="6:7">
      <c r="F80" s="84" t="s">
        <v>1067</v>
      </c>
      <c r="G80" s="93">
        <v>1563804.96</v>
      </c>
    </row>
    <row r="81" spans="6:7">
      <c r="F81" s="84" t="s">
        <v>1068</v>
      </c>
      <c r="G81" s="84">
        <f>+G79-G80</f>
        <v>0</v>
      </c>
    </row>
    <row r="83" spans="6:7">
      <c r="F83" s="84" t="s">
        <v>1076</v>
      </c>
      <c r="G83" s="84">
        <v>748462.95</v>
      </c>
    </row>
    <row r="84" spans="6:7">
      <c r="F84" s="84" t="s">
        <v>1077</v>
      </c>
      <c r="G84" s="84">
        <v>612783.06000000006</v>
      </c>
    </row>
    <row r="85" spans="6:7">
      <c r="F85" s="84" t="s">
        <v>1078</v>
      </c>
      <c r="G85" s="84">
        <f>+G83-G84</f>
        <v>135679.8899999999</v>
      </c>
    </row>
  </sheetData>
  <mergeCells count="12">
    <mergeCell ref="D22:I22"/>
    <mergeCell ref="D16:I16"/>
    <mergeCell ref="D27:I27"/>
    <mergeCell ref="D33:I33"/>
    <mergeCell ref="C6:I6"/>
    <mergeCell ref="C12:I12"/>
    <mergeCell ref="C14:C15"/>
    <mergeCell ref="C8:I8"/>
    <mergeCell ref="G14:I14"/>
    <mergeCell ref="D14:E14"/>
    <mergeCell ref="C9:I9"/>
    <mergeCell ref="F14:F15"/>
  </mergeCells>
  <phoneticPr fontId="4" type="noConversion"/>
  <pageMargins left="0.78740157480314965" right="0.31496062992125984" top="0.98425196850393704" bottom="0.19685039370078741" header="0.15748031496062992" footer="0"/>
  <pageSetup paperSize="9" scale="78" orientation="portrait" r:id="rId1"/>
  <headerFooter>
    <oddHeader>&amp;L
&amp;G</oddHead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4:N147"/>
  <sheetViews>
    <sheetView showGridLines="0" topLeftCell="A11" zoomScaleNormal="100" zoomScaleSheetLayoutView="100" zoomScalePageLayoutView="85" workbookViewId="0">
      <selection activeCell="N19" sqref="N19"/>
    </sheetView>
  </sheetViews>
  <sheetFormatPr baseColWidth="10" defaultColWidth="11.5" defaultRowHeight="13"/>
  <cols>
    <col min="1" max="1" width="10" style="254" customWidth="1"/>
    <col min="2" max="2" width="6.33203125" style="254" customWidth="1"/>
    <col min="3" max="3" width="33.83203125" style="84" customWidth="1"/>
    <col min="4" max="7" width="15.6640625" style="50" customWidth="1"/>
    <col min="8" max="8" width="15.6640625" style="50" hidden="1" customWidth="1"/>
    <col min="9" max="9" width="18.1640625" style="50" customWidth="1"/>
    <col min="10" max="10" width="19.33203125" style="50" customWidth="1"/>
    <col min="11" max="11" width="4.6640625" style="22" customWidth="1"/>
    <col min="12" max="12" width="11.5" style="22" bestFit="1" customWidth="1"/>
    <col min="13" max="14" width="11.5" style="22"/>
    <col min="15" max="16384" width="11.5" style="84"/>
  </cols>
  <sheetData>
    <row r="4" spans="1:14" ht="14" thickBot="1"/>
    <row r="5" spans="1:14" ht="17" thickTop="1">
      <c r="B5" s="268"/>
      <c r="C5" s="282"/>
      <c r="D5" s="548"/>
      <c r="E5" s="548"/>
      <c r="F5" s="548"/>
      <c r="G5" s="548"/>
      <c r="H5" s="548"/>
      <c r="I5" s="548"/>
      <c r="J5" s="548"/>
      <c r="K5" s="546"/>
    </row>
    <row r="6" spans="1:14" s="85" customFormat="1" ht="16">
      <c r="A6" s="90"/>
      <c r="B6" s="295"/>
      <c r="C6" s="383" t="s">
        <v>723</v>
      </c>
      <c r="D6" s="383"/>
      <c r="E6" s="383"/>
      <c r="F6" s="383"/>
      <c r="G6" s="383"/>
      <c r="H6" s="383"/>
      <c r="I6" s="383"/>
      <c r="J6" s="383"/>
      <c r="K6" s="538"/>
      <c r="L6" s="14"/>
      <c r="M6" s="14"/>
      <c r="N6" s="14"/>
    </row>
    <row r="7" spans="1:14" s="85" customFormat="1" ht="16">
      <c r="A7" s="90"/>
      <c r="B7" s="295"/>
      <c r="C7" s="163"/>
      <c r="D7" s="544"/>
      <c r="E7" s="544"/>
      <c r="F7" s="544"/>
      <c r="G7" s="544"/>
      <c r="H7" s="544"/>
      <c r="I7" s="544"/>
      <c r="J7" s="544" t="s">
        <v>310</v>
      </c>
      <c r="K7" s="538"/>
      <c r="L7" s="14"/>
      <c r="M7" s="14"/>
      <c r="N7" s="14"/>
    </row>
    <row r="8" spans="1:14" s="85" customFormat="1" ht="16">
      <c r="A8" s="90"/>
      <c r="B8" s="295"/>
      <c r="C8" s="383" t="s">
        <v>4051</v>
      </c>
      <c r="D8" s="383"/>
      <c r="E8" s="383"/>
      <c r="F8" s="383"/>
      <c r="G8" s="383"/>
      <c r="H8" s="383"/>
      <c r="I8" s="383"/>
      <c r="J8" s="383"/>
      <c r="K8" s="538"/>
      <c r="L8" s="14"/>
      <c r="M8" s="14"/>
      <c r="N8" s="14"/>
    </row>
    <row r="9" spans="1:14" s="85" customFormat="1" ht="16">
      <c r="A9" s="90"/>
      <c r="B9" s="295"/>
      <c r="C9" s="163"/>
      <c r="D9" s="544"/>
      <c r="E9" s="544"/>
      <c r="F9" s="544"/>
      <c r="G9" s="544"/>
      <c r="H9" s="544"/>
      <c r="I9" s="544"/>
      <c r="J9" s="544"/>
      <c r="K9" s="538"/>
      <c r="L9" s="14"/>
      <c r="M9" s="14"/>
      <c r="N9" s="14"/>
    </row>
    <row r="10" spans="1:14" s="85" customFormat="1" ht="16">
      <c r="A10" s="90"/>
      <c r="B10" s="295"/>
      <c r="C10" s="384" t="s">
        <v>387</v>
      </c>
      <c r="D10" s="384"/>
      <c r="E10" s="384"/>
      <c r="F10" s="384"/>
      <c r="G10" s="384"/>
      <c r="H10" s="384"/>
      <c r="I10" s="384"/>
      <c r="J10" s="384"/>
      <c r="K10" s="538"/>
      <c r="L10" s="14"/>
      <c r="M10" s="14"/>
      <c r="N10" s="14"/>
    </row>
    <row r="11" spans="1:14" s="85" customFormat="1" ht="16">
      <c r="A11" s="90"/>
      <c r="B11" s="295"/>
      <c r="C11" s="163"/>
      <c r="D11" s="544"/>
      <c r="E11" s="544"/>
      <c r="F11" s="544"/>
      <c r="G11" s="544"/>
      <c r="H11" s="544"/>
      <c r="I11" s="544"/>
      <c r="J11" s="544"/>
      <c r="K11" s="538"/>
      <c r="L11" s="14"/>
      <c r="M11" s="14"/>
      <c r="N11" s="14"/>
    </row>
    <row r="12" spans="1:14" s="85" customFormat="1" ht="16">
      <c r="A12" s="90"/>
      <c r="B12" s="295"/>
      <c r="C12" s="383" t="s">
        <v>311</v>
      </c>
      <c r="D12" s="383"/>
      <c r="E12" s="383"/>
      <c r="F12" s="383"/>
      <c r="G12" s="383"/>
      <c r="H12" s="383"/>
      <c r="I12" s="383"/>
      <c r="J12" s="383"/>
      <c r="K12" s="538"/>
      <c r="L12" s="14"/>
      <c r="M12" s="14"/>
      <c r="N12" s="14"/>
    </row>
    <row r="13" spans="1:14" ht="16">
      <c r="B13" s="271"/>
      <c r="C13" s="540"/>
      <c r="D13" s="540"/>
      <c r="E13" s="540"/>
      <c r="F13" s="540"/>
      <c r="G13" s="540"/>
      <c r="H13" s="540"/>
      <c r="I13" s="540"/>
      <c r="J13" s="540"/>
      <c r="K13" s="537"/>
    </row>
    <row r="14" spans="1:14" ht="16">
      <c r="B14" s="271"/>
      <c r="C14" s="167"/>
      <c r="D14" s="226"/>
      <c r="E14" s="226"/>
      <c r="F14" s="226"/>
      <c r="G14" s="226"/>
      <c r="H14" s="226"/>
      <c r="I14" s="226"/>
      <c r="J14" s="226"/>
      <c r="K14" s="537"/>
    </row>
    <row r="15" spans="1:14" s="85" customFormat="1" ht="30" customHeight="1">
      <c r="A15" s="90"/>
      <c r="B15" s="295"/>
      <c r="C15" s="434" t="s">
        <v>286</v>
      </c>
      <c r="D15" s="434" t="s">
        <v>826</v>
      </c>
      <c r="E15" s="434" t="s">
        <v>827</v>
      </c>
      <c r="F15" s="434" t="s">
        <v>828</v>
      </c>
      <c r="G15" s="434" t="s">
        <v>829</v>
      </c>
      <c r="H15" s="550" t="s">
        <v>999</v>
      </c>
      <c r="I15" s="468" t="s">
        <v>257</v>
      </c>
      <c r="J15" s="468"/>
      <c r="K15" s="538"/>
      <c r="L15" s="14"/>
      <c r="M15" s="14"/>
      <c r="N15" s="14"/>
    </row>
    <row r="16" spans="1:14" s="85" customFormat="1" ht="16">
      <c r="A16" s="90"/>
      <c r="B16" s="295"/>
      <c r="C16" s="467"/>
      <c r="D16" s="467"/>
      <c r="E16" s="467"/>
      <c r="F16" s="467"/>
      <c r="G16" s="467"/>
      <c r="H16" s="550"/>
      <c r="I16" s="228" t="s">
        <v>313</v>
      </c>
      <c r="J16" s="228" t="s">
        <v>314</v>
      </c>
      <c r="K16" s="538"/>
      <c r="L16" s="14"/>
      <c r="M16" s="14"/>
      <c r="N16" s="14"/>
    </row>
    <row r="17" spans="2:11" ht="51">
      <c r="B17" s="271"/>
      <c r="C17" s="230" t="s">
        <v>315</v>
      </c>
      <c r="D17" s="218">
        <v>0</v>
      </c>
      <c r="E17" s="218">
        <v>0</v>
      </c>
      <c r="F17" s="218">
        <f>(SUMIF(COMPARATIVO!G:G,C17,COMPARATIVO!AP:AP)/1000)-0.5</f>
        <v>943203.66899999999</v>
      </c>
      <c r="G17" s="218">
        <v>0</v>
      </c>
      <c r="H17" s="218"/>
      <c r="I17" s="218">
        <f>+SUM(D17:G17)</f>
        <v>943203.66899999999</v>
      </c>
      <c r="J17" s="218">
        <f>+I97</f>
        <v>85745</v>
      </c>
      <c r="K17" s="537"/>
    </row>
    <row r="18" spans="2:11" ht="16" hidden="1">
      <c r="B18" s="271"/>
      <c r="C18" s="231"/>
      <c r="D18" s="218"/>
      <c r="E18" s="218"/>
      <c r="F18" s="218"/>
      <c r="G18" s="218">
        <v>0</v>
      </c>
      <c r="H18" s="218"/>
      <c r="I18" s="218"/>
      <c r="J18" s="218"/>
      <c r="K18" s="537"/>
    </row>
    <row r="19" spans="2:11" ht="37.5" customHeight="1">
      <c r="B19" s="271"/>
      <c r="C19" s="230" t="s">
        <v>316</v>
      </c>
      <c r="D19" s="218">
        <v>0</v>
      </c>
      <c r="E19" s="218">
        <v>0</v>
      </c>
      <c r="F19" s="218">
        <f>(SUMIF(COMPARATIVO!G:G,C19,COMPARATIVO!AP:AP)/1000)-0.5</f>
        <v>2390857.148</v>
      </c>
      <c r="G19" s="218">
        <v>0</v>
      </c>
      <c r="H19" s="218"/>
      <c r="I19" s="218">
        <f t="shared" ref="I19:I43" si="0">+SUM(D19:G19)</f>
        <v>2390857.148</v>
      </c>
      <c r="J19" s="218">
        <f t="shared" ref="J19:J35" si="1">+I99</f>
        <v>1822775.82</v>
      </c>
      <c r="K19" s="537"/>
    </row>
    <row r="20" spans="2:11" ht="16" hidden="1">
      <c r="B20" s="271"/>
      <c r="C20" s="230"/>
      <c r="D20" s="218"/>
      <c r="E20" s="218"/>
      <c r="F20" s="218">
        <f>(SUMIF(COMPARATIVO!G:G,C20,COMPARATIVO!AP:AP))/1000</f>
        <v>0</v>
      </c>
      <c r="G20" s="218">
        <v>0</v>
      </c>
      <c r="H20" s="218"/>
      <c r="I20" s="218">
        <f t="shared" si="0"/>
        <v>0</v>
      </c>
      <c r="J20" s="218"/>
      <c r="K20" s="537"/>
    </row>
    <row r="21" spans="2:11" ht="15.75" customHeight="1">
      <c r="B21" s="271"/>
      <c r="C21" s="230" t="s">
        <v>317</v>
      </c>
      <c r="D21" s="218">
        <v>0</v>
      </c>
      <c r="E21" s="218">
        <v>0</v>
      </c>
      <c r="F21" s="218">
        <f>ROUND(SUMIF(COMPARATIVO!G:G,C21,COMPARATIVO!AP:AP),0)/1000</f>
        <v>2309997.5460000001</v>
      </c>
      <c r="G21" s="218">
        <v>0</v>
      </c>
      <c r="H21" s="218"/>
      <c r="I21" s="218">
        <f t="shared" si="0"/>
        <v>2309997.5460000001</v>
      </c>
      <c r="J21" s="218">
        <f t="shared" si="1"/>
        <v>1646326.0149999999</v>
      </c>
      <c r="K21" s="537"/>
    </row>
    <row r="22" spans="2:11" ht="16" hidden="1">
      <c r="B22" s="271"/>
      <c r="C22" s="230"/>
      <c r="D22" s="218"/>
      <c r="E22" s="218"/>
      <c r="F22" s="218">
        <f>(SUMIF(COMPARATIVO!G:G,C22,COMPARATIVO!AP:AP))/1000</f>
        <v>0</v>
      </c>
      <c r="G22" s="218">
        <v>0</v>
      </c>
      <c r="H22" s="218"/>
      <c r="I22" s="218">
        <f t="shared" si="0"/>
        <v>0</v>
      </c>
      <c r="J22" s="218"/>
      <c r="K22" s="537"/>
    </row>
    <row r="23" spans="2:11" ht="17">
      <c r="B23" s="271"/>
      <c r="C23" s="230" t="s">
        <v>318</v>
      </c>
      <c r="D23" s="218">
        <v>0</v>
      </c>
      <c r="E23" s="218">
        <v>0</v>
      </c>
      <c r="F23" s="218">
        <f>ROUND(SUMIF(COMPARATIVO!G:G,C23,COMPARATIVO!AP:AP),0)/1000</f>
        <v>453992.52600000001</v>
      </c>
      <c r="G23" s="218">
        <v>0</v>
      </c>
      <c r="H23" s="218"/>
      <c r="I23" s="218">
        <f t="shared" si="0"/>
        <v>453992.52600000001</v>
      </c>
      <c r="J23" s="218">
        <f t="shared" si="1"/>
        <v>281959.92800000001</v>
      </c>
      <c r="K23" s="537"/>
    </row>
    <row r="24" spans="2:11" ht="16" hidden="1">
      <c r="B24" s="271"/>
      <c r="C24" s="230"/>
      <c r="D24" s="218"/>
      <c r="E24" s="218"/>
      <c r="F24" s="218">
        <f>(SUMIF(COMPARATIVO!G:G,C24,COMPARATIVO!AP:AP))/1000</f>
        <v>0</v>
      </c>
      <c r="G24" s="218">
        <v>0</v>
      </c>
      <c r="H24" s="218"/>
      <c r="I24" s="218">
        <f t="shared" si="0"/>
        <v>0</v>
      </c>
      <c r="J24" s="218"/>
      <c r="K24" s="537"/>
    </row>
    <row r="25" spans="2:11" ht="31.5" customHeight="1">
      <c r="B25" s="271"/>
      <c r="C25" s="230" t="s">
        <v>319</v>
      </c>
      <c r="D25" s="218">
        <v>0</v>
      </c>
      <c r="E25" s="218">
        <f>(SUMIF(COMPARATIVO!G:G,C25,COMPARATIVO!AP:AP))/1000</f>
        <v>489360.79499999998</v>
      </c>
      <c r="F25" s="218">
        <v>0</v>
      </c>
      <c r="G25" s="218">
        <v>0</v>
      </c>
      <c r="H25" s="218"/>
      <c r="I25" s="218">
        <f t="shared" si="0"/>
        <v>489360.79499999998</v>
      </c>
      <c r="J25" s="218">
        <f t="shared" si="1"/>
        <v>302699.19300000003</v>
      </c>
      <c r="K25" s="537"/>
    </row>
    <row r="26" spans="2:11" ht="16" hidden="1">
      <c r="B26" s="271"/>
      <c r="C26" s="230"/>
      <c r="D26" s="218"/>
      <c r="E26" s="218"/>
      <c r="F26" s="218">
        <f>(SUMIF(COMPARATIVO!G:G,C26,COMPARATIVO!AP:AP))/1000</f>
        <v>0</v>
      </c>
      <c r="G26" s="218"/>
      <c r="H26" s="218"/>
      <c r="I26" s="218">
        <f t="shared" si="0"/>
        <v>0</v>
      </c>
      <c r="J26" s="218"/>
      <c r="K26" s="537"/>
    </row>
    <row r="27" spans="2:11" ht="17">
      <c r="B27" s="271"/>
      <c r="C27" s="230" t="s">
        <v>833</v>
      </c>
      <c r="D27" s="218">
        <v>0</v>
      </c>
      <c r="E27" s="218">
        <v>0</v>
      </c>
      <c r="F27" s="218">
        <f>ROUND(SUMIF(COMPARATIVO!G:G,C27,COMPARATIVO!AP:AP),0)/1000</f>
        <v>155068.71100000001</v>
      </c>
      <c r="G27" s="218">
        <v>0</v>
      </c>
      <c r="H27" s="218"/>
      <c r="I27" s="218">
        <f t="shared" si="0"/>
        <v>155068.71100000001</v>
      </c>
      <c r="J27" s="218">
        <f t="shared" si="1"/>
        <v>171755.084</v>
      </c>
      <c r="K27" s="537"/>
    </row>
    <row r="28" spans="2:11" ht="16" hidden="1">
      <c r="B28" s="271"/>
      <c r="C28" s="230"/>
      <c r="D28" s="218"/>
      <c r="E28" s="218"/>
      <c r="F28" s="218">
        <f>(SUMIF(COMPARATIVO!G:G,C28,COMPARATIVO!AP:AP))/1000</f>
        <v>0</v>
      </c>
      <c r="G28" s="218"/>
      <c r="H28" s="218"/>
      <c r="I28" s="218">
        <f t="shared" si="0"/>
        <v>0</v>
      </c>
      <c r="J28" s="218"/>
      <c r="K28" s="537"/>
    </row>
    <row r="29" spans="2:11" ht="31.5" customHeight="1">
      <c r="B29" s="271"/>
      <c r="C29" s="230" t="s">
        <v>320</v>
      </c>
      <c r="D29" s="218">
        <v>0</v>
      </c>
      <c r="E29" s="218">
        <v>0</v>
      </c>
      <c r="F29" s="218">
        <v>0</v>
      </c>
      <c r="G29" s="218">
        <f>(SUMIF(COMPARATIVO!G:G,C29,COMPARATIVO!AP:AP))/1000</f>
        <v>14477063.959000001</v>
      </c>
      <c r="H29" s="218"/>
      <c r="I29" s="218">
        <f t="shared" si="0"/>
        <v>14477063.959000001</v>
      </c>
      <c r="J29" s="218">
        <f t="shared" si="1"/>
        <v>15090285.375</v>
      </c>
      <c r="K29" s="537"/>
    </row>
    <row r="30" spans="2:11" ht="16" hidden="1">
      <c r="B30" s="271"/>
      <c r="C30" s="230"/>
      <c r="D30" s="218"/>
      <c r="E30" s="218"/>
      <c r="F30" s="218">
        <f>(SUMIF(COMPARATIVO!G:G,C30,COMPARATIVO!AP:AP))/1000</f>
        <v>0</v>
      </c>
      <c r="G30" s="218"/>
      <c r="H30" s="218"/>
      <c r="I30" s="218">
        <f t="shared" si="0"/>
        <v>0</v>
      </c>
      <c r="J30" s="218"/>
      <c r="K30" s="537"/>
    </row>
    <row r="31" spans="2:11" ht="17">
      <c r="B31" s="271"/>
      <c r="C31" s="230" t="s">
        <v>321</v>
      </c>
      <c r="D31" s="218">
        <v>0</v>
      </c>
      <c r="E31" s="218">
        <v>0</v>
      </c>
      <c r="F31" s="218">
        <f>ROUND(SUMIF(COMPARATIVO!G:G,C31,COMPARATIVO!AP:AP),0)/1000</f>
        <v>595816.44200000004</v>
      </c>
      <c r="G31" s="218">
        <v>0</v>
      </c>
      <c r="H31" s="218"/>
      <c r="I31" s="218">
        <f t="shared" si="0"/>
        <v>595816.44200000004</v>
      </c>
      <c r="J31" s="218">
        <f t="shared" si="1"/>
        <v>580405.08700000006</v>
      </c>
      <c r="K31" s="537"/>
    </row>
    <row r="32" spans="2:11" ht="24.5" hidden="1" customHeight="1">
      <c r="B32" s="271"/>
      <c r="C32" s="230" t="s">
        <v>840</v>
      </c>
      <c r="D32" s="218"/>
      <c r="E32" s="218"/>
      <c r="F32" s="218">
        <f>(SUMIF(COMPARATIVO!G:G,C32,COMPARATIVO!AP:AP))/1000</f>
        <v>0</v>
      </c>
      <c r="G32" s="218">
        <f>-(SUMIF(COMPARATIVO!G:G,C32,COMPARATIVO!L:L))/1000</f>
        <v>0</v>
      </c>
      <c r="H32" s="218"/>
      <c r="I32" s="218">
        <f t="shared" si="0"/>
        <v>0</v>
      </c>
      <c r="J32" s="218">
        <f>G123</f>
        <v>0</v>
      </c>
      <c r="K32" s="537"/>
    </row>
    <row r="33" spans="1:14" ht="30" customHeight="1">
      <c r="B33" s="271"/>
      <c r="C33" s="230" t="s">
        <v>322</v>
      </c>
      <c r="D33" s="218">
        <v>0</v>
      </c>
      <c r="E33" s="218">
        <v>0</v>
      </c>
      <c r="F33" s="218">
        <f>ROUND(SUMIF(COMPARATIVO!G:G,C33,COMPARATIVO!AP:AP),0)/1000</f>
        <v>36500.699999999997</v>
      </c>
      <c r="G33" s="218">
        <v>0</v>
      </c>
      <c r="H33" s="218"/>
      <c r="I33" s="218">
        <f t="shared" si="0"/>
        <v>36500.699999999997</v>
      </c>
      <c r="J33" s="218">
        <f t="shared" si="1"/>
        <v>27477.455999999998</v>
      </c>
      <c r="K33" s="537"/>
    </row>
    <row r="34" spans="1:14" ht="16" hidden="1">
      <c r="B34" s="271"/>
      <c r="C34" s="230"/>
      <c r="D34" s="218"/>
      <c r="E34" s="218"/>
      <c r="F34" s="218">
        <f>(SUMIF(COMPARATIVO!G:G,C34,COMPARATIVO!AP:AP))/1000</f>
        <v>0</v>
      </c>
      <c r="G34" s="218">
        <v>0</v>
      </c>
      <c r="H34" s="218"/>
      <c r="I34" s="218">
        <f t="shared" si="0"/>
        <v>0</v>
      </c>
      <c r="J34" s="218"/>
      <c r="K34" s="537"/>
    </row>
    <row r="35" spans="1:14" ht="17">
      <c r="B35" s="271"/>
      <c r="C35" s="230" t="s">
        <v>323</v>
      </c>
      <c r="D35" s="218">
        <v>0</v>
      </c>
      <c r="E35" s="218">
        <v>0</v>
      </c>
      <c r="F35" s="218">
        <f>(SUMIF(COMPARATIVO!G:G,C35,COMPARATIVO!AP:AP))/1000</f>
        <v>0</v>
      </c>
      <c r="G35" s="218">
        <v>0</v>
      </c>
      <c r="H35" s="218"/>
      <c r="I35" s="218">
        <f t="shared" si="0"/>
        <v>0</v>
      </c>
      <c r="J35" s="218">
        <f t="shared" si="1"/>
        <v>43120.894</v>
      </c>
      <c r="K35" s="537"/>
    </row>
    <row r="36" spans="1:14" ht="16" hidden="1">
      <c r="B36" s="271"/>
      <c r="C36" s="230"/>
      <c r="D36" s="218"/>
      <c r="E36" s="218"/>
      <c r="F36" s="218">
        <f>(SUMIF(COMPARATIVO!G:G,C36,COMPARATIVO!AP:AP))/1000</f>
        <v>0</v>
      </c>
      <c r="G36" s="218">
        <v>0</v>
      </c>
      <c r="H36" s="218"/>
      <c r="I36" s="218">
        <f t="shared" si="0"/>
        <v>0</v>
      </c>
      <c r="J36" s="218"/>
      <c r="K36" s="537"/>
    </row>
    <row r="37" spans="1:14" ht="23.25" customHeight="1">
      <c r="B37" s="271"/>
      <c r="C37" s="230" t="s">
        <v>826</v>
      </c>
      <c r="D37" s="218">
        <f>(SUMIF(COMPARATIVO!G:G,C37,COMPARATIVO!AP:AP))/1000</f>
        <v>61116529.983999997</v>
      </c>
      <c r="E37" s="218">
        <v>0</v>
      </c>
      <c r="F37" s="218">
        <v>0</v>
      </c>
      <c r="G37" s="218">
        <v>0</v>
      </c>
      <c r="H37" s="218"/>
      <c r="I37" s="218">
        <f t="shared" si="0"/>
        <v>61116529.983999997</v>
      </c>
      <c r="J37" s="218">
        <f>+I117</f>
        <v>72312445.077000007</v>
      </c>
      <c r="K37" s="537"/>
    </row>
    <row r="38" spans="1:14" ht="13.5" hidden="1" customHeight="1">
      <c r="B38" s="271"/>
      <c r="C38" s="230"/>
      <c r="D38" s="218"/>
      <c r="E38" s="218"/>
      <c r="F38" s="218">
        <f>(SUMIF(COMPARATIVO!G:G,C38,COMPARATIVO!AP:AP))/1000</f>
        <v>0</v>
      </c>
      <c r="G38" s="218">
        <v>0</v>
      </c>
      <c r="H38" s="218"/>
      <c r="I38" s="218">
        <f t="shared" si="0"/>
        <v>0</v>
      </c>
      <c r="J38" s="218"/>
      <c r="K38" s="537"/>
    </row>
    <row r="39" spans="1:14" ht="23.25" customHeight="1">
      <c r="B39" s="271"/>
      <c r="C39" s="230" t="s">
        <v>830</v>
      </c>
      <c r="D39" s="218">
        <v>0</v>
      </c>
      <c r="E39" s="218">
        <f>((SUMIF(COMPARATIVO!G:G,C39,COMPARATIVO!AP:AP))/1000)</f>
        <v>2777332.031</v>
      </c>
      <c r="F39" s="218">
        <v>0</v>
      </c>
      <c r="G39" s="218">
        <v>0</v>
      </c>
      <c r="H39" s="218"/>
      <c r="I39" s="218">
        <f t="shared" si="0"/>
        <v>2777332.031</v>
      </c>
      <c r="J39" s="218">
        <f>+I119</f>
        <v>3192669.5389999999</v>
      </c>
      <c r="K39" s="537"/>
    </row>
    <row r="40" spans="1:14" ht="7" customHeight="1">
      <c r="B40" s="271"/>
      <c r="C40" s="230"/>
      <c r="D40" s="218"/>
      <c r="E40" s="218"/>
      <c r="F40" s="218"/>
      <c r="G40" s="218"/>
      <c r="H40" s="218"/>
      <c r="I40" s="218"/>
      <c r="J40" s="218"/>
      <c r="K40" s="537"/>
    </row>
    <row r="41" spans="1:14" ht="23.25" customHeight="1">
      <c r="B41" s="271"/>
      <c r="C41" s="230" t="s">
        <v>916</v>
      </c>
      <c r="D41" s="218">
        <v>0</v>
      </c>
      <c r="E41" s="218">
        <v>0</v>
      </c>
      <c r="F41" s="218">
        <f>(SUMIF(COMPARATIVO!G:G,C41,COMPARATIVO!AP:AP))/1000</f>
        <v>0</v>
      </c>
      <c r="G41" s="218">
        <v>0</v>
      </c>
      <c r="H41" s="218">
        <v>0</v>
      </c>
      <c r="I41" s="218">
        <f t="shared" si="0"/>
        <v>0</v>
      </c>
      <c r="J41" s="218">
        <f>+I121</f>
        <v>0</v>
      </c>
      <c r="K41" s="537"/>
    </row>
    <row r="42" spans="1:14" ht="7" customHeight="1">
      <c r="B42" s="271"/>
      <c r="C42" s="230"/>
      <c r="D42" s="218"/>
      <c r="E42" s="218"/>
      <c r="F42" s="218"/>
      <c r="G42" s="218"/>
      <c r="H42" s="218"/>
      <c r="I42" s="218"/>
      <c r="J42" s="218"/>
      <c r="K42" s="537"/>
    </row>
    <row r="43" spans="1:14" ht="23.25" customHeight="1">
      <c r="B43" s="271"/>
      <c r="C43" s="230" t="s">
        <v>831</v>
      </c>
      <c r="D43" s="218">
        <v>0</v>
      </c>
      <c r="E43" s="218">
        <v>0</v>
      </c>
      <c r="F43" s="218">
        <f>ROUND(SUMIF(COMPARATIVO!G:G,C43,COMPARATIVO!AP:AP),0)/1000</f>
        <v>3499300.2510000002</v>
      </c>
      <c r="G43" s="218">
        <v>0</v>
      </c>
      <c r="H43" s="218"/>
      <c r="I43" s="218">
        <f t="shared" si="0"/>
        <v>3499300.2510000002</v>
      </c>
      <c r="J43" s="218">
        <f>I123</f>
        <v>4334430.5109999999</v>
      </c>
      <c r="K43" s="537"/>
    </row>
    <row r="44" spans="1:14" ht="12.75" hidden="1" customHeight="1">
      <c r="B44" s="271"/>
      <c r="C44" s="230"/>
      <c r="D44" s="218"/>
      <c r="E44" s="218"/>
      <c r="F44" s="218"/>
      <c r="G44" s="218"/>
      <c r="H44" s="218"/>
      <c r="I44" s="218"/>
      <c r="J44" s="218"/>
      <c r="K44" s="537"/>
    </row>
    <row r="45" spans="1:14" ht="23.25" hidden="1" customHeight="1">
      <c r="B45" s="271"/>
      <c r="C45" s="230" t="s">
        <v>1000</v>
      </c>
      <c r="D45" s="218"/>
      <c r="E45" s="218"/>
      <c r="F45" s="218"/>
      <c r="G45" s="218"/>
      <c r="H45" s="218"/>
      <c r="I45" s="218">
        <f>SUM(D45:H45)</f>
        <v>0</v>
      </c>
      <c r="J45" s="218">
        <f>+I125</f>
        <v>0</v>
      </c>
      <c r="K45" s="537"/>
    </row>
    <row r="46" spans="1:14" s="85" customFormat="1" ht="30.75" customHeight="1">
      <c r="A46" s="90"/>
      <c r="B46" s="295"/>
      <c r="C46" s="232" t="s">
        <v>274</v>
      </c>
      <c r="D46" s="219">
        <f>SUM(D17:D37)</f>
        <v>61116529.983999997</v>
      </c>
      <c r="E46" s="219">
        <f>SUM(E17:E43)</f>
        <v>3266692.8259999999</v>
      </c>
      <c r="F46" s="219">
        <f>SUM(F17:F43)+1</f>
        <v>10384737.993000001</v>
      </c>
      <c r="G46" s="219">
        <f>SUM(G17:G45)</f>
        <v>14477063.959000001</v>
      </c>
      <c r="H46" s="219">
        <f>SUM(H17:H45)</f>
        <v>0</v>
      </c>
      <c r="I46" s="219">
        <f>SUM(D46:H46)</f>
        <v>89245024.762000009</v>
      </c>
      <c r="J46" s="219">
        <f>SUM(J17:J45)</f>
        <v>99892094.979000002</v>
      </c>
      <c r="K46" s="549">
        <f>+F46+EERR!E23</f>
        <v>-6.9999992847442627E-3</v>
      </c>
      <c r="L46" s="14">
        <f>+G46+EERR!E27</f>
        <v>-4.0999999269843102E-2</v>
      </c>
      <c r="M46" s="14"/>
      <c r="N46" s="14"/>
    </row>
    <row r="47" spans="1:14" s="85" customFormat="1" ht="30.75" customHeight="1">
      <c r="A47" s="90"/>
      <c r="B47" s="295"/>
      <c r="C47" s="232" t="s">
        <v>275</v>
      </c>
      <c r="D47" s="219">
        <f>+D126</f>
        <v>72312445.077000007</v>
      </c>
      <c r="E47" s="219">
        <f>+E126</f>
        <v>3495368.7319999998</v>
      </c>
      <c r="F47" s="219">
        <f>+F126</f>
        <v>8993995.7949999999</v>
      </c>
      <c r="G47" s="219">
        <f>+G126</f>
        <v>15090285.375</v>
      </c>
      <c r="H47" s="219">
        <f>+H126</f>
        <v>0</v>
      </c>
      <c r="I47" s="219">
        <f>SUM(D47:H47)</f>
        <v>99892094.979000002</v>
      </c>
      <c r="J47" s="219">
        <v>0</v>
      </c>
      <c r="K47" s="538">
        <f>+F47+EERR!G23</f>
        <v>-0.20500000007450581</v>
      </c>
      <c r="L47" s="91">
        <f>+G47+EERR!G27</f>
        <v>0.375</v>
      </c>
      <c r="M47" s="14"/>
      <c r="N47" s="14"/>
    </row>
    <row r="48" spans="1:14" ht="16">
      <c r="B48" s="271"/>
      <c r="C48" s="167"/>
      <c r="D48" s="226"/>
      <c r="E48" s="226"/>
      <c r="F48" s="226"/>
      <c r="G48" s="226"/>
      <c r="H48" s="226"/>
      <c r="I48" s="226"/>
      <c r="J48" s="226"/>
      <c r="K48" s="537"/>
    </row>
    <row r="49" spans="1:14" ht="17" thickBot="1">
      <c r="B49" s="292"/>
      <c r="C49" s="280"/>
      <c r="D49" s="551"/>
      <c r="E49" s="551"/>
      <c r="F49" s="551"/>
      <c r="G49" s="551"/>
      <c r="H49" s="551"/>
      <c r="I49" s="551"/>
      <c r="J49" s="551"/>
      <c r="K49" s="547"/>
    </row>
    <row r="50" spans="1:14" ht="17" thickTop="1">
      <c r="C50" s="165"/>
      <c r="D50" s="224"/>
      <c r="E50" s="224"/>
      <c r="F50" s="224"/>
      <c r="G50" s="224"/>
      <c r="H50" s="224"/>
      <c r="I50" s="224" t="s">
        <v>434</v>
      </c>
      <c r="J50" s="224"/>
    </row>
    <row r="51" spans="1:14" ht="16">
      <c r="C51" s="165"/>
      <c r="D51" s="224"/>
      <c r="E51" s="224"/>
      <c r="F51" s="224"/>
      <c r="G51" s="224"/>
      <c r="H51" s="224"/>
      <c r="I51" s="224"/>
      <c r="J51" s="224"/>
    </row>
    <row r="52" spans="1:14" ht="16">
      <c r="C52" s="165"/>
      <c r="D52" s="224"/>
      <c r="E52" s="224"/>
      <c r="F52" s="224"/>
      <c r="G52" s="224"/>
      <c r="H52" s="224"/>
      <c r="I52" s="224"/>
      <c r="J52" s="224"/>
    </row>
    <row r="53" spans="1:14" ht="16">
      <c r="C53" s="165"/>
      <c r="D53" s="224"/>
      <c r="E53" s="224"/>
      <c r="F53" s="224"/>
      <c r="G53" s="224"/>
      <c r="H53" s="224"/>
      <c r="I53" s="224"/>
      <c r="J53" s="224"/>
    </row>
    <row r="54" spans="1:14" ht="16">
      <c r="C54" s="165"/>
      <c r="D54" s="224"/>
      <c r="E54" s="224"/>
      <c r="F54" s="224"/>
      <c r="G54" s="224"/>
      <c r="H54" s="224"/>
      <c r="I54" s="224"/>
      <c r="J54" s="224"/>
    </row>
    <row r="55" spans="1:14" s="9" customFormat="1" ht="16">
      <c r="A55" s="258"/>
      <c r="B55" s="258"/>
      <c r="C55" s="167"/>
      <c r="D55" s="226"/>
      <c r="E55" s="226"/>
      <c r="F55" s="226"/>
      <c r="G55" s="226"/>
      <c r="H55" s="226"/>
      <c r="I55" s="226"/>
      <c r="J55" s="226"/>
      <c r="K55" s="158"/>
      <c r="L55" s="158"/>
      <c r="M55" s="158"/>
      <c r="N55" s="158"/>
    </row>
    <row r="56" spans="1:14" ht="16">
      <c r="C56" s="165"/>
      <c r="D56" s="224"/>
      <c r="E56" s="224"/>
      <c r="F56" s="224"/>
      <c r="G56" s="224"/>
      <c r="H56" s="224"/>
      <c r="I56" s="224"/>
      <c r="J56" s="224"/>
    </row>
    <row r="57" spans="1:14" ht="16">
      <c r="C57" s="165"/>
      <c r="D57" s="224"/>
      <c r="E57" s="224"/>
      <c r="F57" s="224"/>
      <c r="G57" s="224"/>
      <c r="H57" s="224"/>
      <c r="I57" s="224"/>
      <c r="J57" s="224"/>
    </row>
    <row r="58" spans="1:14" ht="16">
      <c r="C58" s="165"/>
      <c r="D58" s="224"/>
      <c r="E58" s="224"/>
      <c r="F58" s="224"/>
      <c r="G58" s="224"/>
      <c r="H58" s="224"/>
      <c r="I58" s="224"/>
      <c r="J58" s="224"/>
    </row>
    <row r="76" spans="6:6">
      <c r="F76" s="50" t="s">
        <v>434</v>
      </c>
    </row>
    <row r="86" spans="3:10">
      <c r="C86" s="372"/>
      <c r="D86" s="372"/>
      <c r="E86" s="372"/>
      <c r="F86" s="372"/>
      <c r="G86" s="372"/>
      <c r="H86" s="372"/>
      <c r="I86" s="372"/>
      <c r="J86" s="372"/>
    </row>
    <row r="87" spans="3:10">
      <c r="J87" s="50" t="s">
        <v>310</v>
      </c>
    </row>
    <row r="88" spans="3:10">
      <c r="C88" s="372" t="s">
        <v>4702</v>
      </c>
      <c r="D88" s="372"/>
      <c r="E88" s="372"/>
      <c r="F88" s="372"/>
      <c r="G88" s="372"/>
      <c r="H88" s="372"/>
      <c r="I88" s="372"/>
      <c r="J88" s="372"/>
    </row>
    <row r="90" spans="3:10">
      <c r="C90" s="372" t="s">
        <v>387</v>
      </c>
      <c r="D90" s="372"/>
      <c r="E90" s="372"/>
      <c r="F90" s="372"/>
      <c r="G90" s="372"/>
      <c r="H90" s="372"/>
      <c r="I90" s="372"/>
      <c r="J90" s="372"/>
    </row>
    <row r="92" spans="3:10">
      <c r="C92" s="372" t="s">
        <v>311</v>
      </c>
      <c r="D92" s="372"/>
      <c r="E92" s="372"/>
      <c r="F92" s="372"/>
      <c r="G92" s="372"/>
      <c r="H92" s="372"/>
      <c r="I92" s="372"/>
      <c r="J92" s="372"/>
    </row>
    <row r="93" spans="3:10">
      <c r="C93" s="372" t="s">
        <v>434</v>
      </c>
      <c r="D93" s="372"/>
      <c r="E93" s="372"/>
      <c r="F93" s="372"/>
      <c r="G93" s="372"/>
      <c r="H93" s="372"/>
      <c r="I93" s="372"/>
      <c r="J93" s="372"/>
    </row>
    <row r="95" spans="3:10" ht="12.75" customHeight="1">
      <c r="C95" s="465" t="s">
        <v>286</v>
      </c>
      <c r="D95" s="464" t="s">
        <v>312</v>
      </c>
      <c r="E95" s="464" t="s">
        <v>827</v>
      </c>
      <c r="F95" s="464" t="s">
        <v>828</v>
      </c>
      <c r="G95" s="464" t="s">
        <v>829</v>
      </c>
      <c r="H95" s="464" t="s">
        <v>832</v>
      </c>
      <c r="I95" s="464" t="s">
        <v>257</v>
      </c>
      <c r="J95" s="464"/>
    </row>
    <row r="96" spans="3:10" ht="25.5" customHeight="1">
      <c r="C96" s="466"/>
      <c r="D96" s="464"/>
      <c r="E96" s="464"/>
      <c r="F96" s="464"/>
      <c r="G96" s="464"/>
      <c r="H96" s="464"/>
      <c r="I96" s="20" t="s">
        <v>313</v>
      </c>
      <c r="J96" s="20" t="s">
        <v>314</v>
      </c>
    </row>
    <row r="97" spans="3:10" ht="28">
      <c r="C97" s="87" t="s">
        <v>315</v>
      </c>
      <c r="D97" s="20"/>
      <c r="E97" s="20"/>
      <c r="F97" s="20">
        <f>-(SUMIF(COMPARATIVO!G:G,C97,COMPARATIVO!AI:AI))/1000</f>
        <v>85745</v>
      </c>
      <c r="G97" s="20"/>
      <c r="H97" s="20"/>
      <c r="I97" s="20">
        <f>SUM(D97:H97)</f>
        <v>85745</v>
      </c>
      <c r="J97" s="20">
        <v>0</v>
      </c>
    </row>
    <row r="98" spans="3:10">
      <c r="C98" s="86"/>
      <c r="D98" s="20"/>
      <c r="E98" s="20"/>
      <c r="F98" s="20"/>
      <c r="G98" s="20"/>
      <c r="H98" s="20"/>
      <c r="I98" s="20"/>
      <c r="J98" s="20" t="s">
        <v>434</v>
      </c>
    </row>
    <row r="99" spans="3:10" ht="14">
      <c r="C99" s="87" t="s">
        <v>316</v>
      </c>
      <c r="D99" s="20"/>
      <c r="E99" s="20"/>
      <c r="F99" s="20">
        <f>-(SUMIF(COMPARATIVO!G:G,C99,COMPARATIVO!AI:AI))/1000</f>
        <v>1822775.82</v>
      </c>
      <c r="G99" s="20"/>
      <c r="H99" s="20"/>
      <c r="I99" s="20">
        <f>SUM(D99:H99)</f>
        <v>1822775.82</v>
      </c>
      <c r="J99" s="20">
        <f>22032999/1000</f>
        <v>22032.999</v>
      </c>
    </row>
    <row r="100" spans="3:10">
      <c r="C100" s="87"/>
      <c r="D100" s="20"/>
      <c r="E100" s="20"/>
      <c r="F100" s="20"/>
      <c r="G100" s="20"/>
      <c r="H100" s="20"/>
      <c r="I100" s="20"/>
      <c r="J100" s="20" t="s">
        <v>434</v>
      </c>
    </row>
    <row r="101" spans="3:10" ht="14">
      <c r="C101" s="87" t="s">
        <v>317</v>
      </c>
      <c r="D101" s="20"/>
      <c r="E101" s="20"/>
      <c r="F101" s="20">
        <f>-(SUMIF(COMPARATIVO!G:G,C101,COMPARATIVO!AI:AI))/1000</f>
        <v>1646326.0149999999</v>
      </c>
      <c r="G101" s="20"/>
      <c r="H101" s="20"/>
      <c r="I101" s="20">
        <f>SUM(D101:H101)</f>
        <v>1646326.0149999999</v>
      </c>
      <c r="J101" s="20">
        <f>9205325/1000</f>
        <v>9205.3250000000007</v>
      </c>
    </row>
    <row r="102" spans="3:10">
      <c r="C102" s="87"/>
      <c r="D102" s="20"/>
      <c r="E102" s="20"/>
      <c r="F102" s="20"/>
      <c r="G102" s="20"/>
      <c r="H102" s="20"/>
      <c r="I102" s="20"/>
      <c r="J102" s="20" t="s">
        <v>434</v>
      </c>
    </row>
    <row r="103" spans="3:10" ht="14">
      <c r="C103" s="87" t="s">
        <v>318</v>
      </c>
      <c r="D103" s="20"/>
      <c r="E103" s="20"/>
      <c r="F103" s="20">
        <f>-(SUMIF(COMPARATIVO!G:G,C103,COMPARATIVO!AI:AI))/1000</f>
        <v>281959.92800000001</v>
      </c>
      <c r="G103" s="20"/>
      <c r="H103" s="20"/>
      <c r="I103" s="20">
        <f>SUM(D103:H103)</f>
        <v>281959.92800000001</v>
      </c>
      <c r="J103" s="20">
        <f>1518879/1000</f>
        <v>1518.8789999999999</v>
      </c>
    </row>
    <row r="104" spans="3:10">
      <c r="C104" s="87"/>
      <c r="D104" s="20"/>
      <c r="E104" s="20"/>
      <c r="F104" s="20"/>
      <c r="G104" s="20"/>
      <c r="H104" s="20"/>
      <c r="I104" s="20"/>
      <c r="J104" s="20" t="s">
        <v>434</v>
      </c>
    </row>
    <row r="105" spans="3:10" ht="14">
      <c r="C105" s="87" t="s">
        <v>319</v>
      </c>
      <c r="D105" s="20"/>
      <c r="E105" s="20">
        <f>(SUMIF(COMPARATIVO!G:G,C105,COMPARATIVO!AH:AH))/1000</f>
        <v>302699.19300000003</v>
      </c>
      <c r="F105" s="20"/>
      <c r="G105" s="20"/>
      <c r="H105" s="20"/>
      <c r="I105" s="20">
        <f>SUM(D105:H105)</f>
        <v>302699.19300000003</v>
      </c>
      <c r="J105" s="20">
        <f>130838226/1000</f>
        <v>130838.226</v>
      </c>
    </row>
    <row r="106" spans="3:10">
      <c r="C106" s="87"/>
      <c r="D106" s="20"/>
      <c r="E106" s="20"/>
      <c r="F106" s="20"/>
      <c r="G106" s="20"/>
      <c r="H106" s="20"/>
      <c r="I106" s="20"/>
      <c r="J106" s="20" t="s">
        <v>434</v>
      </c>
    </row>
    <row r="107" spans="3:10" ht="14">
      <c r="C107" s="87" t="s">
        <v>833</v>
      </c>
      <c r="D107" s="20"/>
      <c r="E107" s="20"/>
      <c r="F107" s="20">
        <f>-(SUMIF(COMPARATIVO!G:G,C107,COMPARATIVO!AI:AI))/1000</f>
        <v>171755.084</v>
      </c>
      <c r="G107" s="20"/>
      <c r="H107" s="20"/>
      <c r="I107" s="20">
        <f>SUM(D107:H107)</f>
        <v>171755.084</v>
      </c>
      <c r="J107" s="20">
        <f>855728/1000</f>
        <v>855.72799999999995</v>
      </c>
    </row>
    <row r="108" spans="3:10">
      <c r="C108" s="87"/>
      <c r="D108" s="20"/>
      <c r="E108" s="20"/>
      <c r="F108" s="20"/>
      <c r="G108" s="20"/>
      <c r="H108" s="20"/>
      <c r="I108" s="20"/>
      <c r="J108" s="20" t="s">
        <v>434</v>
      </c>
    </row>
    <row r="109" spans="3:10" ht="14">
      <c r="C109" s="87" t="s">
        <v>320</v>
      </c>
      <c r="D109" s="20"/>
      <c r="E109" s="20"/>
      <c r="F109" s="20">
        <v>0</v>
      </c>
      <c r="G109" s="20">
        <f>-(SUMIF(COMPARATIVO!G:G,C109,COMPARATIVO!AI:AI))/1000</f>
        <v>15090285.375</v>
      </c>
      <c r="H109" s="20"/>
      <c r="I109" s="20">
        <f>SUM(D109:H109)</f>
        <v>15090285.375</v>
      </c>
      <c r="J109" s="20">
        <f>135354/1000</f>
        <v>135.35400000000001</v>
      </c>
    </row>
    <row r="110" spans="3:10">
      <c r="C110" s="87"/>
      <c r="D110" s="20"/>
      <c r="E110" s="20"/>
      <c r="F110" s="20"/>
      <c r="G110" s="20"/>
      <c r="H110" s="20"/>
      <c r="I110" s="20"/>
      <c r="J110" s="20" t="s">
        <v>434</v>
      </c>
    </row>
    <row r="111" spans="3:10" ht="14">
      <c r="C111" s="87" t="s">
        <v>321</v>
      </c>
      <c r="D111" s="20"/>
      <c r="E111" s="20"/>
      <c r="F111" s="20">
        <f>-(SUMIF(COMPARATIVO!G:G,C111,COMPARATIVO!AI:AI))/1000</f>
        <v>580405.08700000006</v>
      </c>
      <c r="G111" s="20"/>
      <c r="H111" s="20"/>
      <c r="I111" s="20">
        <f>SUM(D111:H111)</f>
        <v>580405.08700000006</v>
      </c>
      <c r="J111" s="20">
        <v>0</v>
      </c>
    </row>
    <row r="112" spans="3:10">
      <c r="C112" s="87"/>
      <c r="D112" s="20"/>
      <c r="E112" s="20"/>
      <c r="F112" s="20"/>
      <c r="G112" s="20"/>
      <c r="H112" s="20"/>
      <c r="I112" s="20"/>
      <c r="J112" s="20" t="s">
        <v>434</v>
      </c>
    </row>
    <row r="113" spans="3:10" ht="14">
      <c r="C113" s="87" t="s">
        <v>322</v>
      </c>
      <c r="D113" s="20"/>
      <c r="E113" s="20"/>
      <c r="F113" s="20">
        <f>-(SUMIF(COMPARATIVO!G:G,C113,COMPARATIVO!AI:AI))/1000</f>
        <v>27477.455999999998</v>
      </c>
      <c r="G113" s="20"/>
      <c r="H113" s="20"/>
      <c r="I113" s="20">
        <f>SUM(D113:H113)</f>
        <v>27477.455999999998</v>
      </c>
      <c r="J113" s="20">
        <v>0</v>
      </c>
    </row>
    <row r="114" spans="3:10">
      <c r="C114" s="87"/>
      <c r="D114" s="20"/>
      <c r="E114" s="20"/>
      <c r="F114" s="20"/>
      <c r="G114" s="20"/>
      <c r="H114" s="20"/>
      <c r="I114" s="20"/>
      <c r="J114" s="20" t="s">
        <v>434</v>
      </c>
    </row>
    <row r="115" spans="3:10" ht="14">
      <c r="C115" s="87" t="s">
        <v>323</v>
      </c>
      <c r="D115" s="20"/>
      <c r="E115" s="20"/>
      <c r="F115" s="20">
        <f>-(SUMIF(COMPARATIVO!G:G,C115,COMPARATIVO!AI:AI))/1000</f>
        <v>43120.894</v>
      </c>
      <c r="G115" s="20"/>
      <c r="H115" s="20"/>
      <c r="I115" s="20">
        <f>SUM(D115:H115)</f>
        <v>43120.894</v>
      </c>
      <c r="J115" s="20">
        <v>0</v>
      </c>
    </row>
    <row r="116" spans="3:10">
      <c r="C116" s="87"/>
      <c r="D116" s="20"/>
      <c r="E116" s="20"/>
      <c r="F116" s="20"/>
      <c r="G116" s="20"/>
      <c r="H116" s="20"/>
      <c r="I116" s="20"/>
      <c r="J116" s="20"/>
    </row>
    <row r="117" spans="3:10" ht="23.25" customHeight="1">
      <c r="C117" s="87" t="s">
        <v>826</v>
      </c>
      <c r="D117" s="20">
        <f>(SUMIF(COMPARATIVO!G:G,C117,COMPARATIVO!AH:AH))/1000</f>
        <v>72312445.077000007</v>
      </c>
      <c r="E117" s="20"/>
      <c r="F117" s="20"/>
      <c r="G117" s="20"/>
      <c r="H117" s="20"/>
      <c r="I117" s="20">
        <f>SUM(D117:H117)</f>
        <v>72312445.077000007</v>
      </c>
      <c r="J117" s="20">
        <v>0</v>
      </c>
    </row>
    <row r="118" spans="3:10" ht="13.5" customHeight="1">
      <c r="C118" s="87"/>
      <c r="D118" s="20"/>
      <c r="E118" s="20"/>
      <c r="F118" s="20"/>
      <c r="G118" s="20"/>
      <c r="H118" s="20"/>
      <c r="I118" s="20"/>
      <c r="J118" s="20"/>
    </row>
    <row r="119" spans="3:10" ht="23.25" customHeight="1">
      <c r="C119" s="87" t="s">
        <v>830</v>
      </c>
      <c r="D119" s="20"/>
      <c r="E119" s="20">
        <f>(SUMIF(COMPARATIVO!G:G,C119,COMPARATIVO!AH:AH))/1000</f>
        <v>3192669.5389999999</v>
      </c>
      <c r="F119" s="20"/>
      <c r="G119" s="20"/>
      <c r="H119" s="20"/>
      <c r="I119" s="20">
        <f>SUM(D119:H119)</f>
        <v>3192669.5389999999</v>
      </c>
      <c r="J119" s="20"/>
    </row>
    <row r="120" spans="3:10" ht="14.25" customHeight="1">
      <c r="C120" s="87"/>
      <c r="D120" s="20"/>
      <c r="E120" s="20"/>
      <c r="F120" s="20"/>
      <c r="G120" s="20"/>
      <c r="H120" s="20"/>
      <c r="I120" s="20"/>
      <c r="J120" s="20"/>
    </row>
    <row r="121" spans="3:10" ht="23.25" customHeight="1">
      <c r="C121" s="87" t="s">
        <v>916</v>
      </c>
      <c r="D121" s="20"/>
      <c r="E121" s="20"/>
      <c r="F121" s="20"/>
      <c r="G121" s="20"/>
      <c r="H121" s="20">
        <f>COMPARATIVO!K309/1000</f>
        <v>0</v>
      </c>
      <c r="I121" s="20">
        <f>SUM(D121:H121)</f>
        <v>0</v>
      </c>
      <c r="J121" s="20">
        <v>-1451844</v>
      </c>
    </row>
    <row r="122" spans="3:10" ht="13.5" customHeight="1">
      <c r="C122" s="87"/>
      <c r="D122" s="20"/>
      <c r="E122" s="20"/>
      <c r="F122" s="20"/>
      <c r="G122" s="20"/>
      <c r="H122" s="20"/>
      <c r="I122" s="20"/>
      <c r="J122" s="20"/>
    </row>
    <row r="123" spans="3:10" ht="23.25" customHeight="1">
      <c r="C123" s="87" t="s">
        <v>831</v>
      </c>
      <c r="D123" s="20"/>
      <c r="E123" s="20"/>
      <c r="F123" s="20">
        <f>-(SUMIF(COMPARATIVO!G:G,C123,COMPARATIVO!AI:AI))/1000</f>
        <v>4334430.5109999999</v>
      </c>
      <c r="G123" s="20"/>
      <c r="H123" s="20"/>
      <c r="I123" s="20">
        <f>SUM(D123:H123)</f>
        <v>4334430.5109999999</v>
      </c>
      <c r="J123" s="20"/>
    </row>
    <row r="124" spans="3:10" ht="12.75" customHeight="1">
      <c r="C124" s="87"/>
      <c r="D124" s="20"/>
      <c r="E124" s="20"/>
      <c r="F124" s="20"/>
      <c r="G124" s="20"/>
      <c r="H124" s="20"/>
      <c r="I124" s="20"/>
      <c r="J124" s="20"/>
    </row>
    <row r="125" spans="3:10" ht="23.25" customHeight="1">
      <c r="C125" s="87" t="s">
        <v>1000</v>
      </c>
      <c r="D125" s="20"/>
      <c r="E125" s="20"/>
      <c r="F125" s="20"/>
      <c r="G125" s="20">
        <f>-(SUMIF(COMPARATIVO!G:G,C125,COMPARATIVO!AA:AA))/1000</f>
        <v>0</v>
      </c>
      <c r="H125" s="20"/>
      <c r="I125" s="20">
        <f>SUM(D125:H125)</f>
        <v>0</v>
      </c>
      <c r="J125" s="20"/>
    </row>
    <row r="126" spans="3:10" ht="14">
      <c r="C126" s="87" t="s">
        <v>274</v>
      </c>
      <c r="D126" s="20">
        <f>SUM(D97:D123)</f>
        <v>72312445.077000007</v>
      </c>
      <c r="E126" s="20">
        <f>SUM(E97:E123)</f>
        <v>3495368.7319999998</v>
      </c>
      <c r="F126" s="20">
        <f>SUM(F97:F123)</f>
        <v>8993995.7949999999</v>
      </c>
      <c r="G126" s="20">
        <f>SUM(G97:G125)</f>
        <v>15090285.375</v>
      </c>
      <c r="H126" s="20">
        <f>SUM(H97:H125)</f>
        <v>0</v>
      </c>
      <c r="I126" s="20">
        <f>SUM(I97:I125)</f>
        <v>99892094.979000002</v>
      </c>
      <c r="J126" s="20">
        <f>SUM(J97:J117)</f>
        <v>164586.511</v>
      </c>
    </row>
    <row r="127" spans="3:10" ht="14">
      <c r="C127" s="87" t="s">
        <v>275</v>
      </c>
      <c r="D127" s="20" t="e">
        <f>+#REF!</f>
        <v>#REF!</v>
      </c>
      <c r="E127" s="20" t="e">
        <f>+#REF!</f>
        <v>#REF!</v>
      </c>
      <c r="F127" s="20" t="e">
        <f>+#REF!</f>
        <v>#REF!</v>
      </c>
      <c r="G127" s="20" t="e">
        <f>+#REF!</f>
        <v>#REF!</v>
      </c>
      <c r="H127" s="20"/>
      <c r="I127" s="20" t="e">
        <f>+#REF!</f>
        <v>#REF!</v>
      </c>
      <c r="J127" s="20" t="e">
        <f>+#REF!</f>
        <v>#REF!</v>
      </c>
    </row>
    <row r="130" spans="3:7">
      <c r="F130" s="50" t="e">
        <f>+#REF!/1000</f>
        <v>#REF!</v>
      </c>
    </row>
    <row r="131" spans="3:7">
      <c r="F131" s="50" t="e">
        <f>+F130-F126</f>
        <v>#REF!</v>
      </c>
    </row>
    <row r="133" spans="3:7">
      <c r="C133" s="84" t="s">
        <v>411</v>
      </c>
      <c r="E133" s="50" t="s">
        <v>411</v>
      </c>
    </row>
    <row r="134" spans="3:7">
      <c r="C134" s="372" t="s">
        <v>418</v>
      </c>
      <c r="D134" s="372"/>
      <c r="E134" s="50" t="s">
        <v>403</v>
      </c>
      <c r="G134" s="50" t="s">
        <v>434</v>
      </c>
    </row>
    <row r="147" spans="3:10">
      <c r="C147" s="372"/>
      <c r="D147" s="372"/>
      <c r="E147" s="372"/>
      <c r="F147" s="372"/>
      <c r="G147" s="372"/>
      <c r="H147" s="372"/>
      <c r="I147" s="372"/>
      <c r="J147" s="372"/>
    </row>
  </sheetData>
  <mergeCells count="26">
    <mergeCell ref="C6:J6"/>
    <mergeCell ref="C8:J8"/>
    <mergeCell ref="C10:J10"/>
    <mergeCell ref="C12:J12"/>
    <mergeCell ref="D95:D96"/>
    <mergeCell ref="E95:E96"/>
    <mergeCell ref="C13:J13"/>
    <mergeCell ref="F15:F16"/>
    <mergeCell ref="E15:E16"/>
    <mergeCell ref="C15:C16"/>
    <mergeCell ref="D15:D16"/>
    <mergeCell ref="G95:G96"/>
    <mergeCell ref="I15:J15"/>
    <mergeCell ref="G15:G16"/>
    <mergeCell ref="H15:H16"/>
    <mergeCell ref="H95:H96"/>
    <mergeCell ref="C86:J86"/>
    <mergeCell ref="C147:J147"/>
    <mergeCell ref="C134:D134"/>
    <mergeCell ref="F95:F96"/>
    <mergeCell ref="C95:C96"/>
    <mergeCell ref="I95:J95"/>
    <mergeCell ref="C88:J88"/>
    <mergeCell ref="C93:J93"/>
    <mergeCell ref="C92:J92"/>
    <mergeCell ref="C90:J90"/>
  </mergeCells>
  <phoneticPr fontId="4" type="noConversion"/>
  <pageMargins left="0.78740157480314965" right="0.35433070866141736" top="0.98425196850393704" bottom="0.19685039370078741" header="0.15748031496062992" footer="0"/>
  <pageSetup paperSize="9" scale="67" orientation="portrait" r:id="rId1"/>
  <headerFooter>
    <oddHeader>&amp;L
&amp;G</oddHeader>
  </headerFooter>
  <ignoredErrors>
    <ignoredError sqref="F21 F23 F27 F31 F33 I46" formula="1"/>
  </ignoredErrors>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F32"/>
  <sheetViews>
    <sheetView showGridLines="0" zoomScale="116" zoomScaleNormal="115" zoomScaleSheetLayoutView="115" zoomScalePageLayoutView="115" workbookViewId="0">
      <selection activeCell="H13" sqref="H13"/>
    </sheetView>
  </sheetViews>
  <sheetFormatPr baseColWidth="10" defaultColWidth="11.5" defaultRowHeight="13"/>
  <cols>
    <col min="1" max="1" width="11.5" style="254"/>
    <col min="2" max="2" width="5.83203125" style="254" customWidth="1"/>
    <col min="3" max="3" width="37.1640625" style="88" customWidth="1"/>
    <col min="4" max="5" width="20.83203125" style="88" customWidth="1"/>
    <col min="6" max="6" width="4.6640625" style="88" customWidth="1"/>
    <col min="7" max="16384" width="11.5" style="88"/>
  </cols>
  <sheetData>
    <row r="2" spans="2:6" hidden="1"/>
    <row r="3" spans="2:6" hidden="1"/>
    <row r="4" spans="2:6" ht="14" thickBot="1"/>
    <row r="5" spans="2:6" ht="14" thickTop="1">
      <c r="B5" s="268"/>
      <c r="C5" s="269"/>
      <c r="D5" s="269"/>
      <c r="E5" s="269"/>
      <c r="F5" s="270"/>
    </row>
    <row r="6" spans="2:6" s="90" customFormat="1" ht="16">
      <c r="B6" s="295"/>
      <c r="C6" s="383" t="s">
        <v>723</v>
      </c>
      <c r="D6" s="383"/>
      <c r="E6" s="383"/>
      <c r="F6" s="296"/>
    </row>
    <row r="7" spans="2:6" s="90" customFormat="1" ht="16">
      <c r="B7" s="295"/>
      <c r="C7" s="163"/>
      <c r="D7" s="163"/>
      <c r="E7" s="163"/>
      <c r="F7" s="296"/>
    </row>
    <row r="8" spans="2:6" s="90" customFormat="1" ht="16">
      <c r="B8" s="295"/>
      <c r="C8" s="383" t="s">
        <v>340</v>
      </c>
      <c r="D8" s="383"/>
      <c r="E8" s="383"/>
      <c r="F8" s="296"/>
    </row>
    <row r="9" spans="2:6" s="90" customFormat="1" ht="13.5" customHeight="1">
      <c r="B9" s="295"/>
      <c r="C9" s="163"/>
      <c r="D9" s="163"/>
      <c r="E9" s="163"/>
      <c r="F9" s="296"/>
    </row>
    <row r="10" spans="2:6" s="90" customFormat="1" ht="16">
      <c r="B10" s="295"/>
      <c r="C10" s="383" t="s">
        <v>4051</v>
      </c>
      <c r="D10" s="383"/>
      <c r="E10" s="383"/>
      <c r="F10" s="296"/>
    </row>
    <row r="11" spans="2:6" s="90" customFormat="1" ht="16">
      <c r="B11" s="295"/>
      <c r="C11" s="163"/>
      <c r="D11" s="163"/>
      <c r="E11" s="163"/>
      <c r="F11" s="296"/>
    </row>
    <row r="12" spans="2:6" s="90" customFormat="1" ht="16">
      <c r="B12" s="295"/>
      <c r="C12" s="383" t="s">
        <v>435</v>
      </c>
      <c r="D12" s="383"/>
      <c r="E12" s="383"/>
      <c r="F12" s="296"/>
    </row>
    <row r="13" spans="2:6" ht="16">
      <c r="B13" s="271"/>
      <c r="C13" s="167"/>
      <c r="D13" s="167"/>
      <c r="E13" s="167"/>
      <c r="F13" s="272"/>
    </row>
    <row r="14" spans="2:6" ht="16">
      <c r="B14" s="271"/>
      <c r="C14" s="433" t="s">
        <v>341</v>
      </c>
      <c r="D14" s="433" t="s">
        <v>342</v>
      </c>
      <c r="E14" s="433"/>
      <c r="F14" s="272"/>
    </row>
    <row r="15" spans="2:6" ht="16">
      <c r="B15" s="271"/>
      <c r="C15" s="433"/>
      <c r="D15" s="235" t="s">
        <v>4704</v>
      </c>
      <c r="E15" s="259" t="s">
        <v>1099</v>
      </c>
      <c r="F15" s="272"/>
    </row>
    <row r="16" spans="2:6" ht="16">
      <c r="B16" s="271"/>
      <c r="C16" s="266" t="s">
        <v>343</v>
      </c>
      <c r="D16" s="236">
        <f>+EERR!E15</f>
        <v>84774257</v>
      </c>
      <c r="E16" s="218">
        <f>+EERR!G15</f>
        <v>97451251</v>
      </c>
      <c r="F16" s="272"/>
    </row>
    <row r="17" spans="2:6" ht="16">
      <c r="B17" s="271"/>
      <c r="C17" s="266" t="s">
        <v>344</v>
      </c>
      <c r="D17" s="236">
        <v>61</v>
      </c>
      <c r="E17" s="218">
        <v>54</v>
      </c>
      <c r="F17" s="272"/>
    </row>
    <row r="18" spans="2:6" ht="16">
      <c r="B18" s="271"/>
      <c r="C18" s="266" t="s">
        <v>345</v>
      </c>
      <c r="D18" s="236">
        <f>(39852217+1923094+6426279+4874288+13145109+491644+2042448+1791914)/1000</f>
        <v>70546.993000000002</v>
      </c>
      <c r="E18" s="218">
        <v>63020</v>
      </c>
      <c r="F18" s="272"/>
    </row>
    <row r="19" spans="2:6" ht="16">
      <c r="B19" s="271"/>
      <c r="C19" s="266" t="s">
        <v>346</v>
      </c>
      <c r="D19" s="236">
        <v>2</v>
      </c>
      <c r="E19" s="218">
        <v>2</v>
      </c>
      <c r="F19" s="272"/>
    </row>
    <row r="20" spans="2:6" ht="16">
      <c r="B20" s="271"/>
      <c r="C20" s="266" t="s">
        <v>347</v>
      </c>
      <c r="D20" s="236">
        <f>+BG!E14+BG!E21</f>
        <v>61584665</v>
      </c>
      <c r="E20" s="218">
        <v>59618700</v>
      </c>
      <c r="F20" s="272"/>
    </row>
    <row r="21" spans="2:6" ht="16">
      <c r="B21" s="271"/>
      <c r="C21" s="266" t="s">
        <v>348</v>
      </c>
      <c r="D21" s="236">
        <v>1075</v>
      </c>
      <c r="E21" s="218">
        <v>1078</v>
      </c>
      <c r="F21" s="272"/>
    </row>
    <row r="22" spans="2:6" ht="16">
      <c r="B22" s="271"/>
      <c r="C22" s="266" t="s">
        <v>349</v>
      </c>
      <c r="D22" s="236">
        <v>504</v>
      </c>
      <c r="E22" s="218">
        <v>620</v>
      </c>
      <c r="F22" s="272"/>
    </row>
    <row r="23" spans="2:6" ht="16">
      <c r="B23" s="271"/>
      <c r="C23" s="266" t="s">
        <v>350</v>
      </c>
      <c r="D23" s="236">
        <f>+BG!E16</f>
        <v>21087498</v>
      </c>
      <c r="E23" s="218">
        <v>31160416</v>
      </c>
      <c r="F23" s="272"/>
    </row>
    <row r="24" spans="2:6" ht="25.5" customHeight="1" thickBot="1">
      <c r="B24" s="292"/>
      <c r="C24" s="280"/>
      <c r="D24" s="280"/>
      <c r="E24" s="280"/>
      <c r="F24" s="293"/>
    </row>
    <row r="25" spans="2:6" ht="25.5" customHeight="1" thickTop="1">
      <c r="C25" s="165"/>
      <c r="D25" s="165"/>
      <c r="E25" s="165"/>
    </row>
    <row r="26" spans="2:6" ht="25.5" customHeight="1">
      <c r="C26" s="165"/>
      <c r="D26" s="165"/>
      <c r="E26" s="165"/>
    </row>
    <row r="27" spans="2:6" ht="16">
      <c r="C27" s="165"/>
      <c r="D27" s="165"/>
      <c r="E27" s="165"/>
    </row>
    <row r="28" spans="2:6" ht="16">
      <c r="C28" s="165"/>
      <c r="D28" s="165"/>
      <c r="E28" s="165"/>
    </row>
    <row r="29" spans="2:6" ht="16">
      <c r="C29" s="165"/>
      <c r="D29" s="165"/>
      <c r="E29" s="165"/>
    </row>
    <row r="30" spans="2:6" ht="16">
      <c r="C30" s="165"/>
      <c r="D30" s="165"/>
      <c r="E30" s="165"/>
    </row>
    <row r="31" spans="2:6" ht="16">
      <c r="C31" s="165"/>
      <c r="D31" s="165"/>
      <c r="E31" s="165"/>
    </row>
    <row r="32" spans="2:6" ht="16">
      <c r="C32" s="165"/>
      <c r="D32" s="165"/>
      <c r="E32" s="165"/>
    </row>
  </sheetData>
  <mergeCells count="6">
    <mergeCell ref="C6:E6"/>
    <mergeCell ref="C8:E8"/>
    <mergeCell ref="C10:E10"/>
    <mergeCell ref="C12:E12"/>
    <mergeCell ref="C14:C15"/>
    <mergeCell ref="D14:E14"/>
  </mergeCells>
  <phoneticPr fontId="4" type="noConversion"/>
  <printOptions horizontalCentered="1"/>
  <pageMargins left="0.78740157480314965" right="0.19685039370078741" top="1.3779527559055118" bottom="0.19685039370078741" header="0" footer="0"/>
  <pageSetup paperSize="9" scale="85" orientation="portrait" r:id="rId1"/>
  <headerFooter>
    <oddHeader>&amp;L
&amp;G</oddHead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J67"/>
  <sheetViews>
    <sheetView showGridLines="0" zoomScaleNormal="100" zoomScaleSheetLayoutView="100" workbookViewId="0">
      <selection activeCell="K15" sqref="K15"/>
    </sheetView>
  </sheetViews>
  <sheetFormatPr baseColWidth="10" defaultColWidth="11.5" defaultRowHeight="13"/>
  <cols>
    <col min="1" max="1" width="11.5" style="254"/>
    <col min="2" max="2" width="3.6640625" style="88" customWidth="1"/>
    <col min="3" max="3" width="15.83203125" style="88" customWidth="1"/>
    <col min="4" max="5" width="11.5" style="88"/>
    <col min="6" max="6" width="14.1640625" style="88" bestFit="1" customWidth="1"/>
    <col min="7" max="7" width="14.6640625" style="88" customWidth="1"/>
    <col min="8" max="8" width="14.83203125" style="88" customWidth="1"/>
    <col min="9" max="9" width="4.6640625" style="88" customWidth="1"/>
    <col min="10" max="16384" width="11.5" style="88"/>
  </cols>
  <sheetData>
    <row r="2" spans="2:9" ht="14" thickBot="1"/>
    <row r="3" spans="2:9" ht="14" thickTop="1">
      <c r="B3" s="268"/>
      <c r="C3" s="269"/>
      <c r="D3" s="269"/>
      <c r="E3" s="269"/>
      <c r="F3" s="269"/>
      <c r="G3" s="269"/>
      <c r="H3" s="269"/>
      <c r="I3" s="270"/>
    </row>
    <row r="4" spans="2:9" ht="16">
      <c r="B4" s="275"/>
      <c r="C4" s="167"/>
      <c r="D4" s="167"/>
      <c r="E4" s="167"/>
      <c r="F4" s="167"/>
      <c r="G4" s="167"/>
      <c r="H4" s="167"/>
      <c r="I4" s="272"/>
    </row>
    <row r="5" spans="2:9" s="90" customFormat="1" ht="16">
      <c r="B5" s="283"/>
      <c r="C5" s="383" t="s">
        <v>723</v>
      </c>
      <c r="D5" s="383"/>
      <c r="E5" s="383"/>
      <c r="F5" s="383"/>
      <c r="G5" s="383"/>
      <c r="H5" s="383"/>
      <c r="I5" s="296"/>
    </row>
    <row r="6" spans="2:9" s="90" customFormat="1" ht="16">
      <c r="B6" s="273"/>
      <c r="C6" s="163"/>
      <c r="D6" s="163"/>
      <c r="E6" s="163"/>
      <c r="F6" s="163"/>
      <c r="G6" s="163"/>
      <c r="H6" s="163"/>
      <c r="I6" s="296"/>
    </row>
    <row r="7" spans="2:9" s="90" customFormat="1" ht="16">
      <c r="B7" s="273"/>
      <c r="C7" s="163"/>
      <c r="D7" s="163"/>
      <c r="E7" s="163"/>
      <c r="F7" s="163"/>
      <c r="G7" s="163"/>
      <c r="H7" s="163" t="s">
        <v>351</v>
      </c>
      <c r="I7" s="296"/>
    </row>
    <row r="8" spans="2:9" s="90" customFormat="1" ht="16">
      <c r="B8" s="283"/>
      <c r="C8" s="383" t="s">
        <v>4051</v>
      </c>
      <c r="D8" s="383"/>
      <c r="E8" s="383"/>
      <c r="F8" s="383"/>
      <c r="G8" s="383"/>
      <c r="H8" s="383"/>
      <c r="I8" s="296"/>
    </row>
    <row r="9" spans="2:9" s="90" customFormat="1" ht="16">
      <c r="B9" s="283" t="s">
        <v>434</v>
      </c>
      <c r="C9" s="552"/>
      <c r="D9" s="552"/>
      <c r="E9" s="552"/>
      <c r="F9" s="552"/>
      <c r="G9" s="552"/>
      <c r="H9" s="552"/>
      <c r="I9" s="296"/>
    </row>
    <row r="10" spans="2:9" s="90" customFormat="1" ht="16">
      <c r="B10" s="273"/>
      <c r="C10" s="163"/>
      <c r="D10" s="163"/>
      <c r="E10" s="163"/>
      <c r="F10" s="163"/>
      <c r="G10" s="163"/>
      <c r="H10" s="163"/>
      <c r="I10" s="296"/>
    </row>
    <row r="11" spans="2:9" s="90" customFormat="1" ht="16">
      <c r="B11" s="283"/>
      <c r="C11" s="383" t="s">
        <v>352</v>
      </c>
      <c r="D11" s="383"/>
      <c r="E11" s="383"/>
      <c r="F11" s="383"/>
      <c r="G11" s="383"/>
      <c r="H11" s="383"/>
      <c r="I11" s="296"/>
    </row>
    <row r="12" spans="2:9" ht="16">
      <c r="B12" s="275"/>
      <c r="C12" s="167"/>
      <c r="D12" s="167"/>
      <c r="E12" s="167"/>
      <c r="F12" s="167"/>
      <c r="G12" s="167"/>
      <c r="H12" s="167"/>
      <c r="I12" s="272"/>
    </row>
    <row r="13" spans="2:9" ht="16">
      <c r="B13" s="275"/>
      <c r="C13" s="433" t="s">
        <v>353</v>
      </c>
      <c r="D13" s="433"/>
      <c r="E13" s="430" t="s">
        <v>342</v>
      </c>
      <c r="F13" s="430"/>
      <c r="G13" s="430"/>
      <c r="H13" s="430"/>
      <c r="I13" s="272"/>
    </row>
    <row r="14" spans="2:9" ht="16">
      <c r="B14" s="275"/>
      <c r="C14" s="433"/>
      <c r="D14" s="433"/>
      <c r="E14" s="428" t="s">
        <v>4704</v>
      </c>
      <c r="F14" s="429"/>
      <c r="G14" s="428" t="s">
        <v>1099</v>
      </c>
      <c r="H14" s="429"/>
      <c r="I14" s="272" t="s">
        <v>434</v>
      </c>
    </row>
    <row r="15" spans="2:9" ht="16">
      <c r="B15" s="275"/>
      <c r="C15" s="476" t="s">
        <v>354</v>
      </c>
      <c r="D15" s="476"/>
      <c r="E15" s="475">
        <f>+G52</f>
        <v>0.86105854848451113</v>
      </c>
      <c r="F15" s="475"/>
      <c r="G15" s="475">
        <f>+I52</f>
        <v>1.1500537917932894</v>
      </c>
      <c r="H15" s="475"/>
      <c r="I15" s="272"/>
    </row>
    <row r="16" spans="2:9" ht="16">
      <c r="B16" s="275"/>
      <c r="C16" s="476" t="s">
        <v>355</v>
      </c>
      <c r="D16" s="476"/>
      <c r="E16" s="475">
        <f>+G56</f>
        <v>2.3056631772045555</v>
      </c>
      <c r="F16" s="475"/>
      <c r="G16" s="475">
        <f>+I56</f>
        <v>2.4140857788526304</v>
      </c>
      <c r="H16" s="475"/>
      <c r="I16" s="272"/>
    </row>
    <row r="17" spans="2:10" ht="16">
      <c r="B17" s="275"/>
      <c r="C17" s="476" t="s">
        <v>356</v>
      </c>
      <c r="D17" s="476"/>
      <c r="E17" s="475">
        <f>+G61</f>
        <v>1.0198536860257986E-2</v>
      </c>
      <c r="F17" s="475"/>
      <c r="G17" s="475">
        <f>+I61</f>
        <v>2.4461622963093475E-2</v>
      </c>
      <c r="H17" s="475"/>
      <c r="I17" s="272"/>
      <c r="J17" s="22" t="s">
        <v>902</v>
      </c>
    </row>
    <row r="18" spans="2:10" ht="21.75" customHeight="1" thickBot="1">
      <c r="B18" s="279"/>
      <c r="C18" s="280"/>
      <c r="D18" s="280"/>
      <c r="E18" s="280"/>
      <c r="F18" s="280"/>
      <c r="G18" s="280"/>
      <c r="H18" s="280"/>
      <c r="I18" s="293"/>
    </row>
    <row r="19" spans="2:10" ht="21.75" customHeight="1" thickTop="1">
      <c r="B19" s="165"/>
      <c r="C19" s="165"/>
      <c r="D19" s="165"/>
      <c r="E19" s="165"/>
      <c r="F19" s="165"/>
      <c r="G19" s="165"/>
      <c r="H19" s="165"/>
    </row>
    <row r="20" spans="2:10" ht="21.75" customHeight="1">
      <c r="B20" s="165"/>
      <c r="C20" s="165"/>
      <c r="D20" s="165"/>
      <c r="E20" s="165"/>
      <c r="F20" s="165"/>
      <c r="G20" s="165"/>
      <c r="H20" s="165"/>
    </row>
    <row r="21" spans="2:10" ht="21.75" customHeight="1">
      <c r="B21" s="165"/>
      <c r="C21" s="165"/>
      <c r="D21" s="165"/>
      <c r="E21" s="165"/>
      <c r="F21" s="165"/>
      <c r="G21" s="165"/>
      <c r="H21" s="165"/>
    </row>
    <row r="22" spans="2:10" ht="21.75" customHeight="1">
      <c r="B22" s="165"/>
      <c r="C22" s="165"/>
      <c r="D22" s="165"/>
      <c r="E22" s="165"/>
      <c r="F22" s="165"/>
      <c r="G22" s="165"/>
      <c r="H22" s="165"/>
    </row>
    <row r="23" spans="2:10" ht="21.75" customHeight="1">
      <c r="B23" s="165"/>
      <c r="C23" s="165"/>
      <c r="D23" s="165"/>
      <c r="E23" s="165"/>
      <c r="F23" s="165"/>
      <c r="G23" s="165"/>
      <c r="H23" s="165"/>
    </row>
    <row r="24" spans="2:10" ht="21.75" customHeight="1"/>
    <row r="25" spans="2:10" ht="21.75" customHeight="1"/>
    <row r="26" spans="2:10" ht="21.75" customHeight="1"/>
    <row r="27" spans="2:10" ht="21.75" customHeight="1"/>
    <row r="28" spans="2:10" ht="21.75" customHeight="1"/>
    <row r="29" spans="2:10" ht="21.75" customHeight="1"/>
    <row r="30" spans="2:10" ht="21.75" customHeight="1"/>
    <row r="31" spans="2:10" ht="21.75" customHeight="1"/>
    <row r="32" spans="2:10" ht="21.75" customHeight="1"/>
    <row r="33" spans="9:9" ht="21.75" customHeight="1"/>
    <row r="34" spans="9:9" ht="21.75" customHeight="1"/>
    <row r="35" spans="9:9" ht="21.75" customHeight="1"/>
    <row r="36" spans="9:9" ht="21.75" customHeight="1"/>
    <row r="37" spans="9:9" ht="21.75" customHeight="1"/>
    <row r="38" spans="9:9" ht="21.75" customHeight="1"/>
    <row r="39" spans="9:9" ht="21.75" customHeight="1"/>
    <row r="40" spans="9:9" ht="21.75" customHeight="1"/>
    <row r="41" spans="9:9" ht="21.75" customHeight="1"/>
    <row r="42" spans="9:9" ht="21.75" customHeight="1"/>
    <row r="43" spans="9:9" ht="21.75" customHeight="1"/>
    <row r="44" spans="9:9" ht="21.75" customHeight="1"/>
    <row r="45" spans="9:9">
      <c r="I45" s="88">
        <v>27</v>
      </c>
    </row>
    <row r="49" spans="1:9" ht="14" thickBot="1"/>
    <row r="50" spans="1:9" s="22" customFormat="1" ht="14" thickBot="1">
      <c r="A50" s="264"/>
      <c r="C50" s="477" t="s">
        <v>4704</v>
      </c>
      <c r="D50" s="477"/>
      <c r="E50" s="477"/>
      <c r="F50" s="477"/>
      <c r="G50" s="477"/>
      <c r="H50" s="477" t="s">
        <v>1099</v>
      </c>
      <c r="I50" s="477"/>
    </row>
    <row r="51" spans="1:9" s="22" customFormat="1">
      <c r="A51" s="264"/>
    </row>
    <row r="52" spans="1:9" s="22" customFormat="1" ht="14" thickBot="1">
      <c r="A52" s="264"/>
      <c r="C52" s="22" t="s">
        <v>354</v>
      </c>
      <c r="D52" s="22" t="s">
        <v>429</v>
      </c>
      <c r="F52" s="94">
        <f>+BG!E18</f>
        <v>64815062</v>
      </c>
      <c r="G52" s="94">
        <f>+F52/F53</f>
        <v>0.86105854848451113</v>
      </c>
      <c r="H52" s="94">
        <f>+BG!G18</f>
        <v>83046872.475000009</v>
      </c>
      <c r="I52" s="94">
        <f>+H52/H53</f>
        <v>1.1500537917932894</v>
      </c>
    </row>
    <row r="53" spans="1:9" s="22" customFormat="1">
      <c r="A53" s="264"/>
      <c r="D53" s="22" t="s">
        <v>430</v>
      </c>
      <c r="F53" s="94">
        <f>+BG!N18</f>
        <v>75273699</v>
      </c>
      <c r="G53" s="94"/>
      <c r="H53" s="94">
        <f>+BG!P18</f>
        <v>72211294</v>
      </c>
      <c r="I53" s="94"/>
    </row>
    <row r="54" spans="1:9" s="22" customFormat="1">
      <c r="A54" s="264"/>
      <c r="F54" s="94"/>
      <c r="G54" s="94"/>
      <c r="H54" s="94"/>
      <c r="I54" s="94"/>
    </row>
    <row r="55" spans="1:9" s="22" customFormat="1">
      <c r="A55" s="264"/>
      <c r="F55" s="94"/>
      <c r="G55" s="94"/>
      <c r="H55" s="94"/>
      <c r="I55" s="94"/>
    </row>
    <row r="56" spans="1:9" s="22" customFormat="1" ht="14" thickBot="1">
      <c r="A56" s="264"/>
      <c r="C56" s="22" t="s">
        <v>355</v>
      </c>
      <c r="D56" s="22" t="s">
        <v>388</v>
      </c>
      <c r="F56" s="94">
        <f>+BG!N18+BG!N27</f>
        <v>109733227</v>
      </c>
      <c r="G56" s="94">
        <f>+F56/F57</f>
        <v>2.3056631772045555</v>
      </c>
      <c r="H56" s="94">
        <f>+BG!P18+BG!P27</f>
        <v>112653815</v>
      </c>
      <c r="I56" s="94">
        <f>+H56/H57</f>
        <v>2.4140857788526304</v>
      </c>
    </row>
    <row r="57" spans="1:9" s="22" customFormat="1">
      <c r="A57" s="264"/>
      <c r="D57" s="22" t="s">
        <v>431</v>
      </c>
      <c r="F57" s="94">
        <f>+BG!N35</f>
        <v>47592913</v>
      </c>
      <c r="G57" s="94"/>
      <c r="H57" s="94">
        <f>+BG!P35</f>
        <v>46665208</v>
      </c>
      <c r="I57" s="94"/>
    </row>
    <row r="58" spans="1:9" s="22" customFormat="1">
      <c r="A58" s="264"/>
      <c r="F58" s="94"/>
      <c r="G58" s="94"/>
      <c r="H58" s="94"/>
      <c r="I58" s="94"/>
    </row>
    <row r="59" spans="1:9" s="22" customFormat="1">
      <c r="A59" s="264"/>
      <c r="F59" s="94"/>
      <c r="G59" s="94"/>
      <c r="H59" s="94"/>
      <c r="I59" s="94"/>
    </row>
    <row r="60" spans="1:9" s="22" customFormat="1">
      <c r="A60" s="264"/>
      <c r="C60" s="22" t="s">
        <v>356</v>
      </c>
      <c r="D60" s="22" t="s">
        <v>432</v>
      </c>
      <c r="F60" s="94"/>
      <c r="G60" s="94"/>
      <c r="H60" s="94"/>
      <c r="I60" s="94"/>
    </row>
    <row r="61" spans="1:9" s="22" customFormat="1" ht="14" thickBot="1">
      <c r="A61" s="264"/>
      <c r="D61" s="22" t="s">
        <v>337</v>
      </c>
      <c r="F61" s="94">
        <f>+EERR!E37-EERR!E35</f>
        <v>481035</v>
      </c>
      <c r="G61" s="94">
        <f>+F61/F62</f>
        <v>1.0198536860257986E-2</v>
      </c>
      <c r="H61" s="94">
        <f>(COMPARATIVO!AH404+COMPARATIVO!AH377)/1000</f>
        <v>1118756.2890000001</v>
      </c>
      <c r="I61" s="94">
        <f>+H61/H62</f>
        <v>2.4461622963093475E-2</v>
      </c>
    </row>
    <row r="62" spans="1:9" s="22" customFormat="1">
      <c r="A62" s="264"/>
      <c r="D62" s="22" t="s">
        <v>433</v>
      </c>
      <c r="F62" s="94">
        <f>+BG!N35-BG!N34</f>
        <v>47167060</v>
      </c>
      <c r="G62" s="94"/>
      <c r="H62" s="94">
        <f>+BG!P35-BG!P34</f>
        <v>45735162</v>
      </c>
      <c r="I62" s="94"/>
    </row>
    <row r="63" spans="1:9" s="22" customFormat="1">
      <c r="A63" s="264"/>
      <c r="F63" s="94"/>
      <c r="G63" s="94"/>
      <c r="H63" s="94"/>
      <c r="I63" s="94"/>
    </row>
    <row r="64" spans="1:9" s="22" customFormat="1">
      <c r="A64" s="264"/>
      <c r="F64" s="95">
        <f>+F57-F62</f>
        <v>425853</v>
      </c>
      <c r="H64" s="95">
        <f>+H57-H62</f>
        <v>930046</v>
      </c>
    </row>
    <row r="65" spans="1:8" s="22" customFormat="1">
      <c r="A65" s="264"/>
      <c r="F65" s="95"/>
    </row>
    <row r="66" spans="1:8" s="22" customFormat="1">
      <c r="A66" s="264"/>
      <c r="F66" s="95"/>
      <c r="H66" s="95"/>
    </row>
    <row r="67" spans="1:8" s="22" customFormat="1">
      <c r="A67" s="264"/>
    </row>
  </sheetData>
  <mergeCells count="18">
    <mergeCell ref="E16:F16"/>
    <mergeCell ref="G16:H16"/>
    <mergeCell ref="C50:G50"/>
    <mergeCell ref="H50:I50"/>
    <mergeCell ref="E17:F17"/>
    <mergeCell ref="G17:H17"/>
    <mergeCell ref="C16:D16"/>
    <mergeCell ref="C17:D17"/>
    <mergeCell ref="C5:H5"/>
    <mergeCell ref="C8:H8"/>
    <mergeCell ref="C11:H11"/>
    <mergeCell ref="E13:H13"/>
    <mergeCell ref="E15:F15"/>
    <mergeCell ref="G15:H15"/>
    <mergeCell ref="C13:D14"/>
    <mergeCell ref="E14:F14"/>
    <mergeCell ref="G14:H14"/>
    <mergeCell ref="C15:D15"/>
  </mergeCells>
  <phoneticPr fontId="4" type="noConversion"/>
  <printOptions horizontalCentered="1"/>
  <pageMargins left="0.78740157480314965" right="0.19685039370078741" top="1.3779527559055118" bottom="0" header="0" footer="0"/>
  <pageSetup paperSize="9" scale="85" orientation="portrait" r:id="rId1"/>
  <headerFooter>
    <oddHeader>&amp;L
&amp;G</oddHeader>
  </headerFooter>
  <colBreaks count="1" manualBreakCount="1">
    <brk id="9" max="2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95"/>
  <sheetViews>
    <sheetView showGridLines="0" topLeftCell="A3" zoomScale="83" zoomScaleNormal="100" zoomScaleSheetLayoutView="95" zoomScalePageLayoutView="150" workbookViewId="0">
      <selection activeCell="V25" sqref="V25"/>
    </sheetView>
  </sheetViews>
  <sheetFormatPr baseColWidth="10" defaultColWidth="11.5" defaultRowHeight="13"/>
  <cols>
    <col min="1" max="1" width="11.5" style="241"/>
    <col min="2" max="2" width="2.83203125" style="1" customWidth="1"/>
    <col min="3" max="3" width="32.5" style="1" customWidth="1"/>
    <col min="4" max="4" width="8.6640625" style="1" customWidth="1"/>
    <col min="5" max="5" width="14.6640625" style="1" customWidth="1"/>
    <col min="6" max="6" width="1.5" style="1" customWidth="1"/>
    <col min="7" max="7" width="14.6640625" style="1" customWidth="1"/>
    <col min="8" max="8" width="1.5" style="1" customWidth="1"/>
    <col min="9" max="9" width="14.5" style="1" hidden="1" customWidth="1"/>
    <col min="10" max="10" width="1.5" style="1" customWidth="1"/>
    <col min="11" max="11" width="0.83203125" style="1" customWidth="1"/>
    <col min="12" max="12" width="32.5" style="1" customWidth="1"/>
    <col min="13" max="13" width="6.1640625" style="1" customWidth="1"/>
    <col min="14" max="14" width="14.6640625" style="1" customWidth="1"/>
    <col min="15" max="15" width="1.6640625" style="1" customWidth="1"/>
    <col min="16" max="16" width="14.6640625" style="1" customWidth="1"/>
    <col min="17" max="17" width="3.5" style="1" customWidth="1"/>
    <col min="18" max="18" width="18.5" style="1" hidden="1" customWidth="1"/>
    <col min="19" max="19" width="2.5" style="1" customWidth="1"/>
    <col min="20" max="20" width="3.5" style="1" customWidth="1"/>
    <col min="21" max="21" width="3" style="1" customWidth="1"/>
    <col min="22" max="22" width="12" style="1" bestFit="1" customWidth="1"/>
    <col min="23" max="16384" width="11.5" style="1"/>
  </cols>
  <sheetData>
    <row r="2" spans="1:22" ht="14" thickBot="1"/>
    <row r="3" spans="1:22" ht="14" thickTop="1">
      <c r="B3" s="268"/>
      <c r="C3" s="269"/>
      <c r="D3" s="269"/>
      <c r="E3" s="269"/>
      <c r="F3" s="269"/>
      <c r="G3" s="269"/>
      <c r="H3" s="269"/>
      <c r="I3" s="269"/>
      <c r="J3" s="269"/>
      <c r="K3" s="269"/>
      <c r="L3" s="269"/>
      <c r="M3" s="269"/>
      <c r="N3" s="269"/>
      <c r="O3" s="269"/>
      <c r="P3" s="269"/>
      <c r="Q3" s="269"/>
      <c r="R3" s="269"/>
      <c r="S3" s="269"/>
      <c r="T3" s="270"/>
    </row>
    <row r="4" spans="1:22">
      <c r="B4" s="271"/>
      <c r="C4" s="250"/>
      <c r="D4" s="250"/>
      <c r="E4" s="250"/>
      <c r="F4" s="250"/>
      <c r="G4" s="250"/>
      <c r="H4" s="250"/>
      <c r="I4" s="250"/>
      <c r="J4" s="250"/>
      <c r="K4" s="250"/>
      <c r="L4" s="250"/>
      <c r="M4" s="250"/>
      <c r="N4" s="250"/>
      <c r="O4" s="250"/>
      <c r="P4" s="250"/>
      <c r="Q4" s="250"/>
      <c r="R4" s="250"/>
      <c r="S4" s="250"/>
      <c r="T4" s="272"/>
    </row>
    <row r="5" spans="1:22" ht="18">
      <c r="B5" s="373" t="s">
        <v>723</v>
      </c>
      <c r="C5" s="374"/>
      <c r="D5" s="374"/>
      <c r="E5" s="374"/>
      <c r="F5" s="374"/>
      <c r="G5" s="374"/>
      <c r="H5" s="374"/>
      <c r="I5" s="374"/>
      <c r="J5" s="374"/>
      <c r="K5" s="374"/>
      <c r="L5" s="374"/>
      <c r="M5" s="374"/>
      <c r="N5" s="374"/>
      <c r="O5" s="374"/>
      <c r="P5" s="374"/>
      <c r="Q5" s="374"/>
      <c r="R5" s="374"/>
      <c r="S5" s="374"/>
      <c r="T5" s="375"/>
    </row>
    <row r="6" spans="1:22">
      <c r="B6" s="271" t="s">
        <v>434</v>
      </c>
      <c r="C6" s="250"/>
      <c r="D6" s="250"/>
      <c r="E6" s="250"/>
      <c r="F6" s="250"/>
      <c r="G6" s="250"/>
      <c r="H6" s="250"/>
      <c r="I6" s="250"/>
      <c r="J6" s="250"/>
      <c r="K6" s="250"/>
      <c r="L6" s="250"/>
      <c r="M6" s="250"/>
      <c r="N6" s="250"/>
      <c r="O6" s="250"/>
      <c r="P6" s="250"/>
      <c r="Q6" s="250"/>
      <c r="R6" s="250"/>
      <c r="S6" s="250"/>
      <c r="T6" s="272"/>
    </row>
    <row r="7" spans="1:22" ht="18">
      <c r="B7" s="373" t="s">
        <v>4017</v>
      </c>
      <c r="C7" s="374"/>
      <c r="D7" s="374"/>
      <c r="E7" s="374"/>
      <c r="F7" s="374"/>
      <c r="G7" s="374"/>
      <c r="H7" s="374"/>
      <c r="I7" s="374"/>
      <c r="J7" s="374"/>
      <c r="K7" s="374"/>
      <c r="L7" s="374"/>
      <c r="M7" s="374"/>
      <c r="N7" s="374"/>
      <c r="O7" s="374"/>
      <c r="P7" s="374"/>
      <c r="Q7" s="374"/>
      <c r="R7" s="374"/>
      <c r="S7" s="374"/>
      <c r="T7" s="375"/>
    </row>
    <row r="8" spans="1:22" ht="20.25" customHeight="1">
      <c r="B8" s="376" t="s">
        <v>387</v>
      </c>
      <c r="C8" s="377"/>
      <c r="D8" s="377"/>
      <c r="E8" s="377"/>
      <c r="F8" s="377"/>
      <c r="G8" s="377"/>
      <c r="H8" s="377"/>
      <c r="I8" s="377"/>
      <c r="J8" s="377"/>
      <c r="K8" s="377"/>
      <c r="L8" s="377"/>
      <c r="M8" s="377"/>
      <c r="N8" s="377"/>
      <c r="O8" s="377"/>
      <c r="P8" s="377"/>
      <c r="Q8" s="377"/>
      <c r="R8" s="377"/>
      <c r="S8" s="377"/>
      <c r="T8" s="378"/>
    </row>
    <row r="9" spans="1:22" ht="14" thickBot="1">
      <c r="B9" s="271"/>
      <c r="C9" s="250"/>
      <c r="D9" s="250"/>
      <c r="E9" s="250"/>
      <c r="F9" s="250"/>
      <c r="G9" s="250"/>
      <c r="H9" s="250"/>
      <c r="I9" s="250"/>
      <c r="J9" s="250"/>
      <c r="K9" s="250"/>
      <c r="L9" s="250"/>
      <c r="M9" s="250"/>
      <c r="N9" s="250"/>
      <c r="O9" s="250"/>
      <c r="P9" s="250"/>
      <c r="Q9" s="250"/>
      <c r="R9" s="250"/>
      <c r="S9" s="250"/>
      <c r="T9" s="272"/>
    </row>
    <row r="10" spans="1:22" s="110" customFormat="1" ht="16">
      <c r="B10" s="273"/>
      <c r="C10" s="159" t="s">
        <v>169</v>
      </c>
      <c r="D10" s="160"/>
      <c r="E10" s="160"/>
      <c r="F10" s="160"/>
      <c r="G10" s="160"/>
      <c r="H10" s="160"/>
      <c r="I10" s="160"/>
      <c r="J10" s="160"/>
      <c r="K10" s="160"/>
      <c r="L10" s="159" t="s">
        <v>185</v>
      </c>
      <c r="M10" s="160"/>
      <c r="N10" s="160"/>
      <c r="O10" s="160"/>
      <c r="P10" s="160"/>
      <c r="Q10" s="161"/>
      <c r="R10" s="163"/>
      <c r="S10" s="163"/>
      <c r="T10" s="274"/>
    </row>
    <row r="11" spans="1:22" s="110" customFormat="1" ht="16">
      <c r="B11" s="273"/>
      <c r="C11" s="162" t="s">
        <v>186</v>
      </c>
      <c r="D11" s="176" t="s">
        <v>842</v>
      </c>
      <c r="E11" s="240">
        <v>43830</v>
      </c>
      <c r="F11" s="240"/>
      <c r="G11" s="240">
        <v>43465</v>
      </c>
      <c r="H11" s="163"/>
      <c r="I11" s="163">
        <v>39994</v>
      </c>
      <c r="J11" s="163"/>
      <c r="K11" s="163"/>
      <c r="L11" s="162" t="s">
        <v>187</v>
      </c>
      <c r="M11" s="176" t="s">
        <v>842</v>
      </c>
      <c r="N11" s="240">
        <v>43830</v>
      </c>
      <c r="O11" s="240"/>
      <c r="P11" s="240">
        <v>43465</v>
      </c>
      <c r="Q11" s="164"/>
      <c r="R11" s="163">
        <v>39994</v>
      </c>
      <c r="S11" s="163"/>
      <c r="T11" s="274"/>
    </row>
    <row r="12" spans="1:22" s="165" customFormat="1" ht="16">
      <c r="A12" s="252"/>
      <c r="B12" s="275"/>
      <c r="C12" s="166"/>
      <c r="D12" s="177"/>
      <c r="E12" s="167"/>
      <c r="F12" s="167"/>
      <c r="G12" s="167"/>
      <c r="H12" s="167"/>
      <c r="I12" s="167"/>
      <c r="J12" s="167"/>
      <c r="K12" s="167"/>
      <c r="L12" s="166"/>
      <c r="M12" s="177"/>
      <c r="N12" s="167"/>
      <c r="O12" s="167"/>
      <c r="P12" s="167"/>
      <c r="Q12" s="168"/>
      <c r="R12" s="167"/>
      <c r="S12" s="167"/>
      <c r="T12" s="276"/>
    </row>
    <row r="13" spans="1:22" s="165" customFormat="1" ht="16">
      <c r="A13" s="252"/>
      <c r="B13" s="275"/>
      <c r="C13" s="166" t="s">
        <v>740</v>
      </c>
      <c r="D13" s="176">
        <v>3</v>
      </c>
      <c r="E13" s="169">
        <f>+ROUND(SUMIF(COMPARATIVO!E:E,C13,COMPARATIVO!AP:AP)/1000,0)</f>
        <v>5446050</v>
      </c>
      <c r="F13" s="169"/>
      <c r="G13" s="169">
        <f>SUMIF(COMPARATIVO!E:E,C13,COMPARATIVO!AH:AH)/1000</f>
        <v>5087562.0369999995</v>
      </c>
      <c r="H13" s="167"/>
      <c r="I13" s="167" t="e">
        <f>+#REF!/1000</f>
        <v>#REF!</v>
      </c>
      <c r="J13" s="167"/>
      <c r="K13" s="167"/>
      <c r="L13" s="166" t="s">
        <v>742</v>
      </c>
      <c r="M13" s="176">
        <v>7</v>
      </c>
      <c r="N13" s="169">
        <f>ROUND(SUMIF(COMPARATIVO!E:E,L13,COMPARATIVO!AP:AP)/1000,0)</f>
        <v>11535746</v>
      </c>
      <c r="O13" s="167"/>
      <c r="P13" s="169">
        <f>ROUND(SUMIF(COMPARATIVO!E:E,L13,COMPARATIVO!AH:AH)/1000,0)-1</f>
        <v>13417665</v>
      </c>
      <c r="Q13" s="168"/>
      <c r="R13" s="167" t="e">
        <f>+#REF!/1000</f>
        <v>#REF!</v>
      </c>
      <c r="S13" s="167"/>
      <c r="T13" s="276"/>
    </row>
    <row r="14" spans="1:22" s="165" customFormat="1" ht="16">
      <c r="A14" s="252"/>
      <c r="B14" s="275"/>
      <c r="C14" s="166" t="s">
        <v>1514</v>
      </c>
      <c r="D14" s="176">
        <v>4</v>
      </c>
      <c r="E14" s="169">
        <f>+ROUND(SUMIF(COMPARATIVO!E:E,C14,COMPARATIVO!AP:AP)/1000,0)</f>
        <v>26214485</v>
      </c>
      <c r="F14" s="169"/>
      <c r="G14" s="169">
        <f>SUMIF(COMPARATIVO!E:E,C14,COMPARATIVO!AH:AH)/1000</f>
        <v>31011602.357999999</v>
      </c>
      <c r="H14" s="167"/>
      <c r="I14" s="167" t="e">
        <f>+#REF!/1000</f>
        <v>#REF!</v>
      </c>
      <c r="J14" s="167"/>
      <c r="K14" s="167"/>
      <c r="L14" s="166" t="s">
        <v>743</v>
      </c>
      <c r="M14" s="176">
        <v>8</v>
      </c>
      <c r="N14" s="169">
        <f>ROUND(SUMIF(COMPARATIVO!E:E,L14,COMPARATIVO!AP:AP)/1000,0)</f>
        <v>53739697</v>
      </c>
      <c r="O14" s="167"/>
      <c r="P14" s="169">
        <f>ROUND(SUMIF(COMPARATIVO!E:E,L14,COMPARATIVO!AH:AH)/1000,0)</f>
        <v>54295156</v>
      </c>
      <c r="Q14" s="168"/>
      <c r="R14" s="167" t="e">
        <f>+(#REF!+#REF!)/1000</f>
        <v>#REF!</v>
      </c>
      <c r="S14" s="167"/>
      <c r="T14" s="276"/>
    </row>
    <row r="15" spans="1:22" s="165" customFormat="1" ht="16">
      <c r="A15" s="252"/>
      <c r="B15" s="275"/>
      <c r="C15" s="166" t="s">
        <v>837</v>
      </c>
      <c r="D15" s="176">
        <v>5</v>
      </c>
      <c r="E15" s="169">
        <f>+ROUND(SUMIF(COMPARATIVO!E:E,C15,COMPARATIVO!AP:AP)/1000,0)</f>
        <v>7702936</v>
      </c>
      <c r="F15" s="169"/>
      <c r="G15" s="169">
        <f>SUMIF(COMPARATIVO!E:E,C15,COMPARATIVO!AH:AH)/1000</f>
        <v>5628847.2300000004</v>
      </c>
      <c r="H15" s="167"/>
      <c r="I15" s="167" t="e">
        <f>+(#REF!+#REF!)/1000</f>
        <v>#REF!</v>
      </c>
      <c r="J15" s="167"/>
      <c r="K15" s="167"/>
      <c r="L15" s="166" t="s">
        <v>1516</v>
      </c>
      <c r="M15" s="176">
        <v>8</v>
      </c>
      <c r="N15" s="169">
        <f>ROUND(SUMIF(COMPARATIVO!E:E,L15,COMPARATIVO!AP:AP)/1000,0)</f>
        <v>7750360</v>
      </c>
      <c r="O15" s="167"/>
      <c r="P15" s="169">
        <f>ROUND(SUMIF(COMPARATIVO!E:E,L15,COMPARATIVO!AH:AH)/1000,0)</f>
        <v>4332366</v>
      </c>
      <c r="Q15" s="168"/>
      <c r="R15" s="167" t="e">
        <f>+#REF!/1000</f>
        <v>#REF!</v>
      </c>
      <c r="S15" s="167"/>
      <c r="T15" s="276"/>
      <c r="V15" s="167"/>
    </row>
    <row r="16" spans="1:22" s="165" customFormat="1" ht="16">
      <c r="A16" s="252"/>
      <c r="B16" s="275"/>
      <c r="C16" s="166" t="s">
        <v>846</v>
      </c>
      <c r="D16" s="176">
        <v>6</v>
      </c>
      <c r="E16" s="169">
        <f>+ROUND(SUMIF(COMPARATIVO!E:E,C16,COMPARATIVO!AP:AP)/1000,0)</f>
        <v>21087498</v>
      </c>
      <c r="F16" s="169"/>
      <c r="G16" s="169">
        <f>SUMIF(COMPARATIVO!E:E,C16,COMPARATIVO!AH:AH)/1000</f>
        <v>31160415.634</v>
      </c>
      <c r="H16" s="167"/>
      <c r="I16" s="167"/>
      <c r="J16" s="167"/>
      <c r="K16" s="167"/>
      <c r="L16" s="166" t="s">
        <v>1623</v>
      </c>
      <c r="M16" s="176">
        <v>8</v>
      </c>
      <c r="N16" s="169">
        <f>ROUND(SUMIF(COMPARATIVO!E:E,L16,COMPARATIVO!AP:AP)/1000,0)</f>
        <v>1998348</v>
      </c>
      <c r="O16" s="167"/>
      <c r="P16" s="178">
        <f>ROUND(SUMIF(COMPARATIVO!E:E,L16,COMPARATIVO!AH:AH)/1000,0)</f>
        <v>0</v>
      </c>
      <c r="Q16" s="168"/>
      <c r="R16" s="167"/>
      <c r="S16" s="167"/>
      <c r="T16" s="276"/>
    </row>
    <row r="17" spans="1:20" s="165" customFormat="1" ht="16">
      <c r="A17" s="252"/>
      <c r="B17" s="275"/>
      <c r="C17" s="166" t="s">
        <v>1088</v>
      </c>
      <c r="D17" s="176" t="s">
        <v>1526</v>
      </c>
      <c r="E17" s="169">
        <f>+ROUND(SUMIF(COMPARATIVO!E:E,C17,COMPARATIVO!AP:AP)/1000,0)</f>
        <v>4364093</v>
      </c>
      <c r="F17" s="169"/>
      <c r="G17" s="169">
        <f>SUMIF(COMPARATIVO!E:E,C17,COMPARATIVO!AH:AH)/1000</f>
        <v>10158445.216</v>
      </c>
      <c r="H17" s="167"/>
      <c r="I17" s="167"/>
      <c r="J17" s="167"/>
      <c r="K17" s="167"/>
      <c r="L17" s="166" t="s">
        <v>744</v>
      </c>
      <c r="M17" s="176">
        <v>9</v>
      </c>
      <c r="N17" s="169">
        <f>ROUND(SUMIF(COMPARATIVO!E:E,L17,COMPARATIVO!AP:AP)/1000,0)</f>
        <v>249548</v>
      </c>
      <c r="O17" s="167"/>
      <c r="P17" s="169">
        <f>ROUND(SUMIF(COMPARATIVO!E:E,L17,COMPARATIVO!AH:AH)/1000,0)-1</f>
        <v>166107</v>
      </c>
      <c r="Q17" s="168"/>
      <c r="R17" s="167"/>
      <c r="S17" s="167"/>
      <c r="T17" s="276"/>
    </row>
    <row r="18" spans="1:20" s="110" customFormat="1" ht="17" thickBot="1">
      <c r="B18" s="273"/>
      <c r="C18" s="162" t="s">
        <v>383</v>
      </c>
      <c r="D18" s="176"/>
      <c r="E18" s="170">
        <f>SUM(E13:E17)</f>
        <v>64815062</v>
      </c>
      <c r="F18" s="171"/>
      <c r="G18" s="170">
        <f>SUM(G13:G17)</f>
        <v>83046872.475000009</v>
      </c>
      <c r="H18" s="163"/>
      <c r="I18" s="163" t="e">
        <f>+#REF!/1000</f>
        <v>#REF!</v>
      </c>
      <c r="J18" s="163"/>
      <c r="K18" s="163"/>
      <c r="L18" s="162" t="s">
        <v>385</v>
      </c>
      <c r="M18" s="176"/>
      <c r="N18" s="170">
        <f>SUM(N13:N17)</f>
        <v>75273699</v>
      </c>
      <c r="O18" s="163"/>
      <c r="P18" s="170">
        <f>SUM(P13:P17)</f>
        <v>72211294</v>
      </c>
      <c r="Q18" s="164"/>
      <c r="R18" s="163" t="e">
        <f>SUM(#REF!)/1000</f>
        <v>#REF!</v>
      </c>
      <c r="S18" s="163"/>
      <c r="T18" s="274"/>
    </row>
    <row r="19" spans="1:20" s="165" customFormat="1" ht="17" thickTop="1">
      <c r="A19" s="252"/>
      <c r="B19" s="275"/>
      <c r="C19" s="166"/>
      <c r="D19" s="177"/>
      <c r="E19" s="167"/>
      <c r="F19" s="167"/>
      <c r="G19" s="167"/>
      <c r="H19" s="167"/>
      <c r="I19" s="167" t="e">
        <f>+#REF!/1000</f>
        <v>#REF!</v>
      </c>
      <c r="J19" s="167"/>
      <c r="K19" s="167"/>
      <c r="L19" s="166"/>
      <c r="M19" s="177"/>
      <c r="N19" s="167"/>
      <c r="O19" s="167"/>
      <c r="P19" s="167"/>
      <c r="Q19" s="168"/>
      <c r="R19" s="167" t="e">
        <f>+(#REF!+#REF!+#REF!-#REF!-#REF!+#REF!)/1000</f>
        <v>#REF!</v>
      </c>
      <c r="S19" s="167"/>
      <c r="T19" s="276"/>
    </row>
    <row r="20" spans="1:20" s="110" customFormat="1" ht="16">
      <c r="B20" s="273"/>
      <c r="C20" s="162" t="s">
        <v>188</v>
      </c>
      <c r="D20" s="176"/>
      <c r="E20" s="163"/>
      <c r="F20" s="163"/>
      <c r="G20" s="163"/>
      <c r="H20" s="163"/>
      <c r="I20" s="163"/>
      <c r="J20" s="163"/>
      <c r="K20" s="163"/>
      <c r="L20" s="162" t="s">
        <v>189</v>
      </c>
      <c r="M20" s="176"/>
      <c r="N20" s="163"/>
      <c r="O20" s="163"/>
      <c r="P20" s="163"/>
      <c r="Q20" s="164"/>
      <c r="R20" s="163"/>
      <c r="S20" s="163"/>
      <c r="T20" s="274"/>
    </row>
    <row r="21" spans="1:20" s="165" customFormat="1" ht="16">
      <c r="A21" s="252"/>
      <c r="B21" s="275"/>
      <c r="C21" s="166" t="s">
        <v>4793</v>
      </c>
      <c r="D21" s="176">
        <v>4</v>
      </c>
      <c r="E21" s="169">
        <f>+ROUND(SUMIF(COMPARATIVO!E:E,C21,COMPARATIVO!AP:AP)/1000,0)</f>
        <v>35370180</v>
      </c>
      <c r="F21" s="169"/>
      <c r="G21" s="169">
        <f>SUMIF(COMPARATIVO!E:E,C21,COMPARATIVO!AH:AH)/1000</f>
        <v>28607097.622000001</v>
      </c>
      <c r="H21" s="167"/>
      <c r="I21" s="167"/>
      <c r="J21" s="167"/>
      <c r="K21" s="167"/>
      <c r="L21" s="166" t="s">
        <v>4794</v>
      </c>
      <c r="M21" s="176">
        <v>7</v>
      </c>
      <c r="N21" s="178">
        <f>ROUND(SUMIF(COMPARATIVO!E:E,L21,COMPARATIVO!AP:AP)/1000,0)</f>
        <v>0</v>
      </c>
      <c r="O21" s="169"/>
      <c r="P21" s="169">
        <f>ROUND(SUMIF(COMPARATIVO!E:E,L21,COMPARATIVO!AH:AH)/1000,0)</f>
        <v>387798</v>
      </c>
      <c r="Q21" s="168"/>
      <c r="R21" s="167"/>
      <c r="S21" s="167"/>
      <c r="T21" s="276"/>
    </row>
    <row r="22" spans="1:20" s="165" customFormat="1" ht="16">
      <c r="A22" s="252"/>
      <c r="B22" s="275"/>
      <c r="C22" s="166" t="s">
        <v>4795</v>
      </c>
      <c r="D22" s="176">
        <v>5</v>
      </c>
      <c r="E22" s="169">
        <f>+ROUND(SUMIF(COMPARATIVO!E:E,C22,COMPARATIVO!AP:AP)/1000,0)+2</f>
        <v>11675721</v>
      </c>
      <c r="F22" s="169"/>
      <c r="G22" s="169">
        <f>SUMIF(COMPARATIVO!E:E,C22,COMPARATIVO!AH:AH)/1000</f>
        <v>132053.57800000001</v>
      </c>
      <c r="H22" s="167"/>
      <c r="I22" s="167" t="e">
        <f>+#REF!/1000</f>
        <v>#REF!</v>
      </c>
      <c r="J22" s="167"/>
      <c r="K22" s="167"/>
      <c r="L22" s="166" t="s">
        <v>4796</v>
      </c>
      <c r="M22" s="176">
        <v>8</v>
      </c>
      <c r="N22" s="169">
        <f>ROUND(SUMIF(COMPARATIVO!E:E,L22,COMPARATIVO!AP:AP)/1000,0)</f>
        <v>5361845</v>
      </c>
      <c r="O22" s="169"/>
      <c r="P22" s="169">
        <f>ROUND(SUMIF(COMPARATIVO!E:E,L22,COMPARATIVO!AH:AH)/1000,0)</f>
        <v>5486251</v>
      </c>
      <c r="Q22" s="168"/>
      <c r="R22" s="167" t="e">
        <f>+#REF!/1000</f>
        <v>#REF!</v>
      </c>
      <c r="S22" s="167"/>
      <c r="T22" s="276"/>
    </row>
    <row r="23" spans="1:20" s="165" customFormat="1" ht="16">
      <c r="A23" s="252"/>
      <c r="B23" s="275"/>
      <c r="C23" s="166" t="s">
        <v>741</v>
      </c>
      <c r="D23" s="176" t="s">
        <v>1526</v>
      </c>
      <c r="E23" s="169">
        <f>+ROUND(SUMIF(COMPARATIVO!E:E,C23,COMPARATIVO!AP:AP)/1000,0)</f>
        <v>14167707</v>
      </c>
      <c r="F23" s="169" t="e">
        <f>+#REF!/1000</f>
        <v>#REF!</v>
      </c>
      <c r="G23" s="169">
        <f>SUMIF(COMPARATIVO!E:E,C23,COMPARATIVO!AH:AH)/1000</f>
        <v>17838304.206</v>
      </c>
      <c r="H23" s="167"/>
      <c r="I23" s="167" t="e">
        <f>+#REF!/1000</f>
        <v>#REF!</v>
      </c>
      <c r="J23" s="167"/>
      <c r="K23" s="167"/>
      <c r="L23" s="166" t="s">
        <v>4797</v>
      </c>
      <c r="M23" s="176">
        <v>8</v>
      </c>
      <c r="N23" s="169">
        <f>ROUND(SUMIF(COMPARATIVO!E:E,L23,COMPARATIVO!AP:AP)/1000,0)</f>
        <v>11097365</v>
      </c>
      <c r="O23" s="169"/>
      <c r="P23" s="169">
        <f>ROUND(SUMIF(COMPARATIVO!E:E,L23,COMPARATIVO!AH:AH)/1000,0)</f>
        <v>14568472</v>
      </c>
      <c r="Q23" s="168"/>
      <c r="R23" s="167" t="e">
        <f>SUM(R21:R22)</f>
        <v>#REF!</v>
      </c>
      <c r="S23" s="167"/>
      <c r="T23" s="276"/>
    </row>
    <row r="24" spans="1:20" s="165" customFormat="1" ht="16">
      <c r="A24" s="252"/>
      <c r="B24" s="275"/>
      <c r="C24" s="166" t="s">
        <v>839</v>
      </c>
      <c r="D24" s="176" t="s">
        <v>844</v>
      </c>
      <c r="E24" s="169">
        <f>+ROUND(SUMIF(COMPARATIVO!E:E,C24,COMPARATIVO!AP:AP)/1000,0)</f>
        <v>3517715</v>
      </c>
      <c r="F24" s="169"/>
      <c r="G24" s="169">
        <f>SUMIF(COMPARATIVO!E:E,C24,COMPARATIVO!AH:AH)/1000</f>
        <v>2102809.8420000002</v>
      </c>
      <c r="H24" s="167"/>
      <c r="I24" s="167" t="e">
        <f>+#REF!/1000</f>
        <v>#REF!</v>
      </c>
      <c r="J24" s="167"/>
      <c r="K24" s="167"/>
      <c r="L24" s="166" t="s">
        <v>4798</v>
      </c>
      <c r="M24" s="176">
        <v>8</v>
      </c>
      <c r="N24" s="169">
        <f>ROUND(SUMIF(COMPARATIVO!E:E,L24,COMPARATIVO!AP:AP)/1000,0)</f>
        <v>18000318</v>
      </c>
      <c r="O24" s="169"/>
      <c r="P24" s="169">
        <f>ROUND(SUMIF(COMPARATIVO!E:E,L24,COMPARATIVO!AH:AH)/1000,0)</f>
        <v>20000000</v>
      </c>
      <c r="Q24" s="168"/>
      <c r="R24" s="167" t="e">
        <f>SUM(R22:R23)</f>
        <v>#REF!</v>
      </c>
      <c r="S24" s="167"/>
      <c r="T24" s="276"/>
    </row>
    <row r="25" spans="1:20" s="165" customFormat="1" ht="16">
      <c r="A25" s="252"/>
      <c r="B25" s="275"/>
      <c r="C25" s="166" t="s">
        <v>1517</v>
      </c>
      <c r="D25" s="176" t="s">
        <v>844</v>
      </c>
      <c r="E25" s="169">
        <f>+ROUND(SUMIF(COMPARATIVO!E:E,C25,COMPARATIVO!AP:AP)/1000,0)</f>
        <v>27687533</v>
      </c>
      <c r="F25" s="169"/>
      <c r="G25" s="169">
        <f>SUMIF(COMPARATIVO!E:E,C25,COMPARATIVO!AH:AH)/1000</f>
        <v>27477255.021000002</v>
      </c>
      <c r="H25" s="167"/>
      <c r="I25" s="167"/>
      <c r="J25" s="167"/>
      <c r="K25" s="167"/>
      <c r="L25" s="166"/>
      <c r="M25" s="177"/>
      <c r="N25" s="169"/>
      <c r="O25" s="169"/>
      <c r="P25" s="169"/>
      <c r="Q25" s="168"/>
      <c r="R25" s="167"/>
      <c r="S25" s="167"/>
      <c r="T25" s="276"/>
    </row>
    <row r="26" spans="1:20" s="165" customFormat="1" ht="14.25" customHeight="1">
      <c r="A26" s="252"/>
      <c r="B26" s="275"/>
      <c r="C26" s="166" t="s">
        <v>1518</v>
      </c>
      <c r="D26" s="176" t="s">
        <v>845</v>
      </c>
      <c r="E26" s="169">
        <f>+ROUND(SUMIF(COMPARATIVO!E:E,C26,COMPARATIVO!AP:AP)/1000,0)</f>
        <v>92222</v>
      </c>
      <c r="F26" s="169"/>
      <c r="G26" s="169">
        <f>SUMIF(COMPARATIVO!E:E,C26,COMPARATIVO!AH:AH)/1000</f>
        <v>114630.34</v>
      </c>
      <c r="H26" s="167"/>
      <c r="I26" s="167">
        <v>0</v>
      </c>
      <c r="J26" s="167"/>
      <c r="K26" s="167"/>
      <c r="L26" s="166"/>
      <c r="M26" s="177"/>
      <c r="N26" s="169"/>
      <c r="O26" s="169"/>
      <c r="P26" s="169"/>
      <c r="Q26" s="168"/>
      <c r="R26" s="167"/>
      <c r="S26" s="167"/>
      <c r="T26" s="276"/>
    </row>
    <row r="27" spans="1:20" s="110" customFormat="1" ht="14.25" customHeight="1" thickBot="1">
      <c r="B27" s="273"/>
      <c r="C27" s="162" t="s">
        <v>1521</v>
      </c>
      <c r="D27" s="176"/>
      <c r="E27" s="170">
        <f>SUM(E20:E26)</f>
        <v>92511078</v>
      </c>
      <c r="F27" s="171"/>
      <c r="G27" s="170">
        <f>SUM(G20:G26)</f>
        <v>76272150.609000012</v>
      </c>
      <c r="H27" s="163"/>
      <c r="I27" s="163" t="e">
        <f>+#REF!/1000</f>
        <v>#REF!</v>
      </c>
      <c r="J27" s="163"/>
      <c r="K27" s="163"/>
      <c r="L27" s="166" t="s">
        <v>386</v>
      </c>
      <c r="M27" s="177"/>
      <c r="N27" s="170">
        <f>SUM(N21:N26)</f>
        <v>34459528</v>
      </c>
      <c r="O27" s="169"/>
      <c r="P27" s="170">
        <f>SUM(P21:P26)</f>
        <v>40442521</v>
      </c>
      <c r="Q27" s="168"/>
      <c r="R27" s="167" t="e">
        <f>+R23-#REF!</f>
        <v>#REF!</v>
      </c>
      <c r="S27" s="167"/>
      <c r="T27" s="276"/>
    </row>
    <row r="28" spans="1:20" s="165" customFormat="1" ht="17" thickTop="1">
      <c r="A28" s="252"/>
      <c r="B28" s="275"/>
      <c r="C28" s="166"/>
      <c r="D28" s="167"/>
      <c r="E28" s="167"/>
      <c r="F28" s="167"/>
      <c r="G28" s="167"/>
      <c r="H28" s="167"/>
      <c r="I28" s="167" t="e">
        <f>+#REF!/1000</f>
        <v>#REF!</v>
      </c>
      <c r="J28" s="167"/>
      <c r="K28" s="167"/>
      <c r="L28" s="166"/>
      <c r="M28" s="177"/>
      <c r="N28" s="169"/>
      <c r="O28" s="169"/>
      <c r="P28" s="169"/>
      <c r="Q28" s="168"/>
      <c r="R28" s="167"/>
      <c r="S28" s="167"/>
      <c r="T28" s="276"/>
    </row>
    <row r="29" spans="1:20" s="165" customFormat="1" ht="16">
      <c r="A29" s="252"/>
      <c r="B29" s="275"/>
      <c r="C29" s="166"/>
      <c r="D29" s="167"/>
      <c r="E29" s="167"/>
      <c r="F29" s="167"/>
      <c r="G29" s="167"/>
      <c r="H29" s="167"/>
      <c r="I29" s="167"/>
      <c r="J29" s="167"/>
      <c r="K29" s="167"/>
      <c r="L29" s="162" t="s">
        <v>170</v>
      </c>
      <c r="M29" s="177"/>
      <c r="N29" s="169"/>
      <c r="O29" s="169"/>
      <c r="P29" s="169"/>
      <c r="Q29" s="168"/>
      <c r="R29" s="167"/>
      <c r="S29" s="167"/>
      <c r="T29" s="276"/>
    </row>
    <row r="30" spans="1:20" s="165" customFormat="1" ht="16">
      <c r="A30" s="252"/>
      <c r="B30" s="275"/>
      <c r="C30" s="166"/>
      <c r="D30" s="167"/>
      <c r="E30" s="167"/>
      <c r="F30" s="167"/>
      <c r="G30" s="167"/>
      <c r="H30" s="167"/>
      <c r="I30" s="167" t="e">
        <f>SUM(I22:I29)</f>
        <v>#REF!</v>
      </c>
      <c r="J30" s="167"/>
      <c r="K30" s="167"/>
      <c r="L30" s="166" t="s">
        <v>750</v>
      </c>
      <c r="M30" s="176" t="s">
        <v>1571</v>
      </c>
      <c r="N30" s="178">
        <f>ROUND(SUMIF(COMPARATIVO!E:E,L30,COMPARATIVO!AP:AP)/1000,0)</f>
        <v>38500000</v>
      </c>
      <c r="O30" s="169"/>
      <c r="P30" s="169">
        <f>ROUND(SUMIF(COMPARATIVO!E:E,L30,COMPARATIVO!AH:AH)/1000,0)</f>
        <v>38500000</v>
      </c>
      <c r="Q30" s="168"/>
      <c r="R30" s="167" t="e">
        <f>+#REF!/1000</f>
        <v>#REF!</v>
      </c>
      <c r="S30" s="167"/>
      <c r="T30" s="276"/>
    </row>
    <row r="31" spans="1:20" s="165" customFormat="1" ht="16">
      <c r="A31" s="252"/>
      <c r="B31" s="275"/>
      <c r="C31" s="166"/>
      <c r="D31" s="167"/>
      <c r="E31" s="167"/>
      <c r="F31" s="167"/>
      <c r="G31" s="167"/>
      <c r="H31" s="167"/>
      <c r="I31" s="167"/>
      <c r="J31" s="167"/>
      <c r="K31" s="167"/>
      <c r="L31" s="166" t="s">
        <v>748</v>
      </c>
      <c r="M31" s="176" t="s">
        <v>1572</v>
      </c>
      <c r="N31" s="178">
        <f>ROUND(SUMIF(COMPARATIVO!E:E,L31,COMPARATIVO!AP:AP)/1000,0)</f>
        <v>4226145</v>
      </c>
      <c r="O31" s="169"/>
      <c r="P31" s="169">
        <f>ROUND(SUMIF(COMPARATIVO!E:E,L31,COMPARATIVO!AH:AH)/1000,0)</f>
        <v>3724293</v>
      </c>
      <c r="Q31" s="168"/>
      <c r="R31" s="167" t="e">
        <f>+#REF!/1000</f>
        <v>#REF!</v>
      </c>
      <c r="S31" s="167"/>
      <c r="T31" s="276"/>
    </row>
    <row r="32" spans="1:20" s="165" customFormat="1" ht="16">
      <c r="A32" s="252"/>
      <c r="B32" s="275"/>
      <c r="C32" s="166"/>
      <c r="D32" s="167"/>
      <c r="E32" s="167"/>
      <c r="F32" s="167"/>
      <c r="G32" s="167"/>
      <c r="H32" s="167"/>
      <c r="I32" s="167" t="e">
        <f>+#REF!/1000</f>
        <v>#REF!</v>
      </c>
      <c r="J32" s="167"/>
      <c r="K32" s="167"/>
      <c r="L32" s="166" t="s">
        <v>1519</v>
      </c>
      <c r="M32" s="176" t="s">
        <v>1712</v>
      </c>
      <c r="N32" s="178">
        <f>ROUND(SUMIF(COMPARATIVO!E:E,L32,COMPARATIVO!AP:AP)/1000,0)</f>
        <v>1015</v>
      </c>
      <c r="O32" s="169"/>
      <c r="P32" s="169">
        <f>ROUND(SUMIF(COMPARATIVO!E:E,L32,COMPARATIVO!AH:AH)/1000,0)</f>
        <v>1015</v>
      </c>
      <c r="Q32" s="168"/>
      <c r="R32" s="167"/>
      <c r="S32" s="167"/>
      <c r="T32" s="276"/>
    </row>
    <row r="33" spans="1:23" s="165" customFormat="1" ht="16">
      <c r="A33" s="252"/>
      <c r="B33" s="275"/>
      <c r="C33" s="166"/>
      <c r="D33" s="167"/>
      <c r="E33" s="167"/>
      <c r="F33" s="167"/>
      <c r="G33" s="167"/>
      <c r="H33" s="167"/>
      <c r="I33" s="167" t="e">
        <f>+I30-I32</f>
        <v>#REF!</v>
      </c>
      <c r="J33" s="167"/>
      <c r="K33" s="167"/>
      <c r="L33" s="166" t="s">
        <v>1520</v>
      </c>
      <c r="M33" s="177"/>
      <c r="N33" s="178">
        <f>ROUND(SUMIF(COMPARATIVO!E:E,L33,COMPARATIVO!AP:AP)/1000,0)</f>
        <v>4439900</v>
      </c>
      <c r="O33" s="169"/>
      <c r="P33" s="169">
        <f>ROUND(SUMIF(COMPARATIVO!E:E,L33,COMPARATIVO!AH:AH)/1000,0)</f>
        <v>3509854</v>
      </c>
      <c r="Q33" s="168"/>
      <c r="R33" s="167" t="e">
        <f>+#REF!/1000</f>
        <v>#REF!</v>
      </c>
      <c r="S33" s="167"/>
      <c r="T33" s="276"/>
    </row>
    <row r="34" spans="1:23" s="165" customFormat="1" ht="16">
      <c r="A34" s="252"/>
      <c r="B34" s="275"/>
      <c r="C34" s="166"/>
      <c r="D34" s="167"/>
      <c r="E34" s="167"/>
      <c r="F34" s="167"/>
      <c r="G34" s="167"/>
      <c r="H34" s="167"/>
      <c r="I34" s="167"/>
      <c r="J34" s="167"/>
      <c r="K34" s="167"/>
      <c r="L34" s="166" t="s">
        <v>747</v>
      </c>
      <c r="M34" s="167"/>
      <c r="N34" s="178">
        <f>ROUND(SUMIF(COMPARATIVO!E:E,L34,COMPARATIVO!AP:AP)/1000,0)</f>
        <v>425853</v>
      </c>
      <c r="O34" s="169"/>
      <c r="P34" s="169">
        <f>ROUND(SUMIF(COMPARATIVO!E:E,L34,COMPARATIVO!AH:AH)/1000,0)</f>
        <v>930046</v>
      </c>
      <c r="Q34" s="168"/>
      <c r="R34" s="167" t="e">
        <f>+#REF!/1000</f>
        <v>#REF!</v>
      </c>
      <c r="S34" s="167"/>
      <c r="T34" s="276"/>
    </row>
    <row r="35" spans="1:23" s="165" customFormat="1" ht="17" thickBot="1">
      <c r="A35" s="252"/>
      <c r="B35" s="275"/>
      <c r="C35" s="166"/>
      <c r="D35" s="167"/>
      <c r="E35" s="167"/>
      <c r="F35" s="167"/>
      <c r="G35" s="167"/>
      <c r="H35" s="167"/>
      <c r="I35" s="167"/>
      <c r="J35" s="167"/>
      <c r="K35" s="167"/>
      <c r="L35" s="162" t="s">
        <v>338</v>
      </c>
      <c r="M35" s="163"/>
      <c r="N35" s="170">
        <f>SUM(N30:N34)</f>
        <v>47592913</v>
      </c>
      <c r="O35" s="171"/>
      <c r="P35" s="170">
        <f>SUM(P30:P34)</f>
        <v>46665208</v>
      </c>
      <c r="Q35" s="168"/>
      <c r="R35" s="167" t="e">
        <f>SUM(R30:R34)</f>
        <v>#REF!</v>
      </c>
      <c r="S35" s="167"/>
      <c r="T35" s="276"/>
    </row>
    <row r="36" spans="1:23" s="165" customFormat="1" ht="17" thickTop="1">
      <c r="A36" s="252"/>
      <c r="B36" s="275"/>
      <c r="C36" s="166"/>
      <c r="D36" s="167"/>
      <c r="E36" s="167"/>
      <c r="F36" s="167"/>
      <c r="G36" s="167"/>
      <c r="H36" s="167"/>
      <c r="I36" s="167"/>
      <c r="J36" s="167"/>
      <c r="K36" s="167"/>
      <c r="L36" s="166"/>
      <c r="M36" s="167"/>
      <c r="N36" s="169"/>
      <c r="O36" s="169"/>
      <c r="P36" s="169"/>
      <c r="Q36" s="168"/>
      <c r="R36" s="167"/>
      <c r="S36" s="167"/>
      <c r="T36" s="276"/>
    </row>
    <row r="37" spans="1:23" s="165" customFormat="1" ht="16">
      <c r="A37" s="252"/>
      <c r="B37" s="275"/>
      <c r="C37" s="166"/>
      <c r="D37" s="167"/>
      <c r="E37" s="167"/>
      <c r="F37" s="167"/>
      <c r="G37" s="167"/>
      <c r="H37" s="167"/>
      <c r="I37" s="167"/>
      <c r="J37" s="167"/>
      <c r="K37" s="167"/>
      <c r="L37" s="166"/>
      <c r="M37" s="167"/>
      <c r="N37" s="169"/>
      <c r="O37" s="169"/>
      <c r="P37" s="169"/>
      <c r="Q37" s="168"/>
      <c r="R37" s="167"/>
      <c r="S37" s="167"/>
      <c r="T37" s="276"/>
    </row>
    <row r="38" spans="1:23" s="165" customFormat="1" ht="16">
      <c r="A38" s="252"/>
      <c r="B38" s="275"/>
      <c r="C38" s="166"/>
      <c r="D38" s="167"/>
      <c r="E38" s="167"/>
      <c r="F38" s="167"/>
      <c r="G38" s="167"/>
      <c r="H38" s="167"/>
      <c r="I38" s="167"/>
      <c r="J38" s="167"/>
      <c r="K38" s="167"/>
      <c r="L38" s="166"/>
      <c r="M38" s="167"/>
      <c r="N38" s="169"/>
      <c r="O38" s="169"/>
      <c r="P38" s="169"/>
      <c r="Q38" s="168"/>
      <c r="R38" s="167" t="e">
        <f>+#REF!/1000</f>
        <v>#REF!</v>
      </c>
      <c r="S38" s="167"/>
      <c r="T38" s="276"/>
    </row>
    <row r="39" spans="1:23" s="165" customFormat="1" ht="16">
      <c r="A39" s="252"/>
      <c r="B39" s="275"/>
      <c r="C39" s="166"/>
      <c r="D39" s="167"/>
      <c r="E39" s="167"/>
      <c r="F39" s="167"/>
      <c r="G39" s="167"/>
      <c r="H39" s="167"/>
      <c r="I39" s="167"/>
      <c r="J39" s="167"/>
      <c r="K39" s="167"/>
      <c r="L39" s="166"/>
      <c r="M39" s="167"/>
      <c r="N39" s="169"/>
      <c r="O39" s="169"/>
      <c r="P39" s="169"/>
      <c r="Q39" s="168"/>
      <c r="R39" s="167" t="e">
        <f>+R35-R38</f>
        <v>#REF!</v>
      </c>
      <c r="S39" s="167"/>
      <c r="T39" s="276"/>
    </row>
    <row r="40" spans="1:23" s="110" customFormat="1" ht="17" thickBot="1">
      <c r="B40" s="273"/>
      <c r="C40" s="162" t="s">
        <v>384</v>
      </c>
      <c r="D40" s="163"/>
      <c r="E40" s="170">
        <f>+E18+E27</f>
        <v>157326140</v>
      </c>
      <c r="F40" s="171"/>
      <c r="G40" s="170">
        <f>+G18+G27</f>
        <v>159319023.08400002</v>
      </c>
      <c r="H40" s="163"/>
      <c r="I40" s="163" t="e">
        <f>+#REF!+I30</f>
        <v>#REF!</v>
      </c>
      <c r="J40" s="163"/>
      <c r="K40" s="163"/>
      <c r="L40" s="162" t="s">
        <v>389</v>
      </c>
      <c r="M40" s="163"/>
      <c r="N40" s="170">
        <f>+SUM(N35+N18+N27)</f>
        <v>157326140</v>
      </c>
      <c r="O40" s="171"/>
      <c r="P40" s="170">
        <f>+SUM(P35+P18+P27)</f>
        <v>159319023</v>
      </c>
      <c r="Q40" s="164"/>
      <c r="R40" s="163"/>
      <c r="S40" s="163"/>
      <c r="T40" s="274"/>
      <c r="V40" s="114">
        <f>+E40-N40</f>
        <v>0</v>
      </c>
      <c r="W40" s="114">
        <f>+G40-P40</f>
        <v>8.400002121925354E-2</v>
      </c>
    </row>
    <row r="41" spans="1:23" s="165" customFormat="1" ht="18" thickTop="1" thickBot="1">
      <c r="A41" s="252"/>
      <c r="B41" s="275"/>
      <c r="C41" s="172"/>
      <c r="D41" s="173"/>
      <c r="E41" s="174"/>
      <c r="F41" s="174"/>
      <c r="G41" s="174"/>
      <c r="H41" s="173"/>
      <c r="I41" s="173"/>
      <c r="J41" s="173"/>
      <c r="K41" s="173"/>
      <c r="L41" s="172"/>
      <c r="M41" s="173"/>
      <c r="N41" s="173"/>
      <c r="O41" s="173"/>
      <c r="P41" s="173"/>
      <c r="Q41" s="175"/>
      <c r="R41" s="167"/>
      <c r="S41" s="167"/>
      <c r="T41" s="276"/>
    </row>
    <row r="42" spans="1:23" s="165" customFormat="1" ht="16" hidden="1">
      <c r="A42" s="252"/>
      <c r="B42" s="275"/>
      <c r="C42" s="167"/>
      <c r="D42" s="167"/>
      <c r="E42" s="167" t="e">
        <f>+E40-(#REF!/1000)</f>
        <v>#REF!</v>
      </c>
      <c r="F42" s="167"/>
      <c r="G42" s="167" t="e">
        <f>+G40-(#REF!/1000)</f>
        <v>#REF!</v>
      </c>
      <c r="H42" s="167"/>
      <c r="I42" s="167"/>
      <c r="J42" s="167"/>
      <c r="K42" s="167"/>
      <c r="L42" s="167"/>
      <c r="M42" s="167"/>
      <c r="N42" s="167" t="e">
        <f>+N40-(#REF!/1000)</f>
        <v>#REF!</v>
      </c>
      <c r="O42" s="167"/>
      <c r="P42" s="167" t="e">
        <f>+P40-(#REF!/1000)</f>
        <v>#REF!</v>
      </c>
      <c r="Q42" s="167"/>
      <c r="R42" s="167"/>
      <c r="S42" s="167"/>
      <c r="T42" s="276"/>
    </row>
    <row r="43" spans="1:23" s="165" customFormat="1" ht="16" hidden="1">
      <c r="A43" s="252"/>
      <c r="B43" s="275"/>
      <c r="C43" s="167"/>
      <c r="D43" s="167"/>
      <c r="E43" s="167"/>
      <c r="F43" s="167"/>
      <c r="G43" s="167"/>
      <c r="H43" s="167"/>
      <c r="I43" s="167"/>
      <c r="J43" s="167"/>
      <c r="K43" s="167"/>
      <c r="L43" s="167"/>
      <c r="M43" s="167"/>
      <c r="N43" s="167"/>
      <c r="O43" s="167"/>
      <c r="P43" s="167"/>
      <c r="Q43" s="167"/>
      <c r="R43" s="167"/>
      <c r="S43" s="167"/>
      <c r="T43" s="276"/>
    </row>
    <row r="44" spans="1:23" s="165" customFormat="1" ht="16" hidden="1">
      <c r="A44" s="252"/>
      <c r="B44" s="275"/>
      <c r="C44" s="167"/>
      <c r="D44" s="167"/>
      <c r="E44" s="167"/>
      <c r="F44" s="167"/>
      <c r="G44" s="167"/>
      <c r="H44" s="167"/>
      <c r="I44" s="167"/>
      <c r="J44" s="167"/>
      <c r="K44" s="167"/>
      <c r="L44" s="167"/>
      <c r="M44" s="167"/>
      <c r="N44" s="167"/>
      <c r="O44" s="167"/>
      <c r="P44" s="167"/>
      <c r="Q44" s="167"/>
      <c r="R44" s="167"/>
      <c r="S44" s="167"/>
      <c r="T44" s="276"/>
    </row>
    <row r="45" spans="1:23" s="165" customFormat="1" ht="16" hidden="1">
      <c r="A45" s="252"/>
      <c r="B45" s="275"/>
      <c r="C45" s="167"/>
      <c r="D45" s="167"/>
      <c r="E45" s="167"/>
      <c r="F45" s="167"/>
      <c r="G45" s="167"/>
      <c r="H45" s="167"/>
      <c r="I45" s="167"/>
      <c r="J45" s="167"/>
      <c r="K45" s="167"/>
      <c r="L45" s="167"/>
      <c r="M45" s="167"/>
      <c r="N45" s="167"/>
      <c r="O45" s="167"/>
      <c r="P45" s="167"/>
      <c r="Q45" s="167"/>
      <c r="R45" s="167"/>
      <c r="S45" s="167"/>
      <c r="T45" s="276"/>
    </row>
    <row r="46" spans="1:23" s="165" customFormat="1" ht="16" hidden="1">
      <c r="A46" s="252"/>
      <c r="B46" s="275"/>
      <c r="C46" s="167"/>
      <c r="D46" s="167"/>
      <c r="E46" s="167"/>
      <c r="F46" s="167"/>
      <c r="G46" s="167"/>
      <c r="H46" s="167"/>
      <c r="I46" s="167"/>
      <c r="J46" s="167"/>
      <c r="K46" s="167"/>
      <c r="L46" s="167"/>
      <c r="M46" s="167"/>
      <c r="N46" s="167"/>
      <c r="O46" s="167"/>
      <c r="P46" s="167"/>
      <c r="Q46" s="167"/>
      <c r="R46" s="167"/>
      <c r="S46" s="167"/>
      <c r="T46" s="276"/>
    </row>
    <row r="47" spans="1:23" s="165" customFormat="1" ht="16" hidden="1">
      <c r="A47" s="252"/>
      <c r="B47" s="275"/>
      <c r="C47" s="167"/>
      <c r="D47" s="167"/>
      <c r="E47" s="167"/>
      <c r="F47" s="167"/>
      <c r="G47" s="167"/>
      <c r="H47" s="167"/>
      <c r="I47" s="167"/>
      <c r="J47" s="167"/>
      <c r="K47" s="167"/>
      <c r="L47" s="167"/>
      <c r="M47" s="167"/>
      <c r="N47" s="167"/>
      <c r="O47" s="167"/>
      <c r="P47" s="167"/>
      <c r="Q47" s="167"/>
      <c r="R47" s="167"/>
      <c r="S47" s="167"/>
      <c r="T47" s="276"/>
    </row>
    <row r="48" spans="1:23" s="165" customFormat="1" ht="16" hidden="1">
      <c r="A48" s="252"/>
      <c r="B48" s="275"/>
      <c r="C48" s="167" t="s">
        <v>390</v>
      </c>
      <c r="D48" s="167"/>
      <c r="E48" s="167">
        <v>42735</v>
      </c>
      <c r="F48" s="167"/>
      <c r="G48" s="167">
        <v>42369</v>
      </c>
      <c r="H48" s="167"/>
      <c r="I48" s="167">
        <v>40633</v>
      </c>
      <c r="J48" s="167"/>
      <c r="K48" s="167"/>
      <c r="L48" s="167" t="s">
        <v>391</v>
      </c>
      <c r="M48" s="167"/>
      <c r="N48" s="167">
        <v>42735</v>
      </c>
      <c r="O48" s="167"/>
      <c r="P48" s="167">
        <v>42369</v>
      </c>
      <c r="Q48" s="167"/>
      <c r="R48" s="167">
        <v>40268</v>
      </c>
      <c r="S48" s="167"/>
      <c r="T48" s="276"/>
    </row>
    <row r="49" spans="1:24" s="165" customFormat="1" ht="16" hidden="1">
      <c r="A49" s="252"/>
      <c r="B49" s="275"/>
      <c r="C49" s="167"/>
      <c r="D49" s="167"/>
      <c r="E49" s="167"/>
      <c r="F49" s="167"/>
      <c r="G49" s="167"/>
      <c r="H49" s="167"/>
      <c r="I49" s="167"/>
      <c r="J49" s="167"/>
      <c r="K49" s="167"/>
      <c r="L49" s="167"/>
      <c r="M49" s="167"/>
      <c r="N49" s="167"/>
      <c r="O49" s="167"/>
      <c r="P49" s="167"/>
      <c r="Q49" s="167"/>
      <c r="R49" s="167"/>
      <c r="S49" s="167"/>
      <c r="T49" s="276"/>
    </row>
    <row r="50" spans="1:24" s="165" customFormat="1" ht="16" hidden="1">
      <c r="A50" s="252"/>
      <c r="B50" s="275"/>
      <c r="C50" s="167" t="s">
        <v>752</v>
      </c>
      <c r="D50" s="167"/>
      <c r="E50" s="167">
        <v>0</v>
      </c>
      <c r="F50" s="167"/>
      <c r="G50" s="167">
        <v>0</v>
      </c>
      <c r="H50" s="167"/>
      <c r="I50" s="167">
        <f>+COMPARATIVO!O262/1000*-1</f>
        <v>-25369000</v>
      </c>
      <c r="J50" s="167"/>
      <c r="K50" s="167"/>
      <c r="L50" s="167" t="s">
        <v>753</v>
      </c>
      <c r="M50" s="167"/>
      <c r="N50" s="167">
        <v>0</v>
      </c>
      <c r="O50" s="167"/>
      <c r="P50" s="167">
        <v>0</v>
      </c>
      <c r="Q50" s="167"/>
      <c r="R50" s="167">
        <f>+COMPARATIVO!O270/1000</f>
        <v>6343406.7510000002</v>
      </c>
      <c r="S50" s="167"/>
      <c r="T50" s="276"/>
    </row>
    <row r="51" spans="1:24" s="165" customFormat="1" ht="16" hidden="1">
      <c r="A51" s="252"/>
      <c r="B51" s="275"/>
      <c r="C51" s="167"/>
      <c r="D51" s="167"/>
      <c r="E51" s="167"/>
      <c r="F51" s="167"/>
      <c r="G51" s="167"/>
      <c r="H51" s="167"/>
      <c r="I51" s="167"/>
      <c r="J51" s="167"/>
      <c r="K51" s="167"/>
      <c r="L51" s="167"/>
      <c r="M51" s="167"/>
      <c r="N51" s="167"/>
      <c r="O51" s="167"/>
      <c r="P51" s="167"/>
      <c r="Q51" s="167"/>
      <c r="R51" s="167"/>
      <c r="S51" s="167"/>
      <c r="T51" s="276"/>
    </row>
    <row r="52" spans="1:24" s="165" customFormat="1" ht="16" hidden="1">
      <c r="A52" s="252"/>
      <c r="B52" s="275"/>
      <c r="C52" s="167" t="s">
        <v>257</v>
      </c>
      <c r="D52" s="167"/>
      <c r="E52" s="167">
        <f>SUM(E50:E51)</f>
        <v>0</v>
      </c>
      <c r="F52" s="167"/>
      <c r="G52" s="167">
        <f>SUM(G50:G51)</f>
        <v>0</v>
      </c>
      <c r="H52" s="167"/>
      <c r="I52" s="167">
        <f>SUM(I50:I51)</f>
        <v>-25369000</v>
      </c>
      <c r="J52" s="167"/>
      <c r="K52" s="167"/>
      <c r="L52" s="167" t="s">
        <v>257</v>
      </c>
      <c r="M52" s="167"/>
      <c r="N52" s="167">
        <f>SUM(N50:N51)</f>
        <v>0</v>
      </c>
      <c r="O52" s="167"/>
      <c r="P52" s="167">
        <f>SUM(P50:P51)</f>
        <v>0</v>
      </c>
      <c r="Q52" s="167"/>
      <c r="R52" s="167">
        <f>SUM(R50:R51)</f>
        <v>6343406.7510000002</v>
      </c>
      <c r="S52" s="167"/>
      <c r="T52" s="276"/>
    </row>
    <row r="53" spans="1:24" s="165" customFormat="1" ht="16" hidden="1">
      <c r="A53" s="252"/>
      <c r="B53" s="275"/>
      <c r="C53" s="167"/>
      <c r="D53" s="167"/>
      <c r="E53" s="167">
        <f>+E40-N40</f>
        <v>0</v>
      </c>
      <c r="F53" s="167"/>
      <c r="G53" s="167">
        <f>+G40-P40</f>
        <v>8.400002121925354E-2</v>
      </c>
      <c r="H53" s="167"/>
      <c r="I53" s="167"/>
      <c r="J53" s="167"/>
      <c r="K53" s="167"/>
      <c r="L53" s="167"/>
      <c r="M53" s="167"/>
      <c r="N53" s="167"/>
      <c r="O53" s="167"/>
      <c r="P53" s="167"/>
      <c r="Q53" s="167"/>
      <c r="R53" s="167"/>
      <c r="S53" s="167"/>
      <c r="T53" s="276"/>
    </row>
    <row r="54" spans="1:24" s="165" customFormat="1" ht="16">
      <c r="A54" s="252"/>
      <c r="B54" s="275"/>
      <c r="C54" s="167"/>
      <c r="D54" s="167"/>
      <c r="E54" s="167"/>
      <c r="F54" s="167"/>
      <c r="G54" s="167"/>
      <c r="H54" s="167"/>
      <c r="I54" s="167"/>
      <c r="J54" s="167"/>
      <c r="K54" s="167"/>
      <c r="L54" s="167"/>
      <c r="M54" s="167"/>
      <c r="N54" s="167"/>
      <c r="O54" s="167"/>
      <c r="P54" s="167"/>
      <c r="Q54" s="167"/>
      <c r="R54" s="167"/>
      <c r="S54" s="167"/>
      <c r="T54" s="276"/>
      <c r="W54"/>
      <c r="X54"/>
    </row>
    <row r="55" spans="1:24" s="165" customFormat="1" ht="18">
      <c r="A55" s="252"/>
      <c r="B55" s="275"/>
      <c r="C55" s="277" t="s">
        <v>1573</v>
      </c>
      <c r="D55" s="278"/>
      <c r="E55" s="278"/>
      <c r="F55" s="278"/>
      <c r="G55" s="278"/>
      <c r="H55" s="278"/>
      <c r="I55" s="278"/>
      <c r="J55" s="278"/>
      <c r="K55" s="278"/>
      <c r="L55" s="278"/>
      <c r="M55" s="167"/>
      <c r="N55" s="167"/>
      <c r="O55" s="167"/>
      <c r="P55" s="167"/>
      <c r="Q55" s="167"/>
      <c r="R55" s="167"/>
      <c r="S55" s="167"/>
      <c r="T55" s="276"/>
      <c r="W55"/>
      <c r="X55"/>
    </row>
    <row r="56" spans="1:24" s="165" customFormat="1" ht="17" thickBot="1">
      <c r="A56" s="252"/>
      <c r="B56" s="279"/>
      <c r="C56" s="280"/>
      <c r="D56" s="280"/>
      <c r="E56" s="280"/>
      <c r="F56" s="280"/>
      <c r="G56" s="280"/>
      <c r="H56" s="280"/>
      <c r="I56" s="280"/>
      <c r="J56" s="280"/>
      <c r="K56" s="280"/>
      <c r="L56" s="280"/>
      <c r="M56" s="280"/>
      <c r="N56" s="280"/>
      <c r="O56" s="280"/>
      <c r="P56" s="280"/>
      <c r="Q56" s="280"/>
      <c r="R56" s="280"/>
      <c r="S56" s="280"/>
      <c r="T56" s="281"/>
      <c r="W56"/>
      <c r="X56"/>
    </row>
    <row r="57" spans="1:24" ht="14" thickTop="1"/>
    <row r="58" spans="1:24">
      <c r="C58" s="372"/>
      <c r="D58" s="372"/>
      <c r="E58" s="372"/>
    </row>
    <row r="59" spans="1:24">
      <c r="C59" s="372"/>
      <c r="D59" s="372"/>
      <c r="E59" s="372"/>
    </row>
    <row r="61" spans="1:24">
      <c r="C61" s="2"/>
      <c r="D61" s="89"/>
      <c r="E61" s="89"/>
      <c r="F61" s="89"/>
      <c r="G61" s="89"/>
      <c r="H61" s="89"/>
      <c r="I61" s="89"/>
      <c r="J61" s="89"/>
      <c r="K61" s="89"/>
      <c r="L61" s="89"/>
      <c r="M61" s="89"/>
    </row>
    <row r="62" spans="1:24">
      <c r="G62" s="88"/>
      <c r="H62" s="88"/>
      <c r="I62" s="88"/>
      <c r="J62" s="88"/>
      <c r="K62" s="88"/>
      <c r="L62" s="88"/>
    </row>
    <row r="67" spans="3:5">
      <c r="C67" s="372"/>
      <c r="D67" s="372"/>
      <c r="E67" s="372"/>
    </row>
    <row r="68" spans="3:5">
      <c r="C68" s="372"/>
      <c r="D68" s="372"/>
      <c r="E68" s="372"/>
    </row>
    <row r="95" spans="16:16">
      <c r="P95" s="1">
        <v>3</v>
      </c>
    </row>
  </sheetData>
  <mergeCells count="7">
    <mergeCell ref="C68:E68"/>
    <mergeCell ref="C67:E67"/>
    <mergeCell ref="C58:E58"/>
    <mergeCell ref="C59:E59"/>
    <mergeCell ref="B5:T5"/>
    <mergeCell ref="B7:T7"/>
    <mergeCell ref="B8:T8"/>
  </mergeCells>
  <phoneticPr fontId="4" type="noConversion"/>
  <pageMargins left="0.39370078740157483" right="0.31496062992125984" top="1.5879921259842522" bottom="0" header="0.19685039370078741" footer="0"/>
  <pageSetup paperSize="9" scale="57" orientation="portrait" r:id="rId1"/>
  <headerFooter alignWithMargins="0">
    <oddHeader>&amp;L&amp;20
&amp;G</oddHeader>
  </headerFooter>
  <ignoredErrors>
    <ignoredError sqref="F23" evalError="1"/>
    <ignoredError sqref="E22" formula="1"/>
  </ignoredErrors>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73"/>
  <sheetViews>
    <sheetView showGridLines="0" topLeftCell="A19" zoomScale="67" zoomScaleNormal="100" zoomScaleSheetLayoutView="130" workbookViewId="0">
      <selection activeCell="O57" sqref="O57"/>
    </sheetView>
  </sheetViews>
  <sheetFormatPr baseColWidth="10" defaultColWidth="11.5" defaultRowHeight="13"/>
  <cols>
    <col min="1" max="1" width="11.5" style="254"/>
    <col min="2" max="2" width="11.5" style="123"/>
    <col min="3" max="3" width="23.5" style="76" customWidth="1"/>
    <col min="4" max="4" width="27.5" style="76" bestFit="1" customWidth="1"/>
    <col min="5" max="5" width="23" style="76" customWidth="1"/>
    <col min="6" max="6" width="22.5" style="76" customWidth="1"/>
    <col min="7" max="7" width="10.1640625" style="76" customWidth="1"/>
    <col min="8" max="8" width="8.83203125" style="76" customWidth="1"/>
    <col min="9" max="16384" width="11.5" style="76"/>
  </cols>
  <sheetData>
    <row r="1" spans="2:13" s="254" customFormat="1" ht="14" thickBot="1"/>
    <row r="2" spans="2:13" ht="14.25" customHeight="1" thickTop="1">
      <c r="B2" s="268"/>
      <c r="C2" s="269"/>
      <c r="D2" s="269"/>
      <c r="E2" s="269"/>
      <c r="F2" s="269"/>
      <c r="G2" s="269"/>
      <c r="H2" s="270"/>
    </row>
    <row r="3" spans="2:13" ht="16">
      <c r="B3" s="271"/>
      <c r="C3" s="383" t="s">
        <v>723</v>
      </c>
      <c r="D3" s="383"/>
      <c r="E3" s="383"/>
      <c r="F3" s="383"/>
      <c r="G3" s="167"/>
      <c r="H3" s="272"/>
    </row>
    <row r="4" spans="2:13" ht="16">
      <c r="B4" s="271"/>
      <c r="C4" s="167"/>
      <c r="D4" s="167"/>
      <c r="E4" s="167"/>
      <c r="F4" s="167"/>
      <c r="G4" s="167"/>
      <c r="H4" s="272"/>
    </row>
    <row r="5" spans="2:13" ht="16">
      <c r="B5" s="271"/>
      <c r="C5" s="383" t="s">
        <v>4792</v>
      </c>
      <c r="D5" s="383"/>
      <c r="E5" s="383"/>
      <c r="F5" s="383"/>
      <c r="G5" s="383"/>
      <c r="H5" s="272"/>
    </row>
    <row r="6" spans="2:13" ht="16">
      <c r="B6" s="271"/>
      <c r="C6" s="384" t="s">
        <v>466</v>
      </c>
      <c r="D6" s="384"/>
      <c r="E6" s="384"/>
      <c r="F6" s="384"/>
      <c r="G6" s="384"/>
      <c r="H6" s="272"/>
    </row>
    <row r="7" spans="2:13" ht="16">
      <c r="B7" s="271"/>
      <c r="C7" s="167"/>
      <c r="D7" s="167"/>
      <c r="E7" s="167"/>
      <c r="F7" s="167"/>
      <c r="G7" s="167"/>
      <c r="H7" s="272"/>
    </row>
    <row r="8" spans="2:13" ht="16">
      <c r="B8" s="271"/>
      <c r="C8" s="384" t="s">
        <v>973</v>
      </c>
      <c r="D8" s="384"/>
      <c r="E8" s="384"/>
      <c r="F8" s="384"/>
      <c r="G8" s="384"/>
      <c r="H8" s="272"/>
    </row>
    <row r="9" spans="2:13" ht="16">
      <c r="B9" s="271"/>
      <c r="C9" s="167"/>
      <c r="D9" s="167"/>
      <c r="E9" s="167"/>
      <c r="F9" s="167"/>
      <c r="G9" s="167"/>
      <c r="H9" s="272"/>
    </row>
    <row r="10" spans="2:13" ht="12.75" customHeight="1">
      <c r="B10" s="271"/>
      <c r="C10" s="167" t="s">
        <v>4803</v>
      </c>
      <c r="D10" s="167"/>
      <c r="E10" s="167"/>
      <c r="F10" s="167"/>
      <c r="G10" s="167"/>
      <c r="H10" s="272"/>
      <c r="M10" s="372"/>
    </row>
    <row r="11" spans="2:13" ht="12.75" customHeight="1">
      <c r="B11" s="271"/>
      <c r="C11" s="167"/>
      <c r="D11" s="167"/>
      <c r="E11" s="167"/>
      <c r="F11" s="167"/>
      <c r="G11" s="167"/>
      <c r="H11" s="272"/>
      <c r="M11" s="372"/>
    </row>
    <row r="12" spans="2:13" ht="12.75" customHeight="1">
      <c r="B12" s="271"/>
      <c r="C12" s="167" t="s">
        <v>4804</v>
      </c>
      <c r="D12" s="167"/>
      <c r="E12" s="167"/>
      <c r="F12" s="167"/>
      <c r="G12" s="167"/>
      <c r="H12" s="272"/>
      <c r="M12" s="372"/>
    </row>
    <row r="13" spans="2:13" ht="12" customHeight="1">
      <c r="B13" s="271"/>
      <c r="C13" s="167"/>
      <c r="D13" s="167"/>
      <c r="E13" s="167"/>
      <c r="F13" s="167"/>
      <c r="G13" s="167"/>
      <c r="H13" s="272"/>
    </row>
    <row r="14" spans="2:13" ht="16">
      <c r="B14" s="271"/>
      <c r="C14" s="167" t="s">
        <v>974</v>
      </c>
      <c r="D14" s="167"/>
      <c r="E14" s="167"/>
      <c r="F14" s="167"/>
      <c r="G14" s="167"/>
      <c r="H14" s="272"/>
    </row>
    <row r="15" spans="2:13" ht="12" customHeight="1">
      <c r="B15" s="271"/>
      <c r="C15" s="167"/>
      <c r="D15" s="167"/>
      <c r="E15" s="167"/>
      <c r="F15" s="167"/>
      <c r="G15" s="167"/>
      <c r="H15" s="272"/>
    </row>
    <row r="16" spans="2:13" ht="12.75" customHeight="1">
      <c r="B16" s="271"/>
      <c r="C16" s="167" t="s">
        <v>4805</v>
      </c>
      <c r="D16" s="167"/>
      <c r="E16" s="167"/>
      <c r="F16" s="167"/>
      <c r="G16" s="167"/>
      <c r="H16" s="272"/>
      <c r="M16" s="372"/>
    </row>
    <row r="17" spans="2:13" ht="12.75" customHeight="1">
      <c r="B17" s="271"/>
      <c r="C17" s="167"/>
      <c r="D17" s="167"/>
      <c r="E17" s="167"/>
      <c r="F17" s="167"/>
      <c r="G17" s="167"/>
      <c r="H17" s="272"/>
      <c r="M17" s="372"/>
    </row>
    <row r="18" spans="2:13" ht="24" customHeight="1">
      <c r="B18" s="271"/>
      <c r="C18" s="540" t="s">
        <v>975</v>
      </c>
      <c r="D18" s="540"/>
      <c r="E18" s="540"/>
      <c r="F18" s="540"/>
      <c r="G18" s="540"/>
      <c r="H18" s="272"/>
    </row>
    <row r="19" spans="2:13" ht="61" customHeight="1">
      <c r="B19" s="271"/>
      <c r="C19" s="259" t="s">
        <v>976</v>
      </c>
      <c r="D19" s="259" t="s">
        <v>977</v>
      </c>
      <c r="E19" s="259" t="s">
        <v>978</v>
      </c>
      <c r="F19" s="434" t="s">
        <v>979</v>
      </c>
      <c r="G19" s="434"/>
      <c r="H19" s="537"/>
      <c r="I19" s="22"/>
      <c r="J19" s="22"/>
    </row>
    <row r="20" spans="2:13" ht="16">
      <c r="B20" s="271"/>
      <c r="C20" s="266" t="s">
        <v>785</v>
      </c>
      <c r="D20" s="218">
        <f>+'Anexo D'!D16+'Anexo D'!G18</f>
        <v>4364093.3</v>
      </c>
      <c r="E20" s="266" t="s">
        <v>989</v>
      </c>
      <c r="F20" s="479">
        <v>0</v>
      </c>
      <c r="G20" s="479"/>
      <c r="H20" s="537" t="e">
        <f>+D20-BG!E17-BG!#REF!</f>
        <v>#REF!</v>
      </c>
      <c r="I20" s="22"/>
      <c r="J20" s="22"/>
    </row>
    <row r="21" spans="2:13" ht="16">
      <c r="B21" s="271"/>
      <c r="C21" s="167"/>
      <c r="D21" s="167"/>
      <c r="E21" s="167"/>
      <c r="F21" s="167"/>
      <c r="G21" s="167"/>
      <c r="H21" s="537"/>
      <c r="I21" s="22"/>
      <c r="J21" s="22"/>
    </row>
    <row r="22" spans="2:13" ht="15.75" customHeight="1">
      <c r="B22" s="271"/>
      <c r="C22" s="540" t="s">
        <v>980</v>
      </c>
      <c r="D22" s="540"/>
      <c r="E22" s="540"/>
      <c r="F22" s="540"/>
      <c r="G22" s="540"/>
      <c r="H22" s="537"/>
      <c r="I22" s="22"/>
      <c r="J22" s="22"/>
    </row>
    <row r="23" spans="2:13" s="238" customFormat="1" ht="17">
      <c r="B23" s="553"/>
      <c r="C23" s="260" t="s">
        <v>976</v>
      </c>
      <c r="D23" s="260" t="s">
        <v>981</v>
      </c>
      <c r="E23" s="260" t="s">
        <v>982</v>
      </c>
      <c r="F23" s="434" t="s">
        <v>983</v>
      </c>
      <c r="G23" s="434"/>
      <c r="H23" s="554"/>
      <c r="I23" s="239"/>
      <c r="J23" s="239"/>
    </row>
    <row r="24" spans="2:13" ht="104" customHeight="1">
      <c r="B24" s="271"/>
      <c r="C24" s="229" t="s">
        <v>984</v>
      </c>
      <c r="D24" s="265">
        <v>0</v>
      </c>
      <c r="E24" s="265">
        <v>0</v>
      </c>
      <c r="F24" s="478">
        <v>0</v>
      </c>
      <c r="G24" s="478"/>
      <c r="H24" s="537"/>
      <c r="I24" s="22"/>
      <c r="J24" s="22"/>
    </row>
    <row r="25" spans="2:13" ht="16">
      <c r="B25" s="271"/>
      <c r="C25" s="167"/>
      <c r="D25" s="167"/>
      <c r="E25" s="167"/>
      <c r="F25" s="167"/>
      <c r="G25" s="167"/>
      <c r="H25" s="537"/>
      <c r="I25" s="22"/>
      <c r="J25" s="22"/>
    </row>
    <row r="26" spans="2:13" ht="16" hidden="1">
      <c r="B26" s="271"/>
      <c r="C26" s="167" t="s">
        <v>987</v>
      </c>
      <c r="D26" s="167"/>
      <c r="E26" s="167"/>
      <c r="F26" s="167"/>
      <c r="G26" s="167"/>
      <c r="H26" s="537"/>
      <c r="I26" s="22"/>
      <c r="J26" s="22"/>
    </row>
    <row r="27" spans="2:13" ht="16" hidden="1">
      <c r="B27" s="271"/>
      <c r="C27" s="167"/>
      <c r="D27" s="167"/>
      <c r="E27" s="167"/>
      <c r="F27" s="167"/>
      <c r="G27" s="167"/>
      <c r="H27" s="537"/>
      <c r="I27" s="22"/>
      <c r="J27" s="22"/>
    </row>
    <row r="28" spans="2:13" ht="16" hidden="1">
      <c r="B28" s="271"/>
      <c r="C28" s="167" t="s">
        <v>985</v>
      </c>
      <c r="D28" s="167" t="s">
        <v>986</v>
      </c>
      <c r="E28" s="167"/>
      <c r="F28" s="167"/>
      <c r="G28" s="167"/>
      <c r="H28" s="537"/>
      <c r="I28" s="22"/>
      <c r="J28" s="22"/>
    </row>
    <row r="29" spans="2:13" ht="16" hidden="1">
      <c r="B29" s="271"/>
      <c r="C29" s="167"/>
      <c r="D29" s="167"/>
      <c r="E29" s="167"/>
      <c r="F29" s="167"/>
      <c r="G29" s="167"/>
      <c r="H29" s="537"/>
      <c r="I29" s="22"/>
      <c r="J29" s="22"/>
    </row>
    <row r="30" spans="2:13" ht="16" hidden="1">
      <c r="B30" s="271"/>
      <c r="C30" s="167"/>
      <c r="D30" s="167"/>
      <c r="E30" s="167"/>
      <c r="F30" s="167"/>
      <c r="G30" s="167"/>
      <c r="H30" s="537"/>
      <c r="I30" s="22"/>
      <c r="J30" s="22"/>
    </row>
    <row r="31" spans="2:13" ht="16" hidden="1">
      <c r="B31" s="271"/>
      <c r="C31" s="167"/>
      <c r="D31" s="167"/>
      <c r="E31" s="167"/>
      <c r="F31" s="167"/>
      <c r="G31" s="167"/>
      <c r="H31" s="537"/>
      <c r="I31" s="22"/>
      <c r="J31" s="22"/>
    </row>
    <row r="32" spans="2:13" ht="16" hidden="1">
      <c r="B32" s="271"/>
      <c r="C32" s="167"/>
      <c r="D32" s="167"/>
      <c r="E32" s="167"/>
      <c r="F32" s="167"/>
      <c r="G32" s="167"/>
      <c r="H32" s="537"/>
      <c r="I32" s="22"/>
      <c r="J32" s="22"/>
    </row>
    <row r="33" spans="2:10" ht="16">
      <c r="B33" s="271"/>
      <c r="C33" s="167" t="s">
        <v>4806</v>
      </c>
      <c r="D33" s="167"/>
      <c r="E33" s="167"/>
      <c r="F33" s="167"/>
      <c r="G33" s="167"/>
      <c r="H33" s="537"/>
      <c r="I33" s="22"/>
      <c r="J33" s="22"/>
    </row>
    <row r="34" spans="2:10" ht="16">
      <c r="B34" s="271"/>
      <c r="C34" s="167" t="s">
        <v>996</v>
      </c>
      <c r="D34" s="167"/>
      <c r="E34" s="167"/>
      <c r="F34" s="167"/>
      <c r="G34" s="167"/>
      <c r="H34" s="537"/>
      <c r="I34" s="22"/>
      <c r="J34" s="22"/>
    </row>
    <row r="35" spans="2:10" ht="16">
      <c r="B35" s="271"/>
      <c r="C35" s="163" t="s">
        <v>988</v>
      </c>
      <c r="D35" s="167"/>
      <c r="E35" s="167"/>
      <c r="F35" s="167"/>
      <c r="G35" s="167"/>
      <c r="H35" s="537"/>
      <c r="I35" s="22"/>
      <c r="J35" s="22"/>
    </row>
    <row r="36" spans="2:10" ht="16">
      <c r="B36" s="271"/>
      <c r="C36" s="163" t="s">
        <v>754</v>
      </c>
      <c r="D36" s="167"/>
      <c r="E36" s="167"/>
      <c r="F36" s="167"/>
      <c r="G36" s="167"/>
      <c r="H36" s="537"/>
      <c r="I36" s="22"/>
      <c r="J36" s="22"/>
    </row>
    <row r="37" spans="2:10" ht="16">
      <c r="B37" s="271"/>
      <c r="C37" s="542" t="s">
        <v>990</v>
      </c>
      <c r="D37" s="542" t="s">
        <v>991</v>
      </c>
      <c r="E37" s="542" t="s">
        <v>4700</v>
      </c>
      <c r="F37" s="542" t="s">
        <v>1100</v>
      </c>
      <c r="G37" s="167"/>
      <c r="H37" s="537"/>
      <c r="I37" s="22"/>
      <c r="J37" s="22"/>
    </row>
    <row r="38" spans="2:10" ht="16">
      <c r="B38" s="271"/>
      <c r="C38" s="167"/>
      <c r="D38" s="167"/>
      <c r="E38" s="167"/>
      <c r="F38" s="167"/>
      <c r="G38" s="167"/>
      <c r="H38" s="537"/>
      <c r="I38" s="22"/>
      <c r="J38" s="22"/>
    </row>
    <row r="39" spans="2:10" ht="16">
      <c r="B39" s="271"/>
      <c r="C39" s="167" t="s">
        <v>782</v>
      </c>
      <c r="D39" s="167" t="s">
        <v>1087</v>
      </c>
      <c r="E39" s="226">
        <f>+'Anexo D'!G15</f>
        <v>0</v>
      </c>
      <c r="F39" s="226">
        <f>+'Anexo D'!H15</f>
        <v>0</v>
      </c>
      <c r="G39" s="167"/>
      <c r="H39" s="537"/>
      <c r="I39" s="22"/>
      <c r="J39" s="22"/>
    </row>
    <row r="40" spans="2:10" ht="16">
      <c r="B40" s="271"/>
      <c r="C40" s="167" t="s">
        <v>785</v>
      </c>
      <c r="D40" s="167" t="s">
        <v>1087</v>
      </c>
      <c r="E40" s="226">
        <f>+'Anexo D'!G16+'Anexo D'!D18</f>
        <v>4364093.3</v>
      </c>
      <c r="F40" s="226">
        <f>+'Anexo D'!H16</f>
        <v>10158445.216</v>
      </c>
      <c r="G40" s="167"/>
      <c r="H40" s="537"/>
      <c r="I40" s="22"/>
      <c r="J40" s="22"/>
    </row>
    <row r="41" spans="2:10" ht="17" thickBot="1">
      <c r="B41" s="271"/>
      <c r="C41" s="167"/>
      <c r="D41" s="167"/>
      <c r="E41" s="237">
        <f>SUM(E39:E40)</f>
        <v>4364093.3</v>
      </c>
      <c r="F41" s="237">
        <f>SUM(F39:F40)</f>
        <v>10158445.216</v>
      </c>
      <c r="G41" s="167"/>
      <c r="H41" s="555">
        <f>+E41-BG!E17</f>
        <v>0.29999999981373549</v>
      </c>
      <c r="I41" s="22">
        <f>+F41-BG!G17</f>
        <v>0</v>
      </c>
      <c r="J41" s="22"/>
    </row>
    <row r="42" spans="2:10" ht="16">
      <c r="B42" s="271"/>
      <c r="C42" s="167"/>
      <c r="D42" s="167"/>
      <c r="E42" s="167"/>
      <c r="F42" s="167"/>
      <c r="G42" s="167"/>
      <c r="H42" s="537"/>
      <c r="I42" s="22"/>
      <c r="J42" s="22"/>
    </row>
    <row r="43" spans="2:10" ht="16">
      <c r="B43" s="271"/>
      <c r="C43" s="163" t="s">
        <v>764</v>
      </c>
      <c r="D43" s="167"/>
      <c r="E43" s="167"/>
      <c r="F43" s="167"/>
      <c r="G43" s="167"/>
      <c r="H43" s="537"/>
      <c r="I43" s="22"/>
      <c r="J43" s="22"/>
    </row>
    <row r="44" spans="2:10" ht="17" thickBot="1">
      <c r="B44" s="271"/>
      <c r="C44" s="167" t="s">
        <v>782</v>
      </c>
      <c r="D44" s="167" t="s">
        <v>992</v>
      </c>
      <c r="E44" s="237">
        <f>+'Anexo D'!G23</f>
        <v>14167706.577</v>
      </c>
      <c r="F44" s="237">
        <f>+'Anexo D'!H23</f>
        <v>17838304.206</v>
      </c>
      <c r="G44" s="167"/>
      <c r="H44" s="537">
        <f>+E44-BG!E23</f>
        <v>-0.42300000041723251</v>
      </c>
      <c r="I44" s="22">
        <f>+F44-BG!G23</f>
        <v>0</v>
      </c>
      <c r="J44" s="22"/>
    </row>
    <row r="45" spans="2:10" ht="16">
      <c r="B45" s="271"/>
      <c r="C45" s="167"/>
      <c r="D45" s="167"/>
      <c r="E45" s="167"/>
      <c r="F45" s="167"/>
      <c r="G45" s="167"/>
      <c r="H45" s="537"/>
      <c r="I45" s="22"/>
      <c r="J45" s="22"/>
    </row>
    <row r="46" spans="2:10" ht="16">
      <c r="B46" s="271"/>
      <c r="C46" s="167" t="s">
        <v>997</v>
      </c>
      <c r="D46" s="167"/>
      <c r="E46" s="167"/>
      <c r="F46" s="167"/>
      <c r="G46" s="167"/>
      <c r="H46" s="537"/>
      <c r="I46" s="22"/>
      <c r="J46" s="22"/>
    </row>
    <row r="47" spans="2:10" ht="16">
      <c r="B47" s="271"/>
      <c r="C47" s="542" t="s">
        <v>990</v>
      </c>
      <c r="D47" s="542" t="s">
        <v>991</v>
      </c>
      <c r="E47" s="542" t="s">
        <v>4700</v>
      </c>
      <c r="F47" s="542" t="s">
        <v>1100</v>
      </c>
      <c r="G47" s="167"/>
      <c r="H47" s="537"/>
      <c r="I47" s="22"/>
      <c r="J47" s="22"/>
    </row>
    <row r="48" spans="2:10" ht="16">
      <c r="B48" s="271"/>
      <c r="C48" s="167"/>
      <c r="D48" s="167"/>
      <c r="E48" s="167"/>
      <c r="F48" s="167"/>
      <c r="G48" s="167"/>
      <c r="H48" s="537"/>
      <c r="I48" s="22"/>
      <c r="J48" s="22"/>
    </row>
    <row r="49" spans="2:10" ht="16">
      <c r="B49" s="271"/>
      <c r="C49" s="163" t="s">
        <v>993</v>
      </c>
      <c r="D49" s="167"/>
      <c r="E49" s="167"/>
      <c r="F49" s="167"/>
      <c r="G49" s="167"/>
      <c r="H49" s="537"/>
      <c r="I49" s="22"/>
      <c r="J49" s="22"/>
    </row>
    <row r="50" spans="2:10" ht="16">
      <c r="B50" s="271"/>
      <c r="C50" s="167" t="s">
        <v>782</v>
      </c>
      <c r="D50" s="167" t="s">
        <v>994</v>
      </c>
      <c r="E50" s="226">
        <v>0</v>
      </c>
      <c r="F50" s="226">
        <f>100073806/1000</f>
        <v>100073.806</v>
      </c>
      <c r="G50" s="167"/>
      <c r="H50" s="537"/>
      <c r="I50" s="22"/>
      <c r="J50" s="22"/>
    </row>
    <row r="51" spans="2:10" ht="16">
      <c r="B51" s="271"/>
      <c r="C51" s="167" t="s">
        <v>785</v>
      </c>
      <c r="D51" s="167" t="s">
        <v>994</v>
      </c>
      <c r="E51" s="226">
        <f>1244024509/1000</f>
        <v>1244024.5090000001</v>
      </c>
      <c r="F51" s="226">
        <f>1180665560/1000</f>
        <v>1180665.56</v>
      </c>
      <c r="G51" s="167"/>
      <c r="H51" s="537"/>
      <c r="I51" s="22"/>
      <c r="J51" s="22"/>
    </row>
    <row r="52" spans="2:10" ht="17" thickBot="1">
      <c r="B52" s="271"/>
      <c r="C52" s="167"/>
      <c r="D52" s="167"/>
      <c r="E52" s="237">
        <f>+E50+E51</f>
        <v>1244024.5090000001</v>
      </c>
      <c r="F52" s="237">
        <f>+F50+F51</f>
        <v>1280739.3660000002</v>
      </c>
      <c r="G52" s="167"/>
      <c r="H52" s="537">
        <f>+E52-(COMPARATIVO!AP299/1000)</f>
        <v>-138587.67999999993</v>
      </c>
      <c r="I52" s="22">
        <f>+F52-(COMPARATIVO!AF299/1000)</f>
        <v>0</v>
      </c>
      <c r="J52" s="22"/>
    </row>
    <row r="53" spans="2:10" ht="16">
      <c r="B53" s="271"/>
      <c r="C53" s="167"/>
      <c r="D53" s="167"/>
      <c r="E53" s="226"/>
      <c r="F53" s="226"/>
      <c r="G53" s="167"/>
      <c r="H53" s="537"/>
      <c r="I53" s="22"/>
      <c r="J53" s="22"/>
    </row>
    <row r="54" spans="2:10" ht="16">
      <c r="B54" s="271"/>
      <c r="C54" s="167" t="s">
        <v>785</v>
      </c>
      <c r="D54" s="167" t="s">
        <v>1069</v>
      </c>
      <c r="E54" s="226">
        <v>0</v>
      </c>
      <c r="F54" s="226">
        <v>3195997.9439999983</v>
      </c>
      <c r="G54" s="167"/>
      <c r="H54" s="537"/>
      <c r="I54" s="22"/>
      <c r="J54" s="22"/>
    </row>
    <row r="55" spans="2:10" ht="16">
      <c r="B55" s="271"/>
      <c r="C55" s="167" t="s">
        <v>782</v>
      </c>
      <c r="D55" s="167" t="s">
        <v>1069</v>
      </c>
      <c r="E55" s="226">
        <v>0</v>
      </c>
      <c r="F55" s="226">
        <f>(62954399+287254099)/1000</f>
        <v>350208.49800000002</v>
      </c>
      <c r="G55" s="167"/>
      <c r="H55" s="537"/>
      <c r="I55" s="22"/>
      <c r="J55" s="22"/>
    </row>
    <row r="56" spans="2:10" ht="17" thickBot="1">
      <c r="B56" s="271"/>
      <c r="C56" s="167"/>
      <c r="D56" s="167"/>
      <c r="E56" s="237">
        <f>+E54+E55</f>
        <v>0</v>
      </c>
      <c r="F56" s="237">
        <f>+F54+F55</f>
        <v>3546206.4419999984</v>
      </c>
      <c r="G56" s="167"/>
      <c r="H56" s="537" t="s">
        <v>1086</v>
      </c>
      <c r="I56" s="22"/>
      <c r="J56" s="22"/>
    </row>
    <row r="57" spans="2:10" ht="16">
      <c r="B57" s="271"/>
      <c r="C57" s="163" t="s">
        <v>995</v>
      </c>
      <c r="D57" s="167"/>
      <c r="E57" s="226"/>
      <c r="F57" s="226"/>
      <c r="G57" s="167"/>
      <c r="H57" s="537"/>
      <c r="I57" s="22"/>
      <c r="J57" s="22"/>
    </row>
    <row r="58" spans="2:10" ht="16">
      <c r="B58" s="271"/>
      <c r="C58" s="167" t="s">
        <v>782</v>
      </c>
      <c r="D58" s="167" t="s">
        <v>998</v>
      </c>
      <c r="E58" s="226">
        <f>(54727273+54909091+55727273+56818182+56454545+41386364+39886364+41931818+42409091+43500000+42852273+47873106+43295455)/1000</f>
        <v>621770.83499999996</v>
      </c>
      <c r="F58" s="226">
        <v>16500</v>
      </c>
      <c r="G58" s="167"/>
      <c r="H58" s="537"/>
      <c r="I58" s="22"/>
      <c r="J58" s="22"/>
    </row>
    <row r="59" spans="2:10" ht="16">
      <c r="B59" s="271"/>
      <c r="C59" s="167" t="s">
        <v>783</v>
      </c>
      <c r="D59" s="167" t="s">
        <v>998</v>
      </c>
      <c r="E59" s="226">
        <f>(6110000+6080000+6170000+6250000+6330000+6220000+6020000+6190000+6410000+6440000+6440000+6440000)/1000</f>
        <v>75100</v>
      </c>
      <c r="F59" s="226">
        <f>69245000/1000</f>
        <v>69245</v>
      </c>
      <c r="G59" s="167"/>
      <c r="H59" s="537"/>
      <c r="I59" s="22"/>
      <c r="J59" s="22"/>
    </row>
    <row r="60" spans="2:10" ht="17" thickBot="1">
      <c r="B60" s="271"/>
      <c r="C60" s="167"/>
      <c r="D60" s="167"/>
      <c r="E60" s="237">
        <f>SUM(E58:E59)</f>
        <v>696870.83499999996</v>
      </c>
      <c r="F60" s="237">
        <f>SUM(F58:F59)</f>
        <v>85745</v>
      </c>
      <c r="G60" s="167"/>
      <c r="H60" s="537">
        <f>+E60-(COMPARATIVO!AP347/1000)</f>
        <v>-246333.33400000003</v>
      </c>
      <c r="I60" s="22">
        <f>+F60-COMPARATIVO!AH347/1000</f>
        <v>0</v>
      </c>
      <c r="J60" s="22"/>
    </row>
    <row r="61" spans="2:10" ht="16">
      <c r="B61" s="271"/>
      <c r="C61" s="167"/>
      <c r="D61" s="167"/>
      <c r="E61" s="226"/>
      <c r="F61" s="226"/>
      <c r="G61" s="167"/>
      <c r="H61" s="537"/>
      <c r="I61" s="22"/>
      <c r="J61" s="22"/>
    </row>
    <row r="62" spans="2:10" ht="16">
      <c r="B62" s="271"/>
      <c r="C62" s="167" t="s">
        <v>782</v>
      </c>
      <c r="D62" s="167" t="s">
        <v>784</v>
      </c>
      <c r="E62" s="226">
        <v>0</v>
      </c>
      <c r="F62" s="226">
        <v>753227.27300000004</v>
      </c>
      <c r="G62" s="167"/>
      <c r="H62" s="537"/>
      <c r="I62" s="22"/>
      <c r="J62" s="22"/>
    </row>
    <row r="63" spans="2:10" ht="17" thickBot="1">
      <c r="B63" s="271"/>
      <c r="C63" s="167"/>
      <c r="D63" s="167"/>
      <c r="E63" s="237">
        <f>SUM(E62:E62)</f>
        <v>0</v>
      </c>
      <c r="F63" s="237">
        <f>SUM(F62:F62)</f>
        <v>753227.27300000004</v>
      </c>
      <c r="G63" s="167"/>
      <c r="H63" s="537"/>
      <c r="I63" s="22"/>
      <c r="J63" s="22"/>
    </row>
    <row r="64" spans="2:10">
      <c r="B64" s="271"/>
      <c r="C64" s="258"/>
      <c r="D64" s="258"/>
      <c r="E64" s="44"/>
      <c r="F64" s="44"/>
      <c r="G64" s="258"/>
      <c r="H64" s="537"/>
      <c r="I64" s="22"/>
      <c r="J64" s="22"/>
    </row>
    <row r="65" spans="2:10" ht="14" thickBot="1">
      <c r="B65" s="292"/>
      <c r="C65" s="325"/>
      <c r="D65" s="325"/>
      <c r="E65" s="326"/>
      <c r="F65" s="326"/>
      <c r="G65" s="325"/>
      <c r="H65" s="547"/>
      <c r="I65" s="22"/>
      <c r="J65" s="22"/>
    </row>
    <row r="66" spans="2:10" ht="14" thickTop="1">
      <c r="E66" s="50"/>
      <c r="F66" s="50"/>
      <c r="H66" s="22"/>
      <c r="I66" s="22"/>
      <c r="J66" s="22"/>
    </row>
    <row r="67" spans="2:10">
      <c r="E67" s="50"/>
      <c r="F67" s="50"/>
      <c r="H67" s="22"/>
      <c r="I67" s="22"/>
      <c r="J67" s="22"/>
    </row>
    <row r="68" spans="2:10">
      <c r="H68" s="22"/>
      <c r="I68" s="22"/>
      <c r="J68" s="22"/>
    </row>
    <row r="69" spans="2:10">
      <c r="H69" s="22"/>
      <c r="I69" s="22"/>
      <c r="J69" s="22"/>
    </row>
    <row r="70" spans="2:10">
      <c r="H70" s="22"/>
      <c r="I70" s="22"/>
      <c r="J70" s="22"/>
    </row>
    <row r="71" spans="2:10">
      <c r="H71" s="22"/>
      <c r="I71" s="22"/>
      <c r="J71" s="22"/>
    </row>
    <row r="73" spans="2:10">
      <c r="D73" s="402"/>
      <c r="E73" s="402"/>
    </row>
  </sheetData>
  <mergeCells count="13">
    <mergeCell ref="D73:E73"/>
    <mergeCell ref="M16:M17"/>
    <mergeCell ref="M10:M12"/>
    <mergeCell ref="C3:F3"/>
    <mergeCell ref="F23:G23"/>
    <mergeCell ref="F24:G24"/>
    <mergeCell ref="C18:G18"/>
    <mergeCell ref="F19:G19"/>
    <mergeCell ref="F20:G20"/>
    <mergeCell ref="C22:G22"/>
    <mergeCell ref="C5:G5"/>
    <mergeCell ref="C6:G6"/>
    <mergeCell ref="C8:G8"/>
  </mergeCells>
  <pageMargins left="0.9055118110236221" right="0.11811023622047245" top="0.94488188976377963" bottom="0" header="0.31496062992125984" footer="0.31496062992125984"/>
  <pageSetup paperSize="9" scale="75" orientation="portrait" r:id="rId1"/>
  <headerFooter>
    <oddHeader>&amp;L&amp;G&amp;C&amp;P</oddHeader>
  </headerFooter>
  <colBreaks count="1" manualBreakCount="1">
    <brk id="12" max="1048575" man="1"/>
  </colBreaks>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election activeCell="C3" sqref="C3"/>
    </sheetView>
  </sheetViews>
  <sheetFormatPr baseColWidth="10" defaultRowHeight="13"/>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tabColor rgb="FFFFFF00"/>
  </sheetPr>
  <dimension ref="A2:O528"/>
  <sheetViews>
    <sheetView topLeftCell="A378" workbookViewId="0">
      <selection activeCell="N417" sqref="N417"/>
    </sheetView>
  </sheetViews>
  <sheetFormatPr baseColWidth="10" defaultRowHeight="13"/>
  <cols>
    <col min="2" max="2" width="26.1640625" customWidth="1"/>
    <col min="3" max="3" width="15.5" customWidth="1"/>
    <col min="4" max="4" width="17.83203125" customWidth="1"/>
    <col min="5" max="5" width="5.1640625" customWidth="1"/>
    <col min="6" max="6" width="12.83203125" customWidth="1"/>
    <col min="7" max="7" width="15.5" style="74" bestFit="1" customWidth="1"/>
    <col min="8" max="8" width="45.33203125" customWidth="1"/>
    <col min="10" max="10" width="11.5" style="54"/>
    <col min="11" max="12" width="0" hidden="1" customWidth="1"/>
  </cols>
  <sheetData>
    <row r="2" spans="1:12" hidden="1">
      <c r="A2">
        <v>422020100</v>
      </c>
      <c r="B2" t="s">
        <v>1992</v>
      </c>
      <c r="C2">
        <v>267</v>
      </c>
      <c r="D2" t="s">
        <v>1993</v>
      </c>
      <c r="E2">
        <v>26</v>
      </c>
      <c r="F2">
        <v>1254</v>
      </c>
      <c r="G2">
        <v>1500000</v>
      </c>
      <c r="H2" t="s">
        <v>1994</v>
      </c>
      <c r="I2">
        <v>0</v>
      </c>
      <c r="J2">
        <v>43480</v>
      </c>
      <c r="K2">
        <v>45</v>
      </c>
      <c r="L2" t="s">
        <v>1995</v>
      </c>
    </row>
    <row r="3" spans="1:12" hidden="1">
      <c r="A3">
        <v>422020100</v>
      </c>
      <c r="B3" t="s">
        <v>1992</v>
      </c>
      <c r="C3">
        <v>267</v>
      </c>
      <c r="D3" t="s">
        <v>1993</v>
      </c>
      <c r="E3">
        <v>26</v>
      </c>
      <c r="F3">
        <v>1275</v>
      </c>
      <c r="G3">
        <v>3000000</v>
      </c>
      <c r="H3" t="s">
        <v>1996</v>
      </c>
      <c r="I3">
        <v>0</v>
      </c>
      <c r="J3">
        <v>43511</v>
      </c>
      <c r="K3">
        <v>45</v>
      </c>
      <c r="L3" t="s">
        <v>1995</v>
      </c>
    </row>
    <row r="4" spans="1:12" hidden="1">
      <c r="A4">
        <v>422020100</v>
      </c>
      <c r="B4" t="s">
        <v>1992</v>
      </c>
      <c r="C4">
        <v>267</v>
      </c>
      <c r="D4" t="s">
        <v>1993</v>
      </c>
      <c r="E4">
        <v>26</v>
      </c>
      <c r="F4">
        <v>1403</v>
      </c>
      <c r="G4">
        <v>3500000</v>
      </c>
      <c r="H4" t="s">
        <v>1997</v>
      </c>
      <c r="I4">
        <v>0</v>
      </c>
      <c r="J4">
        <v>43539</v>
      </c>
      <c r="K4">
        <v>45</v>
      </c>
      <c r="L4" t="s">
        <v>1995</v>
      </c>
    </row>
    <row r="5" spans="1:12" hidden="1">
      <c r="A5">
        <v>422020100</v>
      </c>
      <c r="B5" t="s">
        <v>1992</v>
      </c>
      <c r="C5">
        <v>267</v>
      </c>
      <c r="D5" t="s">
        <v>1993</v>
      </c>
      <c r="E5">
        <v>26</v>
      </c>
      <c r="F5">
        <v>1422</v>
      </c>
      <c r="G5">
        <v>2000000</v>
      </c>
      <c r="H5" t="s">
        <v>1998</v>
      </c>
      <c r="I5">
        <v>0</v>
      </c>
      <c r="J5">
        <v>43570</v>
      </c>
      <c r="K5">
        <v>45</v>
      </c>
      <c r="L5" t="s">
        <v>1995</v>
      </c>
    </row>
    <row r="6" spans="1:12" hidden="1">
      <c r="A6">
        <v>422020100</v>
      </c>
      <c r="B6" t="s">
        <v>1992</v>
      </c>
      <c r="C6">
        <v>267</v>
      </c>
      <c r="D6" t="s">
        <v>1993</v>
      </c>
      <c r="E6">
        <v>26</v>
      </c>
      <c r="F6">
        <v>1443</v>
      </c>
      <c r="G6">
        <v>2000000</v>
      </c>
      <c r="H6" t="s">
        <v>1999</v>
      </c>
      <c r="I6">
        <v>0</v>
      </c>
      <c r="J6">
        <v>43598</v>
      </c>
      <c r="K6">
        <v>45</v>
      </c>
      <c r="L6" t="s">
        <v>1995</v>
      </c>
    </row>
    <row r="7" spans="1:12" hidden="1">
      <c r="A7">
        <v>422020100</v>
      </c>
      <c r="B7" t="s">
        <v>1992</v>
      </c>
      <c r="C7">
        <v>267</v>
      </c>
      <c r="D7" t="s">
        <v>1993</v>
      </c>
      <c r="E7">
        <v>26</v>
      </c>
      <c r="F7">
        <v>31052019</v>
      </c>
      <c r="G7">
        <v>1000000</v>
      </c>
      <c r="H7" t="s">
        <v>2000</v>
      </c>
      <c r="I7">
        <v>0</v>
      </c>
      <c r="J7">
        <v>43616</v>
      </c>
      <c r="K7">
        <v>45</v>
      </c>
      <c r="L7" t="s">
        <v>1995</v>
      </c>
    </row>
    <row r="8" spans="1:12" hidden="1">
      <c r="A8">
        <v>422020100</v>
      </c>
      <c r="B8" t="s">
        <v>1992</v>
      </c>
      <c r="C8">
        <v>267</v>
      </c>
      <c r="D8" t="s">
        <v>1993</v>
      </c>
      <c r="E8">
        <v>26</v>
      </c>
      <c r="F8">
        <v>1620</v>
      </c>
      <c r="G8">
        <v>3000000</v>
      </c>
      <c r="H8" t="s">
        <v>2001</v>
      </c>
      <c r="I8">
        <v>0</v>
      </c>
      <c r="J8">
        <v>43630</v>
      </c>
      <c r="K8">
        <v>45</v>
      </c>
      <c r="L8" t="s">
        <v>1995</v>
      </c>
    </row>
    <row r="9" spans="1:12" hidden="1">
      <c r="A9">
        <v>422020100</v>
      </c>
      <c r="B9" t="s">
        <v>1992</v>
      </c>
      <c r="C9">
        <v>267</v>
      </c>
      <c r="D9" t="s">
        <v>1993</v>
      </c>
      <c r="E9">
        <v>26</v>
      </c>
      <c r="F9">
        <v>28062019</v>
      </c>
      <c r="G9">
        <v>1000000</v>
      </c>
      <c r="H9" t="s">
        <v>2002</v>
      </c>
      <c r="I9">
        <v>0</v>
      </c>
      <c r="J9">
        <v>43644</v>
      </c>
      <c r="K9">
        <v>45</v>
      </c>
      <c r="L9" t="s">
        <v>1995</v>
      </c>
    </row>
    <row r="10" spans="1:12" hidden="1">
      <c r="A10">
        <v>422020100</v>
      </c>
      <c r="B10" t="s">
        <v>1992</v>
      </c>
      <c r="C10">
        <v>267</v>
      </c>
      <c r="D10" t="s">
        <v>1993</v>
      </c>
      <c r="E10">
        <v>26</v>
      </c>
      <c r="F10">
        <v>1644</v>
      </c>
      <c r="G10">
        <v>3500000</v>
      </c>
      <c r="H10" t="s">
        <v>2003</v>
      </c>
      <c r="I10">
        <v>0</v>
      </c>
      <c r="J10">
        <v>43661</v>
      </c>
      <c r="K10">
        <v>45</v>
      </c>
      <c r="L10" t="s">
        <v>1995</v>
      </c>
    </row>
    <row r="11" spans="1:12" hidden="1">
      <c r="A11">
        <v>422020100</v>
      </c>
      <c r="B11" t="s">
        <v>1992</v>
      </c>
      <c r="C11">
        <v>267</v>
      </c>
      <c r="D11" t="s">
        <v>1993</v>
      </c>
      <c r="E11">
        <v>26</v>
      </c>
      <c r="F11">
        <v>2269</v>
      </c>
      <c r="G11">
        <v>3000000</v>
      </c>
      <c r="H11" t="s">
        <v>2004</v>
      </c>
      <c r="I11">
        <v>0</v>
      </c>
      <c r="J11">
        <v>43691</v>
      </c>
      <c r="K11">
        <v>45</v>
      </c>
      <c r="L11" t="s">
        <v>1995</v>
      </c>
    </row>
    <row r="12" spans="1:12" hidden="1">
      <c r="A12">
        <v>422020100</v>
      </c>
      <c r="B12" t="s">
        <v>1992</v>
      </c>
      <c r="C12">
        <v>267</v>
      </c>
      <c r="D12" t="s">
        <v>1993</v>
      </c>
      <c r="E12">
        <v>26</v>
      </c>
      <c r="F12">
        <v>2299</v>
      </c>
      <c r="G12">
        <v>3000000</v>
      </c>
      <c r="H12" t="s">
        <v>2005</v>
      </c>
      <c r="I12">
        <v>0</v>
      </c>
      <c r="J12">
        <v>43721</v>
      </c>
      <c r="K12">
        <v>45</v>
      </c>
      <c r="L12" t="s">
        <v>1995</v>
      </c>
    </row>
    <row r="13" spans="1:12" hidden="1">
      <c r="A13">
        <v>422020100</v>
      </c>
      <c r="B13" t="s">
        <v>1992</v>
      </c>
      <c r="C13">
        <v>267</v>
      </c>
      <c r="D13" t="s">
        <v>1993</v>
      </c>
      <c r="E13">
        <v>26</v>
      </c>
      <c r="F13">
        <v>2381</v>
      </c>
      <c r="G13">
        <v>3000000</v>
      </c>
      <c r="H13" t="s">
        <v>2006</v>
      </c>
      <c r="I13">
        <v>0</v>
      </c>
      <c r="J13">
        <v>43753</v>
      </c>
      <c r="K13">
        <v>45</v>
      </c>
      <c r="L13" t="s">
        <v>1995</v>
      </c>
    </row>
    <row r="14" spans="1:12" hidden="1">
      <c r="A14">
        <v>422020100</v>
      </c>
      <c r="B14" t="s">
        <v>1992</v>
      </c>
      <c r="C14">
        <v>267</v>
      </c>
      <c r="D14" t="s">
        <v>1993</v>
      </c>
      <c r="E14">
        <v>26</v>
      </c>
      <c r="F14">
        <v>2509</v>
      </c>
      <c r="G14">
        <v>4000000</v>
      </c>
      <c r="H14" t="s">
        <v>2007</v>
      </c>
      <c r="I14">
        <v>0</v>
      </c>
      <c r="J14">
        <v>43784</v>
      </c>
      <c r="K14">
        <v>45</v>
      </c>
      <c r="L14" t="s">
        <v>1995</v>
      </c>
    </row>
    <row r="15" spans="1:12" hidden="1">
      <c r="A15">
        <v>422020100</v>
      </c>
      <c r="B15" t="s">
        <v>1992</v>
      </c>
      <c r="C15">
        <v>268</v>
      </c>
      <c r="D15" t="s">
        <v>2008</v>
      </c>
      <c r="E15">
        <v>25</v>
      </c>
      <c r="F15">
        <v>31012019</v>
      </c>
      <c r="G15">
        <v>0</v>
      </c>
      <c r="H15" t="s">
        <v>2009</v>
      </c>
      <c r="I15">
        <v>1500000</v>
      </c>
      <c r="J15">
        <v>43496</v>
      </c>
      <c r="K15">
        <v>45</v>
      </c>
      <c r="L15" t="s">
        <v>1995</v>
      </c>
    </row>
    <row r="16" spans="1:12" hidden="1">
      <c r="A16">
        <v>422020100</v>
      </c>
      <c r="B16" t="s">
        <v>1992</v>
      </c>
      <c r="C16">
        <v>268</v>
      </c>
      <c r="D16" t="s">
        <v>2008</v>
      </c>
      <c r="E16">
        <v>25</v>
      </c>
      <c r="F16">
        <v>28022019</v>
      </c>
      <c r="G16">
        <v>0</v>
      </c>
      <c r="H16" t="s">
        <v>2009</v>
      </c>
      <c r="I16">
        <v>3000000</v>
      </c>
      <c r="J16">
        <v>43524</v>
      </c>
      <c r="K16">
        <v>45</v>
      </c>
      <c r="L16" t="s">
        <v>1995</v>
      </c>
    </row>
    <row r="17" spans="1:15" hidden="1">
      <c r="A17">
        <v>422020100</v>
      </c>
      <c r="B17" t="s">
        <v>1992</v>
      </c>
      <c r="C17">
        <v>268</v>
      </c>
      <c r="D17" t="s">
        <v>2008</v>
      </c>
      <c r="E17">
        <v>25</v>
      </c>
      <c r="F17">
        <v>28032019</v>
      </c>
      <c r="G17">
        <v>0</v>
      </c>
      <c r="H17" t="s">
        <v>2010</v>
      </c>
      <c r="I17">
        <v>3500000</v>
      </c>
      <c r="J17">
        <v>43552</v>
      </c>
      <c r="K17">
        <v>45</v>
      </c>
      <c r="L17" t="s">
        <v>1995</v>
      </c>
    </row>
    <row r="18" spans="1:15" hidden="1">
      <c r="A18">
        <v>422020100</v>
      </c>
      <c r="B18" t="s">
        <v>1992</v>
      </c>
      <c r="C18">
        <v>268</v>
      </c>
      <c r="D18" t="s">
        <v>2008</v>
      </c>
      <c r="E18">
        <v>25</v>
      </c>
      <c r="F18">
        <v>30042019</v>
      </c>
      <c r="G18">
        <v>0</v>
      </c>
      <c r="H18" t="s">
        <v>2011</v>
      </c>
      <c r="I18">
        <v>2000000</v>
      </c>
      <c r="J18">
        <v>43585</v>
      </c>
      <c r="K18">
        <v>45</v>
      </c>
      <c r="L18" t="s">
        <v>1995</v>
      </c>
    </row>
    <row r="19" spans="1:15" hidden="1">
      <c r="A19">
        <v>422020100</v>
      </c>
      <c r="B19" t="s">
        <v>1992</v>
      </c>
      <c r="C19">
        <v>268</v>
      </c>
      <c r="D19" t="s">
        <v>2008</v>
      </c>
      <c r="E19">
        <v>25</v>
      </c>
      <c r="F19">
        <v>31052019</v>
      </c>
      <c r="G19">
        <v>0</v>
      </c>
      <c r="H19" t="s">
        <v>2000</v>
      </c>
      <c r="I19">
        <v>1000000</v>
      </c>
      <c r="J19">
        <v>43616</v>
      </c>
      <c r="K19">
        <v>45</v>
      </c>
      <c r="L19" t="s">
        <v>1995</v>
      </c>
    </row>
    <row r="20" spans="1:15" hidden="1">
      <c r="A20">
        <v>422020100</v>
      </c>
      <c r="B20" t="s">
        <v>1992</v>
      </c>
      <c r="C20">
        <v>268</v>
      </c>
      <c r="D20" t="s">
        <v>2008</v>
      </c>
      <c r="E20">
        <v>25</v>
      </c>
      <c r="F20">
        <v>31052019</v>
      </c>
      <c r="G20">
        <v>0</v>
      </c>
      <c r="H20" t="s">
        <v>2010</v>
      </c>
      <c r="I20">
        <v>2000000</v>
      </c>
      <c r="J20">
        <v>43616</v>
      </c>
      <c r="K20">
        <v>45</v>
      </c>
      <c r="L20" t="s">
        <v>1995</v>
      </c>
    </row>
    <row r="21" spans="1:15" hidden="1">
      <c r="A21">
        <v>422020100</v>
      </c>
      <c r="B21" t="s">
        <v>1992</v>
      </c>
      <c r="C21">
        <v>268</v>
      </c>
      <c r="D21" t="s">
        <v>2008</v>
      </c>
      <c r="E21">
        <v>25</v>
      </c>
      <c r="F21">
        <v>28062019</v>
      </c>
      <c r="G21">
        <v>0</v>
      </c>
      <c r="H21" t="s">
        <v>2000</v>
      </c>
      <c r="I21">
        <v>1000000</v>
      </c>
      <c r="J21">
        <v>43644</v>
      </c>
      <c r="K21">
        <v>45</v>
      </c>
      <c r="L21" t="s">
        <v>1995</v>
      </c>
    </row>
    <row r="22" spans="1:15" hidden="1">
      <c r="A22">
        <v>422020100</v>
      </c>
      <c r="B22" t="s">
        <v>1992</v>
      </c>
      <c r="C22">
        <v>268</v>
      </c>
      <c r="D22" t="s">
        <v>2008</v>
      </c>
      <c r="E22">
        <v>25</v>
      </c>
      <c r="F22">
        <v>28062019</v>
      </c>
      <c r="G22">
        <v>0</v>
      </c>
      <c r="H22" t="s">
        <v>2012</v>
      </c>
      <c r="I22">
        <v>3000000</v>
      </c>
      <c r="J22">
        <v>43644</v>
      </c>
      <c r="K22">
        <v>45</v>
      </c>
      <c r="L22" t="s">
        <v>1995</v>
      </c>
    </row>
    <row r="23" spans="1:15" hidden="1">
      <c r="A23">
        <v>422020100</v>
      </c>
      <c r="B23" t="s">
        <v>1992</v>
      </c>
      <c r="C23">
        <v>268</v>
      </c>
      <c r="D23" t="s">
        <v>2008</v>
      </c>
      <c r="E23">
        <v>25</v>
      </c>
      <c r="F23">
        <v>31072019</v>
      </c>
      <c r="G23">
        <v>0</v>
      </c>
      <c r="H23" t="s">
        <v>2009</v>
      </c>
      <c r="I23">
        <v>3500000</v>
      </c>
      <c r="J23">
        <v>43677</v>
      </c>
      <c r="K23">
        <v>45</v>
      </c>
      <c r="L23" t="s">
        <v>1995</v>
      </c>
    </row>
    <row r="24" spans="1:15" hidden="1">
      <c r="A24">
        <v>422020100</v>
      </c>
      <c r="B24" t="s">
        <v>1992</v>
      </c>
      <c r="C24">
        <v>268</v>
      </c>
      <c r="D24" t="s">
        <v>2008</v>
      </c>
      <c r="E24">
        <v>25</v>
      </c>
      <c r="F24">
        <v>31082019</v>
      </c>
      <c r="G24">
        <v>0</v>
      </c>
      <c r="H24" t="s">
        <v>2009</v>
      </c>
      <c r="I24">
        <v>3000000</v>
      </c>
      <c r="J24">
        <v>43708</v>
      </c>
      <c r="K24">
        <v>45</v>
      </c>
      <c r="L24" t="s">
        <v>1995</v>
      </c>
    </row>
    <row r="25" spans="1:15" hidden="1">
      <c r="A25">
        <v>422020100</v>
      </c>
      <c r="B25" t="s">
        <v>1992</v>
      </c>
      <c r="C25">
        <v>268</v>
      </c>
      <c r="D25" t="s">
        <v>2008</v>
      </c>
      <c r="E25">
        <v>25</v>
      </c>
      <c r="F25">
        <v>30092019</v>
      </c>
      <c r="G25">
        <v>0</v>
      </c>
      <c r="H25" t="s">
        <v>2010</v>
      </c>
      <c r="I25">
        <v>3000000</v>
      </c>
      <c r="J25">
        <v>43738</v>
      </c>
      <c r="K25">
        <v>45</v>
      </c>
      <c r="L25" t="s">
        <v>1995</v>
      </c>
    </row>
    <row r="26" spans="1:15" hidden="1">
      <c r="A26">
        <v>422020100</v>
      </c>
      <c r="B26" t="s">
        <v>1992</v>
      </c>
      <c r="C26">
        <v>268</v>
      </c>
      <c r="D26" t="s">
        <v>2008</v>
      </c>
      <c r="E26">
        <v>25</v>
      </c>
      <c r="F26">
        <v>31102019</v>
      </c>
      <c r="G26">
        <v>0</v>
      </c>
      <c r="H26" t="s">
        <v>2013</v>
      </c>
      <c r="I26">
        <v>3000000</v>
      </c>
      <c r="J26">
        <v>43769</v>
      </c>
      <c r="K26">
        <v>45</v>
      </c>
      <c r="L26" t="s">
        <v>1995</v>
      </c>
    </row>
    <row r="27" spans="1:15" hidden="1">
      <c r="A27">
        <v>422020100</v>
      </c>
      <c r="B27" t="s">
        <v>1992</v>
      </c>
      <c r="C27">
        <v>268</v>
      </c>
      <c r="D27" t="s">
        <v>2008</v>
      </c>
      <c r="E27">
        <v>25</v>
      </c>
      <c r="F27">
        <v>30112019</v>
      </c>
      <c r="G27">
        <v>0</v>
      </c>
      <c r="H27" t="s">
        <v>2014</v>
      </c>
      <c r="I27">
        <v>4000000</v>
      </c>
      <c r="J27">
        <v>43799</v>
      </c>
      <c r="K27">
        <v>45</v>
      </c>
      <c r="L27" t="s">
        <v>1995</v>
      </c>
    </row>
    <row r="28" spans="1:15">
      <c r="A28">
        <v>422020100</v>
      </c>
      <c r="B28" t="s">
        <v>1992</v>
      </c>
      <c r="C28">
        <v>446</v>
      </c>
      <c r="D28" t="s">
        <v>2015</v>
      </c>
      <c r="E28">
        <v>1</v>
      </c>
      <c r="F28">
        <v>10010000285</v>
      </c>
      <c r="G28" s="74">
        <v>7272727</v>
      </c>
      <c r="H28" t="s">
        <v>2016</v>
      </c>
      <c r="I28">
        <v>0</v>
      </c>
      <c r="J28" s="54">
        <v>43496</v>
      </c>
      <c r="K28">
        <v>37</v>
      </c>
      <c r="L28" t="s">
        <v>2017</v>
      </c>
      <c r="M28" t="s">
        <v>2497</v>
      </c>
      <c r="N28" t="s">
        <v>681</v>
      </c>
      <c r="O28" t="s">
        <v>681</v>
      </c>
    </row>
    <row r="29" spans="1:15">
      <c r="A29">
        <v>422020100</v>
      </c>
      <c r="B29" t="s">
        <v>1992</v>
      </c>
      <c r="C29">
        <v>446</v>
      </c>
      <c r="D29" t="s">
        <v>2015</v>
      </c>
      <c r="E29">
        <v>1</v>
      </c>
      <c r="F29">
        <v>10010000105</v>
      </c>
      <c r="G29" s="74">
        <v>5454545</v>
      </c>
      <c r="H29" t="s">
        <v>2018</v>
      </c>
      <c r="I29">
        <v>0</v>
      </c>
      <c r="J29" s="54">
        <v>43500</v>
      </c>
      <c r="K29">
        <v>37</v>
      </c>
      <c r="L29" t="s">
        <v>2017</v>
      </c>
    </row>
    <row r="30" spans="1:15">
      <c r="A30">
        <v>422020100</v>
      </c>
      <c r="B30" t="s">
        <v>1992</v>
      </c>
      <c r="C30">
        <v>446</v>
      </c>
      <c r="D30" t="s">
        <v>2015</v>
      </c>
      <c r="E30">
        <v>1</v>
      </c>
      <c r="F30">
        <v>10010000288</v>
      </c>
      <c r="G30" s="74">
        <v>7272727</v>
      </c>
      <c r="H30" t="s">
        <v>2019</v>
      </c>
      <c r="I30">
        <v>0</v>
      </c>
      <c r="J30" s="54">
        <v>43524</v>
      </c>
      <c r="K30">
        <v>37</v>
      </c>
      <c r="L30" t="s">
        <v>2017</v>
      </c>
      <c r="M30" t="s">
        <v>2497</v>
      </c>
      <c r="N30" t="s">
        <v>681</v>
      </c>
      <c r="O30" t="s">
        <v>681</v>
      </c>
    </row>
    <row r="31" spans="1:15">
      <c r="A31">
        <v>422020100</v>
      </c>
      <c r="B31" t="s">
        <v>1992</v>
      </c>
      <c r="C31">
        <v>446</v>
      </c>
      <c r="D31" t="s">
        <v>2015</v>
      </c>
      <c r="E31">
        <v>1</v>
      </c>
      <c r="F31">
        <v>10010000292</v>
      </c>
      <c r="G31" s="74">
        <v>7272727</v>
      </c>
      <c r="H31" t="s">
        <v>2020</v>
      </c>
      <c r="I31">
        <v>0</v>
      </c>
      <c r="J31" s="54">
        <v>43553</v>
      </c>
      <c r="K31">
        <v>37</v>
      </c>
      <c r="L31" t="s">
        <v>2017</v>
      </c>
      <c r="M31" t="s">
        <v>2497</v>
      </c>
      <c r="N31" t="s">
        <v>681</v>
      </c>
      <c r="O31" t="s">
        <v>681</v>
      </c>
    </row>
    <row r="32" spans="1:15">
      <c r="A32">
        <v>422020100</v>
      </c>
      <c r="B32" t="s">
        <v>1992</v>
      </c>
      <c r="C32">
        <v>446</v>
      </c>
      <c r="D32" t="s">
        <v>2015</v>
      </c>
      <c r="E32">
        <v>1</v>
      </c>
      <c r="F32">
        <v>10010000253</v>
      </c>
      <c r="G32" s="74">
        <v>1894364</v>
      </c>
      <c r="H32" t="s">
        <v>2021</v>
      </c>
      <c r="I32">
        <v>0</v>
      </c>
      <c r="J32" s="54">
        <v>43580</v>
      </c>
      <c r="K32">
        <v>37</v>
      </c>
      <c r="L32" t="s">
        <v>2017</v>
      </c>
      <c r="M32" t="s">
        <v>2384</v>
      </c>
      <c r="N32" t="s">
        <v>681</v>
      </c>
      <c r="O32" t="s">
        <v>681</v>
      </c>
    </row>
    <row r="33" spans="1:15">
      <c r="A33">
        <v>422020100</v>
      </c>
      <c r="B33" t="s">
        <v>1992</v>
      </c>
      <c r="C33">
        <v>446</v>
      </c>
      <c r="D33" t="s">
        <v>2015</v>
      </c>
      <c r="E33">
        <v>1</v>
      </c>
      <c r="F33">
        <v>10010000299</v>
      </c>
      <c r="G33" s="74">
        <v>1894364</v>
      </c>
      <c r="H33" t="s">
        <v>2022</v>
      </c>
      <c r="I33">
        <v>0</v>
      </c>
      <c r="J33" s="54">
        <v>43580</v>
      </c>
      <c r="K33">
        <v>37</v>
      </c>
      <c r="L33" t="s">
        <v>2017</v>
      </c>
      <c r="M33" t="s">
        <v>2497</v>
      </c>
      <c r="N33" t="s">
        <v>681</v>
      </c>
      <c r="O33" t="s">
        <v>681</v>
      </c>
    </row>
    <row r="34" spans="1:15">
      <c r="A34">
        <v>422020100</v>
      </c>
      <c r="B34" t="s">
        <v>1992</v>
      </c>
      <c r="C34">
        <v>446</v>
      </c>
      <c r="D34" t="s">
        <v>2015</v>
      </c>
      <c r="E34">
        <v>1</v>
      </c>
      <c r="F34">
        <v>10010000111</v>
      </c>
      <c r="G34" s="74">
        <v>2400000</v>
      </c>
      <c r="H34" t="s">
        <v>2023</v>
      </c>
      <c r="I34">
        <v>0</v>
      </c>
      <c r="J34" s="54">
        <v>43584</v>
      </c>
      <c r="K34">
        <v>37</v>
      </c>
      <c r="L34" t="s">
        <v>2017</v>
      </c>
    </row>
    <row r="35" spans="1:15">
      <c r="A35">
        <v>422020100</v>
      </c>
      <c r="B35" t="s">
        <v>1992</v>
      </c>
      <c r="C35">
        <v>446</v>
      </c>
      <c r="D35" t="s">
        <v>2015</v>
      </c>
      <c r="E35">
        <v>1</v>
      </c>
      <c r="F35">
        <v>10010000300</v>
      </c>
      <c r="G35" s="74">
        <v>7272727</v>
      </c>
      <c r="H35" t="s">
        <v>2024</v>
      </c>
      <c r="I35">
        <v>0</v>
      </c>
      <c r="J35" s="54">
        <v>43584</v>
      </c>
      <c r="K35">
        <v>37</v>
      </c>
      <c r="L35" t="s">
        <v>2017</v>
      </c>
      <c r="M35" t="s">
        <v>2497</v>
      </c>
      <c r="N35" t="s">
        <v>681</v>
      </c>
      <c r="O35" t="s">
        <v>681</v>
      </c>
    </row>
    <row r="36" spans="1:15">
      <c r="A36">
        <v>422020100</v>
      </c>
      <c r="B36" t="s">
        <v>1992</v>
      </c>
      <c r="C36">
        <v>446</v>
      </c>
      <c r="D36" t="s">
        <v>2015</v>
      </c>
      <c r="E36">
        <v>1</v>
      </c>
      <c r="F36">
        <v>10010000112</v>
      </c>
      <c r="G36" s="74">
        <v>6000000</v>
      </c>
      <c r="H36" t="s">
        <v>2025</v>
      </c>
      <c r="I36">
        <v>0</v>
      </c>
      <c r="J36" s="54">
        <v>43585</v>
      </c>
      <c r="K36">
        <v>37</v>
      </c>
      <c r="L36" t="s">
        <v>2017</v>
      </c>
    </row>
    <row r="37" spans="1:15">
      <c r="A37">
        <v>422020100</v>
      </c>
      <c r="B37" t="s">
        <v>1992</v>
      </c>
      <c r="C37">
        <v>446</v>
      </c>
      <c r="D37" t="s">
        <v>2015</v>
      </c>
      <c r="E37">
        <v>1</v>
      </c>
      <c r="F37">
        <v>10010000296</v>
      </c>
      <c r="G37" s="74">
        <v>5000000</v>
      </c>
      <c r="H37" t="s">
        <v>2026</v>
      </c>
      <c r="I37">
        <v>0</v>
      </c>
      <c r="J37" s="54">
        <v>43585</v>
      </c>
      <c r="K37">
        <v>37</v>
      </c>
      <c r="L37" t="s">
        <v>2017</v>
      </c>
    </row>
    <row r="38" spans="1:15">
      <c r="A38">
        <v>422020100</v>
      </c>
      <c r="B38" t="s">
        <v>1992</v>
      </c>
      <c r="C38">
        <v>446</v>
      </c>
      <c r="D38" t="s">
        <v>2015</v>
      </c>
      <c r="E38">
        <v>1</v>
      </c>
      <c r="F38">
        <v>10010000115</v>
      </c>
      <c r="G38" s="74">
        <v>6000000</v>
      </c>
      <c r="H38" t="s">
        <v>2027</v>
      </c>
      <c r="I38">
        <v>0</v>
      </c>
      <c r="J38" s="54">
        <v>43616</v>
      </c>
      <c r="K38">
        <v>37</v>
      </c>
      <c r="L38" t="s">
        <v>2017</v>
      </c>
    </row>
    <row r="39" spans="1:15">
      <c r="A39">
        <v>422020100</v>
      </c>
      <c r="B39" t="s">
        <v>1992</v>
      </c>
      <c r="C39">
        <v>446</v>
      </c>
      <c r="D39" t="s">
        <v>2015</v>
      </c>
      <c r="E39">
        <v>1</v>
      </c>
      <c r="F39">
        <v>10010000309</v>
      </c>
      <c r="G39" s="74">
        <v>8000000</v>
      </c>
      <c r="H39" t="s">
        <v>2028</v>
      </c>
      <c r="I39">
        <v>0</v>
      </c>
      <c r="J39" s="54">
        <v>43616</v>
      </c>
      <c r="K39">
        <v>37</v>
      </c>
      <c r="L39" t="s">
        <v>2017</v>
      </c>
      <c r="M39" t="s">
        <v>2497</v>
      </c>
      <c r="N39" t="s">
        <v>681</v>
      </c>
      <c r="O39" t="s">
        <v>681</v>
      </c>
    </row>
    <row r="40" spans="1:15">
      <c r="A40">
        <v>422020100</v>
      </c>
      <c r="B40" t="s">
        <v>1992</v>
      </c>
      <c r="C40">
        <v>446</v>
      </c>
      <c r="D40" t="s">
        <v>2015</v>
      </c>
      <c r="E40">
        <v>1</v>
      </c>
      <c r="F40">
        <v>10010000320</v>
      </c>
      <c r="G40" s="74">
        <v>1745073</v>
      </c>
      <c r="H40" t="s">
        <v>2029</v>
      </c>
      <c r="I40">
        <v>0</v>
      </c>
      <c r="J40" s="54">
        <v>43642</v>
      </c>
      <c r="K40">
        <v>37</v>
      </c>
      <c r="L40" t="s">
        <v>2017</v>
      </c>
    </row>
    <row r="41" spans="1:15">
      <c r="A41">
        <v>422020100</v>
      </c>
      <c r="B41" t="s">
        <v>1992</v>
      </c>
      <c r="C41">
        <v>446</v>
      </c>
      <c r="D41" t="s">
        <v>2015</v>
      </c>
      <c r="E41">
        <v>1</v>
      </c>
      <c r="F41">
        <v>10010000116</v>
      </c>
      <c r="G41" s="74">
        <v>6000000</v>
      </c>
      <c r="H41" t="s">
        <v>2030</v>
      </c>
      <c r="I41">
        <v>0</v>
      </c>
      <c r="J41" s="54">
        <v>43644</v>
      </c>
      <c r="K41">
        <v>37</v>
      </c>
      <c r="L41" t="s">
        <v>2017</v>
      </c>
    </row>
    <row r="42" spans="1:15">
      <c r="A42">
        <v>422020100</v>
      </c>
      <c r="B42" t="s">
        <v>1992</v>
      </c>
      <c r="C42">
        <v>446</v>
      </c>
      <c r="D42" t="s">
        <v>2015</v>
      </c>
      <c r="E42">
        <v>1</v>
      </c>
      <c r="F42">
        <v>10010000321</v>
      </c>
      <c r="G42" s="74">
        <v>8000000</v>
      </c>
      <c r="H42" t="s">
        <v>2031</v>
      </c>
      <c r="I42">
        <v>0</v>
      </c>
      <c r="J42" s="54">
        <v>43644</v>
      </c>
      <c r="K42">
        <v>37</v>
      </c>
      <c r="L42" t="s">
        <v>2017</v>
      </c>
      <c r="M42" t="s">
        <v>2497</v>
      </c>
      <c r="N42" t="s">
        <v>681</v>
      </c>
      <c r="O42" t="s">
        <v>681</v>
      </c>
    </row>
    <row r="43" spans="1:15">
      <c r="A43">
        <v>422020100</v>
      </c>
      <c r="B43" t="s">
        <v>1992</v>
      </c>
      <c r="C43">
        <v>446</v>
      </c>
      <c r="D43" t="s">
        <v>2015</v>
      </c>
      <c r="E43">
        <v>1</v>
      </c>
      <c r="F43">
        <v>10010000323</v>
      </c>
      <c r="G43" s="74">
        <v>2727273</v>
      </c>
      <c r="H43" t="s">
        <v>2032</v>
      </c>
      <c r="I43">
        <v>0</v>
      </c>
      <c r="J43" s="54">
        <v>43652</v>
      </c>
      <c r="K43">
        <v>37</v>
      </c>
      <c r="L43" t="s">
        <v>2017</v>
      </c>
      <c r="M43" t="s">
        <v>2497</v>
      </c>
      <c r="N43" t="s">
        <v>681</v>
      </c>
      <c r="O43" t="s">
        <v>681</v>
      </c>
    </row>
    <row r="44" spans="1:15">
      <c r="A44">
        <v>422020100</v>
      </c>
      <c r="B44" t="s">
        <v>1992</v>
      </c>
      <c r="C44">
        <v>446</v>
      </c>
      <c r="D44" t="s">
        <v>2015</v>
      </c>
      <c r="E44">
        <v>1</v>
      </c>
      <c r="F44">
        <v>10010000122</v>
      </c>
      <c r="G44" s="74">
        <v>6000000</v>
      </c>
      <c r="H44" t="s">
        <v>2033</v>
      </c>
      <c r="I44">
        <v>0</v>
      </c>
      <c r="J44" s="54">
        <v>43677</v>
      </c>
      <c r="K44">
        <v>37</v>
      </c>
      <c r="L44" t="s">
        <v>2017</v>
      </c>
    </row>
    <row r="45" spans="1:15">
      <c r="A45">
        <v>422020100</v>
      </c>
      <c r="B45" t="s">
        <v>1992</v>
      </c>
      <c r="C45">
        <v>446</v>
      </c>
      <c r="D45" t="s">
        <v>2015</v>
      </c>
      <c r="E45">
        <v>1</v>
      </c>
      <c r="F45">
        <v>10010000328</v>
      </c>
      <c r="G45" s="74">
        <v>8000000</v>
      </c>
      <c r="H45" t="s">
        <v>2034</v>
      </c>
      <c r="I45">
        <v>0</v>
      </c>
      <c r="J45" s="54">
        <v>43677</v>
      </c>
      <c r="K45">
        <v>37</v>
      </c>
      <c r="L45" t="s">
        <v>2017</v>
      </c>
      <c r="M45" t="s">
        <v>2497</v>
      </c>
      <c r="N45" t="s">
        <v>681</v>
      </c>
      <c r="O45" t="s">
        <v>681</v>
      </c>
    </row>
    <row r="46" spans="1:15">
      <c r="A46">
        <v>422020100</v>
      </c>
      <c r="B46" t="s">
        <v>1992</v>
      </c>
      <c r="C46">
        <v>446</v>
      </c>
      <c r="D46" t="s">
        <v>2015</v>
      </c>
      <c r="E46">
        <v>1</v>
      </c>
      <c r="F46">
        <v>10010000261</v>
      </c>
      <c r="G46" s="74">
        <v>5454545</v>
      </c>
      <c r="H46" t="s">
        <v>2035</v>
      </c>
      <c r="I46">
        <v>0</v>
      </c>
      <c r="J46" s="54">
        <v>43684</v>
      </c>
      <c r="K46">
        <v>37</v>
      </c>
      <c r="L46" t="s">
        <v>2017</v>
      </c>
    </row>
    <row r="47" spans="1:15">
      <c r="A47">
        <v>422020100</v>
      </c>
      <c r="B47" t="s">
        <v>1992</v>
      </c>
      <c r="C47">
        <v>446</v>
      </c>
      <c r="D47" t="s">
        <v>2015</v>
      </c>
      <c r="E47">
        <v>1</v>
      </c>
      <c r="F47">
        <v>10010000338</v>
      </c>
      <c r="G47" s="74">
        <v>9765000</v>
      </c>
      <c r="H47" t="s">
        <v>2036</v>
      </c>
      <c r="I47">
        <v>0</v>
      </c>
      <c r="J47" s="54">
        <v>43704</v>
      </c>
      <c r="K47">
        <v>37</v>
      </c>
      <c r="L47" t="s">
        <v>2017</v>
      </c>
      <c r="M47" t="s">
        <v>2497</v>
      </c>
      <c r="N47" t="s">
        <v>681</v>
      </c>
      <c r="O47" t="s">
        <v>681</v>
      </c>
    </row>
    <row r="48" spans="1:15">
      <c r="A48">
        <v>422020100</v>
      </c>
      <c r="B48" t="s">
        <v>1992</v>
      </c>
      <c r="C48">
        <v>446</v>
      </c>
      <c r="D48" t="s">
        <v>2015</v>
      </c>
      <c r="E48">
        <v>1</v>
      </c>
      <c r="F48">
        <v>10010000127</v>
      </c>
      <c r="G48" s="74">
        <v>6000000</v>
      </c>
      <c r="H48" t="s">
        <v>2037</v>
      </c>
      <c r="I48">
        <v>0</v>
      </c>
      <c r="J48" s="54">
        <v>43707</v>
      </c>
      <c r="K48">
        <v>37</v>
      </c>
      <c r="L48" t="s">
        <v>2017</v>
      </c>
    </row>
    <row r="49" spans="1:15">
      <c r="A49">
        <v>422020100</v>
      </c>
      <c r="B49" t="s">
        <v>1992</v>
      </c>
      <c r="C49">
        <v>446</v>
      </c>
      <c r="D49" t="s">
        <v>2015</v>
      </c>
      <c r="E49">
        <v>1</v>
      </c>
      <c r="F49">
        <v>10010000341</v>
      </c>
      <c r="G49" s="74">
        <v>8000000</v>
      </c>
      <c r="H49" t="s">
        <v>2038</v>
      </c>
      <c r="I49">
        <v>0</v>
      </c>
      <c r="J49" s="54">
        <v>43707</v>
      </c>
      <c r="K49">
        <v>37</v>
      </c>
      <c r="L49" t="s">
        <v>2017</v>
      </c>
      <c r="M49" t="s">
        <v>2497</v>
      </c>
      <c r="N49" t="s">
        <v>681</v>
      </c>
      <c r="O49" t="s">
        <v>681</v>
      </c>
    </row>
    <row r="50" spans="1:15">
      <c r="A50">
        <v>422020100</v>
      </c>
      <c r="B50" t="s">
        <v>1992</v>
      </c>
      <c r="C50">
        <v>446</v>
      </c>
      <c r="D50" t="s">
        <v>2015</v>
      </c>
      <c r="E50">
        <v>1</v>
      </c>
      <c r="F50">
        <v>10010000348</v>
      </c>
      <c r="G50" s="74">
        <v>7474595</v>
      </c>
      <c r="H50" t="s">
        <v>2039</v>
      </c>
      <c r="I50">
        <v>0</v>
      </c>
      <c r="J50" s="54">
        <v>43733</v>
      </c>
      <c r="K50">
        <v>37</v>
      </c>
      <c r="L50" t="s">
        <v>2017</v>
      </c>
      <c r="M50" t="s">
        <v>2497</v>
      </c>
      <c r="N50" t="s">
        <v>681</v>
      </c>
      <c r="O50" t="s">
        <v>681</v>
      </c>
    </row>
    <row r="51" spans="1:15">
      <c r="A51">
        <v>422020100</v>
      </c>
      <c r="B51" t="s">
        <v>1992</v>
      </c>
      <c r="C51">
        <v>446</v>
      </c>
      <c r="D51" t="s">
        <v>2015</v>
      </c>
      <c r="E51">
        <v>1</v>
      </c>
      <c r="F51">
        <v>10010000134</v>
      </c>
      <c r="G51" s="74">
        <v>6000000</v>
      </c>
      <c r="H51" t="s">
        <v>2040</v>
      </c>
      <c r="I51">
        <v>0</v>
      </c>
      <c r="J51" s="54">
        <v>43738</v>
      </c>
      <c r="K51">
        <v>37</v>
      </c>
      <c r="L51" t="s">
        <v>2017</v>
      </c>
    </row>
    <row r="52" spans="1:15">
      <c r="A52">
        <v>422020100</v>
      </c>
      <c r="B52" t="s">
        <v>1992</v>
      </c>
      <c r="C52">
        <v>446</v>
      </c>
      <c r="D52" t="s">
        <v>2015</v>
      </c>
      <c r="E52">
        <v>1</v>
      </c>
      <c r="F52">
        <v>10010000349</v>
      </c>
      <c r="G52" s="74">
        <v>8000000</v>
      </c>
      <c r="H52" t="s">
        <v>2041</v>
      </c>
      <c r="I52">
        <v>0</v>
      </c>
      <c r="J52" s="54">
        <v>43738</v>
      </c>
      <c r="K52">
        <v>37</v>
      </c>
      <c r="L52" t="s">
        <v>2017</v>
      </c>
      <c r="M52" t="s">
        <v>2497</v>
      </c>
      <c r="N52" t="s">
        <v>681</v>
      </c>
      <c r="O52" t="s">
        <v>681</v>
      </c>
    </row>
    <row r="53" spans="1:15">
      <c r="A53">
        <v>422020100</v>
      </c>
      <c r="B53" t="s">
        <v>1992</v>
      </c>
      <c r="C53">
        <v>446</v>
      </c>
      <c r="D53" t="s">
        <v>2015</v>
      </c>
      <c r="E53">
        <v>1</v>
      </c>
      <c r="F53">
        <v>10010000136</v>
      </c>
      <c r="G53" s="74">
        <v>6000000</v>
      </c>
      <c r="H53" t="s">
        <v>2042</v>
      </c>
      <c r="I53">
        <v>0</v>
      </c>
      <c r="J53" s="54">
        <v>43769</v>
      </c>
      <c r="K53">
        <v>37</v>
      </c>
      <c r="L53" t="s">
        <v>2017</v>
      </c>
    </row>
    <row r="54" spans="1:15">
      <c r="A54">
        <v>422020100</v>
      </c>
      <c r="B54" t="s">
        <v>1992</v>
      </c>
      <c r="C54">
        <v>446</v>
      </c>
      <c r="D54" t="s">
        <v>2015</v>
      </c>
      <c r="E54">
        <v>1</v>
      </c>
      <c r="F54">
        <v>10010000317</v>
      </c>
      <c r="G54" s="74">
        <v>10000000</v>
      </c>
      <c r="H54" t="s">
        <v>2043</v>
      </c>
      <c r="I54">
        <v>0</v>
      </c>
      <c r="J54" s="54">
        <v>43769</v>
      </c>
      <c r="K54">
        <v>37</v>
      </c>
      <c r="L54" t="s">
        <v>2017</v>
      </c>
    </row>
    <row r="55" spans="1:15">
      <c r="A55">
        <v>422020100</v>
      </c>
      <c r="B55" t="s">
        <v>1992</v>
      </c>
      <c r="C55">
        <v>446</v>
      </c>
      <c r="D55" t="s">
        <v>2015</v>
      </c>
      <c r="E55">
        <v>1</v>
      </c>
      <c r="F55">
        <v>10010000360</v>
      </c>
      <c r="G55" s="74">
        <v>8000000</v>
      </c>
      <c r="H55" t="s">
        <v>2042</v>
      </c>
      <c r="I55">
        <v>0</v>
      </c>
      <c r="J55" s="54">
        <v>43769</v>
      </c>
      <c r="K55">
        <v>37</v>
      </c>
      <c r="L55" t="s">
        <v>2017</v>
      </c>
      <c r="M55" t="s">
        <v>2497</v>
      </c>
      <c r="N55" t="s">
        <v>681</v>
      </c>
      <c r="O55" t="s">
        <v>681</v>
      </c>
    </row>
    <row r="56" spans="1:15">
      <c r="A56">
        <v>422020100</v>
      </c>
      <c r="B56" t="s">
        <v>1992</v>
      </c>
      <c r="C56">
        <v>446</v>
      </c>
      <c r="D56" t="s">
        <v>2015</v>
      </c>
      <c r="E56">
        <v>1</v>
      </c>
      <c r="F56">
        <v>10010000376</v>
      </c>
      <c r="G56" s="74">
        <v>8000000</v>
      </c>
      <c r="H56" t="s">
        <v>2044</v>
      </c>
      <c r="I56">
        <v>0</v>
      </c>
      <c r="J56" s="54">
        <v>43798</v>
      </c>
      <c r="K56">
        <v>37</v>
      </c>
      <c r="L56" t="s">
        <v>2017</v>
      </c>
      <c r="M56" t="s">
        <v>2497</v>
      </c>
      <c r="N56" t="s">
        <v>681</v>
      </c>
      <c r="O56" t="s">
        <v>681</v>
      </c>
    </row>
    <row r="57" spans="1:15">
      <c r="A57">
        <v>422020100</v>
      </c>
      <c r="B57" t="s">
        <v>1992</v>
      </c>
      <c r="C57">
        <v>446</v>
      </c>
      <c r="D57" t="s">
        <v>2015</v>
      </c>
      <c r="E57">
        <v>1</v>
      </c>
      <c r="F57">
        <v>10010000154</v>
      </c>
      <c r="G57" s="74">
        <v>6000000</v>
      </c>
      <c r="H57" t="s">
        <v>2045</v>
      </c>
      <c r="I57">
        <v>0</v>
      </c>
      <c r="J57" s="54">
        <v>43799</v>
      </c>
      <c r="K57">
        <v>37</v>
      </c>
      <c r="L57" t="s">
        <v>2017</v>
      </c>
    </row>
    <row r="58" spans="1:15">
      <c r="A58">
        <v>422020100</v>
      </c>
      <c r="B58" t="s">
        <v>1992</v>
      </c>
      <c r="C58">
        <v>446</v>
      </c>
      <c r="D58" t="s">
        <v>2015</v>
      </c>
      <c r="E58">
        <v>1</v>
      </c>
      <c r="F58">
        <v>10010000077</v>
      </c>
      <c r="G58" s="74">
        <v>1363636</v>
      </c>
      <c r="H58" t="s">
        <v>2046</v>
      </c>
      <c r="I58">
        <v>0</v>
      </c>
      <c r="J58" s="54">
        <v>43804</v>
      </c>
      <c r="K58">
        <v>37</v>
      </c>
      <c r="L58" t="s">
        <v>2017</v>
      </c>
    </row>
    <row r="59" spans="1:15">
      <c r="A59">
        <v>422020100</v>
      </c>
      <c r="B59" t="s">
        <v>1992</v>
      </c>
      <c r="C59">
        <v>446</v>
      </c>
      <c r="D59" t="s">
        <v>2015</v>
      </c>
      <c r="E59">
        <v>1</v>
      </c>
      <c r="F59">
        <v>10010000386</v>
      </c>
      <c r="G59" s="74">
        <v>7757575</v>
      </c>
      <c r="H59" t="s">
        <v>2047</v>
      </c>
      <c r="I59">
        <v>0</v>
      </c>
      <c r="J59" s="54">
        <v>43818</v>
      </c>
      <c r="K59">
        <v>37</v>
      </c>
      <c r="L59" t="s">
        <v>2017</v>
      </c>
      <c r="M59" t="s">
        <v>2497</v>
      </c>
      <c r="N59" t="s">
        <v>681</v>
      </c>
      <c r="O59" t="s">
        <v>681</v>
      </c>
    </row>
    <row r="60" spans="1:15">
      <c r="A60">
        <v>422020100</v>
      </c>
      <c r="B60" t="s">
        <v>1992</v>
      </c>
      <c r="C60">
        <v>446</v>
      </c>
      <c r="D60" t="s">
        <v>2015</v>
      </c>
      <c r="E60">
        <v>1</v>
      </c>
      <c r="F60">
        <v>10010000156</v>
      </c>
      <c r="G60" s="74">
        <v>6000000</v>
      </c>
      <c r="H60" t="s">
        <v>2048</v>
      </c>
      <c r="I60">
        <v>0</v>
      </c>
      <c r="J60" s="54">
        <v>43830</v>
      </c>
      <c r="K60">
        <v>37</v>
      </c>
      <c r="L60" t="s">
        <v>2017</v>
      </c>
    </row>
    <row r="61" spans="1:15">
      <c r="A61">
        <v>422020100</v>
      </c>
      <c r="B61" t="s">
        <v>1992</v>
      </c>
      <c r="C61">
        <v>446</v>
      </c>
      <c r="D61" t="s">
        <v>2015</v>
      </c>
      <c r="E61">
        <v>1</v>
      </c>
      <c r="F61">
        <v>10010000392</v>
      </c>
      <c r="G61" s="74">
        <v>8000000</v>
      </c>
      <c r="H61" t="s">
        <v>2049</v>
      </c>
      <c r="I61">
        <v>0</v>
      </c>
      <c r="J61" s="54">
        <v>43830</v>
      </c>
      <c r="K61">
        <v>37</v>
      </c>
      <c r="L61" t="s">
        <v>2017</v>
      </c>
      <c r="M61" t="s">
        <v>2497</v>
      </c>
      <c r="N61" t="s">
        <v>681</v>
      </c>
      <c r="O61" t="s">
        <v>681</v>
      </c>
    </row>
    <row r="62" spans="1:15">
      <c r="A62">
        <v>422020100</v>
      </c>
      <c r="B62" t="s">
        <v>1992</v>
      </c>
      <c r="C62">
        <v>446</v>
      </c>
      <c r="D62" t="s">
        <v>2015</v>
      </c>
      <c r="E62">
        <v>1</v>
      </c>
      <c r="F62">
        <v>10010000319</v>
      </c>
      <c r="G62" s="74">
        <v>1628078</v>
      </c>
      <c r="H62" t="s">
        <v>2050</v>
      </c>
      <c r="I62">
        <v>0</v>
      </c>
      <c r="J62" s="54">
        <v>43642</v>
      </c>
      <c r="K62">
        <v>38</v>
      </c>
      <c r="L62" t="s">
        <v>2051</v>
      </c>
      <c r="M62" t="s">
        <v>2497</v>
      </c>
      <c r="N62" t="s">
        <v>681</v>
      </c>
      <c r="O62" t="s">
        <v>681</v>
      </c>
    </row>
    <row r="63" spans="1:15">
      <c r="A63">
        <v>422020100</v>
      </c>
      <c r="B63" t="s">
        <v>1992</v>
      </c>
      <c r="C63">
        <v>446</v>
      </c>
      <c r="D63" t="s">
        <v>2015</v>
      </c>
      <c r="E63">
        <v>1</v>
      </c>
      <c r="F63">
        <v>10010000232</v>
      </c>
      <c r="G63" s="74">
        <v>11662500</v>
      </c>
      <c r="H63" t="s">
        <v>2052</v>
      </c>
      <c r="I63">
        <v>0</v>
      </c>
      <c r="J63" s="54">
        <v>43644</v>
      </c>
      <c r="K63">
        <v>38</v>
      </c>
      <c r="L63" t="s">
        <v>2051</v>
      </c>
      <c r="M63" t="s">
        <v>2498</v>
      </c>
      <c r="N63" t="s">
        <v>681</v>
      </c>
      <c r="O63" t="s">
        <v>681</v>
      </c>
    </row>
    <row r="64" spans="1:15">
      <c r="A64">
        <v>422020100</v>
      </c>
      <c r="B64" t="s">
        <v>1992</v>
      </c>
      <c r="C64">
        <v>446</v>
      </c>
      <c r="D64" t="s">
        <v>2015</v>
      </c>
      <c r="E64">
        <v>1</v>
      </c>
      <c r="F64">
        <v>10010000325</v>
      </c>
      <c r="G64" s="74">
        <v>870800</v>
      </c>
      <c r="H64" t="s">
        <v>2053</v>
      </c>
      <c r="I64">
        <v>0</v>
      </c>
      <c r="J64" s="54">
        <v>43657</v>
      </c>
      <c r="K64">
        <v>38</v>
      </c>
      <c r="L64" t="s">
        <v>2051</v>
      </c>
      <c r="M64" t="s">
        <v>2497</v>
      </c>
      <c r="N64" t="s">
        <v>681</v>
      </c>
      <c r="O64" t="s">
        <v>681</v>
      </c>
    </row>
    <row r="65" spans="1:15">
      <c r="A65">
        <v>422020100</v>
      </c>
      <c r="B65" t="s">
        <v>1992</v>
      </c>
      <c r="C65">
        <v>446</v>
      </c>
      <c r="D65" t="s">
        <v>2015</v>
      </c>
      <c r="E65">
        <v>1</v>
      </c>
      <c r="F65">
        <v>10010000235</v>
      </c>
      <c r="G65" s="74">
        <v>13750017</v>
      </c>
      <c r="H65" t="s">
        <v>2054</v>
      </c>
      <c r="I65">
        <v>0</v>
      </c>
      <c r="J65" s="54">
        <v>43676</v>
      </c>
      <c r="K65">
        <v>38</v>
      </c>
      <c r="L65" t="s">
        <v>2051</v>
      </c>
      <c r="M65" t="s">
        <v>2498</v>
      </c>
      <c r="N65" t="s">
        <v>681</v>
      </c>
      <c r="O65" t="s">
        <v>681</v>
      </c>
    </row>
    <row r="66" spans="1:15">
      <c r="A66">
        <v>422020100</v>
      </c>
      <c r="B66" t="s">
        <v>1992</v>
      </c>
      <c r="C66">
        <v>446</v>
      </c>
      <c r="D66" t="s">
        <v>2015</v>
      </c>
      <c r="E66">
        <v>1</v>
      </c>
      <c r="F66">
        <v>10010000240</v>
      </c>
      <c r="G66" s="74">
        <v>13750017</v>
      </c>
      <c r="H66" t="s">
        <v>2055</v>
      </c>
      <c r="I66">
        <v>0</v>
      </c>
      <c r="J66" s="54">
        <v>43708</v>
      </c>
      <c r="K66">
        <v>38</v>
      </c>
      <c r="L66" t="s">
        <v>2051</v>
      </c>
      <c r="M66" t="s">
        <v>2498</v>
      </c>
      <c r="N66" t="s">
        <v>681</v>
      </c>
      <c r="O66" t="s">
        <v>681</v>
      </c>
    </row>
    <row r="67" spans="1:15">
      <c r="A67">
        <v>422020100</v>
      </c>
      <c r="B67" t="s">
        <v>1992</v>
      </c>
      <c r="C67">
        <v>446</v>
      </c>
      <c r="D67" t="s">
        <v>2015</v>
      </c>
      <c r="E67">
        <v>1</v>
      </c>
      <c r="F67">
        <v>10010000244</v>
      </c>
      <c r="G67" s="74">
        <v>9921789</v>
      </c>
      <c r="H67" t="s">
        <v>2056</v>
      </c>
      <c r="I67">
        <v>0</v>
      </c>
      <c r="J67" s="54">
        <v>43735</v>
      </c>
      <c r="K67">
        <v>38</v>
      </c>
      <c r="L67" t="s">
        <v>2051</v>
      </c>
      <c r="M67" t="s">
        <v>2498</v>
      </c>
      <c r="N67" t="s">
        <v>681</v>
      </c>
      <c r="O67" t="s">
        <v>681</v>
      </c>
    </row>
    <row r="68" spans="1:15">
      <c r="A68">
        <v>422020100</v>
      </c>
      <c r="B68" t="s">
        <v>1992</v>
      </c>
      <c r="C68">
        <v>446</v>
      </c>
      <c r="D68" t="s">
        <v>2015</v>
      </c>
      <c r="E68">
        <v>1</v>
      </c>
      <c r="F68">
        <v>10010000250</v>
      </c>
      <c r="G68" s="74">
        <v>7025460</v>
      </c>
      <c r="H68" t="s">
        <v>2057</v>
      </c>
      <c r="I68">
        <v>0</v>
      </c>
      <c r="J68" s="54">
        <v>43769</v>
      </c>
      <c r="K68">
        <v>38</v>
      </c>
      <c r="L68" t="s">
        <v>2051</v>
      </c>
      <c r="M68" t="s">
        <v>2498</v>
      </c>
      <c r="N68" t="s">
        <v>681</v>
      </c>
      <c r="O68" t="s">
        <v>681</v>
      </c>
    </row>
    <row r="69" spans="1:15">
      <c r="A69">
        <v>422020100</v>
      </c>
      <c r="B69" t="s">
        <v>1992</v>
      </c>
      <c r="C69">
        <v>446</v>
      </c>
      <c r="D69" t="s">
        <v>2015</v>
      </c>
      <c r="E69">
        <v>1</v>
      </c>
      <c r="F69">
        <v>10010000258</v>
      </c>
      <c r="G69" s="74">
        <v>9952698</v>
      </c>
      <c r="H69" t="s">
        <v>2058</v>
      </c>
      <c r="I69">
        <v>0</v>
      </c>
      <c r="J69" s="54">
        <v>43798</v>
      </c>
      <c r="K69">
        <v>38</v>
      </c>
      <c r="L69" t="s">
        <v>2051</v>
      </c>
      <c r="M69" t="s">
        <v>2498</v>
      </c>
      <c r="N69" t="s">
        <v>681</v>
      </c>
      <c r="O69" t="s">
        <v>681</v>
      </c>
    </row>
    <row r="70" spans="1:15">
      <c r="A70">
        <v>422020100</v>
      </c>
      <c r="B70" t="s">
        <v>1992</v>
      </c>
      <c r="C70">
        <v>446</v>
      </c>
      <c r="D70" t="s">
        <v>2015</v>
      </c>
      <c r="E70">
        <v>1</v>
      </c>
      <c r="F70">
        <v>10010000261</v>
      </c>
      <c r="G70" s="74">
        <v>10948000</v>
      </c>
      <c r="H70" t="s">
        <v>2059</v>
      </c>
      <c r="I70">
        <v>0</v>
      </c>
      <c r="J70" s="54">
        <v>43829</v>
      </c>
      <c r="K70">
        <v>38</v>
      </c>
      <c r="L70" t="s">
        <v>2051</v>
      </c>
      <c r="M70" t="s">
        <v>2498</v>
      </c>
      <c r="N70" t="s">
        <v>681</v>
      </c>
      <c r="O70" t="s">
        <v>681</v>
      </c>
    </row>
    <row r="71" spans="1:15">
      <c r="A71">
        <v>422020100</v>
      </c>
      <c r="B71" t="s">
        <v>1992</v>
      </c>
      <c r="C71">
        <v>446</v>
      </c>
      <c r="D71" t="s">
        <v>2015</v>
      </c>
      <c r="E71">
        <v>1</v>
      </c>
      <c r="F71">
        <v>1001000272</v>
      </c>
      <c r="G71" s="74">
        <v>100000</v>
      </c>
      <c r="H71" t="s">
        <v>2060</v>
      </c>
      <c r="I71">
        <v>0</v>
      </c>
      <c r="J71" s="54">
        <v>43509</v>
      </c>
      <c r="K71">
        <v>42</v>
      </c>
      <c r="L71" t="s">
        <v>2061</v>
      </c>
    </row>
    <row r="72" spans="1:15">
      <c r="A72">
        <v>422020100</v>
      </c>
      <c r="B72" t="s">
        <v>1992</v>
      </c>
      <c r="C72">
        <v>446</v>
      </c>
      <c r="D72" t="s">
        <v>2015</v>
      </c>
      <c r="E72">
        <v>1</v>
      </c>
      <c r="F72">
        <v>10010000231</v>
      </c>
      <c r="G72" s="74">
        <v>33000000</v>
      </c>
      <c r="H72" t="s">
        <v>2062</v>
      </c>
      <c r="I72">
        <v>0</v>
      </c>
      <c r="J72" s="54">
        <v>43495</v>
      </c>
      <c r="K72">
        <v>45</v>
      </c>
      <c r="L72" t="s">
        <v>1995</v>
      </c>
      <c r="M72" t="s">
        <v>2384</v>
      </c>
      <c r="N72" t="s">
        <v>681</v>
      </c>
      <c r="O72" t="s">
        <v>681</v>
      </c>
    </row>
    <row r="73" spans="1:15" hidden="1">
      <c r="A73">
        <v>422020100</v>
      </c>
      <c r="B73" t="s">
        <v>1992</v>
      </c>
      <c r="C73">
        <v>446</v>
      </c>
      <c r="D73" t="s">
        <v>2015</v>
      </c>
      <c r="E73">
        <v>26</v>
      </c>
      <c r="F73">
        <v>28022019</v>
      </c>
      <c r="G73">
        <v>1000000</v>
      </c>
      <c r="H73" t="s">
        <v>2063</v>
      </c>
      <c r="I73">
        <v>0</v>
      </c>
      <c r="J73">
        <v>43524</v>
      </c>
      <c r="K73">
        <v>45</v>
      </c>
      <c r="L73" t="s">
        <v>1995</v>
      </c>
    </row>
    <row r="74" spans="1:15">
      <c r="A74">
        <v>422020100</v>
      </c>
      <c r="B74" t="s">
        <v>1992</v>
      </c>
      <c r="C74">
        <v>446</v>
      </c>
      <c r="D74" t="s">
        <v>2015</v>
      </c>
      <c r="E74">
        <v>1</v>
      </c>
      <c r="F74">
        <v>10010000233</v>
      </c>
      <c r="G74" s="74">
        <v>16500000</v>
      </c>
      <c r="H74" t="s">
        <v>2064</v>
      </c>
      <c r="I74">
        <v>0</v>
      </c>
      <c r="J74" s="54">
        <v>43524</v>
      </c>
      <c r="K74">
        <v>45</v>
      </c>
      <c r="L74" t="s">
        <v>1995</v>
      </c>
      <c r="M74" t="s">
        <v>2384</v>
      </c>
      <c r="N74" t="s">
        <v>681</v>
      </c>
      <c r="O74" t="s">
        <v>681</v>
      </c>
    </row>
    <row r="75" spans="1:15" hidden="1">
      <c r="A75">
        <v>422020100</v>
      </c>
      <c r="B75" t="s">
        <v>1992</v>
      </c>
      <c r="C75">
        <v>446</v>
      </c>
      <c r="D75" t="s">
        <v>2015</v>
      </c>
      <c r="E75">
        <v>26</v>
      </c>
      <c r="F75">
        <v>28032019</v>
      </c>
      <c r="G75">
        <v>1000000</v>
      </c>
      <c r="H75" t="s">
        <v>2065</v>
      </c>
      <c r="I75">
        <v>0</v>
      </c>
      <c r="J75">
        <v>43552</v>
      </c>
      <c r="K75">
        <v>45</v>
      </c>
      <c r="L75" t="s">
        <v>1995</v>
      </c>
    </row>
    <row r="76" spans="1:15">
      <c r="A76">
        <v>422020100</v>
      </c>
      <c r="B76" t="s">
        <v>1992</v>
      </c>
      <c r="C76">
        <v>446</v>
      </c>
      <c r="D76" t="s">
        <v>2015</v>
      </c>
      <c r="E76">
        <v>1</v>
      </c>
      <c r="F76">
        <v>10010000251</v>
      </c>
      <c r="G76" s="74">
        <v>16500000</v>
      </c>
      <c r="H76" t="s">
        <v>2066</v>
      </c>
      <c r="I76">
        <v>0</v>
      </c>
      <c r="J76" s="54">
        <v>43563</v>
      </c>
      <c r="K76">
        <v>45</v>
      </c>
      <c r="L76" t="s">
        <v>1995</v>
      </c>
      <c r="M76" t="s">
        <v>2384</v>
      </c>
      <c r="N76" t="s">
        <v>681</v>
      </c>
      <c r="O76" t="s">
        <v>681</v>
      </c>
    </row>
    <row r="77" spans="1:15" hidden="1">
      <c r="A77">
        <v>422020100</v>
      </c>
      <c r="B77" t="s">
        <v>1992</v>
      </c>
      <c r="C77">
        <v>446</v>
      </c>
      <c r="D77" t="s">
        <v>2015</v>
      </c>
      <c r="E77">
        <v>26</v>
      </c>
      <c r="F77">
        <v>30042019</v>
      </c>
      <c r="G77">
        <v>1000000</v>
      </c>
      <c r="H77" t="s">
        <v>2067</v>
      </c>
      <c r="I77">
        <v>0</v>
      </c>
      <c r="J77">
        <v>43585</v>
      </c>
      <c r="K77">
        <v>45</v>
      </c>
      <c r="L77" t="s">
        <v>1995</v>
      </c>
    </row>
    <row r="78" spans="1:15">
      <c r="A78">
        <v>422020100</v>
      </c>
      <c r="B78" t="s">
        <v>1992</v>
      </c>
      <c r="C78">
        <v>446</v>
      </c>
      <c r="D78" t="s">
        <v>2015</v>
      </c>
      <c r="E78">
        <v>1</v>
      </c>
      <c r="F78">
        <v>10010000255</v>
      </c>
      <c r="G78" s="74">
        <v>16500000</v>
      </c>
      <c r="H78" t="s">
        <v>2064</v>
      </c>
      <c r="I78">
        <v>0</v>
      </c>
      <c r="J78" s="54">
        <v>43585</v>
      </c>
      <c r="K78">
        <v>45</v>
      </c>
      <c r="L78" t="s">
        <v>1995</v>
      </c>
      <c r="M78" t="s">
        <v>2384</v>
      </c>
      <c r="N78" t="s">
        <v>681</v>
      </c>
      <c r="O78" t="s">
        <v>681</v>
      </c>
    </row>
    <row r="79" spans="1:15" hidden="1">
      <c r="A79">
        <v>422020100</v>
      </c>
      <c r="B79" t="s">
        <v>1992</v>
      </c>
      <c r="C79">
        <v>446</v>
      </c>
      <c r="D79" t="s">
        <v>2015</v>
      </c>
      <c r="E79">
        <v>26</v>
      </c>
      <c r="F79">
        <v>31052019</v>
      </c>
      <c r="G79">
        <v>829650</v>
      </c>
      <c r="H79" t="s">
        <v>2068</v>
      </c>
      <c r="I79">
        <v>0</v>
      </c>
      <c r="J79">
        <v>43616</v>
      </c>
      <c r="K79">
        <v>45</v>
      </c>
      <c r="L79" t="s">
        <v>1995</v>
      </c>
    </row>
    <row r="80" spans="1:15">
      <c r="A80">
        <v>422020100</v>
      </c>
      <c r="B80" t="s">
        <v>1992</v>
      </c>
      <c r="C80">
        <v>446</v>
      </c>
      <c r="D80" t="s">
        <v>2015</v>
      </c>
      <c r="E80">
        <v>1</v>
      </c>
      <c r="F80">
        <v>10010000257</v>
      </c>
      <c r="G80" s="74">
        <v>16500000</v>
      </c>
      <c r="H80" t="s">
        <v>2069</v>
      </c>
      <c r="I80">
        <v>0</v>
      </c>
      <c r="J80" s="54">
        <v>43616</v>
      </c>
      <c r="K80">
        <v>45</v>
      </c>
      <c r="L80" t="s">
        <v>1995</v>
      </c>
      <c r="M80" t="s">
        <v>2384</v>
      </c>
      <c r="N80" t="s">
        <v>681</v>
      </c>
      <c r="O80" t="s">
        <v>681</v>
      </c>
    </row>
    <row r="81" spans="1:15">
      <c r="A81">
        <v>422020100</v>
      </c>
      <c r="B81" t="s">
        <v>1992</v>
      </c>
      <c r="C81">
        <v>446</v>
      </c>
      <c r="D81" t="s">
        <v>2015</v>
      </c>
      <c r="E81">
        <v>1</v>
      </c>
      <c r="F81">
        <v>10010000259</v>
      </c>
      <c r="G81" s="74">
        <v>16500000</v>
      </c>
      <c r="H81" t="s">
        <v>2070</v>
      </c>
      <c r="I81">
        <v>0</v>
      </c>
      <c r="J81" s="54">
        <v>43646</v>
      </c>
      <c r="K81">
        <v>45</v>
      </c>
      <c r="L81" t="s">
        <v>1995</v>
      </c>
      <c r="M81" t="s">
        <v>2384</v>
      </c>
      <c r="N81" t="s">
        <v>681</v>
      </c>
      <c r="O81" t="s">
        <v>681</v>
      </c>
    </row>
    <row r="82" spans="1:15">
      <c r="A82">
        <v>422020100</v>
      </c>
      <c r="B82" t="s">
        <v>1992</v>
      </c>
      <c r="C82">
        <v>446</v>
      </c>
      <c r="D82" t="s">
        <v>2015</v>
      </c>
      <c r="E82">
        <v>1</v>
      </c>
      <c r="F82">
        <v>10010000262</v>
      </c>
      <c r="G82" s="74">
        <v>16500000</v>
      </c>
      <c r="H82" t="s">
        <v>2071</v>
      </c>
      <c r="I82">
        <v>0</v>
      </c>
      <c r="J82" s="54">
        <v>43677</v>
      </c>
      <c r="K82">
        <v>45</v>
      </c>
      <c r="L82" t="s">
        <v>1995</v>
      </c>
      <c r="M82" t="s">
        <v>2384</v>
      </c>
      <c r="N82" t="s">
        <v>681</v>
      </c>
      <c r="O82" t="s">
        <v>681</v>
      </c>
    </row>
    <row r="83" spans="1:15">
      <c r="A83">
        <v>422020100</v>
      </c>
      <c r="B83" t="s">
        <v>1992</v>
      </c>
      <c r="C83">
        <v>446</v>
      </c>
      <c r="D83" t="s">
        <v>2015</v>
      </c>
      <c r="E83">
        <v>1</v>
      </c>
      <c r="F83">
        <v>10010000263</v>
      </c>
      <c r="G83" s="74">
        <v>16500000</v>
      </c>
      <c r="H83" t="s">
        <v>2064</v>
      </c>
      <c r="I83">
        <v>0</v>
      </c>
      <c r="J83" s="54">
        <v>43707</v>
      </c>
      <c r="K83">
        <v>45</v>
      </c>
      <c r="L83" t="s">
        <v>1995</v>
      </c>
      <c r="M83" t="s">
        <v>2384</v>
      </c>
      <c r="N83" t="s">
        <v>681</v>
      </c>
      <c r="O83" t="s">
        <v>681</v>
      </c>
    </row>
    <row r="84" spans="1:15" hidden="1">
      <c r="A84">
        <v>422020100</v>
      </c>
      <c r="B84" t="s">
        <v>1992</v>
      </c>
      <c r="C84">
        <v>446</v>
      </c>
      <c r="D84" t="s">
        <v>2015</v>
      </c>
      <c r="E84">
        <v>26</v>
      </c>
      <c r="F84">
        <v>30092019</v>
      </c>
      <c r="G84">
        <v>891000</v>
      </c>
      <c r="H84" t="s">
        <v>2072</v>
      </c>
      <c r="I84">
        <v>0</v>
      </c>
      <c r="J84">
        <v>43738</v>
      </c>
      <c r="K84">
        <v>45</v>
      </c>
      <c r="L84" t="s">
        <v>1995</v>
      </c>
    </row>
    <row r="85" spans="1:15">
      <c r="A85">
        <v>422020100</v>
      </c>
      <c r="B85" t="s">
        <v>1992</v>
      </c>
      <c r="C85">
        <v>446</v>
      </c>
      <c r="D85" t="s">
        <v>2015</v>
      </c>
      <c r="E85">
        <v>1</v>
      </c>
      <c r="F85">
        <v>10010000265</v>
      </c>
      <c r="G85" s="74">
        <v>16500000</v>
      </c>
      <c r="H85" t="s">
        <v>2073</v>
      </c>
      <c r="I85">
        <v>0</v>
      </c>
      <c r="J85" s="54">
        <v>43738</v>
      </c>
      <c r="K85">
        <v>45</v>
      </c>
      <c r="L85" t="s">
        <v>1995</v>
      </c>
      <c r="M85" t="s">
        <v>2384</v>
      </c>
      <c r="N85" t="s">
        <v>681</v>
      </c>
      <c r="O85" t="s">
        <v>681</v>
      </c>
    </row>
    <row r="86" spans="1:15">
      <c r="A86">
        <v>422020100</v>
      </c>
      <c r="B86" t="s">
        <v>1992</v>
      </c>
      <c r="C86">
        <v>446</v>
      </c>
      <c r="D86" t="s">
        <v>2015</v>
      </c>
      <c r="E86">
        <v>1</v>
      </c>
      <c r="F86">
        <v>10010000268</v>
      </c>
      <c r="G86" s="74">
        <v>16500000</v>
      </c>
      <c r="H86" t="s">
        <v>2064</v>
      </c>
      <c r="I86">
        <v>0</v>
      </c>
      <c r="J86" s="54">
        <v>43769</v>
      </c>
      <c r="K86">
        <v>45</v>
      </c>
      <c r="L86" t="s">
        <v>1995</v>
      </c>
      <c r="M86" t="s">
        <v>2384</v>
      </c>
      <c r="N86" t="s">
        <v>681</v>
      </c>
      <c r="O86" t="s">
        <v>681</v>
      </c>
    </row>
    <row r="87" spans="1:15">
      <c r="A87">
        <v>422020100</v>
      </c>
      <c r="B87" t="s">
        <v>1992</v>
      </c>
      <c r="C87">
        <v>446</v>
      </c>
      <c r="D87" t="s">
        <v>2015</v>
      </c>
      <c r="E87">
        <v>1</v>
      </c>
      <c r="F87">
        <v>10010000273</v>
      </c>
      <c r="G87" s="74">
        <v>13200000</v>
      </c>
      <c r="H87" t="s">
        <v>2074</v>
      </c>
      <c r="I87">
        <v>0</v>
      </c>
      <c r="J87" s="54">
        <v>43816</v>
      </c>
      <c r="K87">
        <v>45</v>
      </c>
      <c r="L87" t="s">
        <v>1995</v>
      </c>
      <c r="M87" t="s">
        <v>2384</v>
      </c>
      <c r="N87" t="s">
        <v>681</v>
      </c>
      <c r="O87" t="s">
        <v>681</v>
      </c>
    </row>
    <row r="88" spans="1:15">
      <c r="A88">
        <v>422020100</v>
      </c>
      <c r="B88" t="s">
        <v>1992</v>
      </c>
      <c r="C88">
        <v>446</v>
      </c>
      <c r="D88" t="s">
        <v>2015</v>
      </c>
      <c r="E88">
        <v>2</v>
      </c>
      <c r="F88">
        <v>10010007185</v>
      </c>
      <c r="G88" s="74">
        <v>1586880</v>
      </c>
      <c r="H88" t="s">
        <v>2075</v>
      </c>
      <c r="I88">
        <v>0</v>
      </c>
      <c r="J88" s="54">
        <v>43524</v>
      </c>
      <c r="L88" t="s">
        <v>2076</v>
      </c>
    </row>
    <row r="89" spans="1:15">
      <c r="A89">
        <v>422020100</v>
      </c>
      <c r="B89" t="s">
        <v>1992</v>
      </c>
      <c r="C89">
        <v>446</v>
      </c>
      <c r="D89" t="s">
        <v>2015</v>
      </c>
      <c r="E89">
        <v>2</v>
      </c>
      <c r="F89">
        <v>10010007563</v>
      </c>
      <c r="G89" s="74">
        <v>2504460</v>
      </c>
      <c r="H89" t="s">
        <v>2077</v>
      </c>
      <c r="I89">
        <v>0</v>
      </c>
      <c r="J89" s="54">
        <v>43565</v>
      </c>
      <c r="L89" t="s">
        <v>2076</v>
      </c>
    </row>
    <row r="90" spans="1:15">
      <c r="A90">
        <v>422020100</v>
      </c>
      <c r="B90" t="s">
        <v>1992</v>
      </c>
      <c r="C90">
        <v>446</v>
      </c>
      <c r="D90" t="s">
        <v>2015</v>
      </c>
      <c r="E90">
        <v>2</v>
      </c>
      <c r="F90">
        <v>10010007610</v>
      </c>
      <c r="G90" s="74">
        <v>3810000</v>
      </c>
      <c r="H90" t="s">
        <v>2078</v>
      </c>
      <c r="I90">
        <v>0</v>
      </c>
      <c r="J90" s="54">
        <v>43588</v>
      </c>
      <c r="L90" t="s">
        <v>2076</v>
      </c>
    </row>
    <row r="91" spans="1:15">
      <c r="A91">
        <v>422020100</v>
      </c>
      <c r="B91" t="s">
        <v>1992</v>
      </c>
      <c r="C91">
        <v>446</v>
      </c>
      <c r="D91" t="s">
        <v>2015</v>
      </c>
      <c r="E91">
        <v>2</v>
      </c>
      <c r="F91">
        <v>10010007742</v>
      </c>
      <c r="G91" s="74">
        <v>3798000</v>
      </c>
      <c r="H91" t="s">
        <v>2079</v>
      </c>
      <c r="I91">
        <v>0</v>
      </c>
      <c r="J91" s="54">
        <v>43620</v>
      </c>
      <c r="L91" t="s">
        <v>2076</v>
      </c>
    </row>
    <row r="92" spans="1:15">
      <c r="A92">
        <v>422020100</v>
      </c>
      <c r="B92" t="s">
        <v>1992</v>
      </c>
      <c r="C92">
        <v>446</v>
      </c>
      <c r="D92" t="s">
        <v>2015</v>
      </c>
      <c r="E92">
        <v>2</v>
      </c>
      <c r="F92">
        <v>10010014207</v>
      </c>
      <c r="G92" s="74">
        <v>369091</v>
      </c>
      <c r="H92" t="s">
        <v>2080</v>
      </c>
      <c r="I92">
        <v>0</v>
      </c>
      <c r="J92" s="54">
        <v>43620</v>
      </c>
      <c r="L92" t="s">
        <v>2076</v>
      </c>
    </row>
    <row r="93" spans="1:15">
      <c r="A93">
        <v>422020100</v>
      </c>
      <c r="B93" t="s">
        <v>1992</v>
      </c>
      <c r="C93">
        <v>446</v>
      </c>
      <c r="D93" t="s">
        <v>2015</v>
      </c>
      <c r="E93">
        <v>2</v>
      </c>
      <c r="F93">
        <v>10010014208</v>
      </c>
      <c r="G93" s="74">
        <v>116364</v>
      </c>
      <c r="H93" t="s">
        <v>2080</v>
      </c>
      <c r="I93">
        <v>0</v>
      </c>
      <c r="J93" s="54">
        <v>43620</v>
      </c>
      <c r="L93" t="s">
        <v>2076</v>
      </c>
    </row>
    <row r="94" spans="1:15">
      <c r="A94">
        <v>422020100</v>
      </c>
      <c r="B94" t="s">
        <v>1992</v>
      </c>
      <c r="C94">
        <v>446</v>
      </c>
      <c r="D94" t="s">
        <v>2015</v>
      </c>
      <c r="E94">
        <v>2</v>
      </c>
      <c r="F94">
        <v>10010014209</v>
      </c>
      <c r="G94" s="74">
        <v>116364</v>
      </c>
      <c r="H94" t="s">
        <v>2080</v>
      </c>
      <c r="I94">
        <v>0</v>
      </c>
      <c r="J94" s="54">
        <v>43620</v>
      </c>
      <c r="L94" t="s">
        <v>2076</v>
      </c>
    </row>
    <row r="95" spans="1:15">
      <c r="A95">
        <v>422020100</v>
      </c>
      <c r="B95" t="s">
        <v>1992</v>
      </c>
      <c r="C95">
        <v>446</v>
      </c>
      <c r="D95" t="s">
        <v>2015</v>
      </c>
      <c r="E95">
        <v>2</v>
      </c>
      <c r="F95">
        <v>10010007864</v>
      </c>
      <c r="G95" s="74">
        <v>3732000</v>
      </c>
      <c r="H95" t="s">
        <v>2081</v>
      </c>
      <c r="I95">
        <v>0</v>
      </c>
      <c r="J95" s="54">
        <v>43647</v>
      </c>
      <c r="L95" t="s">
        <v>2076</v>
      </c>
    </row>
    <row r="96" spans="1:15">
      <c r="A96">
        <v>422020100</v>
      </c>
      <c r="B96" t="s">
        <v>1992</v>
      </c>
      <c r="C96">
        <v>446</v>
      </c>
      <c r="D96" t="s">
        <v>2015</v>
      </c>
      <c r="E96">
        <v>2</v>
      </c>
      <c r="F96">
        <v>10010002334</v>
      </c>
      <c r="G96" s="74">
        <v>2022000</v>
      </c>
      <c r="H96" t="s">
        <v>2082</v>
      </c>
      <c r="I96">
        <v>0</v>
      </c>
      <c r="J96" s="54">
        <v>43658</v>
      </c>
      <c r="L96" t="s">
        <v>2076</v>
      </c>
    </row>
    <row r="97" spans="1:12">
      <c r="A97">
        <v>422020100</v>
      </c>
      <c r="B97" t="s">
        <v>1992</v>
      </c>
      <c r="C97">
        <v>446</v>
      </c>
      <c r="D97" t="s">
        <v>2015</v>
      </c>
      <c r="E97">
        <v>2</v>
      </c>
      <c r="F97">
        <v>10010007987</v>
      </c>
      <c r="G97" s="74">
        <v>3630000</v>
      </c>
      <c r="H97" t="s">
        <v>2083</v>
      </c>
      <c r="I97">
        <v>0</v>
      </c>
      <c r="J97" s="54">
        <v>43678</v>
      </c>
      <c r="L97" t="s">
        <v>2076</v>
      </c>
    </row>
    <row r="98" spans="1:12">
      <c r="A98">
        <v>422020100</v>
      </c>
      <c r="B98" t="s">
        <v>1992</v>
      </c>
      <c r="C98">
        <v>446</v>
      </c>
      <c r="D98" t="s">
        <v>2015</v>
      </c>
      <c r="E98">
        <v>2</v>
      </c>
      <c r="F98">
        <v>10010017439</v>
      </c>
      <c r="G98" s="74">
        <v>541818</v>
      </c>
      <c r="H98" t="s">
        <v>2084</v>
      </c>
      <c r="I98">
        <v>0</v>
      </c>
      <c r="J98" s="54">
        <v>43689</v>
      </c>
      <c r="L98" t="s">
        <v>2076</v>
      </c>
    </row>
    <row r="99" spans="1:12">
      <c r="A99">
        <v>422020100</v>
      </c>
      <c r="B99" t="s">
        <v>1992</v>
      </c>
      <c r="C99">
        <v>446</v>
      </c>
      <c r="D99" t="s">
        <v>2015</v>
      </c>
      <c r="E99">
        <v>2</v>
      </c>
      <c r="F99">
        <v>10010002355</v>
      </c>
      <c r="G99" s="74">
        <v>200000</v>
      </c>
      <c r="H99" t="s">
        <v>2085</v>
      </c>
      <c r="I99">
        <v>0</v>
      </c>
      <c r="J99" s="54">
        <v>43698</v>
      </c>
      <c r="L99" t="s">
        <v>2076</v>
      </c>
    </row>
    <row r="100" spans="1:12">
      <c r="A100">
        <v>422020100</v>
      </c>
      <c r="B100" t="s">
        <v>1992</v>
      </c>
      <c r="C100">
        <v>446</v>
      </c>
      <c r="D100" t="s">
        <v>2015</v>
      </c>
      <c r="E100">
        <v>2</v>
      </c>
      <c r="F100">
        <v>10010008053</v>
      </c>
      <c r="G100" s="74">
        <v>15512400</v>
      </c>
      <c r="H100" t="s">
        <v>2086</v>
      </c>
      <c r="I100">
        <v>0</v>
      </c>
      <c r="J100" s="54">
        <v>43699</v>
      </c>
      <c r="L100" t="s">
        <v>2076</v>
      </c>
    </row>
    <row r="101" spans="1:12">
      <c r="A101">
        <v>422020100</v>
      </c>
      <c r="B101" t="s">
        <v>1992</v>
      </c>
      <c r="C101">
        <v>446</v>
      </c>
      <c r="D101" t="s">
        <v>2015</v>
      </c>
      <c r="E101">
        <v>2</v>
      </c>
      <c r="F101">
        <v>10010008054</v>
      </c>
      <c r="G101" s="74">
        <v>891695</v>
      </c>
      <c r="H101" t="s">
        <v>2087</v>
      </c>
      <c r="I101">
        <v>0</v>
      </c>
      <c r="J101" s="54">
        <v>43699</v>
      </c>
      <c r="L101" t="s">
        <v>2076</v>
      </c>
    </row>
    <row r="102" spans="1:12">
      <c r="A102">
        <v>422020100</v>
      </c>
      <c r="B102" t="s">
        <v>1992</v>
      </c>
      <c r="C102">
        <v>446</v>
      </c>
      <c r="D102" t="s">
        <v>2015</v>
      </c>
      <c r="E102">
        <v>2</v>
      </c>
      <c r="F102">
        <v>10010008055</v>
      </c>
      <c r="G102" s="74">
        <v>506040</v>
      </c>
      <c r="H102" t="s">
        <v>2088</v>
      </c>
      <c r="I102">
        <v>0</v>
      </c>
      <c r="J102" s="54">
        <v>43699</v>
      </c>
      <c r="L102" t="s">
        <v>2076</v>
      </c>
    </row>
    <row r="103" spans="1:12">
      <c r="A103">
        <v>422020100</v>
      </c>
      <c r="B103" t="s">
        <v>1992</v>
      </c>
      <c r="C103">
        <v>446</v>
      </c>
      <c r="D103" t="s">
        <v>2015</v>
      </c>
      <c r="E103">
        <v>2</v>
      </c>
      <c r="F103">
        <v>10010008093</v>
      </c>
      <c r="G103" s="74">
        <v>3792000</v>
      </c>
      <c r="H103" t="s">
        <v>2089</v>
      </c>
      <c r="I103">
        <v>0</v>
      </c>
      <c r="J103" s="54">
        <v>43710</v>
      </c>
      <c r="L103" t="s">
        <v>2076</v>
      </c>
    </row>
    <row r="104" spans="1:12">
      <c r="A104">
        <v>422020100</v>
      </c>
      <c r="B104" t="s">
        <v>1992</v>
      </c>
      <c r="C104">
        <v>446</v>
      </c>
      <c r="D104" t="s">
        <v>2015</v>
      </c>
      <c r="E104">
        <v>2</v>
      </c>
      <c r="F104">
        <v>10010008114</v>
      </c>
      <c r="G104" s="74">
        <v>685363</v>
      </c>
      <c r="H104" t="s">
        <v>2090</v>
      </c>
      <c r="I104">
        <v>0</v>
      </c>
      <c r="J104" s="54">
        <v>43710</v>
      </c>
      <c r="L104" t="s">
        <v>2076</v>
      </c>
    </row>
    <row r="105" spans="1:12">
      <c r="A105">
        <v>422020100</v>
      </c>
      <c r="B105" t="s">
        <v>1992</v>
      </c>
      <c r="C105">
        <v>446</v>
      </c>
      <c r="D105" t="s">
        <v>2015</v>
      </c>
      <c r="E105">
        <v>2</v>
      </c>
      <c r="F105">
        <v>10010007743</v>
      </c>
      <c r="G105" s="74">
        <v>8378176</v>
      </c>
      <c r="H105" t="s">
        <v>2091</v>
      </c>
      <c r="I105">
        <v>0</v>
      </c>
      <c r="J105" s="54">
        <v>43726</v>
      </c>
      <c r="L105" t="s">
        <v>2076</v>
      </c>
    </row>
    <row r="106" spans="1:12">
      <c r="A106">
        <v>422020100</v>
      </c>
      <c r="B106" t="s">
        <v>1992</v>
      </c>
      <c r="C106">
        <v>446</v>
      </c>
      <c r="D106" t="s">
        <v>2015</v>
      </c>
      <c r="E106">
        <v>2</v>
      </c>
      <c r="F106">
        <v>10010008196</v>
      </c>
      <c r="G106" s="74">
        <v>3846000</v>
      </c>
      <c r="H106" t="s">
        <v>2092</v>
      </c>
      <c r="I106">
        <v>0</v>
      </c>
      <c r="J106" s="54">
        <v>43739</v>
      </c>
      <c r="L106" t="s">
        <v>2076</v>
      </c>
    </row>
    <row r="107" spans="1:12">
      <c r="A107">
        <v>422020100</v>
      </c>
      <c r="B107" t="s">
        <v>1992</v>
      </c>
      <c r="C107">
        <v>446</v>
      </c>
      <c r="D107" t="s">
        <v>2015</v>
      </c>
      <c r="E107">
        <v>2</v>
      </c>
      <c r="F107">
        <v>10010008290</v>
      </c>
      <c r="G107" s="74">
        <v>3864000</v>
      </c>
      <c r="H107" t="s">
        <v>2093</v>
      </c>
      <c r="I107">
        <v>0</v>
      </c>
      <c r="J107" s="54">
        <v>43770</v>
      </c>
      <c r="L107" t="s">
        <v>2076</v>
      </c>
    </row>
    <row r="108" spans="1:12">
      <c r="A108">
        <v>422020100</v>
      </c>
      <c r="B108" t="s">
        <v>1992</v>
      </c>
      <c r="C108">
        <v>446</v>
      </c>
      <c r="D108" t="s">
        <v>2015</v>
      </c>
      <c r="E108">
        <v>2</v>
      </c>
      <c r="F108">
        <v>10010008327</v>
      </c>
      <c r="G108" s="74">
        <v>1352400</v>
      </c>
      <c r="H108" t="s">
        <v>2094</v>
      </c>
      <c r="I108">
        <v>0</v>
      </c>
      <c r="J108" s="54">
        <v>43775</v>
      </c>
      <c r="L108" t="s">
        <v>2076</v>
      </c>
    </row>
    <row r="109" spans="1:12">
      <c r="A109">
        <v>422020100</v>
      </c>
      <c r="B109" t="s">
        <v>1992</v>
      </c>
      <c r="C109">
        <v>446</v>
      </c>
      <c r="D109" t="s">
        <v>2015</v>
      </c>
      <c r="E109">
        <v>2</v>
      </c>
      <c r="F109">
        <v>10010008335</v>
      </c>
      <c r="G109" s="74">
        <v>7271340</v>
      </c>
      <c r="H109" t="s">
        <v>2095</v>
      </c>
      <c r="I109">
        <v>0</v>
      </c>
      <c r="J109" s="54">
        <v>43780</v>
      </c>
      <c r="L109" t="s">
        <v>2076</v>
      </c>
    </row>
    <row r="110" spans="1:12">
      <c r="A110">
        <v>422020100</v>
      </c>
      <c r="B110" t="s">
        <v>1992</v>
      </c>
      <c r="C110">
        <v>446</v>
      </c>
      <c r="D110" t="s">
        <v>2015</v>
      </c>
      <c r="E110">
        <v>2</v>
      </c>
      <c r="F110">
        <v>10010008398</v>
      </c>
      <c r="G110" s="74">
        <v>3864000</v>
      </c>
      <c r="H110" t="s">
        <v>2096</v>
      </c>
      <c r="I110">
        <v>0</v>
      </c>
      <c r="J110" s="54">
        <v>43801</v>
      </c>
      <c r="L110" t="s">
        <v>2076</v>
      </c>
    </row>
    <row r="111" spans="1:12">
      <c r="A111">
        <v>422020100</v>
      </c>
      <c r="B111" t="s">
        <v>1992</v>
      </c>
      <c r="C111">
        <v>446</v>
      </c>
      <c r="D111" t="s">
        <v>2015</v>
      </c>
      <c r="E111">
        <v>2</v>
      </c>
      <c r="F111">
        <v>10010023914</v>
      </c>
      <c r="G111" s="74">
        <v>472727</v>
      </c>
      <c r="H111" t="s">
        <v>2097</v>
      </c>
      <c r="I111">
        <v>0</v>
      </c>
      <c r="J111" s="54">
        <v>43825</v>
      </c>
      <c r="L111" t="s">
        <v>2076</v>
      </c>
    </row>
    <row r="112" spans="1:12">
      <c r="A112">
        <v>422020100</v>
      </c>
      <c r="B112" t="s">
        <v>1992</v>
      </c>
      <c r="C112">
        <v>447</v>
      </c>
      <c r="D112" t="s">
        <v>2098</v>
      </c>
      <c r="E112">
        <v>1</v>
      </c>
      <c r="F112">
        <v>10010003937</v>
      </c>
      <c r="G112" s="74">
        <v>181818</v>
      </c>
      <c r="H112" t="s">
        <v>2056</v>
      </c>
      <c r="I112">
        <v>0</v>
      </c>
      <c r="J112" s="54">
        <v>43808</v>
      </c>
      <c r="K112">
        <v>3</v>
      </c>
      <c r="L112" t="s">
        <v>2099</v>
      </c>
    </row>
    <row r="113" spans="1:15">
      <c r="A113">
        <v>422020100</v>
      </c>
      <c r="B113" t="s">
        <v>1992</v>
      </c>
      <c r="C113">
        <v>842</v>
      </c>
      <c r="D113" t="s">
        <v>2100</v>
      </c>
      <c r="E113">
        <v>9</v>
      </c>
      <c r="F113">
        <v>20030002405</v>
      </c>
      <c r="G113" s="74">
        <v>0</v>
      </c>
      <c r="H113" t="s">
        <v>2101</v>
      </c>
      <c r="I113">
        <v>6600000</v>
      </c>
      <c r="J113" s="54">
        <v>43799</v>
      </c>
      <c r="K113">
        <v>45</v>
      </c>
      <c r="L113" t="s">
        <v>1995</v>
      </c>
      <c r="M113" t="s">
        <v>2384</v>
      </c>
      <c r="N113" t="s">
        <v>681</v>
      </c>
      <c r="O113" t="s">
        <v>681</v>
      </c>
    </row>
    <row r="114" spans="1:15" hidden="1">
      <c r="A114">
        <v>422020100</v>
      </c>
      <c r="B114" t="s">
        <v>1992</v>
      </c>
      <c r="C114">
        <v>1644</v>
      </c>
      <c r="D114" t="s">
        <v>2102</v>
      </c>
      <c r="E114">
        <v>25</v>
      </c>
      <c r="F114">
        <v>29022019</v>
      </c>
      <c r="G114">
        <v>0</v>
      </c>
      <c r="H114" t="s">
        <v>2103</v>
      </c>
      <c r="I114">
        <v>1000000</v>
      </c>
      <c r="J114">
        <v>43524</v>
      </c>
      <c r="K114">
        <v>45</v>
      </c>
      <c r="L114" t="s">
        <v>1995</v>
      </c>
    </row>
    <row r="115" spans="1:15" hidden="1">
      <c r="A115">
        <v>422020100</v>
      </c>
      <c r="B115" t="s">
        <v>1992</v>
      </c>
      <c r="C115">
        <v>1644</v>
      </c>
      <c r="D115" t="s">
        <v>2102</v>
      </c>
      <c r="E115">
        <v>25</v>
      </c>
      <c r="F115">
        <v>28032019</v>
      </c>
      <c r="G115">
        <v>0</v>
      </c>
      <c r="H115" t="s">
        <v>2065</v>
      </c>
      <c r="I115">
        <v>1000000</v>
      </c>
      <c r="J115">
        <v>43552</v>
      </c>
      <c r="K115">
        <v>45</v>
      </c>
      <c r="L115" t="s">
        <v>1995</v>
      </c>
    </row>
    <row r="116" spans="1:15" hidden="1">
      <c r="A116">
        <v>422020100</v>
      </c>
      <c r="B116" t="s">
        <v>1992</v>
      </c>
      <c r="C116">
        <v>1644</v>
      </c>
      <c r="D116" t="s">
        <v>2102</v>
      </c>
      <c r="E116">
        <v>25</v>
      </c>
      <c r="F116">
        <v>30042019</v>
      </c>
      <c r="G116">
        <v>0</v>
      </c>
      <c r="H116" t="s">
        <v>2104</v>
      </c>
      <c r="I116">
        <v>1000000</v>
      </c>
      <c r="J116">
        <v>43585</v>
      </c>
      <c r="K116">
        <v>45</v>
      </c>
      <c r="L116" t="s">
        <v>1995</v>
      </c>
    </row>
    <row r="117" spans="1:15" hidden="1">
      <c r="A117">
        <v>422020100</v>
      </c>
      <c r="B117" t="s">
        <v>1992</v>
      </c>
      <c r="C117">
        <v>1644</v>
      </c>
      <c r="D117" t="s">
        <v>2102</v>
      </c>
      <c r="E117">
        <v>25</v>
      </c>
      <c r="F117">
        <v>31052019</v>
      </c>
      <c r="G117">
        <v>0</v>
      </c>
      <c r="H117" t="s">
        <v>2105</v>
      </c>
      <c r="I117">
        <v>829650</v>
      </c>
      <c r="J117">
        <v>43616</v>
      </c>
      <c r="K117">
        <v>45</v>
      </c>
      <c r="L117" t="s">
        <v>1995</v>
      </c>
    </row>
    <row r="118" spans="1:15" hidden="1">
      <c r="A118">
        <v>422020100</v>
      </c>
      <c r="B118" t="s">
        <v>1992</v>
      </c>
      <c r="C118">
        <v>1644</v>
      </c>
      <c r="D118" t="s">
        <v>2102</v>
      </c>
      <c r="E118">
        <v>25</v>
      </c>
      <c r="F118">
        <v>30092019</v>
      </c>
      <c r="G118">
        <v>0</v>
      </c>
      <c r="H118" t="s">
        <v>2106</v>
      </c>
      <c r="I118">
        <v>891000</v>
      </c>
      <c r="J118">
        <v>43738</v>
      </c>
      <c r="K118">
        <v>45</v>
      </c>
      <c r="L118" t="s">
        <v>1995</v>
      </c>
    </row>
    <row r="119" spans="1:15">
      <c r="A119">
        <v>422100100</v>
      </c>
      <c r="B119" t="s">
        <v>2107</v>
      </c>
      <c r="C119">
        <v>573</v>
      </c>
      <c r="D119" t="s">
        <v>2108</v>
      </c>
      <c r="E119">
        <v>1</v>
      </c>
      <c r="F119">
        <v>10010000268</v>
      </c>
      <c r="G119" s="74">
        <v>9409091</v>
      </c>
      <c r="H119" t="s">
        <v>2109</v>
      </c>
      <c r="I119">
        <v>0</v>
      </c>
      <c r="J119" s="54">
        <v>43480</v>
      </c>
      <c r="K119">
        <v>45</v>
      </c>
      <c r="L119" t="s">
        <v>1995</v>
      </c>
      <c r="M119" t="s">
        <v>2385</v>
      </c>
      <c r="N119" t="s">
        <v>2506</v>
      </c>
    </row>
    <row r="120" spans="1:15">
      <c r="A120">
        <v>422100100</v>
      </c>
      <c r="B120" t="s">
        <v>2107</v>
      </c>
      <c r="C120">
        <v>573</v>
      </c>
      <c r="D120" t="s">
        <v>2108</v>
      </c>
      <c r="E120">
        <v>1</v>
      </c>
      <c r="F120">
        <v>10010000266</v>
      </c>
      <c r="G120" s="74">
        <v>72222222</v>
      </c>
      <c r="H120" t="s">
        <v>2110</v>
      </c>
      <c r="I120">
        <v>0</v>
      </c>
      <c r="J120" s="54">
        <v>43481</v>
      </c>
      <c r="K120">
        <v>45</v>
      </c>
      <c r="L120" t="s">
        <v>1995</v>
      </c>
      <c r="M120" t="s">
        <v>2387</v>
      </c>
      <c r="N120" t="s">
        <v>2506</v>
      </c>
    </row>
    <row r="121" spans="1:15">
      <c r="A121">
        <v>422100100</v>
      </c>
      <c r="B121" t="s">
        <v>2107</v>
      </c>
      <c r="C121">
        <v>573</v>
      </c>
      <c r="D121" t="s">
        <v>2108</v>
      </c>
      <c r="E121">
        <v>1</v>
      </c>
      <c r="F121">
        <v>10010000161</v>
      </c>
      <c r="G121" s="74">
        <v>1920511</v>
      </c>
      <c r="H121" t="s">
        <v>2111</v>
      </c>
      <c r="I121">
        <v>0</v>
      </c>
      <c r="J121" s="54">
        <v>43496</v>
      </c>
      <c r="K121">
        <v>45</v>
      </c>
      <c r="L121" t="s">
        <v>1995</v>
      </c>
    </row>
    <row r="122" spans="1:15">
      <c r="A122">
        <v>422100100</v>
      </c>
      <c r="B122" t="s">
        <v>2107</v>
      </c>
      <c r="C122">
        <v>573</v>
      </c>
      <c r="D122" t="s">
        <v>2108</v>
      </c>
      <c r="E122">
        <v>1</v>
      </c>
      <c r="F122">
        <v>10010000201</v>
      </c>
      <c r="G122" s="74">
        <v>7197955</v>
      </c>
      <c r="H122" t="s">
        <v>2112</v>
      </c>
      <c r="I122">
        <v>0</v>
      </c>
      <c r="J122" s="54">
        <v>43496</v>
      </c>
      <c r="K122">
        <v>45</v>
      </c>
      <c r="L122" t="s">
        <v>1995</v>
      </c>
    </row>
    <row r="123" spans="1:15">
      <c r="A123">
        <v>422100100</v>
      </c>
      <c r="B123" t="s">
        <v>2107</v>
      </c>
      <c r="C123">
        <v>573</v>
      </c>
      <c r="D123" t="s">
        <v>2108</v>
      </c>
      <c r="E123">
        <v>1</v>
      </c>
      <c r="F123">
        <v>10010000202</v>
      </c>
      <c r="G123" s="74">
        <v>14274205</v>
      </c>
      <c r="H123" t="s">
        <v>2113</v>
      </c>
      <c r="I123">
        <v>0</v>
      </c>
      <c r="J123" s="54">
        <v>43496</v>
      </c>
      <c r="K123">
        <v>45</v>
      </c>
      <c r="L123" t="s">
        <v>1995</v>
      </c>
    </row>
    <row r="124" spans="1:15">
      <c r="A124">
        <v>422100100</v>
      </c>
      <c r="B124" t="s">
        <v>2107</v>
      </c>
      <c r="C124">
        <v>573</v>
      </c>
      <c r="D124" t="s">
        <v>2108</v>
      </c>
      <c r="E124">
        <v>1</v>
      </c>
      <c r="F124">
        <v>10010000203</v>
      </c>
      <c r="G124" s="74">
        <v>10909091</v>
      </c>
      <c r="H124" t="s">
        <v>2114</v>
      </c>
      <c r="I124">
        <v>0</v>
      </c>
      <c r="J124" s="54">
        <v>43496</v>
      </c>
      <c r="K124">
        <v>45</v>
      </c>
      <c r="L124" t="s">
        <v>1995</v>
      </c>
    </row>
    <row r="125" spans="1:15">
      <c r="A125">
        <v>422100100</v>
      </c>
      <c r="B125" t="s">
        <v>2107</v>
      </c>
      <c r="C125">
        <v>573</v>
      </c>
      <c r="D125" t="s">
        <v>2108</v>
      </c>
      <c r="E125">
        <v>1</v>
      </c>
      <c r="F125">
        <v>10010000231</v>
      </c>
      <c r="G125" s="74">
        <v>10350000</v>
      </c>
      <c r="H125" t="s">
        <v>2115</v>
      </c>
      <c r="I125">
        <v>0</v>
      </c>
      <c r="J125" s="54">
        <v>43496</v>
      </c>
      <c r="K125">
        <v>45</v>
      </c>
      <c r="L125" t="s">
        <v>1995</v>
      </c>
      <c r="M125" t="s">
        <v>2499</v>
      </c>
      <c r="N125" t="s">
        <v>2506</v>
      </c>
    </row>
    <row r="126" spans="1:15">
      <c r="A126">
        <v>422100100</v>
      </c>
      <c r="B126" t="s">
        <v>2107</v>
      </c>
      <c r="C126">
        <v>573</v>
      </c>
      <c r="D126" t="s">
        <v>2108</v>
      </c>
      <c r="E126">
        <v>1</v>
      </c>
      <c r="F126">
        <v>10010000232</v>
      </c>
      <c r="G126" s="74">
        <v>10350000</v>
      </c>
      <c r="H126" t="s">
        <v>2116</v>
      </c>
      <c r="I126">
        <v>0</v>
      </c>
      <c r="J126" s="54">
        <v>43496</v>
      </c>
      <c r="K126">
        <v>45</v>
      </c>
      <c r="L126" t="s">
        <v>1995</v>
      </c>
      <c r="M126" t="s">
        <v>2499</v>
      </c>
      <c r="N126" t="s">
        <v>2506</v>
      </c>
    </row>
    <row r="127" spans="1:15">
      <c r="A127">
        <v>422100100</v>
      </c>
      <c r="B127" t="s">
        <v>2107</v>
      </c>
      <c r="C127">
        <v>573</v>
      </c>
      <c r="D127" t="s">
        <v>2108</v>
      </c>
      <c r="E127">
        <v>1</v>
      </c>
      <c r="F127">
        <v>10010000270</v>
      </c>
      <c r="G127" s="74">
        <v>9409091</v>
      </c>
      <c r="H127" t="s">
        <v>2117</v>
      </c>
      <c r="I127">
        <v>0</v>
      </c>
      <c r="J127" s="54">
        <v>43496</v>
      </c>
      <c r="K127">
        <v>45</v>
      </c>
      <c r="L127" t="s">
        <v>1995</v>
      </c>
      <c r="M127" t="s">
        <v>2385</v>
      </c>
      <c r="N127" t="s">
        <v>2506</v>
      </c>
    </row>
    <row r="128" spans="1:15">
      <c r="A128">
        <v>422100100</v>
      </c>
      <c r="B128" t="s">
        <v>2107</v>
      </c>
      <c r="C128">
        <v>573</v>
      </c>
      <c r="D128" t="s">
        <v>2108</v>
      </c>
      <c r="E128">
        <v>1</v>
      </c>
      <c r="F128">
        <v>10010000272</v>
      </c>
      <c r="G128" s="74">
        <v>16818182</v>
      </c>
      <c r="H128" t="s">
        <v>2118</v>
      </c>
      <c r="I128">
        <v>0</v>
      </c>
      <c r="J128" s="54">
        <v>43496</v>
      </c>
      <c r="K128">
        <v>45</v>
      </c>
      <c r="L128" t="s">
        <v>1995</v>
      </c>
      <c r="M128" t="s">
        <v>2391</v>
      </c>
      <c r="N128" t="s">
        <v>2506</v>
      </c>
    </row>
    <row r="129" spans="1:14">
      <c r="A129">
        <v>422100100</v>
      </c>
      <c r="B129" t="s">
        <v>2107</v>
      </c>
      <c r="C129">
        <v>573</v>
      </c>
      <c r="D129" t="s">
        <v>2108</v>
      </c>
      <c r="E129">
        <v>1</v>
      </c>
      <c r="F129">
        <v>10010000315</v>
      </c>
      <c r="G129" s="74">
        <v>11363636</v>
      </c>
      <c r="H129" t="s">
        <v>2119</v>
      </c>
      <c r="I129">
        <v>0</v>
      </c>
      <c r="J129" s="54">
        <v>43496</v>
      </c>
      <c r="K129">
        <v>45</v>
      </c>
      <c r="L129" t="s">
        <v>1995</v>
      </c>
      <c r="M129" t="s">
        <v>2386</v>
      </c>
      <c r="N129" t="s">
        <v>2506</v>
      </c>
    </row>
    <row r="130" spans="1:14">
      <c r="A130">
        <v>422100100</v>
      </c>
      <c r="B130" t="s">
        <v>2107</v>
      </c>
      <c r="C130">
        <v>573</v>
      </c>
      <c r="D130" t="s">
        <v>2108</v>
      </c>
      <c r="E130">
        <v>1</v>
      </c>
      <c r="F130">
        <v>10010000165</v>
      </c>
      <c r="G130" s="74">
        <v>1920511</v>
      </c>
      <c r="H130" t="s">
        <v>2120</v>
      </c>
      <c r="I130">
        <v>0</v>
      </c>
      <c r="J130" s="54">
        <v>43524</v>
      </c>
      <c r="K130">
        <v>45</v>
      </c>
      <c r="L130" t="s">
        <v>1995</v>
      </c>
    </row>
    <row r="131" spans="1:14">
      <c r="A131">
        <v>422100100</v>
      </c>
      <c r="B131" t="s">
        <v>2107</v>
      </c>
      <c r="C131">
        <v>573</v>
      </c>
      <c r="D131" t="s">
        <v>2108</v>
      </c>
      <c r="E131">
        <v>1</v>
      </c>
      <c r="F131">
        <v>10010000204</v>
      </c>
      <c r="G131" s="74">
        <v>10909091</v>
      </c>
      <c r="H131" t="s">
        <v>2121</v>
      </c>
      <c r="I131">
        <v>0</v>
      </c>
      <c r="J131" s="54">
        <v>43524</v>
      </c>
      <c r="K131">
        <v>45</v>
      </c>
      <c r="L131" t="s">
        <v>1995</v>
      </c>
    </row>
    <row r="132" spans="1:14">
      <c r="A132">
        <v>422100100</v>
      </c>
      <c r="B132" t="s">
        <v>2107</v>
      </c>
      <c r="C132">
        <v>573</v>
      </c>
      <c r="D132" t="s">
        <v>2108</v>
      </c>
      <c r="E132">
        <v>1</v>
      </c>
      <c r="F132">
        <v>10010000233</v>
      </c>
      <c r="G132" s="74">
        <v>10350000</v>
      </c>
      <c r="H132" t="s">
        <v>2122</v>
      </c>
      <c r="I132">
        <v>0</v>
      </c>
      <c r="J132" s="54">
        <v>43524</v>
      </c>
      <c r="K132">
        <v>45</v>
      </c>
      <c r="L132" t="s">
        <v>1995</v>
      </c>
      <c r="M132" t="s">
        <v>2499</v>
      </c>
      <c r="N132" t="s">
        <v>2506</v>
      </c>
    </row>
    <row r="133" spans="1:14">
      <c r="A133">
        <v>422100100</v>
      </c>
      <c r="B133" t="s">
        <v>2107</v>
      </c>
      <c r="C133">
        <v>573</v>
      </c>
      <c r="D133" t="s">
        <v>2108</v>
      </c>
      <c r="E133">
        <v>1</v>
      </c>
      <c r="F133">
        <v>10010000273</v>
      </c>
      <c r="G133" s="74">
        <v>16818182</v>
      </c>
      <c r="H133" t="s">
        <v>2123</v>
      </c>
      <c r="I133">
        <v>0</v>
      </c>
      <c r="J133" s="54">
        <v>43524</v>
      </c>
      <c r="K133">
        <v>45</v>
      </c>
      <c r="L133" t="s">
        <v>1995</v>
      </c>
      <c r="M133" t="s">
        <v>2391</v>
      </c>
      <c r="N133" t="s">
        <v>2506</v>
      </c>
    </row>
    <row r="134" spans="1:14">
      <c r="A134">
        <v>422100100</v>
      </c>
      <c r="B134" t="s">
        <v>2107</v>
      </c>
      <c r="C134">
        <v>573</v>
      </c>
      <c r="D134" t="s">
        <v>2108</v>
      </c>
      <c r="E134">
        <v>1</v>
      </c>
      <c r="F134">
        <v>10010000274</v>
      </c>
      <c r="G134" s="74">
        <v>9409091</v>
      </c>
      <c r="H134" t="s">
        <v>2124</v>
      </c>
      <c r="I134">
        <v>0</v>
      </c>
      <c r="J134" s="54">
        <v>43524</v>
      </c>
      <c r="K134">
        <v>45</v>
      </c>
      <c r="L134" t="s">
        <v>1995</v>
      </c>
      <c r="M134" t="s">
        <v>2385</v>
      </c>
      <c r="N134" t="s">
        <v>2506</v>
      </c>
    </row>
    <row r="135" spans="1:14">
      <c r="A135">
        <v>422100100</v>
      </c>
      <c r="B135" t="s">
        <v>2107</v>
      </c>
      <c r="C135">
        <v>573</v>
      </c>
      <c r="D135" t="s">
        <v>2108</v>
      </c>
      <c r="E135">
        <v>1</v>
      </c>
      <c r="F135">
        <v>10010000317</v>
      </c>
      <c r="G135" s="74">
        <v>11363636</v>
      </c>
      <c r="H135" t="s">
        <v>2125</v>
      </c>
      <c r="I135">
        <v>0</v>
      </c>
      <c r="J135" s="54">
        <v>43524</v>
      </c>
      <c r="K135">
        <v>45</v>
      </c>
      <c r="L135" t="s">
        <v>1995</v>
      </c>
      <c r="M135" t="s">
        <v>2386</v>
      </c>
      <c r="N135" t="s">
        <v>2506</v>
      </c>
    </row>
    <row r="136" spans="1:14">
      <c r="A136">
        <v>422100100</v>
      </c>
      <c r="B136" t="s">
        <v>2107</v>
      </c>
      <c r="C136">
        <v>573</v>
      </c>
      <c r="D136" t="s">
        <v>2108</v>
      </c>
      <c r="E136">
        <v>1</v>
      </c>
      <c r="F136">
        <v>10010000065</v>
      </c>
      <c r="G136" s="74">
        <v>3078788</v>
      </c>
      <c r="H136" t="s">
        <v>2126</v>
      </c>
      <c r="I136">
        <v>0</v>
      </c>
      <c r="J136" s="54">
        <v>43553</v>
      </c>
      <c r="K136">
        <v>45</v>
      </c>
      <c r="L136" t="s">
        <v>1995</v>
      </c>
    </row>
    <row r="137" spans="1:14">
      <c r="A137">
        <v>422100100</v>
      </c>
      <c r="B137" t="s">
        <v>2107</v>
      </c>
      <c r="C137">
        <v>573</v>
      </c>
      <c r="D137" t="s">
        <v>2108</v>
      </c>
      <c r="E137">
        <v>1</v>
      </c>
      <c r="F137">
        <v>10010000167</v>
      </c>
      <c r="G137" s="74">
        <v>1920511</v>
      </c>
      <c r="H137" t="s">
        <v>2127</v>
      </c>
      <c r="I137">
        <v>0</v>
      </c>
      <c r="J137" s="54">
        <v>43553</v>
      </c>
      <c r="K137">
        <v>45</v>
      </c>
      <c r="L137" t="s">
        <v>1995</v>
      </c>
    </row>
    <row r="138" spans="1:14">
      <c r="A138">
        <v>422100100</v>
      </c>
      <c r="B138" t="s">
        <v>2107</v>
      </c>
      <c r="C138">
        <v>573</v>
      </c>
      <c r="D138" t="s">
        <v>2108</v>
      </c>
      <c r="E138">
        <v>1</v>
      </c>
      <c r="F138">
        <v>10010000206</v>
      </c>
      <c r="G138" s="74">
        <v>10909091</v>
      </c>
      <c r="H138" t="s">
        <v>2128</v>
      </c>
      <c r="I138">
        <v>0</v>
      </c>
      <c r="J138" s="54">
        <v>43553</v>
      </c>
      <c r="K138">
        <v>45</v>
      </c>
      <c r="L138" t="s">
        <v>1995</v>
      </c>
    </row>
    <row r="139" spans="1:14">
      <c r="A139">
        <v>422100100</v>
      </c>
      <c r="B139" t="s">
        <v>2107</v>
      </c>
      <c r="C139">
        <v>573</v>
      </c>
      <c r="D139" t="s">
        <v>2108</v>
      </c>
      <c r="E139">
        <v>1</v>
      </c>
      <c r="F139">
        <v>10010000234</v>
      </c>
      <c r="G139" s="74">
        <v>10350000</v>
      </c>
      <c r="H139" t="s">
        <v>2129</v>
      </c>
      <c r="I139">
        <v>0</v>
      </c>
      <c r="J139" s="54">
        <v>43553</v>
      </c>
      <c r="K139">
        <v>45</v>
      </c>
      <c r="L139" t="s">
        <v>1995</v>
      </c>
      <c r="M139" t="s">
        <v>2499</v>
      </c>
      <c r="N139" t="s">
        <v>2506</v>
      </c>
    </row>
    <row r="140" spans="1:14">
      <c r="A140">
        <v>422100100</v>
      </c>
      <c r="B140" t="s">
        <v>2107</v>
      </c>
      <c r="C140">
        <v>573</v>
      </c>
      <c r="D140" t="s">
        <v>2108</v>
      </c>
      <c r="E140">
        <v>1</v>
      </c>
      <c r="F140">
        <v>10010000274</v>
      </c>
      <c r="G140" s="74">
        <v>16818182</v>
      </c>
      <c r="H140" t="s">
        <v>2130</v>
      </c>
      <c r="I140">
        <v>0</v>
      </c>
      <c r="J140" s="54">
        <v>43553</v>
      </c>
      <c r="K140">
        <v>45</v>
      </c>
      <c r="L140" t="s">
        <v>1995</v>
      </c>
      <c r="M140" t="s">
        <v>2391</v>
      </c>
      <c r="N140" t="s">
        <v>2506</v>
      </c>
    </row>
    <row r="141" spans="1:14">
      <c r="A141">
        <v>422100100</v>
      </c>
      <c r="B141" t="s">
        <v>2107</v>
      </c>
      <c r="C141">
        <v>573</v>
      </c>
      <c r="D141" t="s">
        <v>2108</v>
      </c>
      <c r="E141">
        <v>1</v>
      </c>
      <c r="F141">
        <v>10010000277</v>
      </c>
      <c r="G141" s="74">
        <v>9409091</v>
      </c>
      <c r="H141" t="s">
        <v>2131</v>
      </c>
      <c r="I141">
        <v>0</v>
      </c>
      <c r="J141" s="54">
        <v>43553</v>
      </c>
      <c r="K141">
        <v>45</v>
      </c>
      <c r="L141" t="s">
        <v>1995</v>
      </c>
      <c r="M141" t="s">
        <v>2385</v>
      </c>
      <c r="N141" t="s">
        <v>2506</v>
      </c>
    </row>
    <row r="142" spans="1:14">
      <c r="A142">
        <v>422100100</v>
      </c>
      <c r="B142" t="s">
        <v>2107</v>
      </c>
      <c r="C142">
        <v>573</v>
      </c>
      <c r="D142" t="s">
        <v>2108</v>
      </c>
      <c r="E142">
        <v>1</v>
      </c>
      <c r="F142">
        <v>10010000321</v>
      </c>
      <c r="G142" s="74">
        <v>53366685</v>
      </c>
      <c r="H142" t="s">
        <v>2132</v>
      </c>
      <c r="I142">
        <v>0</v>
      </c>
      <c r="J142" s="54">
        <v>43555</v>
      </c>
      <c r="K142">
        <v>45</v>
      </c>
      <c r="L142" t="s">
        <v>1995</v>
      </c>
      <c r="M142" t="s">
        <v>2386</v>
      </c>
      <c r="N142" t="s">
        <v>2506</v>
      </c>
    </row>
    <row r="143" spans="1:14">
      <c r="A143">
        <v>422100100</v>
      </c>
      <c r="B143" t="s">
        <v>2107</v>
      </c>
      <c r="C143">
        <v>573</v>
      </c>
      <c r="D143" t="s">
        <v>2108</v>
      </c>
      <c r="E143">
        <v>1</v>
      </c>
      <c r="F143">
        <v>10010000322</v>
      </c>
      <c r="G143" s="74">
        <v>5454545</v>
      </c>
      <c r="H143" t="s">
        <v>2133</v>
      </c>
      <c r="I143">
        <v>0</v>
      </c>
      <c r="J143" s="54">
        <v>43555</v>
      </c>
      <c r="K143">
        <v>45</v>
      </c>
      <c r="L143" t="s">
        <v>1995</v>
      </c>
      <c r="M143" t="s">
        <v>2386</v>
      </c>
      <c r="N143" t="s">
        <v>2506</v>
      </c>
    </row>
    <row r="144" spans="1:14">
      <c r="A144">
        <v>422100100</v>
      </c>
      <c r="B144" t="s">
        <v>2107</v>
      </c>
      <c r="C144">
        <v>573</v>
      </c>
      <c r="D144" t="s">
        <v>2108</v>
      </c>
      <c r="E144">
        <v>1</v>
      </c>
      <c r="F144">
        <v>10010000067</v>
      </c>
      <c r="G144" s="74">
        <v>4000000</v>
      </c>
      <c r="H144" t="s">
        <v>2134</v>
      </c>
      <c r="I144">
        <v>0</v>
      </c>
      <c r="J144" s="54">
        <v>43585</v>
      </c>
      <c r="K144">
        <v>45</v>
      </c>
      <c r="L144" t="s">
        <v>1995</v>
      </c>
    </row>
    <row r="145" spans="1:14">
      <c r="A145">
        <v>422100100</v>
      </c>
      <c r="B145" t="s">
        <v>2107</v>
      </c>
      <c r="C145">
        <v>573</v>
      </c>
      <c r="D145" t="s">
        <v>2108</v>
      </c>
      <c r="E145">
        <v>1</v>
      </c>
      <c r="F145">
        <v>10010000169</v>
      </c>
      <c r="G145" s="74">
        <v>1920511</v>
      </c>
      <c r="H145" t="s">
        <v>2135</v>
      </c>
      <c r="I145">
        <v>0</v>
      </c>
      <c r="J145" s="54">
        <v>43585</v>
      </c>
      <c r="K145">
        <v>45</v>
      </c>
      <c r="L145" t="s">
        <v>1995</v>
      </c>
    </row>
    <row r="146" spans="1:14">
      <c r="A146">
        <v>422100100</v>
      </c>
      <c r="B146" t="s">
        <v>2107</v>
      </c>
      <c r="C146">
        <v>573</v>
      </c>
      <c r="D146" t="s">
        <v>2108</v>
      </c>
      <c r="E146">
        <v>1</v>
      </c>
      <c r="F146">
        <v>10010000207</v>
      </c>
      <c r="G146" s="74">
        <v>10909091</v>
      </c>
      <c r="H146" t="s">
        <v>2136</v>
      </c>
      <c r="I146">
        <v>0</v>
      </c>
      <c r="J146" s="54">
        <v>43585</v>
      </c>
      <c r="K146">
        <v>45</v>
      </c>
      <c r="L146" t="s">
        <v>1995</v>
      </c>
    </row>
    <row r="147" spans="1:14">
      <c r="A147">
        <v>422100100</v>
      </c>
      <c r="B147" t="s">
        <v>2107</v>
      </c>
      <c r="C147">
        <v>573</v>
      </c>
      <c r="D147" t="s">
        <v>2108</v>
      </c>
      <c r="E147">
        <v>1</v>
      </c>
      <c r="F147">
        <v>10010000236</v>
      </c>
      <c r="G147" s="74">
        <v>10350000</v>
      </c>
      <c r="H147" t="s">
        <v>2137</v>
      </c>
      <c r="I147">
        <v>0</v>
      </c>
      <c r="J147" s="54">
        <v>43585</v>
      </c>
      <c r="K147">
        <v>45</v>
      </c>
      <c r="L147" t="s">
        <v>1995</v>
      </c>
      <c r="M147" t="s">
        <v>2499</v>
      </c>
      <c r="N147" t="s">
        <v>2506</v>
      </c>
    </row>
    <row r="148" spans="1:14">
      <c r="A148">
        <v>422100100</v>
      </c>
      <c r="B148" t="s">
        <v>2107</v>
      </c>
      <c r="C148">
        <v>573</v>
      </c>
      <c r="D148" t="s">
        <v>2108</v>
      </c>
      <c r="E148">
        <v>1</v>
      </c>
      <c r="F148">
        <v>10010000275</v>
      </c>
      <c r="G148" s="74">
        <v>16818182</v>
      </c>
      <c r="H148" t="s">
        <v>2138</v>
      </c>
      <c r="I148">
        <v>0</v>
      </c>
      <c r="J148" s="54">
        <v>43585</v>
      </c>
      <c r="K148">
        <v>45</v>
      </c>
      <c r="L148" t="s">
        <v>1995</v>
      </c>
      <c r="M148" t="s">
        <v>2391</v>
      </c>
      <c r="N148" t="s">
        <v>2506</v>
      </c>
    </row>
    <row r="149" spans="1:14">
      <c r="A149">
        <v>422100100</v>
      </c>
      <c r="B149" t="s">
        <v>2107</v>
      </c>
      <c r="C149">
        <v>573</v>
      </c>
      <c r="D149" t="s">
        <v>2108</v>
      </c>
      <c r="E149">
        <v>1</v>
      </c>
      <c r="F149">
        <v>10010000301</v>
      </c>
      <c r="G149" s="74">
        <v>9409091</v>
      </c>
      <c r="H149" t="s">
        <v>2131</v>
      </c>
      <c r="I149">
        <v>0</v>
      </c>
      <c r="J149" s="54">
        <v>43585</v>
      </c>
      <c r="K149">
        <v>45</v>
      </c>
      <c r="L149" t="s">
        <v>1995</v>
      </c>
      <c r="M149" t="s">
        <v>2385</v>
      </c>
      <c r="N149" t="s">
        <v>2506</v>
      </c>
    </row>
    <row r="150" spans="1:14">
      <c r="A150">
        <v>422100100</v>
      </c>
      <c r="B150" t="s">
        <v>2107</v>
      </c>
      <c r="C150">
        <v>573</v>
      </c>
      <c r="D150" t="s">
        <v>2108</v>
      </c>
      <c r="E150">
        <v>1</v>
      </c>
      <c r="F150">
        <v>10010000324</v>
      </c>
      <c r="G150" s="74">
        <v>5454545</v>
      </c>
      <c r="H150" t="s">
        <v>2139</v>
      </c>
      <c r="I150">
        <v>0</v>
      </c>
      <c r="J150" s="54">
        <v>43585</v>
      </c>
      <c r="K150">
        <v>45</v>
      </c>
      <c r="L150" t="s">
        <v>1995</v>
      </c>
      <c r="M150" t="s">
        <v>2386</v>
      </c>
      <c r="N150" t="s">
        <v>2506</v>
      </c>
    </row>
    <row r="151" spans="1:14">
      <c r="A151">
        <v>422100100</v>
      </c>
      <c r="B151" t="s">
        <v>2107</v>
      </c>
      <c r="C151">
        <v>573</v>
      </c>
      <c r="D151" t="s">
        <v>2108</v>
      </c>
      <c r="E151">
        <v>1</v>
      </c>
      <c r="F151">
        <v>10010000171</v>
      </c>
      <c r="G151" s="74">
        <v>1920511</v>
      </c>
      <c r="H151" t="s">
        <v>2140</v>
      </c>
      <c r="I151">
        <v>0</v>
      </c>
      <c r="J151" s="54">
        <v>43616</v>
      </c>
      <c r="K151">
        <v>45</v>
      </c>
      <c r="L151" t="s">
        <v>1995</v>
      </c>
    </row>
    <row r="152" spans="1:14">
      <c r="A152">
        <v>422100100</v>
      </c>
      <c r="B152" t="s">
        <v>2107</v>
      </c>
      <c r="C152">
        <v>573</v>
      </c>
      <c r="D152" t="s">
        <v>2108</v>
      </c>
      <c r="E152">
        <v>1</v>
      </c>
      <c r="F152">
        <v>10010000208</v>
      </c>
      <c r="G152" s="74">
        <v>10909091</v>
      </c>
      <c r="H152" t="s">
        <v>2141</v>
      </c>
      <c r="I152">
        <v>0</v>
      </c>
      <c r="J152" s="54">
        <v>43616</v>
      </c>
      <c r="K152">
        <v>45</v>
      </c>
      <c r="L152" t="s">
        <v>1995</v>
      </c>
    </row>
    <row r="153" spans="1:14">
      <c r="A153">
        <v>422100100</v>
      </c>
      <c r="B153" t="s">
        <v>2107</v>
      </c>
      <c r="C153">
        <v>573</v>
      </c>
      <c r="D153" t="s">
        <v>2108</v>
      </c>
      <c r="E153">
        <v>1</v>
      </c>
      <c r="F153">
        <v>10010000237</v>
      </c>
      <c r="G153" s="74">
        <v>10350000</v>
      </c>
      <c r="H153" t="s">
        <v>2142</v>
      </c>
      <c r="I153">
        <v>0</v>
      </c>
      <c r="J153" s="54">
        <v>43616</v>
      </c>
      <c r="K153">
        <v>45</v>
      </c>
      <c r="L153" t="s">
        <v>1995</v>
      </c>
      <c r="M153" t="s">
        <v>2499</v>
      </c>
      <c r="N153" t="s">
        <v>2506</v>
      </c>
    </row>
    <row r="154" spans="1:14">
      <c r="A154">
        <v>422100100</v>
      </c>
      <c r="B154" t="s">
        <v>2107</v>
      </c>
      <c r="C154">
        <v>573</v>
      </c>
      <c r="D154" t="s">
        <v>2108</v>
      </c>
      <c r="E154">
        <v>1</v>
      </c>
      <c r="F154">
        <v>10010000304</v>
      </c>
      <c r="G154" s="74">
        <v>9409091</v>
      </c>
      <c r="H154" t="s">
        <v>2143</v>
      </c>
      <c r="I154">
        <v>0</v>
      </c>
      <c r="J154" s="54">
        <v>43616</v>
      </c>
      <c r="K154">
        <v>45</v>
      </c>
      <c r="L154" t="s">
        <v>1995</v>
      </c>
      <c r="M154" t="s">
        <v>2385</v>
      </c>
      <c r="N154" t="s">
        <v>2506</v>
      </c>
    </row>
    <row r="155" spans="1:14">
      <c r="A155">
        <v>422100100</v>
      </c>
      <c r="B155" t="s">
        <v>2107</v>
      </c>
      <c r="C155">
        <v>573</v>
      </c>
      <c r="D155" t="s">
        <v>2108</v>
      </c>
      <c r="E155">
        <v>1</v>
      </c>
      <c r="F155">
        <v>10010000328</v>
      </c>
      <c r="G155" s="74">
        <v>5454545</v>
      </c>
      <c r="H155" t="s">
        <v>2144</v>
      </c>
      <c r="I155">
        <v>0</v>
      </c>
      <c r="J155" s="54">
        <v>43616</v>
      </c>
      <c r="K155">
        <v>45</v>
      </c>
      <c r="L155" t="s">
        <v>1995</v>
      </c>
      <c r="M155" t="s">
        <v>2386</v>
      </c>
      <c r="N155" t="s">
        <v>2506</v>
      </c>
    </row>
    <row r="156" spans="1:14">
      <c r="A156">
        <v>422100100</v>
      </c>
      <c r="B156" t="s">
        <v>2107</v>
      </c>
      <c r="C156">
        <v>573</v>
      </c>
      <c r="D156" t="s">
        <v>2108</v>
      </c>
      <c r="E156">
        <v>1</v>
      </c>
      <c r="F156">
        <v>10010000071</v>
      </c>
      <c r="G156" s="74">
        <v>4000000</v>
      </c>
      <c r="H156" t="s">
        <v>2145</v>
      </c>
      <c r="I156">
        <v>0</v>
      </c>
      <c r="J156" s="54">
        <v>43622</v>
      </c>
      <c r="K156">
        <v>45</v>
      </c>
      <c r="L156" t="s">
        <v>1995</v>
      </c>
    </row>
    <row r="157" spans="1:14">
      <c r="A157">
        <v>422100100</v>
      </c>
      <c r="B157" t="s">
        <v>2107</v>
      </c>
      <c r="C157">
        <v>573</v>
      </c>
      <c r="D157" t="s">
        <v>2108</v>
      </c>
      <c r="E157">
        <v>1</v>
      </c>
      <c r="F157">
        <v>10010000304</v>
      </c>
      <c r="G157" s="74">
        <v>16818182</v>
      </c>
      <c r="H157" t="s">
        <v>2146</v>
      </c>
      <c r="I157">
        <v>0</v>
      </c>
      <c r="J157" s="54">
        <v>43634</v>
      </c>
      <c r="K157">
        <v>45</v>
      </c>
      <c r="L157" t="s">
        <v>1995</v>
      </c>
      <c r="M157" t="s">
        <v>2391</v>
      </c>
      <c r="N157" t="s">
        <v>2506</v>
      </c>
    </row>
    <row r="158" spans="1:14">
      <c r="A158">
        <v>422100100</v>
      </c>
      <c r="B158" t="s">
        <v>2107</v>
      </c>
      <c r="C158">
        <v>573</v>
      </c>
      <c r="D158" t="s">
        <v>2108</v>
      </c>
      <c r="E158">
        <v>1</v>
      </c>
      <c r="F158">
        <v>10010000075</v>
      </c>
      <c r="G158" s="74">
        <v>4000000</v>
      </c>
      <c r="H158" t="s">
        <v>2134</v>
      </c>
      <c r="I158">
        <v>0</v>
      </c>
      <c r="J158" s="54">
        <v>43644</v>
      </c>
      <c r="K158">
        <v>45</v>
      </c>
      <c r="L158" t="s">
        <v>1995</v>
      </c>
    </row>
    <row r="159" spans="1:14">
      <c r="A159">
        <v>422100100</v>
      </c>
      <c r="B159" t="s">
        <v>2107</v>
      </c>
      <c r="C159">
        <v>573</v>
      </c>
      <c r="D159" t="s">
        <v>2108</v>
      </c>
      <c r="E159">
        <v>1</v>
      </c>
      <c r="F159">
        <v>10010000305</v>
      </c>
      <c r="G159" s="74">
        <v>9409091</v>
      </c>
      <c r="H159" t="s">
        <v>2131</v>
      </c>
      <c r="I159">
        <v>0</v>
      </c>
      <c r="J159" s="54">
        <v>43644</v>
      </c>
      <c r="K159">
        <v>45</v>
      </c>
      <c r="L159" t="s">
        <v>1995</v>
      </c>
      <c r="M159" t="s">
        <v>2385</v>
      </c>
      <c r="N159" t="s">
        <v>2506</v>
      </c>
    </row>
    <row r="160" spans="1:14">
      <c r="A160">
        <v>422100100</v>
      </c>
      <c r="B160" t="s">
        <v>2107</v>
      </c>
      <c r="C160">
        <v>573</v>
      </c>
      <c r="D160" t="s">
        <v>2108</v>
      </c>
      <c r="E160">
        <v>1</v>
      </c>
      <c r="F160">
        <v>10010000172</v>
      </c>
      <c r="G160" s="74">
        <v>1920511</v>
      </c>
      <c r="H160" t="s">
        <v>2147</v>
      </c>
      <c r="I160">
        <v>0</v>
      </c>
      <c r="J160" s="54">
        <v>43646</v>
      </c>
      <c r="K160">
        <v>45</v>
      </c>
      <c r="L160" t="s">
        <v>1995</v>
      </c>
    </row>
    <row r="161" spans="1:14">
      <c r="A161">
        <v>422100100</v>
      </c>
      <c r="B161" t="s">
        <v>2107</v>
      </c>
      <c r="C161">
        <v>573</v>
      </c>
      <c r="D161" t="s">
        <v>2108</v>
      </c>
      <c r="E161">
        <v>1</v>
      </c>
      <c r="F161">
        <v>10010000209</v>
      </c>
      <c r="G161" s="74">
        <v>10909091</v>
      </c>
      <c r="H161" t="s">
        <v>2148</v>
      </c>
      <c r="I161">
        <v>0</v>
      </c>
      <c r="J161" s="54">
        <v>43646</v>
      </c>
      <c r="K161">
        <v>45</v>
      </c>
      <c r="L161" t="s">
        <v>1995</v>
      </c>
    </row>
    <row r="162" spans="1:14">
      <c r="A162">
        <v>422100100</v>
      </c>
      <c r="B162" t="s">
        <v>2107</v>
      </c>
      <c r="C162">
        <v>573</v>
      </c>
      <c r="D162" t="s">
        <v>2108</v>
      </c>
      <c r="E162">
        <v>1</v>
      </c>
      <c r="F162">
        <v>10010000238</v>
      </c>
      <c r="G162" s="74">
        <v>10350000</v>
      </c>
      <c r="H162" t="s">
        <v>2149</v>
      </c>
      <c r="I162">
        <v>0</v>
      </c>
      <c r="J162" s="54">
        <v>43646</v>
      </c>
      <c r="K162">
        <v>45</v>
      </c>
      <c r="L162" t="s">
        <v>1995</v>
      </c>
      <c r="M162" t="s">
        <v>2499</v>
      </c>
      <c r="N162" t="s">
        <v>2506</v>
      </c>
    </row>
    <row r="163" spans="1:14">
      <c r="A163">
        <v>422100100</v>
      </c>
      <c r="B163" t="s">
        <v>2107</v>
      </c>
      <c r="C163">
        <v>573</v>
      </c>
      <c r="D163" t="s">
        <v>2108</v>
      </c>
      <c r="E163">
        <v>1</v>
      </c>
      <c r="F163">
        <v>10010000305</v>
      </c>
      <c r="G163" s="74">
        <v>16818182</v>
      </c>
      <c r="H163" t="s">
        <v>2150</v>
      </c>
      <c r="I163">
        <v>0</v>
      </c>
      <c r="J163" s="54">
        <v>43646</v>
      </c>
      <c r="K163">
        <v>45</v>
      </c>
      <c r="L163" t="s">
        <v>1995</v>
      </c>
      <c r="M163" t="s">
        <v>2391</v>
      </c>
      <c r="N163" t="s">
        <v>2506</v>
      </c>
    </row>
    <row r="164" spans="1:14">
      <c r="A164">
        <v>422100100</v>
      </c>
      <c r="B164" t="s">
        <v>2107</v>
      </c>
      <c r="C164">
        <v>573</v>
      </c>
      <c r="D164" t="s">
        <v>2108</v>
      </c>
      <c r="E164">
        <v>1</v>
      </c>
      <c r="F164">
        <v>10010000330</v>
      </c>
      <c r="G164" s="74">
        <v>5454545</v>
      </c>
      <c r="H164" t="s">
        <v>2151</v>
      </c>
      <c r="I164">
        <v>0</v>
      </c>
      <c r="J164" s="54">
        <v>43646</v>
      </c>
      <c r="K164">
        <v>45</v>
      </c>
      <c r="L164" t="s">
        <v>1995</v>
      </c>
      <c r="M164" t="s">
        <v>2386</v>
      </c>
      <c r="N164" t="s">
        <v>2506</v>
      </c>
    </row>
    <row r="165" spans="1:14">
      <c r="A165">
        <v>422100100</v>
      </c>
      <c r="B165" t="s">
        <v>2107</v>
      </c>
      <c r="C165">
        <v>573</v>
      </c>
      <c r="D165" t="s">
        <v>2108</v>
      </c>
      <c r="E165">
        <v>1</v>
      </c>
      <c r="F165">
        <v>10010000079</v>
      </c>
      <c r="G165" s="74">
        <v>4250000</v>
      </c>
      <c r="H165" t="s">
        <v>2134</v>
      </c>
      <c r="I165">
        <v>0</v>
      </c>
      <c r="J165" s="54">
        <v>43677</v>
      </c>
      <c r="K165">
        <v>45</v>
      </c>
      <c r="L165" t="s">
        <v>1995</v>
      </c>
    </row>
    <row r="166" spans="1:14">
      <c r="A166">
        <v>422100100</v>
      </c>
      <c r="B166" t="s">
        <v>2107</v>
      </c>
      <c r="C166">
        <v>573</v>
      </c>
      <c r="D166" t="s">
        <v>2108</v>
      </c>
      <c r="E166">
        <v>1</v>
      </c>
      <c r="F166">
        <v>10010000174</v>
      </c>
      <c r="G166" s="74">
        <v>2068245</v>
      </c>
      <c r="H166" t="s">
        <v>2152</v>
      </c>
      <c r="I166">
        <v>0</v>
      </c>
      <c r="J166" s="54">
        <v>43677</v>
      </c>
      <c r="K166">
        <v>45</v>
      </c>
      <c r="L166" t="s">
        <v>1995</v>
      </c>
    </row>
    <row r="167" spans="1:14">
      <c r="A167">
        <v>422100100</v>
      </c>
      <c r="B167" t="s">
        <v>2107</v>
      </c>
      <c r="C167">
        <v>573</v>
      </c>
      <c r="D167" t="s">
        <v>2108</v>
      </c>
      <c r="E167">
        <v>1</v>
      </c>
      <c r="F167">
        <v>10010000210</v>
      </c>
      <c r="G167" s="74">
        <v>10909091</v>
      </c>
      <c r="H167" t="s">
        <v>2136</v>
      </c>
      <c r="I167">
        <v>0</v>
      </c>
      <c r="J167" s="54">
        <v>43677</v>
      </c>
      <c r="K167">
        <v>45</v>
      </c>
      <c r="L167" t="s">
        <v>1995</v>
      </c>
    </row>
    <row r="168" spans="1:14">
      <c r="A168">
        <v>422100100</v>
      </c>
      <c r="B168" t="s">
        <v>2107</v>
      </c>
      <c r="C168">
        <v>573</v>
      </c>
      <c r="D168" t="s">
        <v>2108</v>
      </c>
      <c r="E168">
        <v>1</v>
      </c>
      <c r="F168">
        <v>10010000240</v>
      </c>
      <c r="G168" s="74">
        <v>10996875</v>
      </c>
      <c r="H168" t="s">
        <v>2153</v>
      </c>
      <c r="I168">
        <v>0</v>
      </c>
      <c r="J168" s="54">
        <v>43677</v>
      </c>
      <c r="K168">
        <v>45</v>
      </c>
      <c r="L168" t="s">
        <v>1995</v>
      </c>
      <c r="M168" t="s">
        <v>2499</v>
      </c>
      <c r="N168" t="s">
        <v>2506</v>
      </c>
    </row>
    <row r="169" spans="1:14">
      <c r="A169">
        <v>422100100</v>
      </c>
      <c r="B169" t="s">
        <v>2107</v>
      </c>
      <c r="C169">
        <v>573</v>
      </c>
      <c r="D169" t="s">
        <v>2108</v>
      </c>
      <c r="E169">
        <v>1</v>
      </c>
      <c r="F169">
        <v>10010000306</v>
      </c>
      <c r="G169" s="74">
        <v>9409091</v>
      </c>
      <c r="H169" t="s">
        <v>2154</v>
      </c>
      <c r="I169">
        <v>0</v>
      </c>
      <c r="J169" s="54">
        <v>43677</v>
      </c>
      <c r="K169">
        <v>45</v>
      </c>
      <c r="L169" t="s">
        <v>1995</v>
      </c>
      <c r="M169" t="s">
        <v>2385</v>
      </c>
      <c r="N169" t="s">
        <v>2506</v>
      </c>
    </row>
    <row r="170" spans="1:14">
      <c r="A170">
        <v>422100100</v>
      </c>
      <c r="B170" t="s">
        <v>2107</v>
      </c>
      <c r="C170">
        <v>573</v>
      </c>
      <c r="D170" t="s">
        <v>2108</v>
      </c>
      <c r="E170">
        <v>1</v>
      </c>
      <c r="F170">
        <v>10010000308</v>
      </c>
      <c r="G170" s="74">
        <v>16818182</v>
      </c>
      <c r="H170" t="s">
        <v>2155</v>
      </c>
      <c r="I170">
        <v>0</v>
      </c>
      <c r="J170" s="54">
        <v>43677</v>
      </c>
      <c r="K170">
        <v>45</v>
      </c>
      <c r="L170" t="s">
        <v>1995</v>
      </c>
      <c r="M170" t="s">
        <v>2391</v>
      </c>
      <c r="N170" t="s">
        <v>2506</v>
      </c>
    </row>
    <row r="171" spans="1:14">
      <c r="A171">
        <v>422100100</v>
      </c>
      <c r="B171" t="s">
        <v>2107</v>
      </c>
      <c r="C171">
        <v>573</v>
      </c>
      <c r="D171" t="s">
        <v>2108</v>
      </c>
      <c r="E171">
        <v>1</v>
      </c>
      <c r="F171">
        <v>10010000332</v>
      </c>
      <c r="G171" s="74">
        <v>5795455</v>
      </c>
      <c r="H171" t="s">
        <v>2156</v>
      </c>
      <c r="I171">
        <v>0</v>
      </c>
      <c r="J171" s="54">
        <v>43677</v>
      </c>
      <c r="K171">
        <v>45</v>
      </c>
      <c r="L171" t="s">
        <v>1995</v>
      </c>
      <c r="M171" t="s">
        <v>2386</v>
      </c>
      <c r="N171" t="s">
        <v>2506</v>
      </c>
    </row>
    <row r="172" spans="1:14">
      <c r="A172">
        <v>422100100</v>
      </c>
      <c r="B172" t="s">
        <v>2107</v>
      </c>
      <c r="C172">
        <v>573</v>
      </c>
      <c r="D172" t="s">
        <v>2108</v>
      </c>
      <c r="E172">
        <v>1</v>
      </c>
      <c r="F172">
        <v>10010000001</v>
      </c>
      <c r="G172" s="74">
        <v>2727273</v>
      </c>
      <c r="H172" t="s">
        <v>2157</v>
      </c>
      <c r="I172">
        <v>0</v>
      </c>
      <c r="J172" s="54">
        <v>43707</v>
      </c>
      <c r="K172">
        <v>45</v>
      </c>
      <c r="L172" t="s">
        <v>1995</v>
      </c>
    </row>
    <row r="173" spans="1:14">
      <c r="A173">
        <v>422100100</v>
      </c>
      <c r="B173" t="s">
        <v>2107</v>
      </c>
      <c r="C173">
        <v>573</v>
      </c>
      <c r="D173" t="s">
        <v>2108</v>
      </c>
      <c r="E173">
        <v>1</v>
      </c>
      <c r="F173">
        <v>10010000211</v>
      </c>
      <c r="G173" s="74">
        <v>10909091</v>
      </c>
      <c r="H173" t="s">
        <v>2158</v>
      </c>
      <c r="I173">
        <v>0</v>
      </c>
      <c r="J173" s="54">
        <v>43707</v>
      </c>
      <c r="K173">
        <v>45</v>
      </c>
      <c r="L173" t="s">
        <v>1995</v>
      </c>
      <c r="M173" t="s">
        <v>2496</v>
      </c>
      <c r="N173" t="s">
        <v>2506</v>
      </c>
    </row>
    <row r="174" spans="1:14">
      <c r="A174">
        <v>422100100</v>
      </c>
      <c r="B174" t="s">
        <v>2107</v>
      </c>
      <c r="C174">
        <v>573</v>
      </c>
      <c r="D174" t="s">
        <v>2108</v>
      </c>
      <c r="E174">
        <v>1</v>
      </c>
      <c r="F174">
        <v>10010000308</v>
      </c>
      <c r="G174" s="74">
        <v>9409091</v>
      </c>
      <c r="H174" t="s">
        <v>2159</v>
      </c>
      <c r="I174">
        <v>0</v>
      </c>
      <c r="J174" s="54">
        <v>43707</v>
      </c>
      <c r="K174">
        <v>45</v>
      </c>
      <c r="L174" t="s">
        <v>1995</v>
      </c>
      <c r="M174" t="s">
        <v>2385</v>
      </c>
      <c r="N174" t="s">
        <v>2506</v>
      </c>
    </row>
    <row r="175" spans="1:14">
      <c r="A175">
        <v>422100100</v>
      </c>
      <c r="B175" t="s">
        <v>2107</v>
      </c>
      <c r="C175">
        <v>573</v>
      </c>
      <c r="D175" t="s">
        <v>2108</v>
      </c>
      <c r="E175">
        <v>1</v>
      </c>
      <c r="F175">
        <v>10010000309</v>
      </c>
      <c r="G175" s="74">
        <v>16818182</v>
      </c>
      <c r="H175" t="s">
        <v>2160</v>
      </c>
      <c r="I175">
        <v>0</v>
      </c>
      <c r="J175" s="54">
        <v>43707</v>
      </c>
      <c r="K175">
        <v>45</v>
      </c>
      <c r="L175" t="s">
        <v>1995</v>
      </c>
      <c r="M175" t="s">
        <v>2391</v>
      </c>
      <c r="N175" t="s">
        <v>2506</v>
      </c>
    </row>
    <row r="176" spans="1:14">
      <c r="A176">
        <v>422100100</v>
      </c>
      <c r="B176" t="s">
        <v>2107</v>
      </c>
      <c r="C176">
        <v>573</v>
      </c>
      <c r="D176" t="s">
        <v>2108</v>
      </c>
      <c r="E176">
        <v>1</v>
      </c>
      <c r="F176">
        <v>10010000082</v>
      </c>
      <c r="G176" s="74">
        <v>4000000</v>
      </c>
      <c r="H176" t="s">
        <v>2134</v>
      </c>
      <c r="I176">
        <v>0</v>
      </c>
      <c r="J176" s="54">
        <v>43708</v>
      </c>
      <c r="K176">
        <v>45</v>
      </c>
      <c r="L176" t="s">
        <v>1995</v>
      </c>
    </row>
    <row r="177" spans="1:14">
      <c r="A177">
        <v>422100100</v>
      </c>
      <c r="B177" t="s">
        <v>2107</v>
      </c>
      <c r="C177">
        <v>573</v>
      </c>
      <c r="D177" t="s">
        <v>2108</v>
      </c>
      <c r="E177">
        <v>1</v>
      </c>
      <c r="F177">
        <v>10010000276</v>
      </c>
      <c r="G177" s="74">
        <v>10350000</v>
      </c>
      <c r="H177" t="s">
        <v>2161</v>
      </c>
      <c r="I177">
        <v>0</v>
      </c>
      <c r="J177" s="54">
        <v>43708</v>
      </c>
      <c r="K177">
        <v>45</v>
      </c>
      <c r="L177" t="s">
        <v>1995</v>
      </c>
      <c r="M177" t="s">
        <v>2499</v>
      </c>
      <c r="N177" t="s">
        <v>2506</v>
      </c>
    </row>
    <row r="178" spans="1:14">
      <c r="A178">
        <v>422100100</v>
      </c>
      <c r="B178" t="s">
        <v>2107</v>
      </c>
      <c r="C178">
        <v>573</v>
      </c>
      <c r="D178" t="s">
        <v>2108</v>
      </c>
      <c r="E178">
        <v>1</v>
      </c>
      <c r="F178">
        <v>10010000352</v>
      </c>
      <c r="G178" s="74">
        <v>5454545</v>
      </c>
      <c r="H178" t="s">
        <v>2156</v>
      </c>
      <c r="I178">
        <v>0</v>
      </c>
      <c r="J178" s="54">
        <v>43708</v>
      </c>
      <c r="K178">
        <v>45</v>
      </c>
      <c r="L178" t="s">
        <v>1995</v>
      </c>
      <c r="M178" t="s">
        <v>2386</v>
      </c>
      <c r="N178" t="s">
        <v>2506</v>
      </c>
    </row>
    <row r="179" spans="1:14">
      <c r="A179">
        <v>422100100</v>
      </c>
      <c r="B179" t="s">
        <v>2107</v>
      </c>
      <c r="C179">
        <v>573</v>
      </c>
      <c r="D179" t="s">
        <v>2108</v>
      </c>
      <c r="E179">
        <v>1</v>
      </c>
      <c r="F179">
        <v>10010000002</v>
      </c>
      <c r="G179" s="74">
        <v>2727273</v>
      </c>
      <c r="H179" t="s">
        <v>2162</v>
      </c>
      <c r="I179">
        <v>0</v>
      </c>
      <c r="J179" s="54">
        <v>43738</v>
      </c>
      <c r="K179">
        <v>45</v>
      </c>
      <c r="L179" t="s">
        <v>1995</v>
      </c>
    </row>
    <row r="180" spans="1:14">
      <c r="A180">
        <v>422100100</v>
      </c>
      <c r="B180" t="s">
        <v>2107</v>
      </c>
      <c r="C180">
        <v>573</v>
      </c>
      <c r="D180" t="s">
        <v>2108</v>
      </c>
      <c r="E180">
        <v>1</v>
      </c>
      <c r="F180">
        <v>10010000085</v>
      </c>
      <c r="G180" s="74">
        <v>4000000</v>
      </c>
      <c r="H180" t="s">
        <v>2163</v>
      </c>
      <c r="I180">
        <v>0</v>
      </c>
      <c r="J180" s="54">
        <v>43738</v>
      </c>
      <c r="K180">
        <v>45</v>
      </c>
      <c r="L180" t="s">
        <v>1995</v>
      </c>
    </row>
    <row r="181" spans="1:14">
      <c r="A181">
        <v>422100100</v>
      </c>
      <c r="B181" t="s">
        <v>2107</v>
      </c>
      <c r="C181">
        <v>573</v>
      </c>
      <c r="D181" t="s">
        <v>2108</v>
      </c>
      <c r="E181">
        <v>1</v>
      </c>
      <c r="F181">
        <v>10010000212</v>
      </c>
      <c r="G181" s="74">
        <v>10909091</v>
      </c>
      <c r="H181" t="s">
        <v>2164</v>
      </c>
      <c r="I181">
        <v>0</v>
      </c>
      <c r="J181" s="54">
        <v>43738</v>
      </c>
      <c r="K181">
        <v>45</v>
      </c>
      <c r="L181" t="s">
        <v>1995</v>
      </c>
      <c r="M181" t="s">
        <v>2496</v>
      </c>
      <c r="N181" t="s">
        <v>2506</v>
      </c>
    </row>
    <row r="182" spans="1:14">
      <c r="A182">
        <v>422100100</v>
      </c>
      <c r="B182" t="s">
        <v>2107</v>
      </c>
      <c r="C182">
        <v>573</v>
      </c>
      <c r="D182" t="s">
        <v>2108</v>
      </c>
      <c r="E182">
        <v>1</v>
      </c>
      <c r="F182">
        <v>10010000277</v>
      </c>
      <c r="G182" s="74">
        <v>10350000</v>
      </c>
      <c r="H182" t="s">
        <v>2165</v>
      </c>
      <c r="I182">
        <v>0</v>
      </c>
      <c r="J182" s="54">
        <v>43738</v>
      </c>
      <c r="K182">
        <v>45</v>
      </c>
      <c r="L182" t="s">
        <v>1995</v>
      </c>
      <c r="M182" t="s">
        <v>2499</v>
      </c>
      <c r="N182" t="s">
        <v>2506</v>
      </c>
    </row>
    <row r="183" spans="1:14">
      <c r="A183">
        <v>422100100</v>
      </c>
      <c r="B183" t="s">
        <v>2107</v>
      </c>
      <c r="C183">
        <v>573</v>
      </c>
      <c r="D183" t="s">
        <v>2108</v>
      </c>
      <c r="E183">
        <v>1</v>
      </c>
      <c r="F183">
        <v>10010000309</v>
      </c>
      <c r="G183" s="74">
        <v>9409091</v>
      </c>
      <c r="H183" t="s">
        <v>2166</v>
      </c>
      <c r="I183">
        <v>0</v>
      </c>
      <c r="J183" s="54">
        <v>43738</v>
      </c>
      <c r="K183">
        <v>45</v>
      </c>
      <c r="L183" t="s">
        <v>1995</v>
      </c>
      <c r="M183" t="s">
        <v>2385</v>
      </c>
      <c r="N183" t="s">
        <v>2506</v>
      </c>
    </row>
    <row r="184" spans="1:14">
      <c r="A184">
        <v>422100100</v>
      </c>
      <c r="B184" t="s">
        <v>2107</v>
      </c>
      <c r="C184">
        <v>573</v>
      </c>
      <c r="D184" t="s">
        <v>2108</v>
      </c>
      <c r="E184">
        <v>1</v>
      </c>
      <c r="F184">
        <v>10010000310</v>
      </c>
      <c r="G184" s="74">
        <v>16818182</v>
      </c>
      <c r="H184" t="s">
        <v>2167</v>
      </c>
      <c r="I184">
        <v>0</v>
      </c>
      <c r="J184" s="54">
        <v>43738</v>
      </c>
      <c r="K184">
        <v>45</v>
      </c>
      <c r="L184" t="s">
        <v>1995</v>
      </c>
      <c r="M184" t="s">
        <v>2391</v>
      </c>
      <c r="N184" t="s">
        <v>2506</v>
      </c>
    </row>
    <row r="185" spans="1:14">
      <c r="A185">
        <v>422100100</v>
      </c>
      <c r="B185" t="s">
        <v>2107</v>
      </c>
      <c r="C185">
        <v>573</v>
      </c>
      <c r="D185" t="s">
        <v>2108</v>
      </c>
      <c r="E185">
        <v>1</v>
      </c>
      <c r="F185">
        <v>10010000355</v>
      </c>
      <c r="G185" s="74">
        <v>5454545</v>
      </c>
      <c r="H185" t="s">
        <v>2168</v>
      </c>
      <c r="I185">
        <v>0</v>
      </c>
      <c r="J185" s="54">
        <v>43738</v>
      </c>
      <c r="K185">
        <v>45</v>
      </c>
      <c r="L185" t="s">
        <v>1995</v>
      </c>
      <c r="M185" t="s">
        <v>2386</v>
      </c>
      <c r="N185" t="s">
        <v>2506</v>
      </c>
    </row>
    <row r="186" spans="1:14">
      <c r="A186">
        <v>422100100</v>
      </c>
      <c r="B186" t="s">
        <v>2107</v>
      </c>
      <c r="C186">
        <v>573</v>
      </c>
      <c r="D186" t="s">
        <v>2108</v>
      </c>
      <c r="E186">
        <v>1</v>
      </c>
      <c r="F186">
        <v>10010000001</v>
      </c>
      <c r="G186" s="74">
        <v>2727273</v>
      </c>
      <c r="H186" t="s">
        <v>2169</v>
      </c>
      <c r="I186">
        <v>0</v>
      </c>
      <c r="J186" s="54">
        <v>43769</v>
      </c>
      <c r="K186">
        <v>45</v>
      </c>
      <c r="L186" t="s">
        <v>1995</v>
      </c>
    </row>
    <row r="187" spans="1:14">
      <c r="A187">
        <v>422100100</v>
      </c>
      <c r="B187" t="s">
        <v>2107</v>
      </c>
      <c r="C187">
        <v>573</v>
      </c>
      <c r="D187" t="s">
        <v>2108</v>
      </c>
      <c r="E187">
        <v>1</v>
      </c>
      <c r="F187">
        <v>10010000003</v>
      </c>
      <c r="G187" s="74">
        <v>2727273</v>
      </c>
      <c r="H187" t="s">
        <v>2170</v>
      </c>
      <c r="I187">
        <v>0</v>
      </c>
      <c r="J187" s="54">
        <v>43769</v>
      </c>
      <c r="K187">
        <v>45</v>
      </c>
      <c r="L187" t="s">
        <v>1995</v>
      </c>
    </row>
    <row r="188" spans="1:14">
      <c r="A188">
        <v>422100100</v>
      </c>
      <c r="B188" t="s">
        <v>2107</v>
      </c>
      <c r="C188">
        <v>573</v>
      </c>
      <c r="D188" t="s">
        <v>2108</v>
      </c>
      <c r="E188">
        <v>1</v>
      </c>
      <c r="F188">
        <v>10010000090</v>
      </c>
      <c r="G188" s="74">
        <v>4000000</v>
      </c>
      <c r="H188" t="s">
        <v>2171</v>
      </c>
      <c r="I188">
        <v>0</v>
      </c>
      <c r="J188" s="54">
        <v>43769</v>
      </c>
      <c r="K188">
        <v>45</v>
      </c>
      <c r="L188" t="s">
        <v>1995</v>
      </c>
    </row>
    <row r="189" spans="1:14">
      <c r="A189">
        <v>422100100</v>
      </c>
      <c r="B189" t="s">
        <v>2107</v>
      </c>
      <c r="C189">
        <v>573</v>
      </c>
      <c r="D189" t="s">
        <v>2108</v>
      </c>
      <c r="E189">
        <v>1</v>
      </c>
      <c r="F189">
        <v>10010000213</v>
      </c>
      <c r="G189" s="74">
        <v>10909091</v>
      </c>
      <c r="H189" t="s">
        <v>2172</v>
      </c>
      <c r="I189">
        <v>0</v>
      </c>
      <c r="J189" s="54">
        <v>43769</v>
      </c>
      <c r="K189">
        <v>45</v>
      </c>
      <c r="L189" t="s">
        <v>1995</v>
      </c>
      <c r="M189" t="s">
        <v>2496</v>
      </c>
      <c r="N189" t="s">
        <v>2506</v>
      </c>
    </row>
    <row r="190" spans="1:14">
      <c r="A190">
        <v>422100100</v>
      </c>
      <c r="B190" t="s">
        <v>2107</v>
      </c>
      <c r="C190">
        <v>573</v>
      </c>
      <c r="D190" t="s">
        <v>2108</v>
      </c>
      <c r="E190">
        <v>1</v>
      </c>
      <c r="F190">
        <v>10010000278</v>
      </c>
      <c r="G190" s="74">
        <v>10350000</v>
      </c>
      <c r="H190" t="s">
        <v>2173</v>
      </c>
      <c r="I190">
        <v>0</v>
      </c>
      <c r="J190" s="54">
        <v>43769</v>
      </c>
      <c r="K190">
        <v>45</v>
      </c>
      <c r="L190" t="s">
        <v>1995</v>
      </c>
      <c r="M190" t="s">
        <v>2499</v>
      </c>
      <c r="N190" t="s">
        <v>2506</v>
      </c>
    </row>
    <row r="191" spans="1:14">
      <c r="A191">
        <v>422100100</v>
      </c>
      <c r="B191" t="s">
        <v>2107</v>
      </c>
      <c r="C191">
        <v>573</v>
      </c>
      <c r="D191" t="s">
        <v>2108</v>
      </c>
      <c r="E191">
        <v>1</v>
      </c>
      <c r="F191">
        <v>10010000310</v>
      </c>
      <c r="G191" s="74">
        <v>9409091</v>
      </c>
      <c r="H191" t="s">
        <v>2174</v>
      </c>
      <c r="I191">
        <v>0</v>
      </c>
      <c r="J191" s="54">
        <v>43769</v>
      </c>
      <c r="K191">
        <v>45</v>
      </c>
      <c r="L191" t="s">
        <v>1995</v>
      </c>
      <c r="M191" t="s">
        <v>2385</v>
      </c>
      <c r="N191" t="s">
        <v>2506</v>
      </c>
    </row>
    <row r="192" spans="1:14">
      <c r="A192">
        <v>422100100</v>
      </c>
      <c r="B192" t="s">
        <v>2107</v>
      </c>
      <c r="C192">
        <v>573</v>
      </c>
      <c r="D192" t="s">
        <v>2108</v>
      </c>
      <c r="E192">
        <v>1</v>
      </c>
      <c r="F192">
        <v>10010000313</v>
      </c>
      <c r="G192" s="74">
        <v>16818182</v>
      </c>
      <c r="H192" t="s">
        <v>2175</v>
      </c>
      <c r="I192">
        <v>0</v>
      </c>
      <c r="J192" s="54">
        <v>43769</v>
      </c>
      <c r="K192">
        <v>45</v>
      </c>
      <c r="L192" t="s">
        <v>1995</v>
      </c>
      <c r="M192" t="s">
        <v>2391</v>
      </c>
      <c r="N192" t="s">
        <v>2506</v>
      </c>
    </row>
    <row r="193" spans="1:14">
      <c r="A193">
        <v>422100100</v>
      </c>
      <c r="B193" t="s">
        <v>2107</v>
      </c>
      <c r="C193">
        <v>573</v>
      </c>
      <c r="D193" t="s">
        <v>2108</v>
      </c>
      <c r="E193">
        <v>1</v>
      </c>
      <c r="F193">
        <v>10010000357</v>
      </c>
      <c r="G193" s="74">
        <v>5454545</v>
      </c>
      <c r="H193" t="s">
        <v>2176</v>
      </c>
      <c r="I193">
        <v>0</v>
      </c>
      <c r="J193" s="54">
        <v>43769</v>
      </c>
      <c r="K193">
        <v>45</v>
      </c>
      <c r="L193" t="s">
        <v>1995</v>
      </c>
      <c r="M193" t="s">
        <v>2386</v>
      </c>
      <c r="N193" t="s">
        <v>2506</v>
      </c>
    </row>
    <row r="194" spans="1:14">
      <c r="A194">
        <v>422100100</v>
      </c>
      <c r="B194" t="s">
        <v>2107</v>
      </c>
      <c r="C194">
        <v>573</v>
      </c>
      <c r="D194" t="s">
        <v>2108</v>
      </c>
      <c r="E194">
        <v>1</v>
      </c>
      <c r="F194">
        <v>10030000025</v>
      </c>
      <c r="G194" s="74">
        <v>5980470</v>
      </c>
      <c r="H194" t="s">
        <v>2177</v>
      </c>
      <c r="I194">
        <v>0</v>
      </c>
      <c r="J194" s="54">
        <v>43784</v>
      </c>
      <c r="K194">
        <v>45</v>
      </c>
      <c r="L194" t="s">
        <v>1995</v>
      </c>
    </row>
    <row r="195" spans="1:14">
      <c r="A195">
        <v>422100100</v>
      </c>
      <c r="B195" t="s">
        <v>2107</v>
      </c>
      <c r="C195">
        <v>573</v>
      </c>
      <c r="D195" t="s">
        <v>2108</v>
      </c>
      <c r="E195">
        <v>1</v>
      </c>
      <c r="F195">
        <v>10010000002</v>
      </c>
      <c r="G195" s="74">
        <v>2727273</v>
      </c>
      <c r="H195" t="s">
        <v>2178</v>
      </c>
      <c r="I195">
        <v>0</v>
      </c>
      <c r="J195" s="54">
        <v>43798</v>
      </c>
      <c r="K195">
        <v>45</v>
      </c>
      <c r="L195" t="s">
        <v>1995</v>
      </c>
    </row>
    <row r="196" spans="1:14">
      <c r="A196">
        <v>422100100</v>
      </c>
      <c r="B196" t="s">
        <v>2107</v>
      </c>
      <c r="C196">
        <v>573</v>
      </c>
      <c r="D196" t="s">
        <v>2108</v>
      </c>
      <c r="E196">
        <v>1</v>
      </c>
      <c r="F196">
        <v>10010000004</v>
      </c>
      <c r="G196" s="74">
        <v>2727273</v>
      </c>
      <c r="H196" t="s">
        <v>2179</v>
      </c>
      <c r="I196">
        <v>0</v>
      </c>
      <c r="J196" s="54">
        <v>43798</v>
      </c>
      <c r="K196">
        <v>45</v>
      </c>
      <c r="L196" t="s">
        <v>1995</v>
      </c>
    </row>
    <row r="197" spans="1:14">
      <c r="A197">
        <v>422100100</v>
      </c>
      <c r="B197" t="s">
        <v>2107</v>
      </c>
      <c r="C197">
        <v>573</v>
      </c>
      <c r="D197" t="s">
        <v>2108</v>
      </c>
      <c r="E197">
        <v>1</v>
      </c>
      <c r="F197">
        <v>10010000214</v>
      </c>
      <c r="G197" s="74">
        <v>10909091</v>
      </c>
      <c r="H197" t="s">
        <v>2180</v>
      </c>
      <c r="I197">
        <v>0</v>
      </c>
      <c r="J197" s="54">
        <v>43798</v>
      </c>
      <c r="K197">
        <v>45</v>
      </c>
      <c r="L197" t="s">
        <v>1995</v>
      </c>
      <c r="M197" t="s">
        <v>2496</v>
      </c>
      <c r="N197" t="s">
        <v>2506</v>
      </c>
    </row>
    <row r="198" spans="1:14">
      <c r="A198">
        <v>422100100</v>
      </c>
      <c r="B198" t="s">
        <v>2107</v>
      </c>
      <c r="C198">
        <v>573</v>
      </c>
      <c r="D198" t="s">
        <v>2108</v>
      </c>
      <c r="E198">
        <v>1</v>
      </c>
      <c r="F198">
        <v>10010000311</v>
      </c>
      <c r="G198" s="74">
        <v>9409091</v>
      </c>
      <c r="H198" t="s">
        <v>2181</v>
      </c>
      <c r="I198">
        <v>0</v>
      </c>
      <c r="J198" s="54">
        <v>43798</v>
      </c>
      <c r="K198">
        <v>45</v>
      </c>
      <c r="L198" t="s">
        <v>1995</v>
      </c>
      <c r="M198" t="s">
        <v>2385</v>
      </c>
      <c r="N198" t="s">
        <v>2506</v>
      </c>
    </row>
    <row r="199" spans="1:14">
      <c r="A199">
        <v>422100100</v>
      </c>
      <c r="B199" t="s">
        <v>2107</v>
      </c>
      <c r="C199">
        <v>573</v>
      </c>
      <c r="D199" t="s">
        <v>2108</v>
      </c>
      <c r="E199">
        <v>1</v>
      </c>
      <c r="F199">
        <v>10010000311</v>
      </c>
      <c r="G199" s="74">
        <v>10000000</v>
      </c>
      <c r="H199" t="s">
        <v>2182</v>
      </c>
      <c r="I199">
        <v>0</v>
      </c>
      <c r="J199" s="54">
        <v>43798</v>
      </c>
      <c r="K199">
        <v>45</v>
      </c>
      <c r="L199" t="s">
        <v>1995</v>
      </c>
      <c r="M199" t="s">
        <v>2387</v>
      </c>
      <c r="N199" t="s">
        <v>2506</v>
      </c>
    </row>
    <row r="200" spans="1:14">
      <c r="A200">
        <v>422100100</v>
      </c>
      <c r="B200" t="s">
        <v>2107</v>
      </c>
      <c r="C200">
        <v>573</v>
      </c>
      <c r="D200" t="s">
        <v>2108</v>
      </c>
      <c r="E200">
        <v>1</v>
      </c>
      <c r="F200">
        <v>10010000315</v>
      </c>
      <c r="G200" s="74">
        <v>16818182</v>
      </c>
      <c r="H200" t="s">
        <v>2183</v>
      </c>
      <c r="I200">
        <v>0</v>
      </c>
      <c r="J200" s="54">
        <v>43798</v>
      </c>
      <c r="K200">
        <v>45</v>
      </c>
      <c r="L200" t="s">
        <v>1995</v>
      </c>
      <c r="M200" t="s">
        <v>2391</v>
      </c>
      <c r="N200" t="s">
        <v>2506</v>
      </c>
    </row>
    <row r="201" spans="1:14">
      <c r="A201">
        <v>422100100</v>
      </c>
      <c r="B201" t="s">
        <v>2107</v>
      </c>
      <c r="C201">
        <v>573</v>
      </c>
      <c r="D201" t="s">
        <v>2108</v>
      </c>
      <c r="E201">
        <v>1</v>
      </c>
      <c r="F201">
        <v>10010000105</v>
      </c>
      <c r="G201" s="74">
        <v>4133334</v>
      </c>
      <c r="H201" t="s">
        <v>2184</v>
      </c>
      <c r="I201">
        <v>0</v>
      </c>
      <c r="J201" s="54">
        <v>43799</v>
      </c>
      <c r="K201">
        <v>45</v>
      </c>
      <c r="L201" t="s">
        <v>1995</v>
      </c>
    </row>
    <row r="202" spans="1:14">
      <c r="A202">
        <v>422100100</v>
      </c>
      <c r="B202" t="s">
        <v>2107</v>
      </c>
      <c r="C202">
        <v>573</v>
      </c>
      <c r="D202" t="s">
        <v>2108</v>
      </c>
      <c r="E202">
        <v>1</v>
      </c>
      <c r="F202">
        <v>10010000280</v>
      </c>
      <c r="G202" s="74">
        <v>10695000</v>
      </c>
      <c r="H202" t="s">
        <v>2185</v>
      </c>
      <c r="I202">
        <v>0</v>
      </c>
      <c r="J202" s="54">
        <v>43799</v>
      </c>
      <c r="K202">
        <v>45</v>
      </c>
      <c r="L202" t="s">
        <v>1995</v>
      </c>
      <c r="M202" t="s">
        <v>2499</v>
      </c>
      <c r="N202" t="s">
        <v>2506</v>
      </c>
    </row>
    <row r="203" spans="1:14">
      <c r="A203">
        <v>422100100</v>
      </c>
      <c r="B203" t="s">
        <v>2107</v>
      </c>
      <c r="C203">
        <v>573</v>
      </c>
      <c r="D203" t="s">
        <v>2108</v>
      </c>
      <c r="E203">
        <v>1</v>
      </c>
      <c r="F203">
        <v>10010000360</v>
      </c>
      <c r="G203" s="74">
        <v>9393939</v>
      </c>
      <c r="H203" t="s">
        <v>2186</v>
      </c>
      <c r="I203">
        <v>0</v>
      </c>
      <c r="J203" s="54">
        <v>43799</v>
      </c>
      <c r="K203">
        <v>45</v>
      </c>
      <c r="L203" t="s">
        <v>1995</v>
      </c>
      <c r="M203" t="s">
        <v>2386</v>
      </c>
      <c r="N203" t="s">
        <v>2506</v>
      </c>
    </row>
    <row r="204" spans="1:14">
      <c r="A204">
        <v>422100100</v>
      </c>
      <c r="B204" t="s">
        <v>2107</v>
      </c>
      <c r="C204">
        <v>573</v>
      </c>
      <c r="D204" t="s">
        <v>2108</v>
      </c>
      <c r="E204">
        <v>1</v>
      </c>
      <c r="F204">
        <v>10010000176</v>
      </c>
      <c r="G204" s="74">
        <v>2051634</v>
      </c>
      <c r="H204" t="s">
        <v>2187</v>
      </c>
      <c r="I204">
        <v>0</v>
      </c>
      <c r="J204" s="54">
        <v>43810</v>
      </c>
      <c r="K204">
        <v>45</v>
      </c>
      <c r="L204" t="s">
        <v>1995</v>
      </c>
    </row>
    <row r="205" spans="1:14">
      <c r="A205">
        <v>422100100</v>
      </c>
      <c r="B205" t="s">
        <v>2107</v>
      </c>
      <c r="C205">
        <v>573</v>
      </c>
      <c r="D205" t="s">
        <v>2108</v>
      </c>
      <c r="E205">
        <v>1</v>
      </c>
      <c r="F205">
        <v>10010000108</v>
      </c>
      <c r="G205" s="74">
        <v>4288324</v>
      </c>
      <c r="H205" t="s">
        <v>2134</v>
      </c>
      <c r="I205">
        <v>0</v>
      </c>
      <c r="J205" s="54">
        <v>43815</v>
      </c>
      <c r="K205">
        <v>45</v>
      </c>
      <c r="L205" t="s">
        <v>1995</v>
      </c>
    </row>
    <row r="206" spans="1:14">
      <c r="A206">
        <v>422100100</v>
      </c>
      <c r="B206" t="s">
        <v>2107</v>
      </c>
      <c r="C206">
        <v>573</v>
      </c>
      <c r="D206" t="s">
        <v>2108</v>
      </c>
      <c r="E206">
        <v>1</v>
      </c>
      <c r="F206">
        <v>10010000312</v>
      </c>
      <c r="G206" s="74">
        <v>9409091</v>
      </c>
      <c r="H206" t="s">
        <v>2188</v>
      </c>
      <c r="I206">
        <v>0</v>
      </c>
      <c r="J206" s="54">
        <v>43815</v>
      </c>
      <c r="K206">
        <v>45</v>
      </c>
      <c r="L206" t="s">
        <v>1995</v>
      </c>
      <c r="M206" t="s">
        <v>2385</v>
      </c>
      <c r="N206" t="s">
        <v>2506</v>
      </c>
    </row>
    <row r="207" spans="1:14">
      <c r="A207">
        <v>422100100</v>
      </c>
      <c r="B207" t="s">
        <v>2107</v>
      </c>
      <c r="C207">
        <v>573</v>
      </c>
      <c r="D207" t="s">
        <v>2108</v>
      </c>
      <c r="E207">
        <v>1</v>
      </c>
      <c r="F207">
        <v>10010000003</v>
      </c>
      <c r="G207" s="74">
        <v>681818</v>
      </c>
      <c r="H207" t="s">
        <v>2189</v>
      </c>
      <c r="I207">
        <v>0</v>
      </c>
      <c r="J207" s="54">
        <v>43816</v>
      </c>
      <c r="K207">
        <v>45</v>
      </c>
      <c r="L207" t="s">
        <v>1995</v>
      </c>
    </row>
    <row r="208" spans="1:14">
      <c r="A208">
        <v>422100100</v>
      </c>
      <c r="B208" t="s">
        <v>2107</v>
      </c>
      <c r="C208">
        <v>573</v>
      </c>
      <c r="D208" t="s">
        <v>2108</v>
      </c>
      <c r="E208">
        <v>1</v>
      </c>
      <c r="F208">
        <v>10010000005</v>
      </c>
      <c r="G208" s="74">
        <v>1681818</v>
      </c>
      <c r="H208" t="s">
        <v>2190</v>
      </c>
      <c r="I208">
        <v>0</v>
      </c>
      <c r="J208" s="54">
        <v>43816</v>
      </c>
      <c r="K208">
        <v>45</v>
      </c>
      <c r="L208" t="s">
        <v>1995</v>
      </c>
    </row>
    <row r="209" spans="1:14">
      <c r="A209">
        <v>422100100</v>
      </c>
      <c r="B209" t="s">
        <v>2107</v>
      </c>
      <c r="C209">
        <v>573</v>
      </c>
      <c r="D209" t="s">
        <v>2108</v>
      </c>
      <c r="E209">
        <v>1</v>
      </c>
      <c r="F209">
        <v>10010000178</v>
      </c>
      <c r="G209" s="74">
        <v>3345410</v>
      </c>
      <c r="H209" t="s">
        <v>2191</v>
      </c>
      <c r="I209">
        <v>0</v>
      </c>
      <c r="J209" s="54">
        <v>43816</v>
      </c>
      <c r="K209">
        <v>45</v>
      </c>
      <c r="L209" t="s">
        <v>1995</v>
      </c>
    </row>
    <row r="210" spans="1:14">
      <c r="A210">
        <v>422100100</v>
      </c>
      <c r="B210" t="s">
        <v>2107</v>
      </c>
      <c r="C210">
        <v>573</v>
      </c>
      <c r="D210" t="s">
        <v>2108</v>
      </c>
      <c r="E210">
        <v>1</v>
      </c>
      <c r="F210">
        <v>10010000215</v>
      </c>
      <c r="G210" s="74">
        <v>10909091</v>
      </c>
      <c r="H210" t="s">
        <v>2192</v>
      </c>
      <c r="I210">
        <v>0</v>
      </c>
      <c r="J210" s="54">
        <v>43816</v>
      </c>
      <c r="K210">
        <v>45</v>
      </c>
      <c r="L210" t="s">
        <v>1995</v>
      </c>
      <c r="M210" t="s">
        <v>2496</v>
      </c>
      <c r="N210" t="s">
        <v>2506</v>
      </c>
    </row>
    <row r="211" spans="1:14">
      <c r="A211">
        <v>422100100</v>
      </c>
      <c r="B211" t="s">
        <v>2107</v>
      </c>
      <c r="C211">
        <v>573</v>
      </c>
      <c r="D211" t="s">
        <v>2108</v>
      </c>
      <c r="E211">
        <v>1</v>
      </c>
      <c r="F211">
        <v>10010000314</v>
      </c>
      <c r="G211" s="74">
        <v>2500000</v>
      </c>
      <c r="H211" t="s">
        <v>2193</v>
      </c>
      <c r="I211">
        <v>0</v>
      </c>
      <c r="J211" s="54">
        <v>43816</v>
      </c>
      <c r="K211">
        <v>45</v>
      </c>
      <c r="L211" t="s">
        <v>1995</v>
      </c>
      <c r="M211" t="s">
        <v>2387</v>
      </c>
      <c r="N211" t="s">
        <v>2506</v>
      </c>
    </row>
    <row r="212" spans="1:14">
      <c r="A212">
        <v>422100100</v>
      </c>
      <c r="B212" t="s">
        <v>2107</v>
      </c>
      <c r="C212">
        <v>573</v>
      </c>
      <c r="D212" t="s">
        <v>2108</v>
      </c>
      <c r="E212">
        <v>1</v>
      </c>
      <c r="F212">
        <v>10010000316</v>
      </c>
      <c r="G212" s="74">
        <v>16818182</v>
      </c>
      <c r="H212" t="s">
        <v>2130</v>
      </c>
      <c r="I212">
        <v>0</v>
      </c>
      <c r="J212" s="54">
        <v>43816</v>
      </c>
      <c r="K212">
        <v>45</v>
      </c>
      <c r="L212" t="s">
        <v>1995</v>
      </c>
      <c r="M212" t="s">
        <v>2391</v>
      </c>
      <c r="N212" t="s">
        <v>2506</v>
      </c>
    </row>
    <row r="213" spans="1:14">
      <c r="A213">
        <v>422100100</v>
      </c>
      <c r="B213" t="s">
        <v>2107</v>
      </c>
      <c r="C213">
        <v>573</v>
      </c>
      <c r="D213" t="s">
        <v>2108</v>
      </c>
      <c r="E213">
        <v>1</v>
      </c>
      <c r="F213">
        <v>10010000364</v>
      </c>
      <c r="G213" s="74">
        <v>15548774</v>
      </c>
      <c r="H213" t="s">
        <v>2156</v>
      </c>
      <c r="I213">
        <v>0</v>
      </c>
      <c r="J213" s="54">
        <v>43816</v>
      </c>
      <c r="K213">
        <v>45</v>
      </c>
      <c r="L213" t="s">
        <v>1995</v>
      </c>
      <c r="M213" t="s">
        <v>2386</v>
      </c>
      <c r="N213" t="s">
        <v>2506</v>
      </c>
    </row>
    <row r="214" spans="1:14">
      <c r="A214">
        <v>422100100</v>
      </c>
      <c r="B214" t="s">
        <v>2107</v>
      </c>
      <c r="C214">
        <v>573</v>
      </c>
      <c r="D214" t="s">
        <v>2108</v>
      </c>
      <c r="E214">
        <v>1</v>
      </c>
      <c r="F214">
        <v>10010000004</v>
      </c>
      <c r="G214" s="74">
        <v>2727273</v>
      </c>
      <c r="H214" t="s">
        <v>2194</v>
      </c>
      <c r="I214">
        <v>0</v>
      </c>
      <c r="J214" s="54">
        <v>43829</v>
      </c>
      <c r="K214">
        <v>45</v>
      </c>
      <c r="L214" t="s">
        <v>1995</v>
      </c>
    </row>
    <row r="215" spans="1:14">
      <c r="A215">
        <v>422100100</v>
      </c>
      <c r="B215" t="s">
        <v>2107</v>
      </c>
      <c r="C215">
        <v>573</v>
      </c>
      <c r="D215" t="s">
        <v>2108</v>
      </c>
      <c r="E215">
        <v>1</v>
      </c>
      <c r="F215">
        <v>10010000109</v>
      </c>
      <c r="G215" s="74">
        <v>4000000</v>
      </c>
      <c r="H215" t="s">
        <v>2195</v>
      </c>
      <c r="I215">
        <v>0</v>
      </c>
      <c r="J215" s="54">
        <v>43829</v>
      </c>
      <c r="K215">
        <v>45</v>
      </c>
      <c r="L215" t="s">
        <v>1995</v>
      </c>
    </row>
    <row r="216" spans="1:14">
      <c r="A216">
        <v>422100100</v>
      </c>
      <c r="B216" t="s">
        <v>2107</v>
      </c>
      <c r="C216">
        <v>573</v>
      </c>
      <c r="D216" t="s">
        <v>2108</v>
      </c>
      <c r="E216">
        <v>1</v>
      </c>
      <c r="F216">
        <v>10010000179</v>
      </c>
      <c r="G216" s="74">
        <v>1993490</v>
      </c>
      <c r="H216" t="s">
        <v>2184</v>
      </c>
      <c r="I216">
        <v>0</v>
      </c>
      <c r="J216" s="54">
        <v>43829</v>
      </c>
      <c r="K216">
        <v>45</v>
      </c>
      <c r="L216" t="s">
        <v>1995</v>
      </c>
    </row>
    <row r="217" spans="1:14">
      <c r="A217">
        <v>422100100</v>
      </c>
      <c r="B217" t="s">
        <v>2107</v>
      </c>
      <c r="C217">
        <v>573</v>
      </c>
      <c r="D217" t="s">
        <v>2108</v>
      </c>
      <c r="E217">
        <v>1</v>
      </c>
      <c r="F217">
        <v>10010000216</v>
      </c>
      <c r="G217" s="74">
        <v>10909091</v>
      </c>
      <c r="H217" t="s">
        <v>2184</v>
      </c>
      <c r="I217">
        <v>0</v>
      </c>
      <c r="J217" s="54">
        <v>43829</v>
      </c>
      <c r="K217">
        <v>45</v>
      </c>
      <c r="L217" t="s">
        <v>1995</v>
      </c>
      <c r="M217" t="s">
        <v>2496</v>
      </c>
      <c r="N217" t="s">
        <v>2506</v>
      </c>
    </row>
    <row r="218" spans="1:14">
      <c r="A218">
        <v>422100100</v>
      </c>
      <c r="B218" t="s">
        <v>2107</v>
      </c>
      <c r="C218">
        <v>573</v>
      </c>
      <c r="D218" t="s">
        <v>2108</v>
      </c>
      <c r="E218">
        <v>1</v>
      </c>
      <c r="F218">
        <v>10010000313</v>
      </c>
      <c r="G218" s="74">
        <v>9409091</v>
      </c>
      <c r="H218" t="s">
        <v>2196</v>
      </c>
      <c r="I218">
        <v>0</v>
      </c>
      <c r="J218" s="54">
        <v>43829</v>
      </c>
      <c r="K218">
        <v>45</v>
      </c>
      <c r="L218" t="s">
        <v>1995</v>
      </c>
      <c r="M218" t="s">
        <v>2385</v>
      </c>
      <c r="N218" t="s">
        <v>2506</v>
      </c>
    </row>
    <row r="219" spans="1:14">
      <c r="A219">
        <v>422100100</v>
      </c>
      <c r="B219" t="s">
        <v>2107</v>
      </c>
      <c r="C219">
        <v>573</v>
      </c>
      <c r="D219" t="s">
        <v>2108</v>
      </c>
      <c r="E219">
        <v>1</v>
      </c>
      <c r="F219">
        <v>10010000316</v>
      </c>
      <c r="G219" s="74">
        <v>20000000</v>
      </c>
      <c r="H219" t="s">
        <v>2197</v>
      </c>
      <c r="I219">
        <v>0</v>
      </c>
      <c r="J219" s="54">
        <v>43829</v>
      </c>
      <c r="K219">
        <v>45</v>
      </c>
      <c r="L219" t="s">
        <v>1995</v>
      </c>
      <c r="M219" t="s">
        <v>2387</v>
      </c>
      <c r="N219" t="s">
        <v>2506</v>
      </c>
    </row>
    <row r="220" spans="1:14">
      <c r="A220">
        <v>422100100</v>
      </c>
      <c r="B220" t="s">
        <v>2107</v>
      </c>
      <c r="C220">
        <v>573</v>
      </c>
      <c r="D220" t="s">
        <v>2108</v>
      </c>
      <c r="E220">
        <v>1</v>
      </c>
      <c r="F220">
        <v>10010000318</v>
      </c>
      <c r="G220" s="74">
        <v>16818182</v>
      </c>
      <c r="H220" t="s">
        <v>2198</v>
      </c>
      <c r="I220">
        <v>0</v>
      </c>
      <c r="J220" s="54">
        <v>43829</v>
      </c>
      <c r="K220">
        <v>45</v>
      </c>
      <c r="L220" t="s">
        <v>1995</v>
      </c>
      <c r="M220" t="s">
        <v>2391</v>
      </c>
      <c r="N220" t="s">
        <v>2506</v>
      </c>
    </row>
    <row r="221" spans="1:14">
      <c r="A221">
        <v>422100100</v>
      </c>
      <c r="B221" t="s">
        <v>2107</v>
      </c>
      <c r="C221">
        <v>573</v>
      </c>
      <c r="D221" t="s">
        <v>2108</v>
      </c>
      <c r="E221">
        <v>1</v>
      </c>
      <c r="F221">
        <v>10010000365</v>
      </c>
      <c r="G221" s="74">
        <v>9090909</v>
      </c>
      <c r="H221" t="s">
        <v>2156</v>
      </c>
      <c r="I221">
        <v>0</v>
      </c>
      <c r="J221" s="54">
        <v>43829</v>
      </c>
      <c r="K221">
        <v>45</v>
      </c>
      <c r="L221" t="s">
        <v>1995</v>
      </c>
      <c r="M221" t="s">
        <v>2386</v>
      </c>
      <c r="N221" t="s">
        <v>2506</v>
      </c>
    </row>
    <row r="222" spans="1:14">
      <c r="A222">
        <v>422100100</v>
      </c>
      <c r="B222" t="s">
        <v>2107</v>
      </c>
      <c r="C222">
        <v>573</v>
      </c>
      <c r="D222" t="s">
        <v>2108</v>
      </c>
      <c r="E222">
        <v>1</v>
      </c>
      <c r="F222">
        <v>10020000011</v>
      </c>
      <c r="G222" s="74">
        <v>12360000</v>
      </c>
      <c r="H222" t="s">
        <v>2199</v>
      </c>
      <c r="I222">
        <v>0</v>
      </c>
      <c r="J222" s="54">
        <v>43829</v>
      </c>
      <c r="K222">
        <v>45</v>
      </c>
      <c r="L222" t="s">
        <v>1995</v>
      </c>
      <c r="M222" t="s">
        <v>2509</v>
      </c>
      <c r="N222" t="s">
        <v>2506</v>
      </c>
    </row>
    <row r="223" spans="1:14" hidden="1">
      <c r="A223">
        <v>422100100</v>
      </c>
      <c r="B223" t="s">
        <v>2107</v>
      </c>
      <c r="C223">
        <v>1723</v>
      </c>
      <c r="D223" t="s">
        <v>2200</v>
      </c>
      <c r="E223">
        <v>26</v>
      </c>
      <c r="F223">
        <v>5072019</v>
      </c>
      <c r="G223">
        <v>1000000</v>
      </c>
      <c r="H223" t="s">
        <v>2201</v>
      </c>
      <c r="I223">
        <v>0</v>
      </c>
      <c r="J223">
        <v>43651</v>
      </c>
      <c r="K223">
        <v>45</v>
      </c>
      <c r="L223" t="s">
        <v>1995</v>
      </c>
    </row>
    <row r="224" spans="1:14" hidden="1">
      <c r="A224">
        <v>422100100</v>
      </c>
      <c r="B224" t="s">
        <v>2107</v>
      </c>
      <c r="C224">
        <v>1723</v>
      </c>
      <c r="D224" t="s">
        <v>2200</v>
      </c>
      <c r="E224">
        <v>26</v>
      </c>
      <c r="F224">
        <v>2394</v>
      </c>
      <c r="G224">
        <v>1000000</v>
      </c>
      <c r="H224" t="s">
        <v>2006</v>
      </c>
      <c r="I224">
        <v>0</v>
      </c>
      <c r="J224">
        <v>43753</v>
      </c>
      <c r="K224">
        <v>45</v>
      </c>
      <c r="L224" t="s">
        <v>1995</v>
      </c>
    </row>
    <row r="225" spans="1:14" hidden="1">
      <c r="A225">
        <v>422100100</v>
      </c>
      <c r="B225" t="s">
        <v>2107</v>
      </c>
      <c r="C225">
        <v>1723</v>
      </c>
      <c r="D225" t="s">
        <v>2200</v>
      </c>
      <c r="E225">
        <v>26</v>
      </c>
      <c r="F225">
        <v>2522</v>
      </c>
      <c r="G225">
        <v>1000000</v>
      </c>
      <c r="H225" t="s">
        <v>2007</v>
      </c>
      <c r="I225">
        <v>0</v>
      </c>
      <c r="J225">
        <v>43784</v>
      </c>
      <c r="K225">
        <v>45</v>
      </c>
      <c r="L225" t="s">
        <v>1995</v>
      </c>
    </row>
    <row r="226" spans="1:14" hidden="1">
      <c r="A226">
        <v>422100100</v>
      </c>
      <c r="B226" t="s">
        <v>2107</v>
      </c>
      <c r="C226">
        <v>1723</v>
      </c>
      <c r="D226" t="s">
        <v>2200</v>
      </c>
      <c r="E226">
        <v>26</v>
      </c>
      <c r="F226">
        <v>2700</v>
      </c>
      <c r="G226">
        <v>300000</v>
      </c>
      <c r="H226" t="s">
        <v>2202</v>
      </c>
      <c r="I226">
        <v>0</v>
      </c>
      <c r="J226">
        <v>43829</v>
      </c>
      <c r="K226">
        <v>45</v>
      </c>
      <c r="L226" t="s">
        <v>1995</v>
      </c>
    </row>
    <row r="227" spans="1:14" hidden="1">
      <c r="A227">
        <v>422100100</v>
      </c>
      <c r="B227" t="s">
        <v>2107</v>
      </c>
      <c r="C227">
        <v>1724</v>
      </c>
      <c r="D227" t="s">
        <v>2203</v>
      </c>
      <c r="E227">
        <v>25</v>
      </c>
      <c r="F227">
        <v>31072019</v>
      </c>
      <c r="G227">
        <v>0</v>
      </c>
      <c r="H227" t="s">
        <v>2204</v>
      </c>
      <c r="I227">
        <v>1000000</v>
      </c>
      <c r="J227">
        <v>43677</v>
      </c>
      <c r="K227">
        <v>45</v>
      </c>
      <c r="L227" t="s">
        <v>1995</v>
      </c>
    </row>
    <row r="228" spans="1:14" hidden="1">
      <c r="A228">
        <v>422100100</v>
      </c>
      <c r="B228" t="s">
        <v>2107</v>
      </c>
      <c r="C228">
        <v>1724</v>
      </c>
      <c r="D228" t="s">
        <v>2203</v>
      </c>
      <c r="E228">
        <v>25</v>
      </c>
      <c r="F228">
        <v>31102019</v>
      </c>
      <c r="G228">
        <v>0</v>
      </c>
      <c r="H228" t="s">
        <v>2205</v>
      </c>
      <c r="I228">
        <v>1000000</v>
      </c>
      <c r="J228">
        <v>43769</v>
      </c>
      <c r="K228">
        <v>45</v>
      </c>
      <c r="L228" t="s">
        <v>1995</v>
      </c>
    </row>
    <row r="229" spans="1:14" hidden="1">
      <c r="A229">
        <v>422100100</v>
      </c>
      <c r="B229" t="s">
        <v>2107</v>
      </c>
      <c r="C229">
        <v>1724</v>
      </c>
      <c r="D229" t="s">
        <v>2203</v>
      </c>
      <c r="E229">
        <v>25</v>
      </c>
      <c r="F229">
        <v>30112019</v>
      </c>
      <c r="G229">
        <v>0</v>
      </c>
      <c r="H229" t="s">
        <v>2206</v>
      </c>
      <c r="I229">
        <v>1000000</v>
      </c>
      <c r="J229">
        <v>43799</v>
      </c>
      <c r="K229">
        <v>45</v>
      </c>
      <c r="L229" t="s">
        <v>1995</v>
      </c>
    </row>
    <row r="230" spans="1:14" hidden="1">
      <c r="A230">
        <v>422100100</v>
      </c>
      <c r="B230" t="s">
        <v>2107</v>
      </c>
      <c r="C230">
        <v>1724</v>
      </c>
      <c r="D230" t="s">
        <v>2203</v>
      </c>
      <c r="E230">
        <v>25</v>
      </c>
      <c r="F230">
        <v>30122019</v>
      </c>
      <c r="G230">
        <v>0</v>
      </c>
      <c r="H230" t="s">
        <v>2206</v>
      </c>
      <c r="I230">
        <v>300000</v>
      </c>
      <c r="J230">
        <v>43829</v>
      </c>
      <c r="K230">
        <v>45</v>
      </c>
      <c r="L230" t="s">
        <v>1995</v>
      </c>
    </row>
    <row r="231" spans="1:14">
      <c r="A231">
        <v>422100200</v>
      </c>
      <c r="B231" t="s">
        <v>2207</v>
      </c>
      <c r="C231">
        <v>618</v>
      </c>
      <c r="D231" t="s">
        <v>2208</v>
      </c>
      <c r="E231">
        <v>1</v>
      </c>
      <c r="F231">
        <v>10010000226</v>
      </c>
      <c r="G231" s="74">
        <v>9000000</v>
      </c>
      <c r="H231" t="s">
        <v>2209</v>
      </c>
      <c r="I231">
        <v>0</v>
      </c>
      <c r="J231" s="54">
        <v>43616</v>
      </c>
      <c r="K231">
        <v>6</v>
      </c>
      <c r="L231" t="s">
        <v>2210</v>
      </c>
      <c r="M231" t="s">
        <v>2389</v>
      </c>
      <c r="N231" t="s">
        <v>2506</v>
      </c>
    </row>
    <row r="232" spans="1:14">
      <c r="A232">
        <v>422100200</v>
      </c>
      <c r="B232" t="s">
        <v>2207</v>
      </c>
      <c r="C232">
        <v>618</v>
      </c>
      <c r="D232" t="s">
        <v>2208</v>
      </c>
      <c r="E232">
        <v>1</v>
      </c>
      <c r="F232">
        <v>10010000228</v>
      </c>
      <c r="G232" s="74">
        <v>9000000</v>
      </c>
      <c r="H232" t="s">
        <v>2211</v>
      </c>
      <c r="I232">
        <v>0</v>
      </c>
      <c r="J232" s="54">
        <v>43644</v>
      </c>
      <c r="K232">
        <v>6</v>
      </c>
      <c r="L232" t="s">
        <v>2210</v>
      </c>
      <c r="M232" t="s">
        <v>2389</v>
      </c>
      <c r="N232" t="s">
        <v>2506</v>
      </c>
    </row>
    <row r="233" spans="1:14">
      <c r="A233">
        <v>422100200</v>
      </c>
      <c r="B233" t="s">
        <v>2207</v>
      </c>
      <c r="C233">
        <v>618</v>
      </c>
      <c r="D233" t="s">
        <v>2208</v>
      </c>
      <c r="E233">
        <v>1</v>
      </c>
      <c r="F233">
        <v>10010000230</v>
      </c>
      <c r="G233" s="74">
        <v>9000000</v>
      </c>
      <c r="H233" t="s">
        <v>2212</v>
      </c>
      <c r="I233">
        <v>0</v>
      </c>
      <c r="J233" s="54">
        <v>43676</v>
      </c>
      <c r="K233">
        <v>6</v>
      </c>
      <c r="L233" t="s">
        <v>2210</v>
      </c>
      <c r="M233" t="s">
        <v>2389</v>
      </c>
      <c r="N233" t="s">
        <v>2506</v>
      </c>
    </row>
    <row r="234" spans="1:14">
      <c r="A234">
        <v>422100200</v>
      </c>
      <c r="B234" t="s">
        <v>2207</v>
      </c>
      <c r="C234">
        <v>618</v>
      </c>
      <c r="D234" t="s">
        <v>2208</v>
      </c>
      <c r="E234">
        <v>1</v>
      </c>
      <c r="F234">
        <v>10010000252</v>
      </c>
      <c r="G234" s="74">
        <v>9000000</v>
      </c>
      <c r="H234" t="s">
        <v>2213</v>
      </c>
      <c r="I234">
        <v>0</v>
      </c>
      <c r="J234" s="54">
        <v>43707</v>
      </c>
      <c r="K234">
        <v>6</v>
      </c>
      <c r="L234" t="s">
        <v>2210</v>
      </c>
      <c r="M234" t="s">
        <v>2389</v>
      </c>
      <c r="N234" t="s">
        <v>2506</v>
      </c>
    </row>
    <row r="235" spans="1:14">
      <c r="A235">
        <v>422100200</v>
      </c>
      <c r="B235" t="s">
        <v>2207</v>
      </c>
      <c r="C235">
        <v>618</v>
      </c>
      <c r="D235" t="s">
        <v>2208</v>
      </c>
      <c r="E235">
        <v>1</v>
      </c>
      <c r="F235">
        <v>10010000254</v>
      </c>
      <c r="G235" s="74">
        <v>9000000</v>
      </c>
      <c r="H235" t="s">
        <v>2214</v>
      </c>
      <c r="I235">
        <v>0</v>
      </c>
      <c r="J235" s="54">
        <v>43738</v>
      </c>
      <c r="K235">
        <v>6</v>
      </c>
      <c r="L235" t="s">
        <v>2210</v>
      </c>
      <c r="M235" t="s">
        <v>2389</v>
      </c>
      <c r="N235" t="s">
        <v>2506</v>
      </c>
    </row>
    <row r="236" spans="1:14">
      <c r="A236">
        <v>422100200</v>
      </c>
      <c r="B236" t="s">
        <v>2207</v>
      </c>
      <c r="C236">
        <v>618</v>
      </c>
      <c r="D236" t="s">
        <v>2208</v>
      </c>
      <c r="E236">
        <v>1</v>
      </c>
      <c r="F236">
        <v>10010000256</v>
      </c>
      <c r="G236" s="74">
        <v>9000000</v>
      </c>
      <c r="H236" t="s">
        <v>2215</v>
      </c>
      <c r="I236">
        <v>0</v>
      </c>
      <c r="J236" s="54">
        <v>43769</v>
      </c>
      <c r="K236">
        <v>6</v>
      </c>
      <c r="L236" t="s">
        <v>2210</v>
      </c>
      <c r="M236" t="s">
        <v>2389</v>
      </c>
      <c r="N236" t="s">
        <v>2506</v>
      </c>
    </row>
    <row r="237" spans="1:14">
      <c r="A237">
        <v>422100200</v>
      </c>
      <c r="B237" t="s">
        <v>2207</v>
      </c>
      <c r="C237">
        <v>618</v>
      </c>
      <c r="D237" t="s">
        <v>2208</v>
      </c>
      <c r="E237">
        <v>1</v>
      </c>
      <c r="F237">
        <v>10010000259</v>
      </c>
      <c r="G237" s="74">
        <v>9000000</v>
      </c>
      <c r="H237" t="s">
        <v>2216</v>
      </c>
      <c r="I237">
        <v>0</v>
      </c>
      <c r="J237" s="54">
        <v>43798</v>
      </c>
      <c r="K237">
        <v>6</v>
      </c>
      <c r="L237" t="s">
        <v>2210</v>
      </c>
      <c r="M237" t="s">
        <v>2389</v>
      </c>
      <c r="N237" t="s">
        <v>2506</v>
      </c>
    </row>
    <row r="238" spans="1:14">
      <c r="A238">
        <v>422100200</v>
      </c>
      <c r="B238" t="s">
        <v>2207</v>
      </c>
      <c r="C238">
        <v>618</v>
      </c>
      <c r="D238" t="s">
        <v>2208</v>
      </c>
      <c r="E238">
        <v>1</v>
      </c>
      <c r="F238">
        <v>10010000262</v>
      </c>
      <c r="G238" s="74">
        <v>12404545</v>
      </c>
      <c r="H238" t="s">
        <v>2217</v>
      </c>
      <c r="I238">
        <v>0</v>
      </c>
      <c r="J238" s="54">
        <v>43816</v>
      </c>
      <c r="K238">
        <v>6</v>
      </c>
      <c r="L238" t="s">
        <v>2210</v>
      </c>
      <c r="M238" t="s">
        <v>2389</v>
      </c>
      <c r="N238" t="s">
        <v>2506</v>
      </c>
    </row>
    <row r="239" spans="1:14">
      <c r="A239">
        <v>422100200</v>
      </c>
      <c r="B239" t="s">
        <v>2207</v>
      </c>
      <c r="C239">
        <v>618</v>
      </c>
      <c r="D239" t="s">
        <v>2208</v>
      </c>
      <c r="E239">
        <v>1</v>
      </c>
      <c r="F239">
        <v>10010000263</v>
      </c>
      <c r="G239" s="74">
        <v>9000000</v>
      </c>
      <c r="H239" t="s">
        <v>2218</v>
      </c>
      <c r="I239">
        <v>0</v>
      </c>
      <c r="J239" s="54">
        <v>43826</v>
      </c>
      <c r="K239">
        <v>6</v>
      </c>
      <c r="L239" t="s">
        <v>2210</v>
      </c>
      <c r="M239" t="s">
        <v>2389</v>
      </c>
      <c r="N239" t="s">
        <v>2506</v>
      </c>
    </row>
    <row r="240" spans="1:14">
      <c r="A240">
        <v>422100200</v>
      </c>
      <c r="B240" t="s">
        <v>2207</v>
      </c>
      <c r="C240">
        <v>632</v>
      </c>
      <c r="D240" t="s">
        <v>2219</v>
      </c>
      <c r="E240">
        <v>1</v>
      </c>
      <c r="F240">
        <v>10010000111</v>
      </c>
      <c r="G240" s="74">
        <v>4000000</v>
      </c>
      <c r="H240" t="s">
        <v>2220</v>
      </c>
      <c r="I240">
        <v>0</v>
      </c>
      <c r="J240" s="54">
        <v>43494</v>
      </c>
      <c r="K240">
        <v>6</v>
      </c>
      <c r="L240" t="s">
        <v>2210</v>
      </c>
    </row>
    <row r="241" spans="1:14">
      <c r="A241">
        <v>422100200</v>
      </c>
      <c r="B241" t="s">
        <v>2207</v>
      </c>
      <c r="C241">
        <v>632</v>
      </c>
      <c r="D241" t="s">
        <v>2219</v>
      </c>
      <c r="E241">
        <v>1</v>
      </c>
      <c r="F241">
        <v>10010000112</v>
      </c>
      <c r="G241" s="74">
        <v>4000000</v>
      </c>
      <c r="H241" t="s">
        <v>2221</v>
      </c>
      <c r="I241">
        <v>0</v>
      </c>
      <c r="J241" s="54">
        <v>43524</v>
      </c>
      <c r="K241">
        <v>6</v>
      </c>
      <c r="L241" t="s">
        <v>2210</v>
      </c>
    </row>
    <row r="242" spans="1:14">
      <c r="A242">
        <v>422100200</v>
      </c>
      <c r="B242" t="s">
        <v>2207</v>
      </c>
      <c r="C242">
        <v>632</v>
      </c>
      <c r="D242" t="s">
        <v>2219</v>
      </c>
      <c r="E242">
        <v>1</v>
      </c>
      <c r="F242">
        <v>10010000113</v>
      </c>
      <c r="G242" s="74">
        <v>6066364</v>
      </c>
      <c r="H242" t="s">
        <v>2222</v>
      </c>
      <c r="I242">
        <v>0</v>
      </c>
      <c r="J242" s="54">
        <v>43554</v>
      </c>
      <c r="K242">
        <v>6</v>
      </c>
      <c r="L242" t="s">
        <v>2210</v>
      </c>
    </row>
    <row r="243" spans="1:14">
      <c r="A243">
        <v>422100200</v>
      </c>
      <c r="B243" t="s">
        <v>2207</v>
      </c>
      <c r="C243">
        <v>637</v>
      </c>
      <c r="D243" t="s">
        <v>2223</v>
      </c>
      <c r="E243">
        <v>1</v>
      </c>
      <c r="F243">
        <v>10010000216</v>
      </c>
      <c r="G243" s="74">
        <v>8400000</v>
      </c>
      <c r="H243" t="s">
        <v>2224</v>
      </c>
      <c r="I243">
        <v>0</v>
      </c>
      <c r="J243" s="54">
        <v>43495</v>
      </c>
      <c r="K243">
        <v>6</v>
      </c>
      <c r="L243" t="s">
        <v>2210</v>
      </c>
      <c r="M243" t="s">
        <v>2392</v>
      </c>
      <c r="N243" t="s">
        <v>2506</v>
      </c>
    </row>
    <row r="244" spans="1:14">
      <c r="A244">
        <v>422100200</v>
      </c>
      <c r="B244" t="s">
        <v>2207</v>
      </c>
      <c r="C244">
        <v>637</v>
      </c>
      <c r="D244" t="s">
        <v>2223</v>
      </c>
      <c r="E244">
        <v>1</v>
      </c>
      <c r="F244">
        <v>10010000218</v>
      </c>
      <c r="G244" s="74">
        <v>8400000</v>
      </c>
      <c r="H244" t="s">
        <v>2225</v>
      </c>
      <c r="I244">
        <v>0</v>
      </c>
      <c r="J244" s="54">
        <v>43524</v>
      </c>
      <c r="K244">
        <v>6</v>
      </c>
      <c r="L244" t="s">
        <v>2210</v>
      </c>
      <c r="M244" t="s">
        <v>2392</v>
      </c>
      <c r="N244" t="s">
        <v>2506</v>
      </c>
    </row>
    <row r="245" spans="1:14">
      <c r="A245">
        <v>422100200</v>
      </c>
      <c r="B245" t="s">
        <v>2207</v>
      </c>
      <c r="C245">
        <v>637</v>
      </c>
      <c r="D245" t="s">
        <v>2223</v>
      </c>
      <c r="E245">
        <v>1</v>
      </c>
      <c r="F245">
        <v>10010000223</v>
      </c>
      <c r="G245" s="74">
        <v>15288182</v>
      </c>
      <c r="H245" t="s">
        <v>2226</v>
      </c>
      <c r="I245">
        <v>0</v>
      </c>
      <c r="J245" s="54">
        <v>43554</v>
      </c>
      <c r="K245">
        <v>6</v>
      </c>
      <c r="L245" t="s">
        <v>2210</v>
      </c>
      <c r="M245" t="s">
        <v>2392</v>
      </c>
      <c r="N245" t="s">
        <v>2506</v>
      </c>
    </row>
    <row r="246" spans="1:14" hidden="1">
      <c r="A246">
        <v>422100200</v>
      </c>
      <c r="B246" t="s">
        <v>2207</v>
      </c>
      <c r="C246">
        <v>801</v>
      </c>
      <c r="D246" t="s">
        <v>2227</v>
      </c>
      <c r="E246">
        <v>26</v>
      </c>
      <c r="F246">
        <v>0</v>
      </c>
      <c r="G246">
        <v>2500000</v>
      </c>
      <c r="H246" t="s">
        <v>2228</v>
      </c>
      <c r="I246">
        <v>0</v>
      </c>
      <c r="J246">
        <v>43482</v>
      </c>
      <c r="K246">
        <v>6</v>
      </c>
      <c r="L246" t="s">
        <v>2210</v>
      </c>
    </row>
    <row r="247" spans="1:14" hidden="1">
      <c r="A247">
        <v>422100200</v>
      </c>
      <c r="B247" t="s">
        <v>2207</v>
      </c>
      <c r="C247">
        <v>801</v>
      </c>
      <c r="D247" t="s">
        <v>2227</v>
      </c>
      <c r="E247">
        <v>26</v>
      </c>
      <c r="F247">
        <v>0</v>
      </c>
      <c r="G247">
        <v>200000</v>
      </c>
      <c r="H247" t="s">
        <v>2229</v>
      </c>
      <c r="I247">
        <v>0</v>
      </c>
      <c r="J247">
        <v>43494</v>
      </c>
      <c r="K247">
        <v>6</v>
      </c>
      <c r="L247" t="s">
        <v>2210</v>
      </c>
    </row>
    <row r="248" spans="1:14">
      <c r="A248">
        <v>422100200</v>
      </c>
      <c r="B248" t="s">
        <v>2207</v>
      </c>
      <c r="C248">
        <v>801</v>
      </c>
      <c r="D248" t="s">
        <v>2227</v>
      </c>
      <c r="E248">
        <v>1</v>
      </c>
      <c r="F248">
        <v>10010000215</v>
      </c>
      <c r="G248" s="74">
        <v>5936000</v>
      </c>
      <c r="H248" t="s">
        <v>2230</v>
      </c>
      <c r="I248">
        <v>0</v>
      </c>
      <c r="J248" s="54">
        <v>43494</v>
      </c>
      <c r="K248">
        <v>6</v>
      </c>
      <c r="L248" t="s">
        <v>2210</v>
      </c>
    </row>
    <row r="249" spans="1:14" hidden="1">
      <c r="A249">
        <v>422100200</v>
      </c>
      <c r="B249" t="s">
        <v>2207</v>
      </c>
      <c r="C249">
        <v>801</v>
      </c>
      <c r="D249" t="s">
        <v>2227</v>
      </c>
      <c r="E249">
        <v>26</v>
      </c>
      <c r="F249">
        <v>0</v>
      </c>
      <c r="G249">
        <v>300000</v>
      </c>
      <c r="H249" t="s">
        <v>2231</v>
      </c>
      <c r="I249">
        <v>0</v>
      </c>
      <c r="J249">
        <v>43497</v>
      </c>
      <c r="K249">
        <v>6</v>
      </c>
      <c r="L249" t="s">
        <v>2210</v>
      </c>
    </row>
    <row r="250" spans="1:14" hidden="1">
      <c r="A250">
        <v>422100200</v>
      </c>
      <c r="B250" t="s">
        <v>2207</v>
      </c>
      <c r="C250">
        <v>801</v>
      </c>
      <c r="D250" t="s">
        <v>2227</v>
      </c>
      <c r="E250">
        <v>26</v>
      </c>
      <c r="F250">
        <v>0</v>
      </c>
      <c r="G250">
        <v>300000</v>
      </c>
      <c r="H250" t="s">
        <v>2232</v>
      </c>
      <c r="I250">
        <v>0</v>
      </c>
      <c r="J250">
        <v>43505</v>
      </c>
      <c r="K250">
        <v>6</v>
      </c>
      <c r="L250" t="s">
        <v>2210</v>
      </c>
    </row>
    <row r="251" spans="1:14" hidden="1">
      <c r="A251">
        <v>422100200</v>
      </c>
      <c r="B251" t="s">
        <v>2207</v>
      </c>
      <c r="C251">
        <v>801</v>
      </c>
      <c r="D251" t="s">
        <v>2227</v>
      </c>
      <c r="E251">
        <v>26</v>
      </c>
      <c r="F251">
        <v>0</v>
      </c>
      <c r="G251">
        <v>400000</v>
      </c>
      <c r="H251" t="s">
        <v>2233</v>
      </c>
      <c r="I251">
        <v>0</v>
      </c>
      <c r="J251">
        <v>43512</v>
      </c>
      <c r="K251">
        <v>6</v>
      </c>
      <c r="L251" t="s">
        <v>2210</v>
      </c>
    </row>
    <row r="252" spans="1:14" hidden="1">
      <c r="A252">
        <v>422100200</v>
      </c>
      <c r="B252" t="s">
        <v>2207</v>
      </c>
      <c r="C252">
        <v>801</v>
      </c>
      <c r="D252" t="s">
        <v>2227</v>
      </c>
      <c r="E252">
        <v>26</v>
      </c>
      <c r="F252">
        <v>0</v>
      </c>
      <c r="G252">
        <v>300000</v>
      </c>
      <c r="H252" t="s">
        <v>2234</v>
      </c>
      <c r="I252">
        <v>0</v>
      </c>
      <c r="J252">
        <v>43533</v>
      </c>
      <c r="K252">
        <v>6</v>
      </c>
      <c r="L252" t="s">
        <v>2210</v>
      </c>
    </row>
    <row r="253" spans="1:14" hidden="1">
      <c r="A253">
        <v>422100200</v>
      </c>
      <c r="B253" t="s">
        <v>2207</v>
      </c>
      <c r="C253">
        <v>801</v>
      </c>
      <c r="D253" t="s">
        <v>2227</v>
      </c>
      <c r="E253">
        <v>26</v>
      </c>
      <c r="F253">
        <v>0</v>
      </c>
      <c r="G253">
        <v>200000</v>
      </c>
      <c r="H253" t="s">
        <v>2235</v>
      </c>
      <c r="I253">
        <v>0</v>
      </c>
      <c r="J253">
        <v>43635</v>
      </c>
      <c r="K253">
        <v>6</v>
      </c>
      <c r="L253" t="s">
        <v>2210</v>
      </c>
    </row>
    <row r="254" spans="1:14" hidden="1">
      <c r="A254">
        <v>422100200</v>
      </c>
      <c r="B254" t="s">
        <v>2207</v>
      </c>
      <c r="C254">
        <v>801</v>
      </c>
      <c r="D254" t="s">
        <v>2227</v>
      </c>
      <c r="E254">
        <v>26</v>
      </c>
      <c r="F254">
        <v>0</v>
      </c>
      <c r="G254">
        <v>600000</v>
      </c>
      <c r="H254" t="s">
        <v>2235</v>
      </c>
      <c r="I254">
        <v>0</v>
      </c>
      <c r="J254">
        <v>43638</v>
      </c>
      <c r="K254">
        <v>6</v>
      </c>
      <c r="L254" t="s">
        <v>2210</v>
      </c>
    </row>
    <row r="255" spans="1:14">
      <c r="A255">
        <v>422100200</v>
      </c>
      <c r="B255" t="s">
        <v>2207</v>
      </c>
      <c r="C255">
        <v>801</v>
      </c>
      <c r="D255" t="s">
        <v>2227</v>
      </c>
      <c r="E255">
        <v>1</v>
      </c>
      <c r="F255">
        <v>10010000217</v>
      </c>
      <c r="G255" s="74">
        <v>5852000</v>
      </c>
      <c r="H255" t="s">
        <v>2236</v>
      </c>
      <c r="I255">
        <v>0</v>
      </c>
      <c r="J255" s="54">
        <v>43524</v>
      </c>
      <c r="K255">
        <v>32</v>
      </c>
      <c r="L255" t="s">
        <v>2237</v>
      </c>
    </row>
    <row r="256" spans="1:14">
      <c r="A256">
        <v>422100200</v>
      </c>
      <c r="B256" t="s">
        <v>2207</v>
      </c>
      <c r="C256">
        <v>801</v>
      </c>
      <c r="D256" t="s">
        <v>2227</v>
      </c>
      <c r="E256">
        <v>1</v>
      </c>
      <c r="F256">
        <v>10010000219</v>
      </c>
      <c r="G256" s="74">
        <v>6251000</v>
      </c>
      <c r="H256" t="s">
        <v>2238</v>
      </c>
      <c r="I256">
        <v>0</v>
      </c>
      <c r="J256" s="54">
        <v>43553</v>
      </c>
      <c r="K256">
        <v>32</v>
      </c>
      <c r="L256" t="s">
        <v>2237</v>
      </c>
    </row>
    <row r="257" spans="1:12">
      <c r="A257">
        <v>422100200</v>
      </c>
      <c r="B257" t="s">
        <v>2207</v>
      </c>
      <c r="C257">
        <v>801</v>
      </c>
      <c r="D257" t="s">
        <v>2227</v>
      </c>
      <c r="E257">
        <v>1</v>
      </c>
      <c r="F257">
        <v>10010000221</v>
      </c>
      <c r="G257" s="74">
        <v>6146000</v>
      </c>
      <c r="H257" t="s">
        <v>2239</v>
      </c>
      <c r="I257">
        <v>0</v>
      </c>
      <c r="J257" s="54">
        <v>43585</v>
      </c>
      <c r="K257">
        <v>32</v>
      </c>
      <c r="L257" t="s">
        <v>2237</v>
      </c>
    </row>
    <row r="258" spans="1:12" hidden="1">
      <c r="A258">
        <v>422100200</v>
      </c>
      <c r="B258" t="s">
        <v>2207</v>
      </c>
      <c r="C258">
        <v>850</v>
      </c>
      <c r="D258" t="s">
        <v>2240</v>
      </c>
      <c r="E258">
        <v>25</v>
      </c>
      <c r="F258">
        <v>0</v>
      </c>
      <c r="G258">
        <v>0</v>
      </c>
      <c r="H258" t="s">
        <v>2241</v>
      </c>
      <c r="I258">
        <v>2700000</v>
      </c>
      <c r="J258">
        <v>43494</v>
      </c>
      <c r="K258">
        <v>6</v>
      </c>
      <c r="L258" t="s">
        <v>2210</v>
      </c>
    </row>
    <row r="259" spans="1:12" hidden="1">
      <c r="A259">
        <v>422100200</v>
      </c>
      <c r="B259" t="s">
        <v>2207</v>
      </c>
      <c r="C259">
        <v>850</v>
      </c>
      <c r="D259" t="s">
        <v>2240</v>
      </c>
      <c r="E259">
        <v>25</v>
      </c>
      <c r="F259">
        <v>0</v>
      </c>
      <c r="G259">
        <v>0</v>
      </c>
      <c r="H259" t="s">
        <v>2242</v>
      </c>
      <c r="I259">
        <v>1000000</v>
      </c>
      <c r="J259">
        <v>43554</v>
      </c>
      <c r="K259">
        <v>32</v>
      </c>
      <c r="L259" t="s">
        <v>2237</v>
      </c>
    </row>
    <row r="260" spans="1:12" hidden="1">
      <c r="A260">
        <v>422100200</v>
      </c>
      <c r="B260" t="s">
        <v>2207</v>
      </c>
      <c r="C260">
        <v>850</v>
      </c>
      <c r="D260" t="s">
        <v>2240</v>
      </c>
      <c r="E260">
        <v>25</v>
      </c>
      <c r="F260">
        <v>0</v>
      </c>
      <c r="G260">
        <v>0</v>
      </c>
      <c r="H260" t="s">
        <v>2243</v>
      </c>
      <c r="I260">
        <v>300000</v>
      </c>
      <c r="J260">
        <v>43554</v>
      </c>
      <c r="K260">
        <v>32</v>
      </c>
      <c r="L260" t="s">
        <v>2237</v>
      </c>
    </row>
    <row r="261" spans="1:12" hidden="1">
      <c r="A261">
        <v>422100200</v>
      </c>
      <c r="B261" t="s">
        <v>2207</v>
      </c>
      <c r="C261">
        <v>850</v>
      </c>
      <c r="D261" t="s">
        <v>2240</v>
      </c>
      <c r="E261">
        <v>25</v>
      </c>
      <c r="F261">
        <v>0</v>
      </c>
      <c r="G261">
        <v>0</v>
      </c>
      <c r="H261" t="s">
        <v>2244</v>
      </c>
      <c r="I261">
        <v>800000</v>
      </c>
      <c r="J261">
        <v>43645</v>
      </c>
      <c r="K261">
        <v>32</v>
      </c>
      <c r="L261" t="s">
        <v>2237</v>
      </c>
    </row>
    <row r="262" spans="1:12">
      <c r="A262">
        <v>422100200</v>
      </c>
      <c r="B262" t="s">
        <v>2207</v>
      </c>
      <c r="C262">
        <v>1682</v>
      </c>
      <c r="D262" t="s">
        <v>2245</v>
      </c>
      <c r="E262">
        <v>1</v>
      </c>
      <c r="F262">
        <v>10010000019</v>
      </c>
      <c r="G262" s="74">
        <v>5000000</v>
      </c>
      <c r="H262" t="s">
        <v>2246</v>
      </c>
      <c r="I262">
        <v>0</v>
      </c>
      <c r="J262" s="54">
        <v>43495</v>
      </c>
      <c r="K262">
        <v>6</v>
      </c>
      <c r="L262" t="s">
        <v>2210</v>
      </c>
    </row>
    <row r="263" spans="1:12">
      <c r="A263">
        <v>422100200</v>
      </c>
      <c r="B263" t="s">
        <v>2207</v>
      </c>
      <c r="C263">
        <v>1682</v>
      </c>
      <c r="D263" t="s">
        <v>2245</v>
      </c>
      <c r="E263">
        <v>1</v>
      </c>
      <c r="F263">
        <v>10010000022</v>
      </c>
      <c r="G263" s="74">
        <v>5000000</v>
      </c>
      <c r="H263" t="s">
        <v>2247</v>
      </c>
      <c r="I263">
        <v>0</v>
      </c>
      <c r="J263" s="54">
        <v>43524</v>
      </c>
      <c r="K263">
        <v>6</v>
      </c>
      <c r="L263" t="s">
        <v>2210</v>
      </c>
    </row>
    <row r="264" spans="1:12">
      <c r="A264">
        <v>422100200</v>
      </c>
      <c r="B264" t="s">
        <v>2207</v>
      </c>
      <c r="C264">
        <v>1682</v>
      </c>
      <c r="D264" t="s">
        <v>2245</v>
      </c>
      <c r="E264">
        <v>1</v>
      </c>
      <c r="F264">
        <v>10010000027</v>
      </c>
      <c r="G264" s="74">
        <v>5000000</v>
      </c>
      <c r="H264" t="s">
        <v>2248</v>
      </c>
      <c r="I264">
        <v>0</v>
      </c>
      <c r="J264" s="54">
        <v>43553</v>
      </c>
      <c r="K264">
        <v>6</v>
      </c>
      <c r="L264" t="s">
        <v>2210</v>
      </c>
    </row>
    <row r="265" spans="1:12">
      <c r="A265">
        <v>422100200</v>
      </c>
      <c r="B265" t="s">
        <v>2207</v>
      </c>
      <c r="C265">
        <v>1682</v>
      </c>
      <c r="D265" t="s">
        <v>2245</v>
      </c>
      <c r="E265">
        <v>1</v>
      </c>
      <c r="F265">
        <v>10010000030</v>
      </c>
      <c r="G265" s="74">
        <v>5000000</v>
      </c>
      <c r="H265" t="s">
        <v>2249</v>
      </c>
      <c r="I265">
        <v>0</v>
      </c>
      <c r="J265" s="54">
        <v>43584</v>
      </c>
      <c r="K265">
        <v>6</v>
      </c>
      <c r="L265" t="s">
        <v>2210</v>
      </c>
    </row>
    <row r="266" spans="1:12">
      <c r="A266">
        <v>422100200</v>
      </c>
      <c r="B266" t="s">
        <v>2207</v>
      </c>
      <c r="C266">
        <v>1682</v>
      </c>
      <c r="D266" t="s">
        <v>2245</v>
      </c>
      <c r="E266">
        <v>1</v>
      </c>
      <c r="F266">
        <v>10010000032</v>
      </c>
      <c r="G266" s="74">
        <v>5000000</v>
      </c>
      <c r="H266" t="s">
        <v>2250</v>
      </c>
      <c r="I266">
        <v>0</v>
      </c>
      <c r="J266" s="54">
        <v>43616</v>
      </c>
      <c r="K266">
        <v>6</v>
      </c>
      <c r="L266" t="s">
        <v>2210</v>
      </c>
    </row>
    <row r="267" spans="1:12">
      <c r="A267">
        <v>422100200</v>
      </c>
      <c r="B267" t="s">
        <v>2207</v>
      </c>
      <c r="C267">
        <v>1682</v>
      </c>
      <c r="D267" t="s">
        <v>2245</v>
      </c>
      <c r="E267">
        <v>1</v>
      </c>
      <c r="F267">
        <v>10010000034</v>
      </c>
      <c r="G267" s="74">
        <v>5000000</v>
      </c>
      <c r="H267" t="s">
        <v>2251</v>
      </c>
      <c r="I267">
        <v>0</v>
      </c>
      <c r="J267" s="54">
        <v>43645</v>
      </c>
      <c r="K267">
        <v>6</v>
      </c>
      <c r="L267" t="s">
        <v>2210</v>
      </c>
    </row>
    <row r="268" spans="1:12">
      <c r="A268">
        <v>422100200</v>
      </c>
      <c r="B268" t="s">
        <v>2207</v>
      </c>
      <c r="C268">
        <v>1682</v>
      </c>
      <c r="D268" t="s">
        <v>2245</v>
      </c>
      <c r="E268">
        <v>1</v>
      </c>
      <c r="F268">
        <v>10010000036</v>
      </c>
      <c r="G268" s="74">
        <v>5000000</v>
      </c>
      <c r="H268" t="s">
        <v>2252</v>
      </c>
      <c r="I268">
        <v>0</v>
      </c>
      <c r="J268" s="54">
        <v>43676</v>
      </c>
      <c r="K268">
        <v>6</v>
      </c>
      <c r="L268" t="s">
        <v>2210</v>
      </c>
    </row>
    <row r="269" spans="1:12">
      <c r="A269">
        <v>422100200</v>
      </c>
      <c r="B269" t="s">
        <v>2207</v>
      </c>
      <c r="C269">
        <v>1682</v>
      </c>
      <c r="D269" t="s">
        <v>2245</v>
      </c>
      <c r="E269">
        <v>1</v>
      </c>
      <c r="F269">
        <v>10010000038</v>
      </c>
      <c r="G269" s="74">
        <v>5000000</v>
      </c>
      <c r="H269" t="s">
        <v>2253</v>
      </c>
      <c r="I269">
        <v>0</v>
      </c>
      <c r="J269" s="54">
        <v>43707</v>
      </c>
      <c r="K269">
        <v>6</v>
      </c>
      <c r="L269" t="s">
        <v>2210</v>
      </c>
    </row>
    <row r="270" spans="1:12">
      <c r="A270">
        <v>422100200</v>
      </c>
      <c r="B270" t="s">
        <v>2207</v>
      </c>
      <c r="C270">
        <v>1682</v>
      </c>
      <c r="D270" t="s">
        <v>2245</v>
      </c>
      <c r="E270">
        <v>1</v>
      </c>
      <c r="F270">
        <v>10010000040</v>
      </c>
      <c r="G270" s="74">
        <v>5000000</v>
      </c>
      <c r="H270" t="s">
        <v>2254</v>
      </c>
      <c r="I270">
        <v>0</v>
      </c>
      <c r="J270" s="54">
        <v>43738</v>
      </c>
      <c r="K270">
        <v>6</v>
      </c>
      <c r="L270" t="s">
        <v>2210</v>
      </c>
    </row>
    <row r="271" spans="1:12">
      <c r="A271">
        <v>422100200</v>
      </c>
      <c r="B271" t="s">
        <v>2207</v>
      </c>
      <c r="C271">
        <v>1682</v>
      </c>
      <c r="D271" t="s">
        <v>2245</v>
      </c>
      <c r="E271">
        <v>1</v>
      </c>
      <c r="F271">
        <v>10010000042</v>
      </c>
      <c r="G271" s="74">
        <v>5000000</v>
      </c>
      <c r="H271" t="s">
        <v>2255</v>
      </c>
      <c r="I271">
        <v>0</v>
      </c>
      <c r="J271" s="54">
        <v>43769</v>
      </c>
      <c r="K271">
        <v>6</v>
      </c>
      <c r="L271" t="s">
        <v>2210</v>
      </c>
    </row>
    <row r="272" spans="1:12">
      <c r="A272">
        <v>422100200</v>
      </c>
      <c r="B272" t="s">
        <v>2207</v>
      </c>
      <c r="C272">
        <v>1682</v>
      </c>
      <c r="D272" t="s">
        <v>2245</v>
      </c>
      <c r="E272">
        <v>1</v>
      </c>
      <c r="F272">
        <v>10010000044</v>
      </c>
      <c r="G272" s="74">
        <v>5000000</v>
      </c>
      <c r="H272" t="s">
        <v>2256</v>
      </c>
      <c r="I272">
        <v>0</v>
      </c>
      <c r="J272" s="54">
        <v>43798</v>
      </c>
      <c r="K272">
        <v>6</v>
      </c>
      <c r="L272" t="s">
        <v>2210</v>
      </c>
    </row>
    <row r="273" spans="1:13">
      <c r="A273">
        <v>422100200</v>
      </c>
      <c r="B273" t="s">
        <v>2207</v>
      </c>
      <c r="C273">
        <v>1682</v>
      </c>
      <c r="D273" t="s">
        <v>2245</v>
      </c>
      <c r="E273">
        <v>1</v>
      </c>
      <c r="F273">
        <v>10010000047</v>
      </c>
      <c r="G273" s="74">
        <v>6459091</v>
      </c>
      <c r="H273" t="s">
        <v>2254</v>
      </c>
      <c r="I273">
        <v>0</v>
      </c>
      <c r="J273" s="54">
        <v>43816</v>
      </c>
      <c r="K273">
        <v>6</v>
      </c>
      <c r="L273" t="s">
        <v>2210</v>
      </c>
    </row>
    <row r="274" spans="1:13">
      <c r="A274">
        <v>422100200</v>
      </c>
      <c r="B274" t="s">
        <v>2207</v>
      </c>
      <c r="C274">
        <v>1682</v>
      </c>
      <c r="D274" t="s">
        <v>2245</v>
      </c>
      <c r="E274">
        <v>1</v>
      </c>
      <c r="F274">
        <v>10010000048</v>
      </c>
      <c r="G274" s="74">
        <v>5000000</v>
      </c>
      <c r="H274" t="s">
        <v>2257</v>
      </c>
      <c r="I274">
        <v>0</v>
      </c>
      <c r="J274" s="54">
        <v>43826</v>
      </c>
      <c r="K274">
        <v>6</v>
      </c>
      <c r="L274" t="s">
        <v>2210</v>
      </c>
    </row>
    <row r="275" spans="1:13">
      <c r="A275">
        <v>422100300</v>
      </c>
      <c r="B275" t="s">
        <v>2258</v>
      </c>
      <c r="C275">
        <v>573</v>
      </c>
      <c r="D275" t="s">
        <v>2108</v>
      </c>
      <c r="E275">
        <v>1</v>
      </c>
      <c r="F275">
        <v>10010000329</v>
      </c>
      <c r="G275" s="74">
        <v>85631844</v>
      </c>
      <c r="H275" t="s">
        <v>2259</v>
      </c>
      <c r="I275">
        <v>0</v>
      </c>
      <c r="J275" s="54">
        <v>43564</v>
      </c>
      <c r="K275">
        <v>45</v>
      </c>
      <c r="L275" t="s">
        <v>1995</v>
      </c>
      <c r="M275" t="s">
        <v>2510</v>
      </c>
    </row>
    <row r="276" spans="1:13">
      <c r="A276">
        <v>422100300</v>
      </c>
      <c r="B276" t="s">
        <v>2258</v>
      </c>
      <c r="C276">
        <v>1613</v>
      </c>
      <c r="D276" t="s">
        <v>2260</v>
      </c>
      <c r="E276">
        <v>1</v>
      </c>
      <c r="F276">
        <v>10010000111</v>
      </c>
      <c r="G276" s="74">
        <v>7596973</v>
      </c>
      <c r="H276" t="s">
        <v>2261</v>
      </c>
      <c r="I276">
        <v>0</v>
      </c>
      <c r="J276" s="54">
        <v>43474</v>
      </c>
      <c r="K276">
        <v>8</v>
      </c>
      <c r="L276" t="s">
        <v>2262</v>
      </c>
    </row>
    <row r="277" spans="1:13">
      <c r="A277">
        <v>422100300</v>
      </c>
      <c r="B277" t="s">
        <v>2258</v>
      </c>
      <c r="C277">
        <v>1613</v>
      </c>
      <c r="D277" t="s">
        <v>2260</v>
      </c>
      <c r="E277">
        <v>1</v>
      </c>
      <c r="F277">
        <v>1001000115</v>
      </c>
      <c r="G277" s="74">
        <v>7000000</v>
      </c>
      <c r="H277" t="s">
        <v>2263</v>
      </c>
      <c r="I277">
        <v>0</v>
      </c>
      <c r="J277" s="54">
        <v>43493</v>
      </c>
      <c r="K277">
        <v>8</v>
      </c>
      <c r="L277" t="s">
        <v>2262</v>
      </c>
    </row>
    <row r="278" spans="1:13">
      <c r="A278">
        <v>422100300</v>
      </c>
      <c r="B278" t="s">
        <v>2258</v>
      </c>
      <c r="C278">
        <v>1613</v>
      </c>
      <c r="D278" t="s">
        <v>2260</v>
      </c>
      <c r="E278">
        <v>1</v>
      </c>
      <c r="F278">
        <v>10010000118</v>
      </c>
      <c r="G278" s="74">
        <v>7000000</v>
      </c>
      <c r="H278" t="s">
        <v>2264</v>
      </c>
      <c r="I278">
        <v>0</v>
      </c>
      <c r="J278" s="54">
        <v>43524</v>
      </c>
      <c r="K278">
        <v>8</v>
      </c>
      <c r="L278" t="s">
        <v>2262</v>
      </c>
    </row>
    <row r="279" spans="1:13">
      <c r="A279">
        <v>422100300</v>
      </c>
      <c r="B279" t="s">
        <v>2258</v>
      </c>
      <c r="C279">
        <v>1613</v>
      </c>
      <c r="D279" t="s">
        <v>2260</v>
      </c>
      <c r="E279">
        <v>1</v>
      </c>
      <c r="F279">
        <v>10010000121</v>
      </c>
      <c r="G279" s="74">
        <v>7000000</v>
      </c>
      <c r="H279" t="s">
        <v>2265</v>
      </c>
      <c r="I279">
        <v>0</v>
      </c>
      <c r="J279" s="54">
        <v>43549</v>
      </c>
      <c r="K279">
        <v>8</v>
      </c>
      <c r="L279" t="s">
        <v>2262</v>
      </c>
    </row>
    <row r="280" spans="1:13">
      <c r="A280">
        <v>422100300</v>
      </c>
      <c r="B280" t="s">
        <v>2258</v>
      </c>
      <c r="C280">
        <v>1613</v>
      </c>
      <c r="D280" t="s">
        <v>2260</v>
      </c>
      <c r="E280">
        <v>1</v>
      </c>
      <c r="F280">
        <v>10010000126</v>
      </c>
      <c r="G280" s="74">
        <v>7000000</v>
      </c>
      <c r="H280" t="s">
        <v>2266</v>
      </c>
      <c r="I280">
        <v>0</v>
      </c>
      <c r="J280" s="54">
        <v>43584</v>
      </c>
      <c r="K280">
        <v>8</v>
      </c>
      <c r="L280" t="s">
        <v>2262</v>
      </c>
    </row>
    <row r="281" spans="1:13">
      <c r="A281">
        <v>422100300</v>
      </c>
      <c r="B281" t="s">
        <v>2258</v>
      </c>
      <c r="C281">
        <v>1613</v>
      </c>
      <c r="D281" t="s">
        <v>2260</v>
      </c>
      <c r="E281">
        <v>1</v>
      </c>
      <c r="F281">
        <v>10010000134</v>
      </c>
      <c r="G281" s="74">
        <v>7000000</v>
      </c>
      <c r="H281" t="s">
        <v>2267</v>
      </c>
      <c r="I281">
        <v>0</v>
      </c>
      <c r="J281" s="54">
        <v>43609</v>
      </c>
      <c r="K281">
        <v>8</v>
      </c>
      <c r="L281" t="s">
        <v>2262</v>
      </c>
    </row>
    <row r="282" spans="1:13">
      <c r="A282">
        <v>422100300</v>
      </c>
      <c r="B282" t="s">
        <v>2258</v>
      </c>
      <c r="C282">
        <v>1613</v>
      </c>
      <c r="D282" t="s">
        <v>2260</v>
      </c>
      <c r="E282">
        <v>1</v>
      </c>
      <c r="F282">
        <v>10010000141</v>
      </c>
      <c r="G282" s="74">
        <v>7000000</v>
      </c>
      <c r="H282" t="s">
        <v>2268</v>
      </c>
      <c r="I282">
        <v>0</v>
      </c>
      <c r="J282" s="54">
        <v>43640</v>
      </c>
      <c r="K282">
        <v>8</v>
      </c>
      <c r="L282" t="s">
        <v>2262</v>
      </c>
    </row>
    <row r="283" spans="1:13">
      <c r="A283">
        <v>422100300</v>
      </c>
      <c r="B283" t="s">
        <v>2258</v>
      </c>
      <c r="C283">
        <v>1613</v>
      </c>
      <c r="D283" t="s">
        <v>2260</v>
      </c>
      <c r="E283">
        <v>1</v>
      </c>
      <c r="F283">
        <v>10010000143</v>
      </c>
      <c r="G283" s="74">
        <v>4512823</v>
      </c>
      <c r="H283" t="s">
        <v>2269</v>
      </c>
      <c r="I283">
        <v>0</v>
      </c>
      <c r="J283" s="54">
        <v>43645</v>
      </c>
      <c r="K283">
        <v>8</v>
      </c>
      <c r="L283" t="s">
        <v>2262</v>
      </c>
    </row>
    <row r="284" spans="1:13">
      <c r="A284">
        <v>422100300</v>
      </c>
      <c r="B284" t="s">
        <v>2258</v>
      </c>
      <c r="C284">
        <v>1634</v>
      </c>
      <c r="D284" t="s">
        <v>2270</v>
      </c>
      <c r="E284">
        <v>1</v>
      </c>
      <c r="F284">
        <v>10010000055</v>
      </c>
      <c r="G284" s="74">
        <v>3596973</v>
      </c>
      <c r="H284" t="s">
        <v>2271</v>
      </c>
      <c r="I284">
        <v>0</v>
      </c>
      <c r="J284" s="54">
        <v>43477</v>
      </c>
      <c r="K284">
        <v>8</v>
      </c>
      <c r="L284" t="s">
        <v>2262</v>
      </c>
    </row>
    <row r="285" spans="1:13">
      <c r="A285">
        <v>422100300</v>
      </c>
      <c r="B285" t="s">
        <v>2258</v>
      </c>
      <c r="C285">
        <v>1634</v>
      </c>
      <c r="D285" t="s">
        <v>2270</v>
      </c>
      <c r="E285">
        <v>1</v>
      </c>
      <c r="F285">
        <v>10010000056</v>
      </c>
      <c r="G285" s="74">
        <v>3323624</v>
      </c>
      <c r="H285" t="s">
        <v>2272</v>
      </c>
      <c r="I285">
        <v>0</v>
      </c>
      <c r="J285" s="54">
        <v>43503</v>
      </c>
      <c r="K285">
        <v>8</v>
      </c>
      <c r="L285" t="s">
        <v>2262</v>
      </c>
    </row>
    <row r="286" spans="1:13">
      <c r="A286">
        <v>422100300</v>
      </c>
      <c r="B286" t="s">
        <v>2258</v>
      </c>
      <c r="C286">
        <v>1634</v>
      </c>
      <c r="D286" t="s">
        <v>2270</v>
      </c>
      <c r="E286">
        <v>1</v>
      </c>
      <c r="F286">
        <v>10010000057</v>
      </c>
      <c r="G286" s="74">
        <v>3000000</v>
      </c>
      <c r="H286" t="s">
        <v>2273</v>
      </c>
      <c r="I286">
        <v>0</v>
      </c>
      <c r="J286" s="54">
        <v>43523</v>
      </c>
      <c r="K286">
        <v>8</v>
      </c>
      <c r="L286" t="s">
        <v>2262</v>
      </c>
    </row>
    <row r="287" spans="1:13" hidden="1">
      <c r="A287">
        <v>422100300</v>
      </c>
      <c r="B287" t="s">
        <v>2258</v>
      </c>
      <c r="C287">
        <v>1702</v>
      </c>
      <c r="D287" t="s">
        <v>2274</v>
      </c>
      <c r="E287">
        <v>26</v>
      </c>
      <c r="F287">
        <v>300419</v>
      </c>
      <c r="G287">
        <v>2800000</v>
      </c>
      <c r="H287" t="s">
        <v>2275</v>
      </c>
      <c r="I287">
        <v>0</v>
      </c>
      <c r="J287">
        <v>43585</v>
      </c>
      <c r="K287">
        <v>8</v>
      </c>
      <c r="L287" t="s">
        <v>2262</v>
      </c>
    </row>
    <row r="288" spans="1:13" hidden="1">
      <c r="A288">
        <v>422100300</v>
      </c>
      <c r="B288" t="s">
        <v>2258</v>
      </c>
      <c r="C288">
        <v>1702</v>
      </c>
      <c r="D288" t="s">
        <v>2274</v>
      </c>
      <c r="E288">
        <v>26</v>
      </c>
      <c r="F288">
        <v>31052019</v>
      </c>
      <c r="G288">
        <v>2800000</v>
      </c>
      <c r="H288" t="s">
        <v>2276</v>
      </c>
      <c r="I288">
        <v>0</v>
      </c>
      <c r="J288">
        <v>43616</v>
      </c>
      <c r="K288">
        <v>8</v>
      </c>
      <c r="L288" t="s">
        <v>2262</v>
      </c>
    </row>
    <row r="289" spans="1:14" hidden="1">
      <c r="A289">
        <v>422100300</v>
      </c>
      <c r="B289" t="s">
        <v>2258</v>
      </c>
      <c r="C289">
        <v>1702</v>
      </c>
      <c r="D289" t="s">
        <v>2274</v>
      </c>
      <c r="E289">
        <v>26</v>
      </c>
      <c r="F289">
        <v>29062019</v>
      </c>
      <c r="G289">
        <v>3300000</v>
      </c>
      <c r="H289" t="s">
        <v>2277</v>
      </c>
      <c r="I289">
        <v>0</v>
      </c>
      <c r="J289">
        <v>43645</v>
      </c>
      <c r="K289">
        <v>8</v>
      </c>
      <c r="L289" t="s">
        <v>2262</v>
      </c>
    </row>
    <row r="290" spans="1:14">
      <c r="A290">
        <v>422100300</v>
      </c>
      <c r="B290" t="s">
        <v>2258</v>
      </c>
      <c r="C290">
        <v>1719</v>
      </c>
      <c r="D290" t="s">
        <v>2278</v>
      </c>
      <c r="E290">
        <v>1</v>
      </c>
      <c r="F290">
        <v>10020000001</v>
      </c>
      <c r="G290" s="74">
        <v>10000000</v>
      </c>
      <c r="H290" t="s">
        <v>2279</v>
      </c>
      <c r="I290">
        <v>0</v>
      </c>
      <c r="J290" s="54">
        <v>43655</v>
      </c>
      <c r="K290">
        <v>8</v>
      </c>
      <c r="L290" t="s">
        <v>2262</v>
      </c>
      <c r="M290" t="s">
        <v>2509</v>
      </c>
      <c r="N290" t="s">
        <v>2506</v>
      </c>
    </row>
    <row r="291" spans="1:14">
      <c r="A291">
        <v>422100300</v>
      </c>
      <c r="B291" t="s">
        <v>2258</v>
      </c>
      <c r="C291">
        <v>1719</v>
      </c>
      <c r="D291" t="s">
        <v>2278</v>
      </c>
      <c r="E291">
        <v>1</v>
      </c>
      <c r="F291">
        <v>10020000002</v>
      </c>
      <c r="G291" s="74">
        <v>10000000</v>
      </c>
      <c r="H291" t="s">
        <v>2280</v>
      </c>
      <c r="I291">
        <v>0</v>
      </c>
      <c r="J291" s="54">
        <v>43655</v>
      </c>
      <c r="K291">
        <v>45</v>
      </c>
      <c r="L291" t="s">
        <v>1995</v>
      </c>
      <c r="M291" t="s">
        <v>2509</v>
      </c>
      <c r="N291" t="s">
        <v>2506</v>
      </c>
    </row>
    <row r="292" spans="1:14">
      <c r="A292">
        <v>422100300</v>
      </c>
      <c r="B292" t="s">
        <v>2258</v>
      </c>
      <c r="C292">
        <v>1719</v>
      </c>
      <c r="D292" t="s">
        <v>2278</v>
      </c>
      <c r="E292">
        <v>1</v>
      </c>
      <c r="F292">
        <v>10020000003</v>
      </c>
      <c r="G292" s="74">
        <v>4160000</v>
      </c>
      <c r="H292" t="s">
        <v>2281</v>
      </c>
      <c r="I292">
        <v>0</v>
      </c>
      <c r="J292" s="54">
        <v>43655</v>
      </c>
      <c r="K292">
        <v>45</v>
      </c>
      <c r="L292" t="s">
        <v>1995</v>
      </c>
      <c r="M292" t="s">
        <v>2509</v>
      </c>
      <c r="N292" t="s">
        <v>2506</v>
      </c>
    </row>
    <row r="293" spans="1:14">
      <c r="A293">
        <v>422100300</v>
      </c>
      <c r="B293" t="s">
        <v>2258</v>
      </c>
      <c r="C293">
        <v>1719</v>
      </c>
      <c r="D293" t="s">
        <v>2278</v>
      </c>
      <c r="E293">
        <v>1</v>
      </c>
      <c r="F293">
        <v>10020000006</v>
      </c>
      <c r="G293" s="74">
        <v>20000000</v>
      </c>
      <c r="H293" t="s">
        <v>2199</v>
      </c>
      <c r="I293">
        <v>0</v>
      </c>
      <c r="J293" s="54">
        <v>43697</v>
      </c>
      <c r="K293">
        <v>45</v>
      </c>
      <c r="L293" t="s">
        <v>1995</v>
      </c>
      <c r="M293" t="s">
        <v>2509</v>
      </c>
      <c r="N293" t="s">
        <v>2506</v>
      </c>
    </row>
    <row r="294" spans="1:14">
      <c r="A294">
        <v>422100300</v>
      </c>
      <c r="B294" t="s">
        <v>2258</v>
      </c>
      <c r="C294">
        <v>1719</v>
      </c>
      <c r="D294" t="s">
        <v>2278</v>
      </c>
      <c r="E294">
        <v>1</v>
      </c>
      <c r="F294">
        <v>10020000007</v>
      </c>
      <c r="G294" s="74">
        <v>20000000</v>
      </c>
      <c r="H294" t="s">
        <v>2199</v>
      </c>
      <c r="I294">
        <v>0</v>
      </c>
      <c r="J294" s="54">
        <v>43708</v>
      </c>
      <c r="K294">
        <v>45</v>
      </c>
      <c r="L294" t="s">
        <v>1995</v>
      </c>
      <c r="M294" t="s">
        <v>2509</v>
      </c>
      <c r="N294" t="s">
        <v>2506</v>
      </c>
    </row>
    <row r="295" spans="1:14">
      <c r="A295">
        <v>422100300</v>
      </c>
      <c r="B295" t="s">
        <v>2258</v>
      </c>
      <c r="C295">
        <v>1719</v>
      </c>
      <c r="D295" t="s">
        <v>2278</v>
      </c>
      <c r="E295">
        <v>1</v>
      </c>
      <c r="F295">
        <v>10010000008</v>
      </c>
      <c r="G295" s="74">
        <v>20000000</v>
      </c>
      <c r="H295" t="s">
        <v>2199</v>
      </c>
      <c r="I295">
        <v>0</v>
      </c>
      <c r="J295" s="54">
        <v>43738</v>
      </c>
      <c r="K295">
        <v>45</v>
      </c>
      <c r="L295" t="s">
        <v>1995</v>
      </c>
      <c r="M295" t="s">
        <v>2509</v>
      </c>
      <c r="N295" t="s">
        <v>2506</v>
      </c>
    </row>
    <row r="296" spans="1:14">
      <c r="A296">
        <v>422100300</v>
      </c>
      <c r="B296" t="s">
        <v>2258</v>
      </c>
      <c r="C296">
        <v>1719</v>
      </c>
      <c r="D296" t="s">
        <v>2278</v>
      </c>
      <c r="E296">
        <v>1</v>
      </c>
      <c r="F296">
        <v>10020000009</v>
      </c>
      <c r="G296" s="74">
        <v>20000000</v>
      </c>
      <c r="H296" t="s">
        <v>2199</v>
      </c>
      <c r="I296">
        <v>0</v>
      </c>
      <c r="J296" s="54">
        <v>43769</v>
      </c>
      <c r="K296">
        <v>45</v>
      </c>
      <c r="L296" t="s">
        <v>1995</v>
      </c>
      <c r="M296" t="s">
        <v>2509</v>
      </c>
      <c r="N296" t="s">
        <v>2506</v>
      </c>
    </row>
    <row r="297" spans="1:14">
      <c r="A297">
        <v>422100300</v>
      </c>
      <c r="B297" t="s">
        <v>2258</v>
      </c>
      <c r="C297">
        <v>1719</v>
      </c>
      <c r="D297" t="s">
        <v>2278</v>
      </c>
      <c r="E297">
        <v>1</v>
      </c>
      <c r="F297">
        <v>10020000010</v>
      </c>
      <c r="G297" s="74">
        <v>20000000</v>
      </c>
      <c r="H297" t="s">
        <v>2282</v>
      </c>
      <c r="I297">
        <v>0</v>
      </c>
      <c r="J297" s="54">
        <v>43799</v>
      </c>
      <c r="K297">
        <v>45</v>
      </c>
      <c r="L297" t="s">
        <v>1995</v>
      </c>
      <c r="M297" t="s">
        <v>2509</v>
      </c>
      <c r="N297" t="s">
        <v>2506</v>
      </c>
    </row>
    <row r="298" spans="1:14">
      <c r="A298">
        <v>422100300</v>
      </c>
      <c r="B298" t="s">
        <v>2258</v>
      </c>
      <c r="C298">
        <v>1719</v>
      </c>
      <c r="D298" t="s">
        <v>2278</v>
      </c>
      <c r="E298">
        <v>1</v>
      </c>
      <c r="F298">
        <v>10020000012</v>
      </c>
      <c r="G298" s="74">
        <v>20000000</v>
      </c>
      <c r="H298" t="s">
        <v>2184</v>
      </c>
      <c r="I298">
        <v>0</v>
      </c>
      <c r="J298" s="54">
        <v>43829</v>
      </c>
      <c r="K298">
        <v>45</v>
      </c>
      <c r="L298" t="s">
        <v>1995</v>
      </c>
      <c r="M298" t="s">
        <v>2509</v>
      </c>
      <c r="N298" t="s">
        <v>2506</v>
      </c>
    </row>
    <row r="299" spans="1:14">
      <c r="A299">
        <v>422100400</v>
      </c>
      <c r="B299" t="s">
        <v>2283</v>
      </c>
      <c r="C299">
        <v>618</v>
      </c>
      <c r="D299" t="s">
        <v>2208</v>
      </c>
      <c r="E299">
        <v>1</v>
      </c>
      <c r="F299">
        <v>10010000220</v>
      </c>
      <c r="G299" s="74">
        <v>9000000</v>
      </c>
      <c r="H299" t="s">
        <v>2284</v>
      </c>
      <c r="I299">
        <v>0</v>
      </c>
      <c r="J299" s="54">
        <v>43524</v>
      </c>
      <c r="K299">
        <v>6</v>
      </c>
      <c r="L299" t="s">
        <v>2210</v>
      </c>
      <c r="M299" t="s">
        <v>2389</v>
      </c>
      <c r="N299" t="s">
        <v>2506</v>
      </c>
    </row>
    <row r="300" spans="1:14">
      <c r="A300">
        <v>422100400</v>
      </c>
      <c r="B300" t="s">
        <v>2283</v>
      </c>
      <c r="C300">
        <v>618</v>
      </c>
      <c r="D300" t="s">
        <v>2208</v>
      </c>
      <c r="E300">
        <v>1</v>
      </c>
      <c r="F300">
        <v>10010000222</v>
      </c>
      <c r="G300" s="74">
        <v>9000000</v>
      </c>
      <c r="H300" t="s">
        <v>2285</v>
      </c>
      <c r="I300">
        <v>0</v>
      </c>
      <c r="J300" s="54">
        <v>43553</v>
      </c>
      <c r="K300">
        <v>6</v>
      </c>
      <c r="L300" t="s">
        <v>2210</v>
      </c>
      <c r="M300" t="s">
        <v>2389</v>
      </c>
      <c r="N300" t="s">
        <v>2506</v>
      </c>
    </row>
    <row r="301" spans="1:14">
      <c r="A301">
        <v>422100400</v>
      </c>
      <c r="B301" t="s">
        <v>2283</v>
      </c>
      <c r="C301">
        <v>618</v>
      </c>
      <c r="D301" t="s">
        <v>2208</v>
      </c>
      <c r="E301">
        <v>1</v>
      </c>
      <c r="F301">
        <v>10010000224</v>
      </c>
      <c r="G301" s="74">
        <v>9000000</v>
      </c>
      <c r="H301" t="s">
        <v>2286</v>
      </c>
      <c r="I301">
        <v>0</v>
      </c>
      <c r="J301" s="54">
        <v>43584</v>
      </c>
      <c r="K301">
        <v>6</v>
      </c>
      <c r="L301" t="s">
        <v>2210</v>
      </c>
      <c r="M301" t="s">
        <v>2389</v>
      </c>
      <c r="N301" t="s">
        <v>2506</v>
      </c>
    </row>
    <row r="302" spans="1:14">
      <c r="A302">
        <v>422100400</v>
      </c>
      <c r="B302" t="s">
        <v>2283</v>
      </c>
      <c r="C302">
        <v>618</v>
      </c>
      <c r="D302" t="s">
        <v>2208</v>
      </c>
      <c r="E302">
        <v>1</v>
      </c>
      <c r="F302">
        <v>10010000219</v>
      </c>
      <c r="G302" s="74">
        <v>8790909</v>
      </c>
      <c r="H302" t="s">
        <v>2287</v>
      </c>
      <c r="I302">
        <v>0</v>
      </c>
      <c r="J302" s="54">
        <v>43495</v>
      </c>
      <c r="K302">
        <v>32</v>
      </c>
      <c r="L302" t="s">
        <v>2237</v>
      </c>
      <c r="M302" t="s">
        <v>2389</v>
      </c>
      <c r="N302" t="s">
        <v>2506</v>
      </c>
    </row>
    <row r="303" spans="1:14">
      <c r="A303">
        <v>422100400</v>
      </c>
      <c r="B303" t="s">
        <v>2283</v>
      </c>
      <c r="C303">
        <v>799</v>
      </c>
      <c r="D303" t="s">
        <v>2288</v>
      </c>
      <c r="E303">
        <v>1</v>
      </c>
      <c r="F303">
        <v>10010000207</v>
      </c>
      <c r="G303" s="74">
        <v>10692500</v>
      </c>
      <c r="H303" t="s">
        <v>2289</v>
      </c>
      <c r="I303">
        <v>0</v>
      </c>
      <c r="J303" s="54">
        <v>43495</v>
      </c>
      <c r="K303">
        <v>32</v>
      </c>
      <c r="L303" t="s">
        <v>2237</v>
      </c>
      <c r="M303" t="s">
        <v>2393</v>
      </c>
      <c r="N303" t="s">
        <v>2506</v>
      </c>
    </row>
    <row r="304" spans="1:14">
      <c r="A304">
        <v>422100400</v>
      </c>
      <c r="B304" t="s">
        <v>2283</v>
      </c>
      <c r="C304">
        <v>799</v>
      </c>
      <c r="D304" t="s">
        <v>2288</v>
      </c>
      <c r="E304">
        <v>1</v>
      </c>
      <c r="F304">
        <v>10010000208</v>
      </c>
      <c r="G304" s="74">
        <v>9620000</v>
      </c>
      <c r="H304" t="s">
        <v>2290</v>
      </c>
      <c r="I304">
        <v>0</v>
      </c>
      <c r="J304" s="54">
        <v>43524</v>
      </c>
      <c r="K304">
        <v>32</v>
      </c>
      <c r="L304" t="s">
        <v>2237</v>
      </c>
      <c r="M304" t="s">
        <v>2393</v>
      </c>
      <c r="N304" t="s">
        <v>2506</v>
      </c>
    </row>
    <row r="305" spans="1:14">
      <c r="A305">
        <v>422100400</v>
      </c>
      <c r="B305" t="s">
        <v>2283</v>
      </c>
      <c r="C305">
        <v>799</v>
      </c>
      <c r="D305" t="s">
        <v>2288</v>
      </c>
      <c r="E305">
        <v>1</v>
      </c>
      <c r="F305">
        <v>10010000209</v>
      </c>
      <c r="G305" s="74">
        <v>11960000</v>
      </c>
      <c r="H305" t="s">
        <v>2291</v>
      </c>
      <c r="I305">
        <v>0</v>
      </c>
      <c r="J305" s="54">
        <v>43554</v>
      </c>
      <c r="K305">
        <v>32</v>
      </c>
      <c r="L305" t="s">
        <v>2237</v>
      </c>
      <c r="M305" t="s">
        <v>2393</v>
      </c>
      <c r="N305" t="s">
        <v>2506</v>
      </c>
    </row>
    <row r="306" spans="1:14">
      <c r="A306">
        <v>422100400</v>
      </c>
      <c r="B306" t="s">
        <v>2283</v>
      </c>
      <c r="C306">
        <v>799</v>
      </c>
      <c r="D306" t="s">
        <v>2288</v>
      </c>
      <c r="E306">
        <v>1</v>
      </c>
      <c r="F306">
        <v>10010000210</v>
      </c>
      <c r="G306" s="74">
        <v>10692500</v>
      </c>
      <c r="H306" t="s">
        <v>2292</v>
      </c>
      <c r="I306">
        <v>0</v>
      </c>
      <c r="J306" s="54">
        <v>43585</v>
      </c>
      <c r="K306">
        <v>32</v>
      </c>
      <c r="L306" t="s">
        <v>2237</v>
      </c>
      <c r="M306" t="s">
        <v>2393</v>
      </c>
      <c r="N306" t="s">
        <v>2506</v>
      </c>
    </row>
    <row r="307" spans="1:14">
      <c r="A307">
        <v>422100400</v>
      </c>
      <c r="B307" t="s">
        <v>2283</v>
      </c>
      <c r="C307">
        <v>799</v>
      </c>
      <c r="D307" t="s">
        <v>2288</v>
      </c>
      <c r="E307">
        <v>1</v>
      </c>
      <c r="F307">
        <v>10010000211</v>
      </c>
      <c r="G307" s="74">
        <v>12252500</v>
      </c>
      <c r="H307" t="s">
        <v>2293</v>
      </c>
      <c r="I307">
        <v>0</v>
      </c>
      <c r="J307" s="54">
        <v>43616</v>
      </c>
      <c r="K307">
        <v>32</v>
      </c>
      <c r="L307" t="s">
        <v>2237</v>
      </c>
      <c r="M307" t="s">
        <v>2393</v>
      </c>
      <c r="N307" t="s">
        <v>2506</v>
      </c>
    </row>
    <row r="308" spans="1:14">
      <c r="A308">
        <v>422100400</v>
      </c>
      <c r="B308" t="s">
        <v>2283</v>
      </c>
      <c r="C308">
        <v>799</v>
      </c>
      <c r="D308" t="s">
        <v>2288</v>
      </c>
      <c r="E308">
        <v>1</v>
      </c>
      <c r="F308">
        <v>10010000212</v>
      </c>
      <c r="G308" s="74">
        <v>10952500</v>
      </c>
      <c r="H308" t="s">
        <v>2294</v>
      </c>
      <c r="I308">
        <v>0</v>
      </c>
      <c r="J308" s="54">
        <v>43644</v>
      </c>
      <c r="K308">
        <v>32</v>
      </c>
      <c r="L308" t="s">
        <v>2237</v>
      </c>
      <c r="M308" t="s">
        <v>2393</v>
      </c>
      <c r="N308" t="s">
        <v>2506</v>
      </c>
    </row>
    <row r="309" spans="1:14">
      <c r="A309">
        <v>422100400</v>
      </c>
      <c r="B309" t="s">
        <v>2283</v>
      </c>
      <c r="C309">
        <v>799</v>
      </c>
      <c r="D309" t="s">
        <v>2288</v>
      </c>
      <c r="E309">
        <v>1</v>
      </c>
      <c r="F309">
        <v>10010000214</v>
      </c>
      <c r="G309" s="74">
        <v>10887500</v>
      </c>
      <c r="H309" t="s">
        <v>2295</v>
      </c>
      <c r="I309">
        <v>0</v>
      </c>
      <c r="J309" s="54">
        <v>43677</v>
      </c>
      <c r="K309">
        <v>32</v>
      </c>
      <c r="L309" t="s">
        <v>2237</v>
      </c>
      <c r="M309" t="s">
        <v>2393</v>
      </c>
      <c r="N309" t="s">
        <v>2506</v>
      </c>
    </row>
    <row r="310" spans="1:14">
      <c r="A310">
        <v>422100400</v>
      </c>
      <c r="B310" t="s">
        <v>2283</v>
      </c>
      <c r="C310">
        <v>799</v>
      </c>
      <c r="D310" t="s">
        <v>2288</v>
      </c>
      <c r="E310">
        <v>1</v>
      </c>
      <c r="F310">
        <v>10010000215</v>
      </c>
      <c r="G310" s="74">
        <v>12090000</v>
      </c>
      <c r="H310" t="s">
        <v>2295</v>
      </c>
      <c r="I310">
        <v>0</v>
      </c>
      <c r="J310" s="54">
        <v>43707</v>
      </c>
      <c r="K310">
        <v>32</v>
      </c>
      <c r="L310" t="s">
        <v>2237</v>
      </c>
      <c r="M310" t="s">
        <v>2393</v>
      </c>
      <c r="N310" t="s">
        <v>2506</v>
      </c>
    </row>
    <row r="311" spans="1:14">
      <c r="A311">
        <v>422100400</v>
      </c>
      <c r="B311" t="s">
        <v>2283</v>
      </c>
      <c r="C311">
        <v>799</v>
      </c>
      <c r="D311" t="s">
        <v>2288</v>
      </c>
      <c r="E311">
        <v>1</v>
      </c>
      <c r="F311">
        <v>10010000251</v>
      </c>
      <c r="G311" s="74">
        <v>10627500</v>
      </c>
      <c r="H311" t="s">
        <v>2296</v>
      </c>
      <c r="I311">
        <v>0</v>
      </c>
      <c r="J311" s="54">
        <v>43738</v>
      </c>
      <c r="K311">
        <v>32</v>
      </c>
      <c r="L311" t="s">
        <v>2237</v>
      </c>
      <c r="M311" t="s">
        <v>2393</v>
      </c>
      <c r="N311" t="s">
        <v>2506</v>
      </c>
    </row>
    <row r="312" spans="1:14">
      <c r="A312">
        <v>422100400</v>
      </c>
      <c r="B312" t="s">
        <v>2283</v>
      </c>
      <c r="C312">
        <v>799</v>
      </c>
      <c r="D312" t="s">
        <v>2288</v>
      </c>
      <c r="E312">
        <v>1</v>
      </c>
      <c r="F312">
        <v>10010000252</v>
      </c>
      <c r="G312" s="74">
        <v>10757500</v>
      </c>
      <c r="H312" t="s">
        <v>2297</v>
      </c>
      <c r="I312">
        <v>0</v>
      </c>
      <c r="J312" s="54">
        <v>43769</v>
      </c>
      <c r="K312">
        <v>32</v>
      </c>
      <c r="L312" t="s">
        <v>2237</v>
      </c>
      <c r="M312" t="s">
        <v>2393</v>
      </c>
      <c r="N312" t="s">
        <v>2506</v>
      </c>
    </row>
    <row r="313" spans="1:14">
      <c r="A313">
        <v>422100400</v>
      </c>
      <c r="B313" t="s">
        <v>2283</v>
      </c>
      <c r="C313">
        <v>799</v>
      </c>
      <c r="D313" t="s">
        <v>2288</v>
      </c>
      <c r="E313">
        <v>1</v>
      </c>
      <c r="F313">
        <v>10010000253</v>
      </c>
      <c r="G313" s="74">
        <v>12837500</v>
      </c>
      <c r="H313" t="s">
        <v>2298</v>
      </c>
      <c r="I313">
        <v>0</v>
      </c>
      <c r="J313" s="54">
        <v>43799</v>
      </c>
      <c r="K313">
        <v>32</v>
      </c>
      <c r="L313" t="s">
        <v>2237</v>
      </c>
      <c r="M313" t="s">
        <v>2393</v>
      </c>
      <c r="N313" t="s">
        <v>2506</v>
      </c>
    </row>
    <row r="314" spans="1:14">
      <c r="A314">
        <v>422100400</v>
      </c>
      <c r="B314" t="s">
        <v>2283</v>
      </c>
      <c r="C314">
        <v>799</v>
      </c>
      <c r="D314" t="s">
        <v>2288</v>
      </c>
      <c r="E314">
        <v>1</v>
      </c>
      <c r="F314">
        <v>10010000254</v>
      </c>
      <c r="G314" s="74">
        <v>11215455</v>
      </c>
      <c r="H314" t="s">
        <v>2295</v>
      </c>
      <c r="I314">
        <v>0</v>
      </c>
      <c r="J314" s="54">
        <v>43815</v>
      </c>
      <c r="K314">
        <v>32</v>
      </c>
      <c r="L314" t="s">
        <v>2237</v>
      </c>
      <c r="M314" t="s">
        <v>2393</v>
      </c>
      <c r="N314" t="s">
        <v>2506</v>
      </c>
    </row>
    <row r="315" spans="1:14">
      <c r="A315">
        <v>422100400</v>
      </c>
      <c r="B315" t="s">
        <v>2283</v>
      </c>
      <c r="C315">
        <v>799</v>
      </c>
      <c r="D315" t="s">
        <v>2288</v>
      </c>
      <c r="E315">
        <v>1</v>
      </c>
      <c r="F315">
        <v>10010000255</v>
      </c>
      <c r="G315" s="74">
        <v>10530000</v>
      </c>
      <c r="H315" t="s">
        <v>2299</v>
      </c>
      <c r="I315">
        <v>0</v>
      </c>
      <c r="J315" s="54">
        <v>43829</v>
      </c>
      <c r="K315">
        <v>32</v>
      </c>
      <c r="L315" t="s">
        <v>2237</v>
      </c>
      <c r="M315" t="s">
        <v>2393</v>
      </c>
      <c r="N315" t="s">
        <v>2506</v>
      </c>
    </row>
    <row r="316" spans="1:14" hidden="1">
      <c r="A316">
        <v>422100400</v>
      </c>
      <c r="B316" t="s">
        <v>2283</v>
      </c>
      <c r="C316">
        <v>801</v>
      </c>
      <c r="D316" t="s">
        <v>2227</v>
      </c>
      <c r="E316">
        <v>26</v>
      </c>
      <c r="F316">
        <v>0</v>
      </c>
      <c r="G316">
        <v>500000</v>
      </c>
      <c r="H316" t="s">
        <v>2300</v>
      </c>
      <c r="I316">
        <v>0</v>
      </c>
      <c r="J316">
        <v>43757</v>
      </c>
      <c r="K316">
        <v>6</v>
      </c>
      <c r="L316" t="s">
        <v>2210</v>
      </c>
    </row>
    <row r="317" spans="1:14">
      <c r="A317">
        <v>422100400</v>
      </c>
      <c r="B317" t="s">
        <v>2283</v>
      </c>
      <c r="C317">
        <v>801</v>
      </c>
      <c r="D317" t="s">
        <v>2227</v>
      </c>
      <c r="E317">
        <v>1</v>
      </c>
      <c r="F317">
        <v>10010000223</v>
      </c>
      <c r="G317" s="74">
        <v>6104000</v>
      </c>
      <c r="H317" t="s">
        <v>2301</v>
      </c>
      <c r="I317">
        <v>0</v>
      </c>
      <c r="J317" s="54">
        <v>43616</v>
      </c>
      <c r="K317">
        <v>32</v>
      </c>
      <c r="L317" t="s">
        <v>2237</v>
      </c>
    </row>
    <row r="318" spans="1:14">
      <c r="A318">
        <v>422100400</v>
      </c>
      <c r="B318" t="s">
        <v>2283</v>
      </c>
      <c r="C318">
        <v>801</v>
      </c>
      <c r="D318" t="s">
        <v>2227</v>
      </c>
      <c r="E318">
        <v>1</v>
      </c>
      <c r="F318">
        <v>10010000225</v>
      </c>
      <c r="G318" s="74">
        <v>6314000</v>
      </c>
      <c r="H318" t="s">
        <v>2238</v>
      </c>
      <c r="I318">
        <v>0</v>
      </c>
      <c r="J318" s="54">
        <v>43645</v>
      </c>
      <c r="K318">
        <v>32</v>
      </c>
      <c r="L318" t="s">
        <v>2237</v>
      </c>
    </row>
    <row r="319" spans="1:14">
      <c r="A319">
        <v>422100400</v>
      </c>
      <c r="B319" t="s">
        <v>2283</v>
      </c>
      <c r="C319">
        <v>801</v>
      </c>
      <c r="D319" t="s">
        <v>2227</v>
      </c>
      <c r="E319">
        <v>1</v>
      </c>
      <c r="F319">
        <v>10010000227</v>
      </c>
      <c r="G319" s="74">
        <v>6188000</v>
      </c>
      <c r="H319" t="s">
        <v>2238</v>
      </c>
      <c r="I319">
        <v>0</v>
      </c>
      <c r="J319" s="54">
        <v>43676</v>
      </c>
      <c r="K319">
        <v>32</v>
      </c>
      <c r="L319" t="s">
        <v>2237</v>
      </c>
    </row>
    <row r="320" spans="1:14">
      <c r="A320">
        <v>422100400</v>
      </c>
      <c r="B320" t="s">
        <v>2283</v>
      </c>
      <c r="C320">
        <v>801</v>
      </c>
      <c r="D320" t="s">
        <v>2227</v>
      </c>
      <c r="E320">
        <v>1</v>
      </c>
      <c r="F320">
        <v>10010000229</v>
      </c>
      <c r="G320" s="74">
        <v>6020000</v>
      </c>
      <c r="H320" t="s">
        <v>2302</v>
      </c>
      <c r="I320">
        <v>0</v>
      </c>
      <c r="J320" s="54">
        <v>43707</v>
      </c>
      <c r="K320">
        <v>32</v>
      </c>
      <c r="L320" t="s">
        <v>2237</v>
      </c>
    </row>
    <row r="321" spans="1:12">
      <c r="A321">
        <v>422100400</v>
      </c>
      <c r="B321" t="s">
        <v>2283</v>
      </c>
      <c r="C321">
        <v>801</v>
      </c>
      <c r="D321" t="s">
        <v>2227</v>
      </c>
      <c r="E321">
        <v>1</v>
      </c>
      <c r="F321">
        <v>10010000231</v>
      </c>
      <c r="G321" s="74">
        <v>6058182</v>
      </c>
      <c r="H321" t="s">
        <v>2303</v>
      </c>
      <c r="I321">
        <v>0</v>
      </c>
      <c r="J321" s="54">
        <v>43738</v>
      </c>
      <c r="K321">
        <v>32</v>
      </c>
      <c r="L321" t="s">
        <v>2237</v>
      </c>
    </row>
    <row r="322" spans="1:12">
      <c r="A322">
        <v>422100400</v>
      </c>
      <c r="B322" t="s">
        <v>2283</v>
      </c>
      <c r="C322">
        <v>801</v>
      </c>
      <c r="D322" t="s">
        <v>2227</v>
      </c>
      <c r="E322">
        <v>1</v>
      </c>
      <c r="F322">
        <v>10010000252</v>
      </c>
      <c r="G322" s="74">
        <v>6020000</v>
      </c>
      <c r="H322" t="s">
        <v>2304</v>
      </c>
      <c r="I322">
        <v>0</v>
      </c>
      <c r="J322" s="54">
        <v>43769</v>
      </c>
      <c r="K322">
        <v>32</v>
      </c>
      <c r="L322" t="s">
        <v>2237</v>
      </c>
    </row>
    <row r="323" spans="1:12">
      <c r="A323">
        <v>422100400</v>
      </c>
      <c r="B323" t="s">
        <v>2283</v>
      </c>
      <c r="C323">
        <v>801</v>
      </c>
      <c r="D323" t="s">
        <v>2227</v>
      </c>
      <c r="E323">
        <v>1</v>
      </c>
      <c r="F323">
        <v>10010000255</v>
      </c>
      <c r="G323" s="74">
        <v>6020000</v>
      </c>
      <c r="H323" t="s">
        <v>2230</v>
      </c>
      <c r="I323">
        <v>0</v>
      </c>
      <c r="J323" s="54">
        <v>43799</v>
      </c>
      <c r="K323">
        <v>32</v>
      </c>
      <c r="L323" t="s">
        <v>2237</v>
      </c>
    </row>
    <row r="324" spans="1:12">
      <c r="A324">
        <v>422100400</v>
      </c>
      <c r="B324" t="s">
        <v>2283</v>
      </c>
      <c r="C324">
        <v>801</v>
      </c>
      <c r="D324" t="s">
        <v>2227</v>
      </c>
      <c r="E324">
        <v>1</v>
      </c>
      <c r="F324">
        <v>10010000258</v>
      </c>
      <c r="G324" s="74">
        <v>6877272</v>
      </c>
      <c r="H324" t="s">
        <v>2238</v>
      </c>
      <c r="I324">
        <v>0</v>
      </c>
      <c r="J324" s="54">
        <v>43815</v>
      </c>
      <c r="K324">
        <v>32</v>
      </c>
      <c r="L324" t="s">
        <v>2237</v>
      </c>
    </row>
    <row r="325" spans="1:12">
      <c r="A325">
        <v>422100400</v>
      </c>
      <c r="B325" t="s">
        <v>2283</v>
      </c>
      <c r="C325">
        <v>801</v>
      </c>
      <c r="D325" t="s">
        <v>2227</v>
      </c>
      <c r="E325">
        <v>1</v>
      </c>
      <c r="F325">
        <v>10010000259</v>
      </c>
      <c r="G325" s="74">
        <v>6230000</v>
      </c>
      <c r="H325" t="s">
        <v>2305</v>
      </c>
      <c r="I325">
        <v>0</v>
      </c>
      <c r="J325" s="54">
        <v>43830</v>
      </c>
      <c r="K325">
        <v>32</v>
      </c>
      <c r="L325" t="s">
        <v>2237</v>
      </c>
    </row>
    <row r="326" spans="1:12" hidden="1">
      <c r="A326">
        <v>422100400</v>
      </c>
      <c r="B326" t="s">
        <v>2283</v>
      </c>
      <c r="C326">
        <v>850</v>
      </c>
      <c r="D326" t="s">
        <v>2240</v>
      </c>
      <c r="E326">
        <v>25</v>
      </c>
      <c r="F326">
        <v>0</v>
      </c>
      <c r="G326">
        <v>0</v>
      </c>
      <c r="H326" t="s">
        <v>2306</v>
      </c>
      <c r="I326">
        <v>500000</v>
      </c>
      <c r="J326">
        <v>43769</v>
      </c>
      <c r="K326">
        <v>32</v>
      </c>
      <c r="L326" t="s">
        <v>2237</v>
      </c>
    </row>
    <row r="327" spans="1:12">
      <c r="A327">
        <v>422100400</v>
      </c>
      <c r="B327" t="s">
        <v>2283</v>
      </c>
      <c r="C327">
        <v>1632</v>
      </c>
      <c r="D327" t="s">
        <v>2307</v>
      </c>
      <c r="E327">
        <v>1</v>
      </c>
      <c r="F327">
        <v>10010000066</v>
      </c>
      <c r="G327" s="74">
        <v>12024729</v>
      </c>
      <c r="H327" t="s">
        <v>2308</v>
      </c>
      <c r="I327">
        <v>0</v>
      </c>
      <c r="J327" s="54">
        <v>43521</v>
      </c>
      <c r="K327">
        <v>6</v>
      </c>
      <c r="L327" t="s">
        <v>2210</v>
      </c>
    </row>
    <row r="328" spans="1:12">
      <c r="A328">
        <v>422100400</v>
      </c>
      <c r="B328" t="s">
        <v>2283</v>
      </c>
      <c r="C328">
        <v>1632</v>
      </c>
      <c r="D328" t="s">
        <v>2307</v>
      </c>
      <c r="E328">
        <v>1</v>
      </c>
      <c r="F328">
        <v>10010000065</v>
      </c>
      <c r="G328" s="74">
        <v>4800000</v>
      </c>
      <c r="H328" t="s">
        <v>2309</v>
      </c>
      <c r="I328">
        <v>0</v>
      </c>
      <c r="J328" s="54">
        <v>43496</v>
      </c>
      <c r="K328">
        <v>32</v>
      </c>
      <c r="L328" t="s">
        <v>2237</v>
      </c>
    </row>
    <row r="329" spans="1:12">
      <c r="A329">
        <v>422100400</v>
      </c>
      <c r="B329" t="s">
        <v>2283</v>
      </c>
      <c r="C329">
        <v>1714</v>
      </c>
      <c r="D329" t="s">
        <v>2310</v>
      </c>
      <c r="E329">
        <v>1</v>
      </c>
      <c r="F329">
        <v>10010000003</v>
      </c>
      <c r="G329" s="74">
        <v>4227273</v>
      </c>
      <c r="H329" t="s">
        <v>2311</v>
      </c>
      <c r="I329">
        <v>0</v>
      </c>
      <c r="J329" s="54">
        <v>43645</v>
      </c>
      <c r="K329">
        <v>32</v>
      </c>
      <c r="L329" t="s">
        <v>2237</v>
      </c>
    </row>
    <row r="330" spans="1:12">
      <c r="A330">
        <v>422100400</v>
      </c>
      <c r="B330" t="s">
        <v>2283</v>
      </c>
      <c r="C330">
        <v>1720</v>
      </c>
      <c r="D330" t="s">
        <v>2312</v>
      </c>
      <c r="E330">
        <v>1</v>
      </c>
      <c r="F330">
        <v>1001000005</v>
      </c>
      <c r="G330" s="74">
        <v>4213636</v>
      </c>
      <c r="H330" t="s">
        <v>2313</v>
      </c>
      <c r="I330">
        <v>0</v>
      </c>
      <c r="J330" s="54">
        <v>43677</v>
      </c>
      <c r="K330">
        <v>32</v>
      </c>
      <c r="L330" t="s">
        <v>2237</v>
      </c>
    </row>
    <row r="331" spans="1:12">
      <c r="A331">
        <v>422100400</v>
      </c>
      <c r="B331" t="s">
        <v>2283</v>
      </c>
      <c r="C331">
        <v>1720</v>
      </c>
      <c r="D331" t="s">
        <v>2312</v>
      </c>
      <c r="E331">
        <v>1</v>
      </c>
      <c r="F331">
        <v>10010000006</v>
      </c>
      <c r="G331" s="74">
        <v>4186364</v>
      </c>
      <c r="H331" t="s">
        <v>2314</v>
      </c>
      <c r="I331">
        <v>0</v>
      </c>
      <c r="J331" s="54">
        <v>43707</v>
      </c>
      <c r="K331">
        <v>32</v>
      </c>
      <c r="L331" t="s">
        <v>2237</v>
      </c>
    </row>
    <row r="332" spans="1:12">
      <c r="A332">
        <v>422100400</v>
      </c>
      <c r="B332" t="s">
        <v>2283</v>
      </c>
      <c r="C332">
        <v>1720</v>
      </c>
      <c r="D332" t="s">
        <v>2312</v>
      </c>
      <c r="E332">
        <v>1</v>
      </c>
      <c r="F332">
        <v>10010000007</v>
      </c>
      <c r="G332" s="74">
        <v>4168182</v>
      </c>
      <c r="H332" t="s">
        <v>2314</v>
      </c>
      <c r="I332">
        <v>0</v>
      </c>
      <c r="J332" s="54">
        <v>43738</v>
      </c>
      <c r="K332">
        <v>32</v>
      </c>
      <c r="L332" t="s">
        <v>2237</v>
      </c>
    </row>
    <row r="333" spans="1:12">
      <c r="A333">
        <v>422100400</v>
      </c>
      <c r="B333" t="s">
        <v>2283</v>
      </c>
      <c r="C333">
        <v>1720</v>
      </c>
      <c r="D333" t="s">
        <v>2312</v>
      </c>
      <c r="E333">
        <v>1</v>
      </c>
      <c r="F333">
        <v>10010000008</v>
      </c>
      <c r="G333" s="74">
        <v>4204545</v>
      </c>
      <c r="H333" t="s">
        <v>2315</v>
      </c>
      <c r="I333">
        <v>0</v>
      </c>
      <c r="J333" s="54">
        <v>43769</v>
      </c>
      <c r="K333">
        <v>32</v>
      </c>
      <c r="L333" t="s">
        <v>2237</v>
      </c>
    </row>
    <row r="334" spans="1:12">
      <c r="A334">
        <v>422100400</v>
      </c>
      <c r="B334" t="s">
        <v>2283</v>
      </c>
      <c r="C334">
        <v>1720</v>
      </c>
      <c r="D334" t="s">
        <v>2312</v>
      </c>
      <c r="E334">
        <v>1</v>
      </c>
      <c r="F334">
        <v>10010000026</v>
      </c>
      <c r="G334" s="74">
        <v>4281818</v>
      </c>
      <c r="H334" t="s">
        <v>2314</v>
      </c>
      <c r="I334">
        <v>0</v>
      </c>
      <c r="J334" s="54">
        <v>43799</v>
      </c>
      <c r="K334">
        <v>32</v>
      </c>
      <c r="L334" t="s">
        <v>2237</v>
      </c>
    </row>
    <row r="335" spans="1:12">
      <c r="A335">
        <v>422100400</v>
      </c>
      <c r="B335" t="s">
        <v>2283</v>
      </c>
      <c r="C335">
        <v>1720</v>
      </c>
      <c r="D335" t="s">
        <v>2312</v>
      </c>
      <c r="E335">
        <v>1</v>
      </c>
      <c r="F335">
        <v>10010000027</v>
      </c>
      <c r="G335" s="74">
        <v>3128409</v>
      </c>
      <c r="H335" t="s">
        <v>2314</v>
      </c>
      <c r="I335">
        <v>0</v>
      </c>
      <c r="J335" s="54">
        <v>43815</v>
      </c>
      <c r="K335">
        <v>32</v>
      </c>
      <c r="L335" t="s">
        <v>2237</v>
      </c>
    </row>
    <row r="336" spans="1:12">
      <c r="A336">
        <v>422100400</v>
      </c>
      <c r="B336" t="s">
        <v>2283</v>
      </c>
      <c r="C336">
        <v>1720</v>
      </c>
      <c r="D336" t="s">
        <v>2312</v>
      </c>
      <c r="E336">
        <v>1</v>
      </c>
      <c r="F336">
        <v>10010000030</v>
      </c>
      <c r="G336" s="74">
        <v>4218182</v>
      </c>
      <c r="H336" t="s">
        <v>2316</v>
      </c>
      <c r="I336">
        <v>0</v>
      </c>
      <c r="J336" s="54">
        <v>43830</v>
      </c>
      <c r="K336">
        <v>32</v>
      </c>
      <c r="L336" t="s">
        <v>2237</v>
      </c>
    </row>
    <row r="337" spans="1:12">
      <c r="A337">
        <v>421010100</v>
      </c>
      <c r="B337" t="s">
        <v>2432</v>
      </c>
      <c r="C337">
        <v>350</v>
      </c>
      <c r="D337" t="s">
        <v>2433</v>
      </c>
      <c r="E337">
        <v>1</v>
      </c>
      <c r="F337">
        <v>10010000565</v>
      </c>
      <c r="G337" s="74">
        <v>3305455</v>
      </c>
      <c r="H337" t="s">
        <v>2434</v>
      </c>
      <c r="I337">
        <v>0</v>
      </c>
      <c r="J337" s="54">
        <v>43551</v>
      </c>
      <c r="K337">
        <v>37</v>
      </c>
      <c r="L337" t="s">
        <v>2017</v>
      </c>
    </row>
    <row r="338" spans="1:12">
      <c r="A338">
        <v>421010100</v>
      </c>
      <c r="B338" t="s">
        <v>2432</v>
      </c>
      <c r="C338">
        <v>350</v>
      </c>
      <c r="D338" t="s">
        <v>2433</v>
      </c>
      <c r="E338">
        <v>1</v>
      </c>
      <c r="F338">
        <v>10030000209</v>
      </c>
      <c r="G338" s="74">
        <v>4199591</v>
      </c>
      <c r="H338" t="s">
        <v>2435</v>
      </c>
      <c r="I338">
        <v>0</v>
      </c>
      <c r="J338" s="54">
        <v>43563</v>
      </c>
      <c r="K338">
        <v>37</v>
      </c>
      <c r="L338" t="s">
        <v>2017</v>
      </c>
    </row>
    <row r="339" spans="1:12">
      <c r="A339">
        <v>421010100</v>
      </c>
      <c r="B339" t="s">
        <v>2432</v>
      </c>
      <c r="C339">
        <v>350</v>
      </c>
      <c r="D339" t="s">
        <v>2433</v>
      </c>
      <c r="E339">
        <v>1</v>
      </c>
      <c r="F339">
        <v>10010000005</v>
      </c>
      <c r="G339" s="74">
        <v>1136364</v>
      </c>
      <c r="H339" t="s">
        <v>2436</v>
      </c>
      <c r="I339">
        <v>0</v>
      </c>
      <c r="J339" s="54">
        <v>43622</v>
      </c>
      <c r="K339">
        <v>37</v>
      </c>
      <c r="L339" t="s">
        <v>2017</v>
      </c>
    </row>
    <row r="340" spans="1:12">
      <c r="A340">
        <v>421010100</v>
      </c>
      <c r="B340" t="s">
        <v>2432</v>
      </c>
      <c r="C340">
        <v>350</v>
      </c>
      <c r="D340" t="s">
        <v>2433</v>
      </c>
      <c r="E340">
        <v>1</v>
      </c>
      <c r="F340">
        <v>10010003061</v>
      </c>
      <c r="G340" s="74">
        <v>36246074</v>
      </c>
      <c r="H340" t="s">
        <v>2437</v>
      </c>
      <c r="I340">
        <v>0</v>
      </c>
      <c r="J340" s="54">
        <v>43630</v>
      </c>
      <c r="K340">
        <v>37</v>
      </c>
      <c r="L340" t="s">
        <v>2017</v>
      </c>
    </row>
    <row r="341" spans="1:12">
      <c r="A341">
        <v>421010100</v>
      </c>
      <c r="B341" t="s">
        <v>2432</v>
      </c>
      <c r="C341">
        <v>350</v>
      </c>
      <c r="D341" t="s">
        <v>2433</v>
      </c>
      <c r="E341">
        <v>1</v>
      </c>
      <c r="F341">
        <v>10010000572</v>
      </c>
      <c r="G341" s="74">
        <v>3272727</v>
      </c>
      <c r="H341" t="s">
        <v>2438</v>
      </c>
      <c r="I341">
        <v>0</v>
      </c>
      <c r="J341" s="54">
        <v>43684</v>
      </c>
      <c r="K341">
        <v>37</v>
      </c>
      <c r="L341" t="s">
        <v>2017</v>
      </c>
    </row>
    <row r="342" spans="1:12">
      <c r="A342">
        <v>421010100</v>
      </c>
      <c r="B342" t="s">
        <v>2432</v>
      </c>
      <c r="C342">
        <v>350</v>
      </c>
      <c r="D342" t="s">
        <v>2433</v>
      </c>
      <c r="E342">
        <v>1</v>
      </c>
      <c r="F342">
        <v>10010000103</v>
      </c>
      <c r="G342" s="74">
        <v>839818</v>
      </c>
      <c r="H342" t="s">
        <v>2439</v>
      </c>
      <c r="I342">
        <v>0</v>
      </c>
      <c r="J342" s="54">
        <v>43703</v>
      </c>
      <c r="K342">
        <v>37</v>
      </c>
      <c r="L342" t="s">
        <v>2017</v>
      </c>
    </row>
    <row r="343" spans="1:12">
      <c r="A343">
        <v>421010100</v>
      </c>
      <c r="B343" t="s">
        <v>2432</v>
      </c>
      <c r="C343">
        <v>350</v>
      </c>
      <c r="D343" t="s">
        <v>2433</v>
      </c>
      <c r="E343">
        <v>1</v>
      </c>
      <c r="F343">
        <v>10010000105</v>
      </c>
      <c r="G343" s="74">
        <v>1240000</v>
      </c>
      <c r="H343" t="s">
        <v>2440</v>
      </c>
      <c r="I343">
        <v>0</v>
      </c>
      <c r="J343" s="54">
        <v>43733</v>
      </c>
      <c r="K343">
        <v>37</v>
      </c>
      <c r="L343" t="s">
        <v>2017</v>
      </c>
    </row>
    <row r="344" spans="1:12">
      <c r="A344">
        <v>421010100</v>
      </c>
      <c r="B344" t="s">
        <v>2432</v>
      </c>
      <c r="C344">
        <v>350</v>
      </c>
      <c r="D344" t="s">
        <v>2433</v>
      </c>
      <c r="E344">
        <v>1</v>
      </c>
      <c r="F344">
        <v>10010003512</v>
      </c>
      <c r="G344" s="74">
        <v>2150455</v>
      </c>
      <c r="H344" t="s">
        <v>2441</v>
      </c>
      <c r="I344">
        <v>0</v>
      </c>
      <c r="J344" s="54">
        <v>43776</v>
      </c>
      <c r="K344">
        <v>37</v>
      </c>
      <c r="L344" t="s">
        <v>2017</v>
      </c>
    </row>
    <row r="345" spans="1:12">
      <c r="A345">
        <v>421010100</v>
      </c>
      <c r="B345" t="s">
        <v>2432</v>
      </c>
      <c r="C345">
        <v>350</v>
      </c>
      <c r="D345" t="s">
        <v>2433</v>
      </c>
      <c r="E345">
        <v>1</v>
      </c>
      <c r="F345">
        <v>10020000287</v>
      </c>
      <c r="G345" s="74">
        <v>2909091</v>
      </c>
      <c r="H345" t="s">
        <v>2442</v>
      </c>
      <c r="I345">
        <v>0</v>
      </c>
      <c r="J345" s="54">
        <v>43804</v>
      </c>
      <c r="K345">
        <v>37</v>
      </c>
      <c r="L345" t="s">
        <v>2017</v>
      </c>
    </row>
    <row r="346" spans="1:12">
      <c r="A346">
        <v>421010100</v>
      </c>
      <c r="B346" t="s">
        <v>2432</v>
      </c>
      <c r="C346">
        <v>350</v>
      </c>
      <c r="D346" t="s">
        <v>2433</v>
      </c>
      <c r="E346">
        <v>1</v>
      </c>
      <c r="F346">
        <v>10010000110</v>
      </c>
      <c r="G346" s="74">
        <v>1677290</v>
      </c>
      <c r="H346" t="s">
        <v>2443</v>
      </c>
      <c r="I346">
        <v>0</v>
      </c>
      <c r="J346" s="54">
        <v>43539</v>
      </c>
      <c r="K346">
        <v>38</v>
      </c>
      <c r="L346" t="s">
        <v>2051</v>
      </c>
    </row>
    <row r="347" spans="1:12">
      <c r="A347">
        <v>421010100</v>
      </c>
      <c r="B347" t="s">
        <v>2432</v>
      </c>
      <c r="C347">
        <v>350</v>
      </c>
      <c r="D347" t="s">
        <v>2433</v>
      </c>
      <c r="E347">
        <v>1</v>
      </c>
      <c r="F347">
        <v>10010000118</v>
      </c>
      <c r="G347" s="74">
        <v>1688199</v>
      </c>
      <c r="H347" t="s">
        <v>2444</v>
      </c>
      <c r="I347">
        <v>0</v>
      </c>
      <c r="J347" s="54">
        <v>43549</v>
      </c>
      <c r="K347">
        <v>38</v>
      </c>
      <c r="L347" t="s">
        <v>2051</v>
      </c>
    </row>
    <row r="348" spans="1:12">
      <c r="A348">
        <v>421010100</v>
      </c>
      <c r="B348" t="s">
        <v>2432</v>
      </c>
      <c r="C348">
        <v>350</v>
      </c>
      <c r="D348" t="s">
        <v>2433</v>
      </c>
      <c r="E348">
        <v>1</v>
      </c>
      <c r="F348">
        <v>10010005015</v>
      </c>
      <c r="G348" s="74">
        <v>2840938</v>
      </c>
      <c r="H348" t="s">
        <v>2445</v>
      </c>
      <c r="I348">
        <v>0</v>
      </c>
      <c r="J348" s="54">
        <v>43572</v>
      </c>
      <c r="K348">
        <v>38</v>
      </c>
      <c r="L348" t="s">
        <v>2051</v>
      </c>
    </row>
    <row r="349" spans="1:12">
      <c r="A349">
        <v>421010100</v>
      </c>
      <c r="B349" t="s">
        <v>2432</v>
      </c>
      <c r="C349">
        <v>350</v>
      </c>
      <c r="D349" t="s">
        <v>2433</v>
      </c>
      <c r="E349">
        <v>1</v>
      </c>
      <c r="F349">
        <v>10010002978</v>
      </c>
      <c r="G349" s="74">
        <v>63220360</v>
      </c>
      <c r="H349" t="s">
        <v>2446</v>
      </c>
      <c r="I349">
        <v>0</v>
      </c>
      <c r="J349" s="54">
        <v>43594</v>
      </c>
      <c r="K349">
        <v>38</v>
      </c>
      <c r="L349" t="s">
        <v>2051</v>
      </c>
    </row>
    <row r="350" spans="1:12">
      <c r="A350">
        <v>421010100</v>
      </c>
      <c r="B350" t="s">
        <v>2432</v>
      </c>
      <c r="C350">
        <v>350</v>
      </c>
      <c r="D350" t="s">
        <v>2433</v>
      </c>
      <c r="E350">
        <v>1</v>
      </c>
      <c r="F350">
        <v>10010005338</v>
      </c>
      <c r="G350" s="74">
        <v>973665</v>
      </c>
      <c r="H350" t="s">
        <v>2447</v>
      </c>
      <c r="I350">
        <v>0</v>
      </c>
      <c r="J350" s="54">
        <v>43623</v>
      </c>
      <c r="K350">
        <v>38</v>
      </c>
      <c r="L350" t="s">
        <v>2051</v>
      </c>
    </row>
    <row r="351" spans="1:12">
      <c r="A351">
        <v>421010100</v>
      </c>
      <c r="B351" t="s">
        <v>2432</v>
      </c>
      <c r="C351">
        <v>350</v>
      </c>
      <c r="D351" t="s">
        <v>2433</v>
      </c>
      <c r="E351">
        <v>1</v>
      </c>
      <c r="F351">
        <v>10010000117</v>
      </c>
      <c r="G351" s="74">
        <v>1718199</v>
      </c>
      <c r="H351" t="s">
        <v>2448</v>
      </c>
      <c r="I351">
        <v>0</v>
      </c>
      <c r="J351" s="54">
        <v>43626</v>
      </c>
      <c r="K351">
        <v>38</v>
      </c>
      <c r="L351" t="s">
        <v>2051</v>
      </c>
    </row>
    <row r="352" spans="1:12">
      <c r="A352">
        <v>421010100</v>
      </c>
      <c r="B352" t="s">
        <v>2432</v>
      </c>
      <c r="C352">
        <v>350</v>
      </c>
      <c r="D352" t="s">
        <v>2433</v>
      </c>
      <c r="E352">
        <v>1</v>
      </c>
      <c r="F352">
        <v>10010000255</v>
      </c>
      <c r="G352" s="74">
        <v>1413619</v>
      </c>
      <c r="H352" t="s">
        <v>2449</v>
      </c>
      <c r="I352">
        <v>0</v>
      </c>
      <c r="J352" s="54">
        <v>43648</v>
      </c>
      <c r="K352">
        <v>38</v>
      </c>
      <c r="L352" t="s">
        <v>2051</v>
      </c>
    </row>
    <row r="353" spans="1:15">
      <c r="A353">
        <v>421010100</v>
      </c>
      <c r="B353" t="s">
        <v>2432</v>
      </c>
      <c r="C353">
        <v>350</v>
      </c>
      <c r="D353" t="s">
        <v>2433</v>
      </c>
      <c r="E353">
        <v>1</v>
      </c>
      <c r="F353">
        <v>10010000028</v>
      </c>
      <c r="G353" s="74">
        <v>2872756</v>
      </c>
      <c r="H353" t="s">
        <v>2450</v>
      </c>
      <c r="I353">
        <v>0</v>
      </c>
      <c r="J353" s="54">
        <v>43718</v>
      </c>
      <c r="K353">
        <v>38</v>
      </c>
      <c r="L353" t="s">
        <v>2051</v>
      </c>
    </row>
    <row r="354" spans="1:15">
      <c r="A354">
        <v>421010100</v>
      </c>
      <c r="B354" t="s">
        <v>2432</v>
      </c>
      <c r="C354">
        <v>350</v>
      </c>
      <c r="D354" t="s">
        <v>2433</v>
      </c>
      <c r="E354">
        <v>1</v>
      </c>
      <c r="F354">
        <v>10010003517</v>
      </c>
      <c r="G354" s="74">
        <v>78222558</v>
      </c>
      <c r="H354" t="s">
        <v>2451</v>
      </c>
      <c r="I354">
        <v>0</v>
      </c>
      <c r="J354" s="54">
        <v>43777</v>
      </c>
      <c r="K354">
        <v>38</v>
      </c>
      <c r="L354" t="s">
        <v>2051</v>
      </c>
    </row>
    <row r="355" spans="1:15">
      <c r="A355">
        <v>421010100</v>
      </c>
      <c r="B355" t="s">
        <v>2432</v>
      </c>
      <c r="C355">
        <v>350</v>
      </c>
      <c r="D355" t="s">
        <v>2433</v>
      </c>
      <c r="E355">
        <v>1</v>
      </c>
      <c r="F355">
        <v>10010000725</v>
      </c>
      <c r="G355" s="74">
        <v>1405079</v>
      </c>
      <c r="H355" t="s">
        <v>2452</v>
      </c>
      <c r="I355">
        <v>0</v>
      </c>
      <c r="J355" s="54">
        <v>43818</v>
      </c>
      <c r="K355">
        <v>38</v>
      </c>
      <c r="L355" t="s">
        <v>2051</v>
      </c>
    </row>
    <row r="356" spans="1:15">
      <c r="A356">
        <v>421010100</v>
      </c>
      <c r="B356" t="s">
        <v>2432</v>
      </c>
      <c r="C356">
        <v>350</v>
      </c>
      <c r="D356" t="s">
        <v>2433</v>
      </c>
      <c r="E356">
        <v>1</v>
      </c>
      <c r="F356">
        <v>10010019571</v>
      </c>
      <c r="G356" s="74">
        <v>4098158</v>
      </c>
      <c r="H356" t="s">
        <v>2453</v>
      </c>
      <c r="I356">
        <v>0</v>
      </c>
      <c r="J356" s="54">
        <v>43826</v>
      </c>
      <c r="K356">
        <v>38</v>
      </c>
      <c r="L356" t="s">
        <v>2051</v>
      </c>
    </row>
    <row r="357" spans="1:15">
      <c r="A357">
        <v>421010100</v>
      </c>
      <c r="B357" t="s">
        <v>2432</v>
      </c>
      <c r="C357">
        <v>350</v>
      </c>
      <c r="D357" t="s">
        <v>2433</v>
      </c>
      <c r="E357">
        <v>1</v>
      </c>
      <c r="F357">
        <v>10010019602</v>
      </c>
      <c r="G357" s="74">
        <v>11785200</v>
      </c>
      <c r="H357" t="s">
        <v>2454</v>
      </c>
      <c r="I357">
        <v>0</v>
      </c>
      <c r="J357" s="54">
        <v>43829</v>
      </c>
      <c r="K357">
        <v>38</v>
      </c>
      <c r="L357" t="s">
        <v>2051</v>
      </c>
    </row>
    <row r="358" spans="1:15">
      <c r="A358">
        <v>421010100</v>
      </c>
      <c r="B358" t="s">
        <v>2432</v>
      </c>
      <c r="C358">
        <v>350</v>
      </c>
      <c r="D358" t="s">
        <v>2433</v>
      </c>
      <c r="E358">
        <v>1</v>
      </c>
      <c r="F358">
        <v>10010000113</v>
      </c>
      <c r="G358" s="74">
        <v>454545</v>
      </c>
      <c r="H358" t="s">
        <v>2455</v>
      </c>
      <c r="I358">
        <v>0</v>
      </c>
      <c r="J358" s="54">
        <v>43554</v>
      </c>
      <c r="K358">
        <v>42</v>
      </c>
      <c r="L358" t="s">
        <v>2061</v>
      </c>
    </row>
    <row r="359" spans="1:15">
      <c r="A359">
        <v>421010100</v>
      </c>
      <c r="B359" t="s">
        <v>2432</v>
      </c>
      <c r="C359">
        <v>350</v>
      </c>
      <c r="D359" t="s">
        <v>2433</v>
      </c>
      <c r="E359">
        <v>1</v>
      </c>
      <c r="F359">
        <v>10010000013</v>
      </c>
      <c r="G359" s="74">
        <v>227273</v>
      </c>
      <c r="H359" t="s">
        <v>2456</v>
      </c>
      <c r="I359">
        <v>0</v>
      </c>
      <c r="J359" s="54">
        <v>43776</v>
      </c>
      <c r="K359">
        <v>42</v>
      </c>
      <c r="L359" t="s">
        <v>2061</v>
      </c>
    </row>
    <row r="360" spans="1:15">
      <c r="A360">
        <v>421010100</v>
      </c>
      <c r="B360" t="s">
        <v>2432</v>
      </c>
      <c r="C360">
        <v>350</v>
      </c>
      <c r="D360" t="s">
        <v>2433</v>
      </c>
      <c r="E360">
        <v>1</v>
      </c>
      <c r="F360">
        <v>10010000314</v>
      </c>
      <c r="G360" s="74">
        <v>3324861</v>
      </c>
      <c r="H360" t="s">
        <v>2457</v>
      </c>
      <c r="I360">
        <v>0</v>
      </c>
      <c r="J360" s="54">
        <v>43494</v>
      </c>
      <c r="K360">
        <v>45</v>
      </c>
      <c r="L360" t="s">
        <v>1995</v>
      </c>
      <c r="M360" t="s">
        <v>2386</v>
      </c>
      <c r="N360" t="s">
        <v>663</v>
      </c>
      <c r="O360" t="s">
        <v>663</v>
      </c>
    </row>
    <row r="361" spans="1:15">
      <c r="A361">
        <v>421010100</v>
      </c>
      <c r="B361" t="s">
        <v>2432</v>
      </c>
      <c r="C361">
        <v>350</v>
      </c>
      <c r="D361" t="s">
        <v>2433</v>
      </c>
      <c r="E361">
        <v>1</v>
      </c>
      <c r="F361">
        <v>10010000164</v>
      </c>
      <c r="G361" s="74">
        <v>4523272</v>
      </c>
      <c r="H361" t="s">
        <v>2458</v>
      </c>
      <c r="I361">
        <v>0</v>
      </c>
      <c r="J361" s="54">
        <v>43501</v>
      </c>
      <c r="K361">
        <v>45</v>
      </c>
      <c r="L361" t="s">
        <v>1995</v>
      </c>
    </row>
    <row r="362" spans="1:15">
      <c r="A362">
        <v>421010100</v>
      </c>
      <c r="B362" t="s">
        <v>2432</v>
      </c>
      <c r="C362">
        <v>350</v>
      </c>
      <c r="D362" t="s">
        <v>2433</v>
      </c>
      <c r="E362">
        <v>1</v>
      </c>
      <c r="F362">
        <v>10010000316</v>
      </c>
      <c r="G362" s="74">
        <v>3698563</v>
      </c>
      <c r="H362" t="s">
        <v>2457</v>
      </c>
      <c r="I362">
        <v>0</v>
      </c>
      <c r="J362" s="54">
        <v>43509</v>
      </c>
      <c r="K362">
        <v>45</v>
      </c>
      <c r="L362" t="s">
        <v>1995</v>
      </c>
      <c r="M362" t="s">
        <v>2386</v>
      </c>
      <c r="N362" t="s">
        <v>663</v>
      </c>
      <c r="O362" t="s">
        <v>663</v>
      </c>
    </row>
    <row r="363" spans="1:15">
      <c r="A363">
        <v>421010100</v>
      </c>
      <c r="B363" t="s">
        <v>2432</v>
      </c>
      <c r="C363">
        <v>350</v>
      </c>
      <c r="D363" t="s">
        <v>2433</v>
      </c>
      <c r="E363">
        <v>1</v>
      </c>
      <c r="F363">
        <v>10010000247</v>
      </c>
      <c r="G363" s="74">
        <v>14149167</v>
      </c>
      <c r="H363" t="s">
        <v>2459</v>
      </c>
      <c r="I363">
        <v>0</v>
      </c>
      <c r="J363" s="54">
        <v>43524</v>
      </c>
      <c r="K363">
        <v>45</v>
      </c>
      <c r="L363" t="s">
        <v>1995</v>
      </c>
      <c r="M363" t="s">
        <v>2390</v>
      </c>
      <c r="N363" t="s">
        <v>663</v>
      </c>
      <c r="O363" t="s">
        <v>663</v>
      </c>
    </row>
    <row r="364" spans="1:15">
      <c r="A364">
        <v>421010100</v>
      </c>
      <c r="B364" t="s">
        <v>2432</v>
      </c>
      <c r="C364">
        <v>350</v>
      </c>
      <c r="D364" t="s">
        <v>2433</v>
      </c>
      <c r="E364">
        <v>1</v>
      </c>
      <c r="F364">
        <v>10010000319</v>
      </c>
      <c r="G364" s="74">
        <v>5239045</v>
      </c>
      <c r="H364" t="s">
        <v>2460</v>
      </c>
      <c r="I364">
        <v>0</v>
      </c>
      <c r="J364" s="54">
        <v>43538</v>
      </c>
      <c r="K364">
        <v>45</v>
      </c>
      <c r="L364" t="s">
        <v>1995</v>
      </c>
      <c r="M364" t="s">
        <v>2386</v>
      </c>
      <c r="N364" t="s">
        <v>663</v>
      </c>
      <c r="O364" t="s">
        <v>663</v>
      </c>
    </row>
    <row r="365" spans="1:15">
      <c r="A365">
        <v>421010100</v>
      </c>
      <c r="B365" t="s">
        <v>2432</v>
      </c>
      <c r="C365">
        <v>350</v>
      </c>
      <c r="D365" t="s">
        <v>2433</v>
      </c>
      <c r="E365">
        <v>1</v>
      </c>
      <c r="F365">
        <v>10010000166</v>
      </c>
      <c r="G365" s="74">
        <v>3538322</v>
      </c>
      <c r="H365" t="s">
        <v>2461</v>
      </c>
      <c r="I365">
        <v>0</v>
      </c>
      <c r="J365" s="54">
        <v>43543</v>
      </c>
      <c r="K365">
        <v>45</v>
      </c>
      <c r="L365" t="s">
        <v>1995</v>
      </c>
    </row>
    <row r="366" spans="1:15">
      <c r="A366">
        <v>421010100</v>
      </c>
      <c r="B366" t="s">
        <v>2432</v>
      </c>
      <c r="C366">
        <v>350</v>
      </c>
      <c r="D366" t="s">
        <v>2433</v>
      </c>
      <c r="E366">
        <v>1</v>
      </c>
      <c r="F366">
        <v>10010000168</v>
      </c>
      <c r="G366" s="74">
        <v>4373655</v>
      </c>
      <c r="H366" t="s">
        <v>2462</v>
      </c>
      <c r="I366">
        <v>0</v>
      </c>
      <c r="J366" s="54">
        <v>43566</v>
      </c>
      <c r="K366">
        <v>45</v>
      </c>
      <c r="L366" t="s">
        <v>1995</v>
      </c>
    </row>
    <row r="367" spans="1:15">
      <c r="A367">
        <v>421010100</v>
      </c>
      <c r="B367" t="s">
        <v>2432</v>
      </c>
      <c r="C367">
        <v>350</v>
      </c>
      <c r="D367" t="s">
        <v>2433</v>
      </c>
      <c r="E367">
        <v>1</v>
      </c>
      <c r="F367">
        <v>10010000323</v>
      </c>
      <c r="G367" s="74">
        <v>7213207</v>
      </c>
      <c r="H367" t="s">
        <v>2463</v>
      </c>
      <c r="I367">
        <v>0</v>
      </c>
      <c r="J367" s="54">
        <v>43585</v>
      </c>
      <c r="K367">
        <v>45</v>
      </c>
      <c r="L367" t="s">
        <v>1995</v>
      </c>
      <c r="M367" t="s">
        <v>2386</v>
      </c>
      <c r="N367" t="s">
        <v>663</v>
      </c>
      <c r="O367" t="s">
        <v>663</v>
      </c>
    </row>
    <row r="368" spans="1:15">
      <c r="A368">
        <v>421010100</v>
      </c>
      <c r="B368" t="s">
        <v>2432</v>
      </c>
      <c r="C368">
        <v>350</v>
      </c>
      <c r="D368" t="s">
        <v>2433</v>
      </c>
      <c r="E368">
        <v>1</v>
      </c>
      <c r="F368">
        <v>10010000170</v>
      </c>
      <c r="G368" s="74">
        <v>365303</v>
      </c>
      <c r="H368" t="s">
        <v>2464</v>
      </c>
      <c r="I368">
        <v>0</v>
      </c>
      <c r="J368" s="54">
        <v>43593</v>
      </c>
      <c r="K368">
        <v>45</v>
      </c>
      <c r="L368" t="s">
        <v>1995</v>
      </c>
    </row>
    <row r="369" spans="1:15">
      <c r="A369">
        <v>421010100</v>
      </c>
      <c r="B369" t="s">
        <v>2432</v>
      </c>
      <c r="C369">
        <v>350</v>
      </c>
      <c r="D369" t="s">
        <v>2433</v>
      </c>
      <c r="E369">
        <v>1</v>
      </c>
      <c r="F369">
        <v>10010000325</v>
      </c>
      <c r="G369" s="74">
        <v>1561553</v>
      </c>
      <c r="H369" t="s">
        <v>2465</v>
      </c>
      <c r="I369">
        <v>0</v>
      </c>
      <c r="J369" s="54">
        <v>43602</v>
      </c>
      <c r="K369">
        <v>45</v>
      </c>
      <c r="L369" t="s">
        <v>1995</v>
      </c>
      <c r="M369" t="s">
        <v>2386</v>
      </c>
      <c r="N369" t="s">
        <v>663</v>
      </c>
      <c r="O369" t="s">
        <v>663</v>
      </c>
    </row>
    <row r="370" spans="1:15">
      <c r="A370">
        <v>421010100</v>
      </c>
      <c r="B370" t="s">
        <v>2432</v>
      </c>
      <c r="C370">
        <v>350</v>
      </c>
      <c r="D370" t="s">
        <v>2433</v>
      </c>
      <c r="E370">
        <v>1</v>
      </c>
      <c r="F370">
        <v>10010000326</v>
      </c>
      <c r="G370" s="74">
        <v>780000</v>
      </c>
      <c r="H370" t="s">
        <v>2466</v>
      </c>
      <c r="I370">
        <v>0</v>
      </c>
      <c r="J370" s="54">
        <v>43606</v>
      </c>
      <c r="K370">
        <v>45</v>
      </c>
      <c r="L370" t="s">
        <v>1995</v>
      </c>
      <c r="M370" t="s">
        <v>2386</v>
      </c>
      <c r="N370" t="s">
        <v>663</v>
      </c>
      <c r="O370" t="s">
        <v>663</v>
      </c>
    </row>
    <row r="371" spans="1:15">
      <c r="A371">
        <v>421010100</v>
      </c>
      <c r="B371" t="s">
        <v>2432</v>
      </c>
      <c r="C371">
        <v>350</v>
      </c>
      <c r="D371" t="s">
        <v>2433</v>
      </c>
      <c r="E371">
        <v>1</v>
      </c>
      <c r="F371">
        <v>10010000070</v>
      </c>
      <c r="G371" s="74">
        <v>1344294</v>
      </c>
      <c r="H371" t="s">
        <v>2467</v>
      </c>
      <c r="I371">
        <v>0</v>
      </c>
      <c r="J371" s="54">
        <v>43608</v>
      </c>
      <c r="K371">
        <v>45</v>
      </c>
      <c r="L371" t="s">
        <v>1995</v>
      </c>
    </row>
    <row r="372" spans="1:15">
      <c r="A372">
        <v>421010100</v>
      </c>
      <c r="B372" t="s">
        <v>2432</v>
      </c>
      <c r="C372">
        <v>350</v>
      </c>
      <c r="D372" t="s">
        <v>2433</v>
      </c>
      <c r="E372">
        <v>1</v>
      </c>
      <c r="F372">
        <v>10010000072</v>
      </c>
      <c r="G372" s="74">
        <v>1237543</v>
      </c>
      <c r="H372" t="s">
        <v>2468</v>
      </c>
      <c r="I372">
        <v>0</v>
      </c>
      <c r="J372" s="54">
        <v>43622</v>
      </c>
      <c r="K372">
        <v>45</v>
      </c>
      <c r="L372" t="s">
        <v>1995</v>
      </c>
    </row>
    <row r="373" spans="1:15">
      <c r="A373">
        <v>421010100</v>
      </c>
      <c r="B373" t="s">
        <v>2432</v>
      </c>
      <c r="C373">
        <v>350</v>
      </c>
      <c r="D373" t="s">
        <v>2433</v>
      </c>
      <c r="E373">
        <v>1</v>
      </c>
      <c r="F373">
        <v>10010000329</v>
      </c>
      <c r="G373" s="74">
        <v>17356113</v>
      </c>
      <c r="H373" t="s">
        <v>2469</v>
      </c>
      <c r="I373">
        <v>0</v>
      </c>
      <c r="J373" s="54">
        <v>43629</v>
      </c>
      <c r="K373">
        <v>45</v>
      </c>
      <c r="L373" t="s">
        <v>1995</v>
      </c>
      <c r="M373" t="s">
        <v>2386</v>
      </c>
      <c r="N373" t="s">
        <v>663</v>
      </c>
      <c r="O373" t="s">
        <v>663</v>
      </c>
    </row>
    <row r="374" spans="1:15">
      <c r="A374">
        <v>421010100</v>
      </c>
      <c r="B374" t="s">
        <v>2432</v>
      </c>
      <c r="C374">
        <v>350</v>
      </c>
      <c r="D374" t="s">
        <v>2433</v>
      </c>
      <c r="E374">
        <v>1</v>
      </c>
      <c r="F374">
        <v>10010000077</v>
      </c>
      <c r="G374" s="74">
        <v>1206628</v>
      </c>
      <c r="H374" t="s">
        <v>2470</v>
      </c>
      <c r="I374">
        <v>0</v>
      </c>
      <c r="J374" s="54">
        <v>43655</v>
      </c>
      <c r="K374">
        <v>45</v>
      </c>
      <c r="L374" t="s">
        <v>1995</v>
      </c>
    </row>
    <row r="375" spans="1:15">
      <c r="A375">
        <v>421010100</v>
      </c>
      <c r="B375" t="s">
        <v>2432</v>
      </c>
      <c r="C375">
        <v>350</v>
      </c>
      <c r="D375" t="s">
        <v>2433</v>
      </c>
      <c r="E375">
        <v>1</v>
      </c>
      <c r="F375">
        <v>10010000173</v>
      </c>
      <c r="G375" s="74">
        <v>2547056</v>
      </c>
      <c r="H375" t="s">
        <v>2471</v>
      </c>
      <c r="I375">
        <v>0</v>
      </c>
      <c r="J375" s="54">
        <v>43657</v>
      </c>
      <c r="K375">
        <v>45</v>
      </c>
      <c r="L375" t="s">
        <v>1995</v>
      </c>
    </row>
    <row r="376" spans="1:15">
      <c r="A376">
        <v>421010100</v>
      </c>
      <c r="B376" t="s">
        <v>2432</v>
      </c>
      <c r="C376">
        <v>350</v>
      </c>
      <c r="D376" t="s">
        <v>2433</v>
      </c>
      <c r="E376">
        <v>1</v>
      </c>
      <c r="F376">
        <v>10010000331</v>
      </c>
      <c r="G376" s="74">
        <v>10866475</v>
      </c>
      <c r="H376" t="s">
        <v>2472</v>
      </c>
      <c r="I376">
        <v>0</v>
      </c>
      <c r="J376" s="54">
        <v>43657</v>
      </c>
      <c r="K376">
        <v>45</v>
      </c>
      <c r="L376" t="s">
        <v>1995</v>
      </c>
      <c r="M376" t="s">
        <v>2386</v>
      </c>
      <c r="N376" t="s">
        <v>663</v>
      </c>
      <c r="O376" t="s">
        <v>663</v>
      </c>
    </row>
    <row r="377" spans="1:15">
      <c r="A377">
        <v>421010100</v>
      </c>
      <c r="B377" t="s">
        <v>2432</v>
      </c>
      <c r="C377">
        <v>350</v>
      </c>
      <c r="D377" t="s">
        <v>2433</v>
      </c>
      <c r="E377">
        <v>1</v>
      </c>
      <c r="F377">
        <v>10010000081</v>
      </c>
      <c r="G377" s="74">
        <v>1519407</v>
      </c>
      <c r="H377" t="s">
        <v>2473</v>
      </c>
      <c r="I377">
        <v>0</v>
      </c>
      <c r="J377" s="54">
        <v>43686</v>
      </c>
      <c r="K377">
        <v>45</v>
      </c>
      <c r="L377" t="s">
        <v>1995</v>
      </c>
    </row>
    <row r="378" spans="1:15">
      <c r="A378">
        <v>421010100</v>
      </c>
      <c r="B378" t="s">
        <v>2432</v>
      </c>
      <c r="C378">
        <v>350</v>
      </c>
      <c r="D378" t="s">
        <v>2433</v>
      </c>
      <c r="E378">
        <v>1</v>
      </c>
      <c r="F378">
        <v>10010000351</v>
      </c>
      <c r="G378" s="74">
        <v>5599774</v>
      </c>
      <c r="H378" t="s">
        <v>2474</v>
      </c>
      <c r="I378">
        <v>0</v>
      </c>
      <c r="J378" s="54">
        <v>43691</v>
      </c>
      <c r="K378">
        <v>45</v>
      </c>
      <c r="L378" t="s">
        <v>1995</v>
      </c>
      <c r="M378" t="s">
        <v>2386</v>
      </c>
      <c r="N378" t="s">
        <v>663</v>
      </c>
      <c r="O378" t="s">
        <v>663</v>
      </c>
    </row>
    <row r="379" spans="1:15">
      <c r="A379">
        <v>421010100</v>
      </c>
      <c r="B379" t="s">
        <v>2432</v>
      </c>
      <c r="C379">
        <v>350</v>
      </c>
      <c r="D379" t="s">
        <v>2433</v>
      </c>
      <c r="E379">
        <v>1</v>
      </c>
      <c r="F379">
        <v>10010000084</v>
      </c>
      <c r="G379" s="74">
        <v>753166</v>
      </c>
      <c r="H379" t="s">
        <v>2475</v>
      </c>
      <c r="I379">
        <v>0</v>
      </c>
      <c r="J379" s="54">
        <v>43720</v>
      </c>
      <c r="K379">
        <v>45</v>
      </c>
      <c r="L379" t="s">
        <v>1995</v>
      </c>
    </row>
    <row r="380" spans="1:15">
      <c r="A380">
        <v>421010100</v>
      </c>
      <c r="B380" t="s">
        <v>2432</v>
      </c>
      <c r="C380">
        <v>350</v>
      </c>
      <c r="D380" t="s">
        <v>2433</v>
      </c>
      <c r="E380">
        <v>1</v>
      </c>
      <c r="F380">
        <v>10010000354</v>
      </c>
      <c r="G380" s="74">
        <v>10511611</v>
      </c>
      <c r="H380" t="s">
        <v>2476</v>
      </c>
      <c r="I380">
        <v>0</v>
      </c>
      <c r="J380" s="54">
        <v>43720</v>
      </c>
      <c r="K380">
        <v>45</v>
      </c>
      <c r="L380" t="s">
        <v>1995</v>
      </c>
      <c r="M380" t="s">
        <v>2386</v>
      </c>
      <c r="N380" t="s">
        <v>663</v>
      </c>
      <c r="O380" t="s">
        <v>663</v>
      </c>
    </row>
    <row r="381" spans="1:15">
      <c r="A381">
        <v>421010100</v>
      </c>
      <c r="B381" t="s">
        <v>2432</v>
      </c>
      <c r="C381">
        <v>350</v>
      </c>
      <c r="D381" t="s">
        <v>2433</v>
      </c>
      <c r="E381">
        <v>1</v>
      </c>
      <c r="F381">
        <v>10010000356</v>
      </c>
      <c r="G381" s="74">
        <v>3517344</v>
      </c>
      <c r="H381" t="s">
        <v>2477</v>
      </c>
      <c r="I381">
        <v>0</v>
      </c>
      <c r="J381" s="54">
        <v>43754</v>
      </c>
      <c r="K381">
        <v>45</v>
      </c>
      <c r="L381" t="s">
        <v>1995</v>
      </c>
      <c r="M381" t="s">
        <v>2386</v>
      </c>
      <c r="N381" t="s">
        <v>663</v>
      </c>
      <c r="O381" t="s">
        <v>663</v>
      </c>
    </row>
    <row r="382" spans="1:15">
      <c r="A382">
        <v>421010100</v>
      </c>
      <c r="B382" t="s">
        <v>2432</v>
      </c>
      <c r="C382">
        <v>350</v>
      </c>
      <c r="D382" t="s">
        <v>2433</v>
      </c>
      <c r="E382">
        <v>1</v>
      </c>
      <c r="F382">
        <v>10010000089</v>
      </c>
      <c r="G382" s="74">
        <v>1055965</v>
      </c>
      <c r="H382" t="s">
        <v>2478</v>
      </c>
      <c r="I382">
        <v>0</v>
      </c>
      <c r="J382" s="54">
        <v>43763</v>
      </c>
      <c r="K382">
        <v>45</v>
      </c>
      <c r="L382" t="s">
        <v>1995</v>
      </c>
    </row>
    <row r="383" spans="1:15">
      <c r="A383">
        <v>421010100</v>
      </c>
      <c r="B383" t="s">
        <v>2432</v>
      </c>
      <c r="C383">
        <v>350</v>
      </c>
      <c r="D383" t="s">
        <v>2433</v>
      </c>
      <c r="E383">
        <v>1</v>
      </c>
      <c r="F383">
        <v>10010000358</v>
      </c>
      <c r="G383" s="74">
        <v>23065333</v>
      </c>
      <c r="H383" t="s">
        <v>2479</v>
      </c>
      <c r="I383">
        <v>0</v>
      </c>
      <c r="J383" s="54">
        <v>43781</v>
      </c>
      <c r="K383">
        <v>45</v>
      </c>
      <c r="L383" t="s">
        <v>1995</v>
      </c>
      <c r="M383" t="s">
        <v>2386</v>
      </c>
      <c r="N383" t="s">
        <v>663</v>
      </c>
      <c r="O383" t="s">
        <v>663</v>
      </c>
    </row>
    <row r="384" spans="1:15">
      <c r="A384">
        <v>421010100</v>
      </c>
      <c r="B384" t="s">
        <v>2432</v>
      </c>
      <c r="C384">
        <v>350</v>
      </c>
      <c r="D384" t="s">
        <v>2433</v>
      </c>
      <c r="E384">
        <v>1</v>
      </c>
      <c r="F384">
        <v>10010000101</v>
      </c>
      <c r="G384" s="74">
        <v>714023</v>
      </c>
      <c r="H384" t="s">
        <v>2480</v>
      </c>
      <c r="I384">
        <v>0</v>
      </c>
      <c r="J384" s="54">
        <v>43783</v>
      </c>
      <c r="K384">
        <v>45</v>
      </c>
      <c r="L384" t="s">
        <v>1995</v>
      </c>
    </row>
    <row r="385" spans="1:15">
      <c r="A385">
        <v>421010100</v>
      </c>
      <c r="B385" t="s">
        <v>2432</v>
      </c>
      <c r="C385">
        <v>350</v>
      </c>
      <c r="D385" t="s">
        <v>2433</v>
      </c>
      <c r="E385">
        <v>1</v>
      </c>
      <c r="F385">
        <v>10010000362</v>
      </c>
      <c r="G385" s="74">
        <v>12753842</v>
      </c>
      <c r="H385" t="s">
        <v>2481</v>
      </c>
      <c r="I385">
        <v>0</v>
      </c>
      <c r="J385" s="54">
        <v>43809</v>
      </c>
      <c r="K385">
        <v>45</v>
      </c>
      <c r="L385" t="s">
        <v>1995</v>
      </c>
      <c r="M385" t="s">
        <v>2386</v>
      </c>
      <c r="N385" t="s">
        <v>663</v>
      </c>
      <c r="O385" t="s">
        <v>663</v>
      </c>
    </row>
    <row r="386" spans="1:15">
      <c r="A386">
        <v>421010100</v>
      </c>
      <c r="B386" t="s">
        <v>2432</v>
      </c>
      <c r="C386">
        <v>350</v>
      </c>
      <c r="D386" t="s">
        <v>2433</v>
      </c>
      <c r="E386">
        <v>1</v>
      </c>
      <c r="F386">
        <v>10010000177</v>
      </c>
      <c r="G386" s="74">
        <v>3381585</v>
      </c>
      <c r="H386" t="s">
        <v>2482</v>
      </c>
      <c r="I386">
        <v>0</v>
      </c>
      <c r="J386" s="54">
        <v>43810</v>
      </c>
      <c r="K386">
        <v>45</v>
      </c>
      <c r="L386" t="s">
        <v>1995</v>
      </c>
    </row>
    <row r="387" spans="1:15">
      <c r="A387">
        <v>421010100</v>
      </c>
      <c r="B387" t="s">
        <v>2432</v>
      </c>
      <c r="C387">
        <v>350</v>
      </c>
      <c r="D387" t="s">
        <v>2433</v>
      </c>
      <c r="E387">
        <v>1</v>
      </c>
      <c r="F387">
        <v>10010000107</v>
      </c>
      <c r="G387" s="74">
        <v>591672</v>
      </c>
      <c r="H387" t="s">
        <v>2483</v>
      </c>
      <c r="I387">
        <v>0</v>
      </c>
      <c r="J387" s="54">
        <v>43811</v>
      </c>
      <c r="K387">
        <v>45</v>
      </c>
      <c r="L387" t="s">
        <v>1995</v>
      </c>
    </row>
    <row r="388" spans="1:15" hidden="1">
      <c r="A388">
        <v>421010100</v>
      </c>
      <c r="B388" t="s">
        <v>2432</v>
      </c>
      <c r="C388">
        <v>1673</v>
      </c>
      <c r="D388" t="s">
        <v>2484</v>
      </c>
      <c r="E388">
        <v>26</v>
      </c>
      <c r="F388">
        <v>28022019</v>
      </c>
      <c r="G388">
        <v>1000000</v>
      </c>
      <c r="H388" t="s">
        <v>2485</v>
      </c>
      <c r="I388">
        <v>0</v>
      </c>
      <c r="J388">
        <v>43524</v>
      </c>
      <c r="K388">
        <v>45</v>
      </c>
      <c r="L388" t="s">
        <v>1995</v>
      </c>
    </row>
    <row r="389" spans="1:15" hidden="1">
      <c r="A389">
        <v>421010100</v>
      </c>
      <c r="B389" t="s">
        <v>2432</v>
      </c>
      <c r="C389">
        <v>1673</v>
      </c>
      <c r="D389" t="s">
        <v>2484</v>
      </c>
      <c r="E389">
        <v>26</v>
      </c>
      <c r="F389">
        <v>28032019</v>
      </c>
      <c r="G389">
        <v>1000000</v>
      </c>
      <c r="H389" t="s">
        <v>2486</v>
      </c>
      <c r="I389">
        <v>0</v>
      </c>
      <c r="J389">
        <v>43552</v>
      </c>
      <c r="K389">
        <v>45</v>
      </c>
      <c r="L389" t="s">
        <v>1995</v>
      </c>
    </row>
    <row r="390" spans="1:15" hidden="1">
      <c r="A390">
        <v>421010100</v>
      </c>
      <c r="B390" t="s">
        <v>2432</v>
      </c>
      <c r="C390">
        <v>1673</v>
      </c>
      <c r="D390" t="s">
        <v>2484</v>
      </c>
      <c r="E390">
        <v>26</v>
      </c>
      <c r="F390">
        <v>30042019</v>
      </c>
      <c r="G390">
        <v>1000000</v>
      </c>
      <c r="H390" t="s">
        <v>2486</v>
      </c>
      <c r="I390">
        <v>0</v>
      </c>
      <c r="J390">
        <v>43585</v>
      </c>
      <c r="K390">
        <v>45</v>
      </c>
      <c r="L390" t="s">
        <v>1995</v>
      </c>
    </row>
    <row r="391" spans="1:15" hidden="1">
      <c r="A391">
        <v>421010100</v>
      </c>
      <c r="B391" t="s">
        <v>2432</v>
      </c>
      <c r="C391">
        <v>1673</v>
      </c>
      <c r="D391" t="s">
        <v>2484</v>
      </c>
      <c r="E391">
        <v>26</v>
      </c>
      <c r="F391">
        <v>31052019</v>
      </c>
      <c r="G391">
        <v>1000000</v>
      </c>
      <c r="H391" t="s">
        <v>2486</v>
      </c>
      <c r="I391">
        <v>0</v>
      </c>
      <c r="J391">
        <v>43616</v>
      </c>
      <c r="K391">
        <v>45</v>
      </c>
      <c r="L391" t="s">
        <v>1995</v>
      </c>
    </row>
    <row r="392" spans="1:15" hidden="1">
      <c r="A392">
        <v>421010100</v>
      </c>
      <c r="B392" t="s">
        <v>2432</v>
      </c>
      <c r="C392">
        <v>1673</v>
      </c>
      <c r="D392" t="s">
        <v>2484</v>
      </c>
      <c r="E392">
        <v>26</v>
      </c>
      <c r="F392">
        <v>28062019</v>
      </c>
      <c r="G392">
        <v>1000000</v>
      </c>
      <c r="H392" t="s">
        <v>2487</v>
      </c>
      <c r="I392">
        <v>0</v>
      </c>
      <c r="J392">
        <v>43644</v>
      </c>
      <c r="K392">
        <v>45</v>
      </c>
      <c r="L392" t="s">
        <v>1995</v>
      </c>
    </row>
    <row r="393" spans="1:15" hidden="1">
      <c r="A393">
        <v>421010100</v>
      </c>
      <c r="B393" t="s">
        <v>2432</v>
      </c>
      <c r="C393">
        <v>1673</v>
      </c>
      <c r="D393" t="s">
        <v>2484</v>
      </c>
      <c r="E393">
        <v>26</v>
      </c>
      <c r="F393">
        <v>31072019</v>
      </c>
      <c r="G393">
        <v>1000000</v>
      </c>
      <c r="H393" t="s">
        <v>2486</v>
      </c>
      <c r="I393">
        <v>0</v>
      </c>
      <c r="J393">
        <v>43677</v>
      </c>
      <c r="K393">
        <v>45</v>
      </c>
      <c r="L393" t="s">
        <v>1995</v>
      </c>
    </row>
    <row r="394" spans="1:15" hidden="1">
      <c r="A394">
        <v>421010100</v>
      </c>
      <c r="B394" t="s">
        <v>2432</v>
      </c>
      <c r="C394">
        <v>1673</v>
      </c>
      <c r="D394" t="s">
        <v>2484</v>
      </c>
      <c r="E394">
        <v>26</v>
      </c>
      <c r="F394">
        <v>31082019</v>
      </c>
      <c r="G394">
        <v>1000000</v>
      </c>
      <c r="H394" t="s">
        <v>2486</v>
      </c>
      <c r="I394">
        <v>0</v>
      </c>
      <c r="J394">
        <v>43708</v>
      </c>
      <c r="K394">
        <v>45</v>
      </c>
      <c r="L394" t="s">
        <v>1995</v>
      </c>
    </row>
    <row r="395" spans="1:15" hidden="1">
      <c r="A395">
        <v>421010100</v>
      </c>
      <c r="B395" t="s">
        <v>2432</v>
      </c>
      <c r="C395">
        <v>1673</v>
      </c>
      <c r="D395" t="s">
        <v>2484</v>
      </c>
      <c r="E395">
        <v>26</v>
      </c>
      <c r="F395">
        <v>30090019</v>
      </c>
      <c r="G395">
        <v>1000000</v>
      </c>
      <c r="H395" t="s">
        <v>2488</v>
      </c>
      <c r="I395">
        <v>0</v>
      </c>
      <c r="J395">
        <v>43738</v>
      </c>
      <c r="K395">
        <v>45</v>
      </c>
      <c r="L395" t="s">
        <v>1995</v>
      </c>
    </row>
    <row r="396" spans="1:15" hidden="1">
      <c r="A396">
        <v>421010100</v>
      </c>
      <c r="B396" t="s">
        <v>2432</v>
      </c>
      <c r="C396">
        <v>1673</v>
      </c>
      <c r="D396" t="s">
        <v>2484</v>
      </c>
      <c r="E396">
        <v>26</v>
      </c>
      <c r="F396">
        <v>31002019</v>
      </c>
      <c r="G396">
        <v>1000000</v>
      </c>
      <c r="H396" t="s">
        <v>2489</v>
      </c>
      <c r="I396">
        <v>0</v>
      </c>
      <c r="J396">
        <v>43769</v>
      </c>
      <c r="K396">
        <v>45</v>
      </c>
      <c r="L396" t="s">
        <v>1995</v>
      </c>
    </row>
    <row r="397" spans="1:15" hidden="1">
      <c r="A397">
        <v>421010100</v>
      </c>
      <c r="B397" t="s">
        <v>2432</v>
      </c>
      <c r="C397">
        <v>1673</v>
      </c>
      <c r="D397" t="s">
        <v>2484</v>
      </c>
      <c r="E397">
        <v>26</v>
      </c>
      <c r="F397">
        <v>30112019</v>
      </c>
      <c r="G397">
        <v>1000000</v>
      </c>
      <c r="H397" t="s">
        <v>2490</v>
      </c>
      <c r="I397">
        <v>0</v>
      </c>
      <c r="J397">
        <v>43799</v>
      </c>
      <c r="K397">
        <v>45</v>
      </c>
      <c r="L397" t="s">
        <v>1995</v>
      </c>
    </row>
    <row r="398" spans="1:15" hidden="1">
      <c r="A398">
        <v>421010100</v>
      </c>
      <c r="B398" t="s">
        <v>2432</v>
      </c>
      <c r="C398">
        <v>1673</v>
      </c>
      <c r="D398" t="s">
        <v>2484</v>
      </c>
      <c r="E398">
        <v>26</v>
      </c>
      <c r="F398">
        <v>30112019</v>
      </c>
      <c r="G398">
        <v>1000000</v>
      </c>
      <c r="H398" t="s">
        <v>2486</v>
      </c>
      <c r="I398">
        <v>0</v>
      </c>
      <c r="J398">
        <v>43829</v>
      </c>
      <c r="K398">
        <v>45</v>
      </c>
      <c r="L398" t="s">
        <v>1995</v>
      </c>
    </row>
    <row r="399" spans="1:15" hidden="1">
      <c r="A399">
        <v>421010100</v>
      </c>
      <c r="B399" t="s">
        <v>2432</v>
      </c>
      <c r="C399">
        <v>1674</v>
      </c>
      <c r="D399" t="s">
        <v>2491</v>
      </c>
      <c r="E399">
        <v>25</v>
      </c>
      <c r="F399">
        <v>28022019</v>
      </c>
      <c r="G399">
        <v>0</v>
      </c>
      <c r="H399" t="s">
        <v>2492</v>
      </c>
      <c r="I399">
        <v>1000000</v>
      </c>
      <c r="J399">
        <v>43524</v>
      </c>
      <c r="K399">
        <v>45</v>
      </c>
      <c r="L399" t="s">
        <v>1995</v>
      </c>
    </row>
    <row r="400" spans="1:15" hidden="1">
      <c r="A400">
        <v>421010100</v>
      </c>
      <c r="B400" t="s">
        <v>2432</v>
      </c>
      <c r="C400">
        <v>1674</v>
      </c>
      <c r="D400" t="s">
        <v>2491</v>
      </c>
      <c r="E400">
        <v>25</v>
      </c>
      <c r="F400">
        <v>28032019</v>
      </c>
      <c r="G400">
        <v>0</v>
      </c>
      <c r="H400" t="s">
        <v>2486</v>
      </c>
      <c r="I400">
        <v>1000000</v>
      </c>
      <c r="J400">
        <v>43552</v>
      </c>
      <c r="K400">
        <v>45</v>
      </c>
      <c r="L400" t="s">
        <v>1995</v>
      </c>
    </row>
    <row r="401" spans="1:12" hidden="1">
      <c r="A401">
        <v>421010100</v>
      </c>
      <c r="B401" t="s">
        <v>2432</v>
      </c>
      <c r="C401">
        <v>1674</v>
      </c>
      <c r="D401" t="s">
        <v>2491</v>
      </c>
      <c r="E401">
        <v>25</v>
      </c>
      <c r="F401">
        <v>30042019</v>
      </c>
      <c r="G401">
        <v>0</v>
      </c>
      <c r="H401" t="s">
        <v>2493</v>
      </c>
      <c r="I401">
        <v>1000000</v>
      </c>
      <c r="J401">
        <v>43585</v>
      </c>
      <c r="K401">
        <v>45</v>
      </c>
      <c r="L401" t="s">
        <v>1995</v>
      </c>
    </row>
    <row r="402" spans="1:12" hidden="1">
      <c r="A402">
        <v>421010100</v>
      </c>
      <c r="B402" t="s">
        <v>2432</v>
      </c>
      <c r="C402">
        <v>1674</v>
      </c>
      <c r="D402" t="s">
        <v>2491</v>
      </c>
      <c r="E402">
        <v>25</v>
      </c>
      <c r="F402">
        <v>31052019</v>
      </c>
      <c r="G402">
        <v>0</v>
      </c>
      <c r="H402" t="s">
        <v>2494</v>
      </c>
      <c r="I402">
        <v>1000000</v>
      </c>
      <c r="J402">
        <v>43616</v>
      </c>
      <c r="K402">
        <v>45</v>
      </c>
      <c r="L402" t="s">
        <v>1995</v>
      </c>
    </row>
    <row r="403" spans="1:12" hidden="1">
      <c r="A403">
        <v>421010100</v>
      </c>
      <c r="B403" t="s">
        <v>2432</v>
      </c>
      <c r="C403">
        <v>1674</v>
      </c>
      <c r="D403" t="s">
        <v>2491</v>
      </c>
      <c r="E403">
        <v>25</v>
      </c>
      <c r="F403">
        <v>28062019</v>
      </c>
      <c r="G403">
        <v>0</v>
      </c>
      <c r="H403" t="s">
        <v>2495</v>
      </c>
      <c r="I403">
        <v>1000000</v>
      </c>
      <c r="J403">
        <v>43644</v>
      </c>
      <c r="K403">
        <v>45</v>
      </c>
      <c r="L403" t="s">
        <v>1995</v>
      </c>
    </row>
    <row r="404" spans="1:12" hidden="1">
      <c r="A404">
        <v>421010100</v>
      </c>
      <c r="B404" t="s">
        <v>2432</v>
      </c>
      <c r="C404">
        <v>1674</v>
      </c>
      <c r="D404" t="s">
        <v>2491</v>
      </c>
      <c r="E404">
        <v>25</v>
      </c>
      <c r="F404">
        <v>31072019</v>
      </c>
      <c r="G404">
        <v>0</v>
      </c>
      <c r="H404" t="s">
        <v>2490</v>
      </c>
      <c r="I404">
        <v>1000000</v>
      </c>
      <c r="J404">
        <v>43677</v>
      </c>
      <c r="K404">
        <v>45</v>
      </c>
      <c r="L404" t="s">
        <v>1995</v>
      </c>
    </row>
    <row r="405" spans="1:12" hidden="1">
      <c r="A405">
        <v>421010100</v>
      </c>
      <c r="B405" t="s">
        <v>2432</v>
      </c>
      <c r="C405">
        <v>1674</v>
      </c>
      <c r="D405" t="s">
        <v>2491</v>
      </c>
      <c r="E405">
        <v>25</v>
      </c>
      <c r="F405">
        <v>31082019</v>
      </c>
      <c r="G405">
        <v>0</v>
      </c>
      <c r="H405" t="s">
        <v>2486</v>
      </c>
      <c r="I405">
        <v>1000000</v>
      </c>
      <c r="J405">
        <v>43708</v>
      </c>
      <c r="K405">
        <v>45</v>
      </c>
      <c r="L405" t="s">
        <v>1995</v>
      </c>
    </row>
    <row r="406" spans="1:12" hidden="1">
      <c r="A406">
        <v>421010100</v>
      </c>
      <c r="B406" t="s">
        <v>2432</v>
      </c>
      <c r="C406">
        <v>1674</v>
      </c>
      <c r="D406" t="s">
        <v>2491</v>
      </c>
      <c r="E406">
        <v>25</v>
      </c>
      <c r="F406">
        <v>300092019</v>
      </c>
      <c r="G406">
        <v>0</v>
      </c>
      <c r="H406" t="s">
        <v>2486</v>
      </c>
      <c r="I406">
        <v>1000000</v>
      </c>
      <c r="J406">
        <v>43738</v>
      </c>
      <c r="K406">
        <v>45</v>
      </c>
      <c r="L406" t="s">
        <v>1995</v>
      </c>
    </row>
    <row r="407" spans="1:12" hidden="1">
      <c r="A407">
        <v>421010100</v>
      </c>
      <c r="B407" t="s">
        <v>2432</v>
      </c>
      <c r="C407">
        <v>1674</v>
      </c>
      <c r="D407" t="s">
        <v>2491</v>
      </c>
      <c r="E407">
        <v>25</v>
      </c>
      <c r="F407">
        <v>31102019</v>
      </c>
      <c r="G407">
        <v>0</v>
      </c>
      <c r="H407" t="s">
        <v>2487</v>
      </c>
      <c r="I407">
        <v>1000000</v>
      </c>
      <c r="J407">
        <v>43769</v>
      </c>
      <c r="K407">
        <v>45</v>
      </c>
      <c r="L407" t="s">
        <v>1995</v>
      </c>
    </row>
    <row r="408" spans="1:12" hidden="1">
      <c r="A408">
        <v>421010100</v>
      </c>
      <c r="B408" t="s">
        <v>2432</v>
      </c>
      <c r="C408">
        <v>1674</v>
      </c>
      <c r="D408" t="s">
        <v>2491</v>
      </c>
      <c r="E408">
        <v>25</v>
      </c>
      <c r="F408">
        <v>30112019</v>
      </c>
      <c r="G408">
        <v>0</v>
      </c>
      <c r="H408" t="s">
        <v>2486</v>
      </c>
      <c r="I408">
        <v>1000000</v>
      </c>
      <c r="J408">
        <v>43799</v>
      </c>
      <c r="K408">
        <v>45</v>
      </c>
      <c r="L408" t="s">
        <v>1995</v>
      </c>
    </row>
    <row r="409" spans="1:12" hidden="1">
      <c r="A409">
        <v>421010100</v>
      </c>
      <c r="B409" t="s">
        <v>2432</v>
      </c>
      <c r="C409">
        <v>1674</v>
      </c>
      <c r="D409" t="s">
        <v>2491</v>
      </c>
      <c r="E409">
        <v>25</v>
      </c>
      <c r="F409">
        <v>30122019</v>
      </c>
      <c r="G409">
        <v>0</v>
      </c>
      <c r="H409" t="s">
        <v>2486</v>
      </c>
      <c r="I409">
        <v>1000000</v>
      </c>
      <c r="J409">
        <v>43829</v>
      </c>
      <c r="K409">
        <v>45</v>
      </c>
      <c r="L409" t="s">
        <v>1995</v>
      </c>
    </row>
    <row r="410" spans="1:12">
      <c r="A410">
        <v>421010200</v>
      </c>
      <c r="B410" t="s">
        <v>2317</v>
      </c>
      <c r="C410">
        <v>351</v>
      </c>
      <c r="D410" t="s">
        <v>2318</v>
      </c>
      <c r="E410">
        <v>1</v>
      </c>
      <c r="F410">
        <v>10010000214</v>
      </c>
      <c r="G410" s="74">
        <v>611632</v>
      </c>
      <c r="H410" t="s">
        <v>2319</v>
      </c>
      <c r="I410">
        <v>0</v>
      </c>
      <c r="J410" s="54">
        <v>43475</v>
      </c>
      <c r="K410">
        <v>3</v>
      </c>
      <c r="L410" t="s">
        <v>2099</v>
      </c>
    </row>
    <row r="411" spans="1:12">
      <c r="A411">
        <v>421010200</v>
      </c>
      <c r="B411" t="s">
        <v>2317</v>
      </c>
      <c r="C411">
        <v>351</v>
      </c>
      <c r="D411" t="s">
        <v>2318</v>
      </c>
      <c r="E411">
        <v>1</v>
      </c>
      <c r="F411">
        <v>10010000216</v>
      </c>
      <c r="G411" s="74">
        <v>323624</v>
      </c>
      <c r="H411" t="s">
        <v>2320</v>
      </c>
      <c r="I411">
        <v>0</v>
      </c>
      <c r="J411" s="54">
        <v>43502</v>
      </c>
      <c r="K411">
        <v>3</v>
      </c>
      <c r="L411" t="s">
        <v>2099</v>
      </c>
    </row>
    <row r="412" spans="1:12">
      <c r="A412">
        <v>421010200</v>
      </c>
      <c r="B412" t="s">
        <v>2317</v>
      </c>
      <c r="C412">
        <v>351</v>
      </c>
      <c r="D412" t="s">
        <v>2318</v>
      </c>
      <c r="E412">
        <v>1</v>
      </c>
      <c r="F412">
        <v>10010000217</v>
      </c>
      <c r="G412" s="74">
        <v>647248</v>
      </c>
      <c r="H412" t="s">
        <v>2320</v>
      </c>
      <c r="I412">
        <v>0</v>
      </c>
      <c r="J412" s="54">
        <v>43502</v>
      </c>
      <c r="K412">
        <v>3</v>
      </c>
      <c r="L412" t="s">
        <v>2099</v>
      </c>
    </row>
    <row r="413" spans="1:12">
      <c r="A413">
        <v>421010200</v>
      </c>
      <c r="B413" t="s">
        <v>2317</v>
      </c>
      <c r="C413">
        <v>351</v>
      </c>
      <c r="D413" t="s">
        <v>2318</v>
      </c>
      <c r="E413">
        <v>1</v>
      </c>
      <c r="F413">
        <v>10010000218</v>
      </c>
      <c r="G413" s="74">
        <v>459361</v>
      </c>
      <c r="H413" t="s">
        <v>2321</v>
      </c>
      <c r="I413">
        <v>0</v>
      </c>
      <c r="J413" s="54">
        <v>43525</v>
      </c>
      <c r="K413">
        <v>3</v>
      </c>
      <c r="L413" t="s">
        <v>2099</v>
      </c>
    </row>
    <row r="414" spans="1:12">
      <c r="A414">
        <v>421010200</v>
      </c>
      <c r="B414" t="s">
        <v>2317</v>
      </c>
      <c r="C414">
        <v>351</v>
      </c>
      <c r="D414" t="s">
        <v>2318</v>
      </c>
      <c r="E414">
        <v>1</v>
      </c>
      <c r="F414">
        <v>10020006032</v>
      </c>
      <c r="G414" s="74">
        <v>4445455</v>
      </c>
      <c r="H414" t="s">
        <v>2322</v>
      </c>
      <c r="I414">
        <v>0</v>
      </c>
      <c r="J414" s="54">
        <v>43658</v>
      </c>
      <c r="K414">
        <v>3</v>
      </c>
      <c r="L414" t="s">
        <v>2099</v>
      </c>
    </row>
    <row r="415" spans="1:12">
      <c r="A415">
        <v>421010200</v>
      </c>
      <c r="B415" t="s">
        <v>2317</v>
      </c>
      <c r="C415">
        <v>351</v>
      </c>
      <c r="D415" t="s">
        <v>2318</v>
      </c>
      <c r="E415">
        <v>1</v>
      </c>
      <c r="F415">
        <v>10010000213</v>
      </c>
      <c r="G415" s="74">
        <v>1223264</v>
      </c>
      <c r="H415" t="s">
        <v>2323</v>
      </c>
      <c r="I415">
        <v>0</v>
      </c>
      <c r="J415" s="54">
        <v>43475</v>
      </c>
      <c r="K415">
        <v>6</v>
      </c>
      <c r="L415" t="s">
        <v>2210</v>
      </c>
    </row>
    <row r="416" spans="1:12">
      <c r="A416">
        <v>421010200</v>
      </c>
      <c r="B416" t="s">
        <v>2317</v>
      </c>
      <c r="C416">
        <v>351</v>
      </c>
      <c r="D416" t="s">
        <v>2318</v>
      </c>
      <c r="E416">
        <v>1</v>
      </c>
      <c r="F416">
        <v>10010000020</v>
      </c>
      <c r="G416" s="74">
        <v>323624</v>
      </c>
      <c r="H416" t="s">
        <v>2320</v>
      </c>
      <c r="I416">
        <v>0</v>
      </c>
      <c r="J416" s="54">
        <v>43502</v>
      </c>
      <c r="K416">
        <v>6</v>
      </c>
      <c r="L416" t="s">
        <v>2210</v>
      </c>
    </row>
    <row r="417" spans="1:15">
      <c r="A417">
        <v>421010200</v>
      </c>
      <c r="B417" t="s">
        <v>2317</v>
      </c>
      <c r="C417">
        <v>351</v>
      </c>
      <c r="D417" t="s">
        <v>2318</v>
      </c>
      <c r="E417">
        <v>1</v>
      </c>
      <c r="F417">
        <v>10020004990</v>
      </c>
      <c r="G417" s="74">
        <v>4851818</v>
      </c>
      <c r="H417" t="s">
        <v>2324</v>
      </c>
      <c r="I417">
        <v>0</v>
      </c>
      <c r="J417" s="54">
        <v>43507</v>
      </c>
      <c r="K417">
        <v>6</v>
      </c>
      <c r="L417" t="s">
        <v>2210</v>
      </c>
    </row>
    <row r="418" spans="1:15">
      <c r="A418">
        <v>421010200</v>
      </c>
      <c r="B418" t="s">
        <v>2317</v>
      </c>
      <c r="C418">
        <v>351</v>
      </c>
      <c r="D418" t="s">
        <v>2318</v>
      </c>
      <c r="E418">
        <v>1</v>
      </c>
      <c r="F418">
        <v>10010000221</v>
      </c>
      <c r="G418" s="74">
        <v>832384</v>
      </c>
      <c r="H418" t="s">
        <v>2325</v>
      </c>
      <c r="I418">
        <v>0</v>
      </c>
      <c r="J418" s="54">
        <v>43529</v>
      </c>
      <c r="K418">
        <v>6</v>
      </c>
      <c r="L418" t="s">
        <v>2210</v>
      </c>
    </row>
    <row r="419" spans="1:15">
      <c r="A419">
        <v>421010200</v>
      </c>
      <c r="B419" t="s">
        <v>2317</v>
      </c>
      <c r="C419">
        <v>351</v>
      </c>
      <c r="D419" t="s">
        <v>2318</v>
      </c>
      <c r="E419">
        <v>1</v>
      </c>
      <c r="F419">
        <v>10010000221</v>
      </c>
      <c r="G419" s="74">
        <v>3936364</v>
      </c>
      <c r="H419" t="s">
        <v>2326</v>
      </c>
      <c r="I419">
        <v>0</v>
      </c>
      <c r="J419" s="54">
        <v>43531</v>
      </c>
      <c r="K419">
        <v>6</v>
      </c>
      <c r="L419" t="s">
        <v>2210</v>
      </c>
      <c r="M419" t="s">
        <v>2389</v>
      </c>
      <c r="N419" t="s">
        <v>663</v>
      </c>
      <c r="O419" t="s">
        <v>663</v>
      </c>
    </row>
    <row r="420" spans="1:15">
      <c r="A420">
        <v>421010200</v>
      </c>
      <c r="B420" t="s">
        <v>2317</v>
      </c>
      <c r="C420">
        <v>351</v>
      </c>
      <c r="D420" t="s">
        <v>2318</v>
      </c>
      <c r="E420">
        <v>1</v>
      </c>
      <c r="F420">
        <v>10010000026</v>
      </c>
      <c r="G420" s="74">
        <v>1688182</v>
      </c>
      <c r="H420" t="s">
        <v>2327</v>
      </c>
      <c r="I420">
        <v>0</v>
      </c>
      <c r="J420" s="54">
        <v>43543</v>
      </c>
      <c r="K420">
        <v>6</v>
      </c>
      <c r="L420" t="s">
        <v>2210</v>
      </c>
    </row>
    <row r="421" spans="1:15">
      <c r="A421">
        <v>421010200</v>
      </c>
      <c r="B421" t="s">
        <v>2317</v>
      </c>
      <c r="C421">
        <v>351</v>
      </c>
      <c r="D421" t="s">
        <v>2318</v>
      </c>
      <c r="E421">
        <v>1</v>
      </c>
      <c r="F421">
        <v>10010000028</v>
      </c>
      <c r="G421" s="74">
        <v>2281818</v>
      </c>
      <c r="H421" t="s">
        <v>2328</v>
      </c>
      <c r="I421">
        <v>0</v>
      </c>
      <c r="J421" s="54">
        <v>43560</v>
      </c>
      <c r="K421">
        <v>6</v>
      </c>
      <c r="L421" t="s">
        <v>2210</v>
      </c>
    </row>
    <row r="422" spans="1:15">
      <c r="A422">
        <v>421010200</v>
      </c>
      <c r="B422" t="s">
        <v>2317</v>
      </c>
      <c r="C422">
        <v>351</v>
      </c>
      <c r="D422" t="s">
        <v>2318</v>
      </c>
      <c r="E422">
        <v>1</v>
      </c>
      <c r="F422">
        <v>10010000223</v>
      </c>
      <c r="G422" s="74">
        <v>5327273</v>
      </c>
      <c r="H422" t="s">
        <v>2329</v>
      </c>
      <c r="I422">
        <v>0</v>
      </c>
      <c r="J422" s="54">
        <v>43560</v>
      </c>
      <c r="K422">
        <v>6</v>
      </c>
      <c r="L422" t="s">
        <v>2210</v>
      </c>
      <c r="M422" t="s">
        <v>2389</v>
      </c>
      <c r="N422" t="s">
        <v>663</v>
      </c>
      <c r="O422" t="s">
        <v>663</v>
      </c>
    </row>
    <row r="423" spans="1:15">
      <c r="A423">
        <v>421010200</v>
      </c>
      <c r="B423" t="s">
        <v>2317</v>
      </c>
      <c r="C423">
        <v>351</v>
      </c>
      <c r="D423" t="s">
        <v>2318</v>
      </c>
      <c r="E423">
        <v>1</v>
      </c>
      <c r="F423">
        <v>10010000031</v>
      </c>
      <c r="G423" s="74">
        <v>1266364</v>
      </c>
      <c r="H423" t="s">
        <v>2330</v>
      </c>
      <c r="I423">
        <v>0</v>
      </c>
      <c r="J423" s="54">
        <v>43593</v>
      </c>
      <c r="K423">
        <v>6</v>
      </c>
      <c r="L423" t="s">
        <v>2210</v>
      </c>
    </row>
    <row r="424" spans="1:15">
      <c r="A424">
        <v>421010200</v>
      </c>
      <c r="B424" t="s">
        <v>2317</v>
      </c>
      <c r="C424">
        <v>351</v>
      </c>
      <c r="D424" t="s">
        <v>2318</v>
      </c>
      <c r="E424">
        <v>1</v>
      </c>
      <c r="F424">
        <v>10010000225</v>
      </c>
      <c r="G424" s="74">
        <v>2954545</v>
      </c>
      <c r="H424" t="s">
        <v>2331</v>
      </c>
      <c r="I424">
        <v>0</v>
      </c>
      <c r="J424" s="54">
        <v>43593</v>
      </c>
      <c r="K424">
        <v>6</v>
      </c>
      <c r="L424" t="s">
        <v>2210</v>
      </c>
      <c r="M424" t="s">
        <v>2389</v>
      </c>
      <c r="N424" t="s">
        <v>663</v>
      </c>
      <c r="O424" t="s">
        <v>663</v>
      </c>
    </row>
    <row r="425" spans="1:15">
      <c r="A425">
        <v>421010200</v>
      </c>
      <c r="B425" t="s">
        <v>2317</v>
      </c>
      <c r="C425">
        <v>351</v>
      </c>
      <c r="D425" t="s">
        <v>2318</v>
      </c>
      <c r="E425">
        <v>1</v>
      </c>
      <c r="F425">
        <v>10010000033</v>
      </c>
      <c r="G425" s="74">
        <v>1213636</v>
      </c>
      <c r="H425" t="s">
        <v>2332</v>
      </c>
      <c r="I425">
        <v>0</v>
      </c>
      <c r="J425" s="54">
        <v>43623</v>
      </c>
      <c r="K425">
        <v>6</v>
      </c>
      <c r="L425" t="s">
        <v>2210</v>
      </c>
    </row>
    <row r="426" spans="1:15">
      <c r="A426">
        <v>421010200</v>
      </c>
      <c r="B426" t="s">
        <v>2317</v>
      </c>
      <c r="C426">
        <v>351</v>
      </c>
      <c r="D426" t="s">
        <v>2318</v>
      </c>
      <c r="E426">
        <v>1</v>
      </c>
      <c r="F426">
        <v>10010000227</v>
      </c>
      <c r="G426" s="74">
        <v>3040909</v>
      </c>
      <c r="H426" t="s">
        <v>2333</v>
      </c>
      <c r="I426">
        <v>0</v>
      </c>
      <c r="J426" s="54">
        <v>43623</v>
      </c>
      <c r="K426">
        <v>6</v>
      </c>
      <c r="L426" t="s">
        <v>2210</v>
      </c>
      <c r="M426" t="s">
        <v>2389</v>
      </c>
      <c r="N426" t="s">
        <v>663</v>
      </c>
      <c r="O426" t="s">
        <v>663</v>
      </c>
    </row>
    <row r="427" spans="1:15">
      <c r="A427">
        <v>421010200</v>
      </c>
      <c r="B427" t="s">
        <v>2317</v>
      </c>
      <c r="C427">
        <v>351</v>
      </c>
      <c r="D427" t="s">
        <v>2318</v>
      </c>
      <c r="E427">
        <v>1</v>
      </c>
      <c r="F427">
        <v>10010000035</v>
      </c>
      <c r="G427" s="74">
        <v>1785455</v>
      </c>
      <c r="H427" t="s">
        <v>2334</v>
      </c>
      <c r="I427">
        <v>0</v>
      </c>
      <c r="J427" s="54">
        <v>43654</v>
      </c>
      <c r="K427">
        <v>6</v>
      </c>
      <c r="L427" t="s">
        <v>2210</v>
      </c>
    </row>
    <row r="428" spans="1:15">
      <c r="A428">
        <v>421010200</v>
      </c>
      <c r="B428" t="s">
        <v>2317</v>
      </c>
      <c r="C428">
        <v>351</v>
      </c>
      <c r="D428" t="s">
        <v>2318</v>
      </c>
      <c r="E428">
        <v>1</v>
      </c>
      <c r="F428">
        <v>10010000229</v>
      </c>
      <c r="G428" s="74">
        <v>4166166</v>
      </c>
      <c r="H428" t="s">
        <v>2335</v>
      </c>
      <c r="I428">
        <v>0</v>
      </c>
      <c r="J428" s="54">
        <v>43654</v>
      </c>
      <c r="K428">
        <v>6</v>
      </c>
      <c r="L428" t="s">
        <v>2210</v>
      </c>
      <c r="M428" t="s">
        <v>2389</v>
      </c>
      <c r="N428" t="s">
        <v>663</v>
      </c>
      <c r="O428" t="s">
        <v>663</v>
      </c>
    </row>
    <row r="429" spans="1:15">
      <c r="A429">
        <v>421010200</v>
      </c>
      <c r="B429" t="s">
        <v>2317</v>
      </c>
      <c r="C429">
        <v>351</v>
      </c>
      <c r="D429" t="s">
        <v>2318</v>
      </c>
      <c r="E429">
        <v>1</v>
      </c>
      <c r="F429">
        <v>10010000037</v>
      </c>
      <c r="G429" s="74">
        <v>1803636</v>
      </c>
      <c r="H429" t="s">
        <v>2336</v>
      </c>
      <c r="I429">
        <v>0</v>
      </c>
      <c r="J429" s="54">
        <v>43690</v>
      </c>
      <c r="K429">
        <v>6</v>
      </c>
      <c r="L429" t="s">
        <v>2210</v>
      </c>
    </row>
    <row r="430" spans="1:15">
      <c r="A430">
        <v>421010200</v>
      </c>
      <c r="B430" t="s">
        <v>2317</v>
      </c>
      <c r="C430">
        <v>351</v>
      </c>
      <c r="D430" t="s">
        <v>2318</v>
      </c>
      <c r="E430">
        <v>1</v>
      </c>
      <c r="F430">
        <v>10010000251</v>
      </c>
      <c r="G430" s="74">
        <v>4209091</v>
      </c>
      <c r="H430" t="s">
        <v>2337</v>
      </c>
      <c r="I430">
        <v>0</v>
      </c>
      <c r="J430" s="54">
        <v>43690</v>
      </c>
      <c r="K430">
        <v>6</v>
      </c>
      <c r="L430" t="s">
        <v>2210</v>
      </c>
      <c r="M430" t="s">
        <v>2389</v>
      </c>
      <c r="N430" t="s">
        <v>663</v>
      </c>
      <c r="O430" t="s">
        <v>663</v>
      </c>
    </row>
    <row r="431" spans="1:15">
      <c r="A431">
        <v>421010200</v>
      </c>
      <c r="B431" t="s">
        <v>2317</v>
      </c>
      <c r="C431">
        <v>351</v>
      </c>
      <c r="D431" t="s">
        <v>2318</v>
      </c>
      <c r="E431">
        <v>1</v>
      </c>
      <c r="F431">
        <v>1001000039</v>
      </c>
      <c r="G431" s="74">
        <v>1672727</v>
      </c>
      <c r="H431" t="s">
        <v>2338</v>
      </c>
      <c r="I431">
        <v>0</v>
      </c>
      <c r="J431" s="54">
        <v>43718</v>
      </c>
      <c r="K431">
        <v>6</v>
      </c>
      <c r="L431" t="s">
        <v>2210</v>
      </c>
    </row>
    <row r="432" spans="1:15">
      <c r="A432">
        <v>421010200</v>
      </c>
      <c r="B432" t="s">
        <v>2317</v>
      </c>
      <c r="C432">
        <v>351</v>
      </c>
      <c r="D432" t="s">
        <v>2318</v>
      </c>
      <c r="E432">
        <v>1</v>
      </c>
      <c r="F432">
        <v>10010000253</v>
      </c>
      <c r="G432" s="74">
        <v>3900000</v>
      </c>
      <c r="H432" t="s">
        <v>2339</v>
      </c>
      <c r="I432">
        <v>0</v>
      </c>
      <c r="J432" s="54">
        <v>43718</v>
      </c>
      <c r="K432">
        <v>6</v>
      </c>
      <c r="L432" t="s">
        <v>2210</v>
      </c>
      <c r="M432" t="s">
        <v>2389</v>
      </c>
      <c r="N432" t="s">
        <v>663</v>
      </c>
      <c r="O432" t="s">
        <v>663</v>
      </c>
    </row>
    <row r="433" spans="1:15">
      <c r="A433">
        <v>421010200</v>
      </c>
      <c r="B433" t="s">
        <v>2317</v>
      </c>
      <c r="C433">
        <v>351</v>
      </c>
      <c r="D433" t="s">
        <v>2318</v>
      </c>
      <c r="E433">
        <v>1</v>
      </c>
      <c r="F433">
        <v>10010000041</v>
      </c>
      <c r="G433" s="74">
        <v>1466050</v>
      </c>
      <c r="H433" t="s">
        <v>2340</v>
      </c>
      <c r="I433">
        <v>0</v>
      </c>
      <c r="J433" s="54">
        <v>43747</v>
      </c>
      <c r="K433">
        <v>6</v>
      </c>
      <c r="L433" t="s">
        <v>2210</v>
      </c>
    </row>
    <row r="434" spans="1:15">
      <c r="A434">
        <v>421010200</v>
      </c>
      <c r="B434" t="s">
        <v>2317</v>
      </c>
      <c r="C434">
        <v>351</v>
      </c>
      <c r="D434" t="s">
        <v>2318</v>
      </c>
      <c r="E434">
        <v>1</v>
      </c>
      <c r="F434">
        <v>10010000255</v>
      </c>
      <c r="G434" s="74">
        <v>3420455</v>
      </c>
      <c r="H434" t="s">
        <v>2341</v>
      </c>
      <c r="I434">
        <v>0</v>
      </c>
      <c r="J434" s="54">
        <v>43747</v>
      </c>
      <c r="K434">
        <v>6</v>
      </c>
      <c r="L434" t="s">
        <v>2210</v>
      </c>
      <c r="M434" t="s">
        <v>2389</v>
      </c>
      <c r="N434" t="s">
        <v>663</v>
      </c>
      <c r="O434" t="s">
        <v>663</v>
      </c>
    </row>
    <row r="435" spans="1:15">
      <c r="A435">
        <v>421010200</v>
      </c>
      <c r="B435" t="s">
        <v>2317</v>
      </c>
      <c r="C435">
        <v>351</v>
      </c>
      <c r="D435" t="s">
        <v>2318</v>
      </c>
      <c r="E435">
        <v>1</v>
      </c>
      <c r="F435">
        <v>10010000043</v>
      </c>
      <c r="G435" s="74">
        <v>1910000</v>
      </c>
      <c r="H435" t="s">
        <v>2342</v>
      </c>
      <c r="I435">
        <v>0</v>
      </c>
      <c r="J435" s="54">
        <v>43777</v>
      </c>
      <c r="K435">
        <v>6</v>
      </c>
      <c r="L435" t="s">
        <v>2210</v>
      </c>
    </row>
    <row r="436" spans="1:15">
      <c r="A436">
        <v>421010200</v>
      </c>
      <c r="B436" t="s">
        <v>2317</v>
      </c>
      <c r="C436">
        <v>351</v>
      </c>
      <c r="D436" t="s">
        <v>2318</v>
      </c>
      <c r="E436">
        <v>1</v>
      </c>
      <c r="F436">
        <v>10010000257</v>
      </c>
      <c r="G436" s="74">
        <v>4454545</v>
      </c>
      <c r="H436" t="s">
        <v>2342</v>
      </c>
      <c r="I436">
        <v>0</v>
      </c>
      <c r="J436" s="54">
        <v>43777</v>
      </c>
      <c r="K436">
        <v>6</v>
      </c>
      <c r="L436" t="s">
        <v>2210</v>
      </c>
      <c r="M436" t="s">
        <v>2389</v>
      </c>
      <c r="N436" t="s">
        <v>663</v>
      </c>
      <c r="O436" t="s">
        <v>663</v>
      </c>
    </row>
    <row r="437" spans="1:15">
      <c r="A437">
        <v>421010200</v>
      </c>
      <c r="B437" t="s">
        <v>2317</v>
      </c>
      <c r="C437">
        <v>351</v>
      </c>
      <c r="D437" t="s">
        <v>2318</v>
      </c>
      <c r="E437">
        <v>1</v>
      </c>
      <c r="F437">
        <v>10010000260</v>
      </c>
      <c r="G437" s="74">
        <v>5663636</v>
      </c>
      <c r="H437" t="s">
        <v>2343</v>
      </c>
      <c r="I437">
        <v>0</v>
      </c>
      <c r="J437" s="54">
        <v>43808</v>
      </c>
      <c r="K437">
        <v>6</v>
      </c>
      <c r="L437" t="s">
        <v>2210</v>
      </c>
      <c r="M437" t="s">
        <v>2389</v>
      </c>
      <c r="N437" t="s">
        <v>663</v>
      </c>
      <c r="O437" t="s">
        <v>663</v>
      </c>
    </row>
    <row r="438" spans="1:15">
      <c r="A438">
        <v>421010200</v>
      </c>
      <c r="B438" t="s">
        <v>2317</v>
      </c>
      <c r="C438">
        <v>351</v>
      </c>
      <c r="D438" t="s">
        <v>2318</v>
      </c>
      <c r="E438">
        <v>1</v>
      </c>
      <c r="F438">
        <v>10010000045</v>
      </c>
      <c r="G438" s="74">
        <v>2428182</v>
      </c>
      <c r="H438" t="s">
        <v>2344</v>
      </c>
      <c r="I438">
        <v>0</v>
      </c>
      <c r="J438" s="54">
        <v>43810</v>
      </c>
      <c r="K438">
        <v>6</v>
      </c>
      <c r="L438" t="s">
        <v>2210</v>
      </c>
    </row>
    <row r="439" spans="1:15">
      <c r="A439">
        <v>421010200</v>
      </c>
      <c r="B439" t="s">
        <v>2317</v>
      </c>
      <c r="C439">
        <v>351</v>
      </c>
      <c r="D439" t="s">
        <v>2318</v>
      </c>
      <c r="E439">
        <v>1</v>
      </c>
      <c r="F439">
        <v>10020006853</v>
      </c>
      <c r="G439" s="74">
        <v>2154545</v>
      </c>
      <c r="H439" t="s">
        <v>2345</v>
      </c>
      <c r="I439">
        <v>0</v>
      </c>
      <c r="J439" s="54">
        <v>43774</v>
      </c>
      <c r="K439">
        <v>13</v>
      </c>
      <c r="L439" t="s">
        <v>2346</v>
      </c>
    </row>
    <row r="440" spans="1:15">
      <c r="A440">
        <v>421010200</v>
      </c>
      <c r="B440" t="s">
        <v>2317</v>
      </c>
      <c r="C440">
        <v>351</v>
      </c>
      <c r="D440" t="s">
        <v>2318</v>
      </c>
      <c r="E440">
        <v>1</v>
      </c>
      <c r="F440">
        <v>10010000222</v>
      </c>
      <c r="G440" s="74">
        <v>982445</v>
      </c>
      <c r="H440" t="s">
        <v>2347</v>
      </c>
      <c r="I440">
        <v>0</v>
      </c>
      <c r="J440" s="54">
        <v>43601</v>
      </c>
      <c r="K440">
        <v>31</v>
      </c>
      <c r="L440" t="s">
        <v>2348</v>
      </c>
    </row>
    <row r="441" spans="1:15">
      <c r="A441">
        <v>421010200</v>
      </c>
      <c r="B441" t="s">
        <v>2317</v>
      </c>
      <c r="C441">
        <v>351</v>
      </c>
      <c r="D441" t="s">
        <v>2318</v>
      </c>
      <c r="E441">
        <v>1</v>
      </c>
      <c r="F441">
        <v>10010000226</v>
      </c>
      <c r="G441" s="74">
        <v>1248616</v>
      </c>
      <c r="H441" t="s">
        <v>2349</v>
      </c>
      <c r="I441">
        <v>0</v>
      </c>
      <c r="J441" s="54">
        <v>43676</v>
      </c>
      <c r="K441">
        <v>31</v>
      </c>
      <c r="L441" t="s">
        <v>2348</v>
      </c>
    </row>
    <row r="442" spans="1:15">
      <c r="A442">
        <v>421010200</v>
      </c>
      <c r="B442" t="s">
        <v>2317</v>
      </c>
      <c r="C442">
        <v>351</v>
      </c>
      <c r="D442" t="s">
        <v>2318</v>
      </c>
      <c r="E442">
        <v>1</v>
      </c>
      <c r="F442">
        <v>10010000220</v>
      </c>
      <c r="G442" s="74">
        <v>962319</v>
      </c>
      <c r="H442" t="s">
        <v>2350</v>
      </c>
      <c r="I442">
        <v>0</v>
      </c>
      <c r="J442" s="54">
        <v>43585</v>
      </c>
      <c r="K442">
        <v>32</v>
      </c>
      <c r="L442" t="s">
        <v>2237</v>
      </c>
    </row>
    <row r="443" spans="1:15">
      <c r="A443">
        <v>421010300</v>
      </c>
      <c r="B443" t="s">
        <v>2351</v>
      </c>
      <c r="C443">
        <v>352</v>
      </c>
      <c r="D443" t="s">
        <v>2352</v>
      </c>
      <c r="E443">
        <v>1</v>
      </c>
      <c r="F443">
        <v>10240000534</v>
      </c>
      <c r="G443" s="74">
        <v>90909</v>
      </c>
      <c r="H443" t="s">
        <v>2353</v>
      </c>
      <c r="I443">
        <v>0</v>
      </c>
      <c r="J443" s="54">
        <v>43629</v>
      </c>
      <c r="K443">
        <v>4</v>
      </c>
      <c r="L443" t="s">
        <v>2354</v>
      </c>
    </row>
    <row r="444" spans="1:15">
      <c r="A444">
        <v>421010300</v>
      </c>
      <c r="B444" t="s">
        <v>2351</v>
      </c>
      <c r="C444">
        <v>352</v>
      </c>
      <c r="D444" t="s">
        <v>2352</v>
      </c>
      <c r="E444">
        <v>1</v>
      </c>
      <c r="F444">
        <v>10240000537</v>
      </c>
      <c r="G444" s="74">
        <v>90909</v>
      </c>
      <c r="H444" t="s">
        <v>2355</v>
      </c>
      <c r="I444">
        <v>0</v>
      </c>
      <c r="J444" s="54">
        <v>43629</v>
      </c>
      <c r="K444">
        <v>4</v>
      </c>
      <c r="L444" t="s">
        <v>2354</v>
      </c>
    </row>
    <row r="445" spans="1:15">
      <c r="A445">
        <v>421010300</v>
      </c>
      <c r="B445" t="s">
        <v>2351</v>
      </c>
      <c r="C445">
        <v>352</v>
      </c>
      <c r="D445" t="s">
        <v>2352</v>
      </c>
      <c r="E445">
        <v>1</v>
      </c>
      <c r="F445">
        <v>10240000576</v>
      </c>
      <c r="G445" s="74">
        <v>90909</v>
      </c>
      <c r="H445" t="s">
        <v>2356</v>
      </c>
      <c r="I445">
        <v>0</v>
      </c>
      <c r="J445" s="54">
        <v>43644</v>
      </c>
      <c r="K445">
        <v>4</v>
      </c>
      <c r="L445" t="s">
        <v>2354</v>
      </c>
    </row>
    <row r="446" spans="1:15">
      <c r="A446">
        <v>421010300</v>
      </c>
      <c r="B446" t="s">
        <v>2351</v>
      </c>
      <c r="C446">
        <v>352</v>
      </c>
      <c r="D446" t="s">
        <v>2352</v>
      </c>
      <c r="E446">
        <v>1</v>
      </c>
      <c r="F446">
        <v>10240000590</v>
      </c>
      <c r="G446" s="74">
        <v>90909</v>
      </c>
      <c r="H446" t="s">
        <v>2357</v>
      </c>
      <c r="I446">
        <v>0</v>
      </c>
      <c r="J446" s="54">
        <v>43650</v>
      </c>
      <c r="K446">
        <v>4</v>
      </c>
      <c r="L446" t="s">
        <v>2354</v>
      </c>
    </row>
    <row r="447" spans="1:15">
      <c r="A447">
        <v>421010300</v>
      </c>
      <c r="B447" t="s">
        <v>2351</v>
      </c>
      <c r="C447">
        <v>352</v>
      </c>
      <c r="D447" t="s">
        <v>2352</v>
      </c>
      <c r="E447">
        <v>1</v>
      </c>
      <c r="F447">
        <v>10240000603</v>
      </c>
      <c r="G447" s="74">
        <v>90909</v>
      </c>
      <c r="H447" t="s">
        <v>2358</v>
      </c>
      <c r="I447">
        <v>0</v>
      </c>
      <c r="J447" s="54">
        <v>43662</v>
      </c>
      <c r="K447">
        <v>4</v>
      </c>
      <c r="L447" t="s">
        <v>2354</v>
      </c>
    </row>
    <row r="448" spans="1:15">
      <c r="A448">
        <v>421010300</v>
      </c>
      <c r="B448" t="s">
        <v>2351</v>
      </c>
      <c r="C448">
        <v>352</v>
      </c>
      <c r="D448" t="s">
        <v>2352</v>
      </c>
      <c r="E448">
        <v>1</v>
      </c>
      <c r="F448">
        <v>10240000630</v>
      </c>
      <c r="G448" s="74">
        <v>90909</v>
      </c>
      <c r="H448" t="s">
        <v>2359</v>
      </c>
      <c r="I448">
        <v>0</v>
      </c>
      <c r="J448" s="54">
        <v>43671</v>
      </c>
      <c r="K448">
        <v>4</v>
      </c>
      <c r="L448" t="s">
        <v>2354</v>
      </c>
    </row>
    <row r="449" spans="1:13">
      <c r="A449">
        <v>421010300</v>
      </c>
      <c r="B449" t="s">
        <v>2351</v>
      </c>
      <c r="C449">
        <v>352</v>
      </c>
      <c r="D449" t="s">
        <v>2352</v>
      </c>
      <c r="E449">
        <v>1</v>
      </c>
      <c r="F449">
        <v>10240000633</v>
      </c>
      <c r="G449" s="74">
        <v>90909</v>
      </c>
      <c r="H449" t="s">
        <v>2360</v>
      </c>
      <c r="I449">
        <v>0</v>
      </c>
      <c r="J449" s="54">
        <v>43671</v>
      </c>
      <c r="K449">
        <v>4</v>
      </c>
      <c r="L449" t="s">
        <v>2354</v>
      </c>
    </row>
    <row r="450" spans="1:13">
      <c r="A450">
        <v>421010300</v>
      </c>
      <c r="B450" t="s">
        <v>2351</v>
      </c>
      <c r="C450">
        <v>352</v>
      </c>
      <c r="D450" t="s">
        <v>2352</v>
      </c>
      <c r="E450">
        <v>1</v>
      </c>
      <c r="F450">
        <v>141500000189</v>
      </c>
      <c r="G450" s="74">
        <v>10476273</v>
      </c>
      <c r="H450" t="s">
        <v>2361</v>
      </c>
      <c r="I450">
        <v>0</v>
      </c>
      <c r="J450" s="54">
        <v>43740</v>
      </c>
      <c r="K450">
        <v>4</v>
      </c>
      <c r="L450" t="s">
        <v>2354</v>
      </c>
    </row>
    <row r="451" spans="1:13">
      <c r="A451">
        <v>421010300</v>
      </c>
      <c r="B451" t="s">
        <v>2351</v>
      </c>
      <c r="C451">
        <v>352</v>
      </c>
      <c r="D451" t="s">
        <v>2352</v>
      </c>
      <c r="E451">
        <v>1</v>
      </c>
      <c r="F451">
        <v>10010000116</v>
      </c>
      <c r="G451" s="74">
        <v>1341705</v>
      </c>
      <c r="H451" t="s">
        <v>2362</v>
      </c>
      <c r="I451">
        <v>0</v>
      </c>
      <c r="J451" s="54">
        <v>43504</v>
      </c>
      <c r="K451">
        <v>8</v>
      </c>
      <c r="L451" t="s">
        <v>2262</v>
      </c>
    </row>
    <row r="452" spans="1:13">
      <c r="A452">
        <v>421010300</v>
      </c>
      <c r="B452" t="s">
        <v>2351</v>
      </c>
      <c r="C452">
        <v>352</v>
      </c>
      <c r="D452" t="s">
        <v>2352</v>
      </c>
      <c r="E452">
        <v>1</v>
      </c>
      <c r="F452">
        <v>10010000119</v>
      </c>
      <c r="G452" s="74">
        <v>1692721</v>
      </c>
      <c r="H452" t="s">
        <v>2363</v>
      </c>
      <c r="I452">
        <v>0</v>
      </c>
      <c r="J452" s="54">
        <v>43532</v>
      </c>
      <c r="K452">
        <v>8</v>
      </c>
      <c r="L452" t="s">
        <v>2262</v>
      </c>
    </row>
    <row r="453" spans="1:13">
      <c r="A453">
        <v>421010300</v>
      </c>
      <c r="B453" t="s">
        <v>2351</v>
      </c>
      <c r="C453">
        <v>352</v>
      </c>
      <c r="D453" t="s">
        <v>2352</v>
      </c>
      <c r="E453">
        <v>1</v>
      </c>
      <c r="F453">
        <v>10010000058</v>
      </c>
      <c r="G453" s="74">
        <v>1692721</v>
      </c>
      <c r="H453" t="s">
        <v>2364</v>
      </c>
      <c r="I453">
        <v>0</v>
      </c>
      <c r="J453" s="54">
        <v>43536</v>
      </c>
      <c r="K453">
        <v>8</v>
      </c>
      <c r="L453" t="s">
        <v>2262</v>
      </c>
    </row>
    <row r="454" spans="1:13">
      <c r="A454">
        <v>421010300</v>
      </c>
      <c r="B454" t="s">
        <v>2351</v>
      </c>
      <c r="C454">
        <v>352</v>
      </c>
      <c r="D454" t="s">
        <v>2352</v>
      </c>
      <c r="E454">
        <v>1</v>
      </c>
      <c r="F454">
        <v>10010000123</v>
      </c>
      <c r="G454" s="74">
        <v>1992944</v>
      </c>
      <c r="H454" t="s">
        <v>2350</v>
      </c>
      <c r="I454">
        <v>0</v>
      </c>
      <c r="J454" s="54">
        <v>43560</v>
      </c>
      <c r="K454">
        <v>8</v>
      </c>
      <c r="L454" t="s">
        <v>2262</v>
      </c>
    </row>
    <row r="455" spans="1:13">
      <c r="A455">
        <v>421010300</v>
      </c>
      <c r="B455" t="s">
        <v>2351</v>
      </c>
      <c r="C455">
        <v>352</v>
      </c>
      <c r="D455" t="s">
        <v>2352</v>
      </c>
      <c r="E455">
        <v>1</v>
      </c>
      <c r="F455">
        <v>10010000328</v>
      </c>
      <c r="G455" s="74">
        <v>2989415</v>
      </c>
      <c r="H455" t="s">
        <v>2365</v>
      </c>
      <c r="I455">
        <v>0</v>
      </c>
      <c r="J455" s="54">
        <v>43567</v>
      </c>
      <c r="K455">
        <v>8</v>
      </c>
      <c r="L455" t="s">
        <v>2262</v>
      </c>
      <c r="M455" t="s">
        <v>2510</v>
      </c>
    </row>
    <row r="456" spans="1:13">
      <c r="A456">
        <v>421010300</v>
      </c>
      <c r="B456" t="s">
        <v>2351</v>
      </c>
      <c r="C456">
        <v>352</v>
      </c>
      <c r="D456" t="s">
        <v>2352</v>
      </c>
      <c r="E456">
        <v>1</v>
      </c>
      <c r="F456">
        <v>10010000130</v>
      </c>
      <c r="G456" s="74">
        <v>1438092</v>
      </c>
      <c r="H456" t="s">
        <v>2366</v>
      </c>
      <c r="I456">
        <v>0</v>
      </c>
      <c r="J456" s="54">
        <v>43594</v>
      </c>
      <c r="K456">
        <v>8</v>
      </c>
      <c r="L456" t="s">
        <v>2262</v>
      </c>
    </row>
    <row r="457" spans="1:13">
      <c r="A457">
        <v>421010300</v>
      </c>
      <c r="B457" t="s">
        <v>2351</v>
      </c>
      <c r="C457">
        <v>352</v>
      </c>
      <c r="D457" t="s">
        <v>2352</v>
      </c>
      <c r="E457">
        <v>1</v>
      </c>
      <c r="F457">
        <v>10010000140</v>
      </c>
      <c r="G457" s="74">
        <v>520407</v>
      </c>
      <c r="H457" t="s">
        <v>2367</v>
      </c>
      <c r="I457">
        <v>0</v>
      </c>
      <c r="J457" s="54">
        <v>43629</v>
      </c>
      <c r="K457">
        <v>8</v>
      </c>
      <c r="L457" t="s">
        <v>2262</v>
      </c>
    </row>
    <row r="458" spans="1:13">
      <c r="A458">
        <v>421010300</v>
      </c>
      <c r="B458" t="s">
        <v>2351</v>
      </c>
      <c r="C458">
        <v>352</v>
      </c>
      <c r="D458" t="s">
        <v>2352</v>
      </c>
      <c r="E458">
        <v>1</v>
      </c>
      <c r="F458">
        <v>10240000554</v>
      </c>
      <c r="G458" s="74">
        <v>90909</v>
      </c>
      <c r="H458" t="s">
        <v>2368</v>
      </c>
      <c r="I458">
        <v>0</v>
      </c>
      <c r="J458" s="54">
        <v>43641</v>
      </c>
      <c r="K458">
        <v>8</v>
      </c>
      <c r="L458" t="s">
        <v>2262</v>
      </c>
    </row>
    <row r="459" spans="1:13">
      <c r="A459">
        <v>421010300</v>
      </c>
      <c r="B459" t="s">
        <v>2351</v>
      </c>
      <c r="C459">
        <v>352</v>
      </c>
      <c r="D459" t="s">
        <v>2352</v>
      </c>
      <c r="E459">
        <v>1</v>
      </c>
      <c r="F459">
        <v>141500000190</v>
      </c>
      <c r="G459" s="74">
        <v>10476273</v>
      </c>
      <c r="H459" t="s">
        <v>2369</v>
      </c>
      <c r="I459">
        <v>0</v>
      </c>
      <c r="J459" s="54">
        <v>43740</v>
      </c>
      <c r="K459">
        <v>8</v>
      </c>
      <c r="L459" t="s">
        <v>2262</v>
      </c>
    </row>
    <row r="460" spans="1:13">
      <c r="A460">
        <v>421010300</v>
      </c>
      <c r="B460" t="s">
        <v>2351</v>
      </c>
      <c r="C460">
        <v>669</v>
      </c>
      <c r="D460" t="s">
        <v>2370</v>
      </c>
      <c r="E460">
        <v>1</v>
      </c>
      <c r="F460">
        <v>10010000303</v>
      </c>
      <c r="G460" s="74">
        <v>8893945</v>
      </c>
      <c r="H460" t="s">
        <v>2371</v>
      </c>
      <c r="I460">
        <v>0</v>
      </c>
      <c r="J460" s="54">
        <v>43486</v>
      </c>
      <c r="K460">
        <v>8</v>
      </c>
      <c r="L460" t="s">
        <v>2262</v>
      </c>
    </row>
    <row r="461" spans="1:13">
      <c r="A461">
        <v>421010300</v>
      </c>
      <c r="B461" t="s">
        <v>2351</v>
      </c>
      <c r="C461">
        <v>669</v>
      </c>
      <c r="D461" t="s">
        <v>2370</v>
      </c>
      <c r="E461">
        <v>1</v>
      </c>
      <c r="F461">
        <v>10010000311</v>
      </c>
      <c r="G461" s="74">
        <v>12012559</v>
      </c>
      <c r="H461" t="s">
        <v>2372</v>
      </c>
      <c r="I461">
        <v>0</v>
      </c>
      <c r="J461" s="54">
        <v>43504</v>
      </c>
      <c r="K461">
        <v>8</v>
      </c>
      <c r="L461" t="s">
        <v>2262</v>
      </c>
      <c r="M461" t="s">
        <v>2510</v>
      </c>
    </row>
    <row r="462" spans="1:13">
      <c r="A462">
        <v>421010300</v>
      </c>
      <c r="B462" t="s">
        <v>2351</v>
      </c>
      <c r="C462">
        <v>669</v>
      </c>
      <c r="D462" t="s">
        <v>2370</v>
      </c>
      <c r="E462">
        <v>1</v>
      </c>
      <c r="F462">
        <v>10010000314</v>
      </c>
      <c r="G462" s="74">
        <v>12539081</v>
      </c>
      <c r="H462" t="s">
        <v>2373</v>
      </c>
      <c r="I462">
        <v>0</v>
      </c>
      <c r="J462" s="54">
        <v>43531</v>
      </c>
      <c r="K462">
        <v>8</v>
      </c>
      <c r="L462" t="s">
        <v>2262</v>
      </c>
      <c r="M462" t="s">
        <v>2510</v>
      </c>
    </row>
    <row r="463" spans="1:13">
      <c r="A463">
        <v>421010300</v>
      </c>
      <c r="B463" t="s">
        <v>2351</v>
      </c>
      <c r="C463">
        <v>669</v>
      </c>
      <c r="D463" t="s">
        <v>2370</v>
      </c>
      <c r="E463">
        <v>1</v>
      </c>
      <c r="F463">
        <v>10010000323</v>
      </c>
      <c r="G463" s="74">
        <v>10000000</v>
      </c>
      <c r="H463" t="s">
        <v>2374</v>
      </c>
      <c r="I463">
        <v>0</v>
      </c>
      <c r="J463" s="54">
        <v>43554</v>
      </c>
      <c r="K463">
        <v>8</v>
      </c>
      <c r="L463" t="s">
        <v>2262</v>
      </c>
      <c r="M463" t="s">
        <v>2510</v>
      </c>
    </row>
    <row r="464" spans="1:13">
      <c r="A464">
        <v>421010400</v>
      </c>
      <c r="B464" t="s">
        <v>2375</v>
      </c>
      <c r="C464">
        <v>806</v>
      </c>
      <c r="D464" t="s">
        <v>2376</v>
      </c>
      <c r="E464">
        <v>1</v>
      </c>
      <c r="F464">
        <v>10010000224</v>
      </c>
      <c r="G464" s="74">
        <v>969564</v>
      </c>
      <c r="H464" t="s">
        <v>2377</v>
      </c>
      <c r="I464">
        <v>0</v>
      </c>
      <c r="J464" s="54">
        <v>43629</v>
      </c>
      <c r="K464">
        <v>31</v>
      </c>
      <c r="L464" t="s">
        <v>2348</v>
      </c>
    </row>
    <row r="465" spans="1:14">
      <c r="A465">
        <v>421010400</v>
      </c>
      <c r="B465" t="s">
        <v>2375</v>
      </c>
      <c r="C465">
        <v>806</v>
      </c>
      <c r="D465" t="s">
        <v>2376</v>
      </c>
      <c r="E465">
        <v>1</v>
      </c>
      <c r="F465">
        <v>10010000228</v>
      </c>
      <c r="G465" s="74">
        <v>1246845</v>
      </c>
      <c r="H465" t="s">
        <v>2378</v>
      </c>
      <c r="I465">
        <v>0</v>
      </c>
      <c r="J465" s="54">
        <v>43690</v>
      </c>
      <c r="K465">
        <v>32</v>
      </c>
      <c r="L465" t="s">
        <v>2237</v>
      </c>
    </row>
    <row r="466" spans="1:14">
      <c r="A466">
        <v>421010400</v>
      </c>
      <c r="B466" t="s">
        <v>2375</v>
      </c>
      <c r="C466">
        <v>806</v>
      </c>
      <c r="D466" t="s">
        <v>2376</v>
      </c>
      <c r="E466">
        <v>1</v>
      </c>
      <c r="F466">
        <v>10010000230</v>
      </c>
      <c r="G466" s="74">
        <v>1168986</v>
      </c>
      <c r="H466" t="s">
        <v>2379</v>
      </c>
      <c r="I466">
        <v>0</v>
      </c>
      <c r="J466" s="54">
        <v>43734</v>
      </c>
      <c r="K466">
        <v>32</v>
      </c>
      <c r="L466" t="s">
        <v>2237</v>
      </c>
    </row>
    <row r="467" spans="1:14">
      <c r="A467">
        <v>421010400</v>
      </c>
      <c r="B467" t="s">
        <v>2375</v>
      </c>
      <c r="C467">
        <v>806</v>
      </c>
      <c r="D467" t="s">
        <v>2376</v>
      </c>
      <c r="E467">
        <v>1</v>
      </c>
      <c r="F467">
        <v>10010000253</v>
      </c>
      <c r="G467" s="74">
        <v>1186968</v>
      </c>
      <c r="H467" t="s">
        <v>2380</v>
      </c>
      <c r="I467">
        <v>0</v>
      </c>
      <c r="J467" s="54">
        <v>43769</v>
      </c>
      <c r="K467">
        <v>32</v>
      </c>
      <c r="L467" t="s">
        <v>2237</v>
      </c>
    </row>
    <row r="468" spans="1:14">
      <c r="A468">
        <v>421010400</v>
      </c>
      <c r="B468" t="s">
        <v>2375</v>
      </c>
      <c r="C468">
        <v>806</v>
      </c>
      <c r="D468" t="s">
        <v>2376</v>
      </c>
      <c r="E468">
        <v>1</v>
      </c>
      <c r="F468">
        <v>10010000254</v>
      </c>
      <c r="G468" s="74">
        <v>921356</v>
      </c>
      <c r="H468" t="s">
        <v>2381</v>
      </c>
      <c r="I468">
        <v>0</v>
      </c>
      <c r="J468" s="54">
        <v>43796</v>
      </c>
      <c r="K468">
        <v>32</v>
      </c>
      <c r="L468" t="s">
        <v>2237</v>
      </c>
    </row>
    <row r="469" spans="1:14">
      <c r="A469">
        <v>421010400</v>
      </c>
      <c r="B469" t="s">
        <v>2375</v>
      </c>
      <c r="C469">
        <v>806</v>
      </c>
      <c r="D469" t="s">
        <v>2376</v>
      </c>
      <c r="E469">
        <v>1</v>
      </c>
      <c r="F469">
        <v>10010000256</v>
      </c>
      <c r="G469" s="74">
        <v>1263111</v>
      </c>
      <c r="H469" t="s">
        <v>2382</v>
      </c>
      <c r="I469">
        <v>0</v>
      </c>
      <c r="J469" s="54">
        <v>43811</v>
      </c>
      <c r="K469">
        <v>32</v>
      </c>
      <c r="L469" t="s">
        <v>2237</v>
      </c>
    </row>
    <row r="470" spans="1:14" ht="13.5" customHeight="1">
      <c r="A470">
        <v>422030100</v>
      </c>
      <c r="B470" t="s">
        <v>2394</v>
      </c>
      <c r="C470">
        <v>442</v>
      </c>
      <c r="D470" t="s">
        <v>2395</v>
      </c>
      <c r="E470">
        <v>1</v>
      </c>
      <c r="F470">
        <v>10010000316</v>
      </c>
      <c r="G470" s="74">
        <v>54727273</v>
      </c>
      <c r="H470" t="s">
        <v>2396</v>
      </c>
      <c r="I470">
        <v>0</v>
      </c>
      <c r="J470" s="54">
        <v>43496</v>
      </c>
      <c r="K470">
        <v>37</v>
      </c>
      <c r="L470" t="s">
        <v>2017</v>
      </c>
      <c r="M470" t="s">
        <v>2383</v>
      </c>
      <c r="N470" t="s">
        <v>2507</v>
      </c>
    </row>
    <row r="471" spans="1:14">
      <c r="A471">
        <v>422030100</v>
      </c>
      <c r="B471" t="s">
        <v>2394</v>
      </c>
      <c r="C471">
        <v>442</v>
      </c>
      <c r="D471" t="s">
        <v>2395</v>
      </c>
      <c r="E471">
        <v>1</v>
      </c>
      <c r="F471">
        <v>10010000319</v>
      </c>
      <c r="G471" s="74">
        <v>54909091</v>
      </c>
      <c r="H471" t="s">
        <v>2397</v>
      </c>
      <c r="I471">
        <v>0</v>
      </c>
      <c r="J471" s="54">
        <v>43524</v>
      </c>
      <c r="K471">
        <v>37</v>
      </c>
      <c r="L471" t="s">
        <v>2017</v>
      </c>
      <c r="M471" t="s">
        <v>2383</v>
      </c>
      <c r="N471" t="s">
        <v>2507</v>
      </c>
    </row>
    <row r="472" spans="1:14">
      <c r="A472">
        <v>422030100</v>
      </c>
      <c r="B472" t="s">
        <v>2394</v>
      </c>
      <c r="C472">
        <v>442</v>
      </c>
      <c r="D472" t="s">
        <v>2395</v>
      </c>
      <c r="E472">
        <v>1</v>
      </c>
      <c r="F472">
        <v>10010000325</v>
      </c>
      <c r="G472" s="74">
        <v>55727273</v>
      </c>
      <c r="H472" t="s">
        <v>2398</v>
      </c>
      <c r="I472">
        <v>0</v>
      </c>
      <c r="J472" s="54">
        <v>43554</v>
      </c>
      <c r="K472">
        <v>37</v>
      </c>
      <c r="L472" t="s">
        <v>2017</v>
      </c>
      <c r="M472" t="s">
        <v>2383</v>
      </c>
      <c r="N472" t="s">
        <v>2507</v>
      </c>
    </row>
    <row r="473" spans="1:14">
      <c r="A473">
        <v>422030100</v>
      </c>
      <c r="B473" t="s">
        <v>2394</v>
      </c>
      <c r="C473">
        <v>442</v>
      </c>
      <c r="D473" t="s">
        <v>2395</v>
      </c>
      <c r="E473">
        <v>1</v>
      </c>
      <c r="F473">
        <v>10010000329</v>
      </c>
      <c r="G473" s="74">
        <v>56818182</v>
      </c>
      <c r="H473" t="s">
        <v>2399</v>
      </c>
      <c r="I473">
        <v>0</v>
      </c>
      <c r="J473" s="54">
        <v>43585</v>
      </c>
      <c r="K473">
        <v>37</v>
      </c>
      <c r="L473" t="s">
        <v>2017</v>
      </c>
      <c r="M473" t="s">
        <v>2383</v>
      </c>
      <c r="N473" t="s">
        <v>2507</v>
      </c>
    </row>
    <row r="474" spans="1:14">
      <c r="A474">
        <v>422030100</v>
      </c>
      <c r="B474" t="s">
        <v>2394</v>
      </c>
      <c r="C474">
        <v>442</v>
      </c>
      <c r="D474" t="s">
        <v>2395</v>
      </c>
      <c r="E474">
        <v>1</v>
      </c>
      <c r="F474">
        <v>10010000335</v>
      </c>
      <c r="G474" s="74">
        <v>56454545</v>
      </c>
      <c r="H474" t="s">
        <v>2400</v>
      </c>
      <c r="I474">
        <v>0</v>
      </c>
      <c r="J474" s="54">
        <v>43616</v>
      </c>
      <c r="K474">
        <v>37</v>
      </c>
      <c r="L474" t="s">
        <v>2017</v>
      </c>
      <c r="M474" t="s">
        <v>2383</v>
      </c>
      <c r="N474" t="s">
        <v>2507</v>
      </c>
    </row>
    <row r="475" spans="1:14">
      <c r="A475">
        <v>422030100</v>
      </c>
      <c r="B475" t="s">
        <v>2394</v>
      </c>
      <c r="C475">
        <v>442</v>
      </c>
      <c r="D475" t="s">
        <v>2395</v>
      </c>
      <c r="E475">
        <v>1</v>
      </c>
      <c r="F475">
        <v>10010000340</v>
      </c>
      <c r="G475" s="74">
        <v>41386364</v>
      </c>
      <c r="H475" t="s">
        <v>2401</v>
      </c>
      <c r="I475">
        <v>0</v>
      </c>
      <c r="J475" s="54">
        <v>43646</v>
      </c>
      <c r="K475">
        <v>37</v>
      </c>
      <c r="L475" t="s">
        <v>2017</v>
      </c>
      <c r="M475" t="s">
        <v>2383</v>
      </c>
      <c r="N475" t="s">
        <v>2507</v>
      </c>
    </row>
    <row r="476" spans="1:14">
      <c r="A476">
        <v>422030100</v>
      </c>
      <c r="B476" t="s">
        <v>2394</v>
      </c>
      <c r="C476">
        <v>442</v>
      </c>
      <c r="D476" t="s">
        <v>2395</v>
      </c>
      <c r="E476">
        <v>1</v>
      </c>
      <c r="F476">
        <v>10010000344</v>
      </c>
      <c r="G476" s="74">
        <v>39886364</v>
      </c>
      <c r="H476" t="s">
        <v>2402</v>
      </c>
      <c r="I476">
        <v>0</v>
      </c>
      <c r="J476" s="54">
        <v>43677</v>
      </c>
      <c r="K476">
        <v>37</v>
      </c>
      <c r="L476" t="s">
        <v>2017</v>
      </c>
      <c r="M476" t="s">
        <v>2383</v>
      </c>
      <c r="N476" t="s">
        <v>2507</v>
      </c>
    </row>
    <row r="477" spans="1:14">
      <c r="A477">
        <v>422030100</v>
      </c>
      <c r="B477" t="s">
        <v>2394</v>
      </c>
      <c r="C477">
        <v>442</v>
      </c>
      <c r="D477" t="s">
        <v>2395</v>
      </c>
      <c r="E477">
        <v>1</v>
      </c>
      <c r="F477">
        <v>10010000350</v>
      </c>
      <c r="G477" s="74">
        <v>41931818</v>
      </c>
      <c r="H477" t="s">
        <v>2403</v>
      </c>
      <c r="I477">
        <v>0</v>
      </c>
      <c r="J477" s="54">
        <v>43708</v>
      </c>
      <c r="K477">
        <v>37</v>
      </c>
      <c r="L477" t="s">
        <v>2017</v>
      </c>
      <c r="M477" t="s">
        <v>2383</v>
      </c>
      <c r="N477" t="s">
        <v>2507</v>
      </c>
    </row>
    <row r="478" spans="1:14">
      <c r="A478">
        <v>422030100</v>
      </c>
      <c r="B478" t="s">
        <v>2394</v>
      </c>
      <c r="C478">
        <v>442</v>
      </c>
      <c r="D478" t="s">
        <v>2395</v>
      </c>
      <c r="E478">
        <v>1</v>
      </c>
      <c r="F478">
        <v>10010000352</v>
      </c>
      <c r="G478" s="74">
        <v>42409091</v>
      </c>
      <c r="H478" t="s">
        <v>2404</v>
      </c>
      <c r="I478">
        <v>0</v>
      </c>
      <c r="J478" s="54">
        <v>43738</v>
      </c>
      <c r="K478">
        <v>37</v>
      </c>
      <c r="L478" t="s">
        <v>2017</v>
      </c>
      <c r="M478" t="s">
        <v>2383</v>
      </c>
      <c r="N478" t="s">
        <v>2507</v>
      </c>
    </row>
    <row r="479" spans="1:14">
      <c r="A479">
        <v>422030100</v>
      </c>
      <c r="B479" t="s">
        <v>2394</v>
      </c>
      <c r="C479">
        <v>442</v>
      </c>
      <c r="D479" t="s">
        <v>2395</v>
      </c>
      <c r="E479">
        <v>1</v>
      </c>
      <c r="F479">
        <v>10010000360</v>
      </c>
      <c r="G479" s="74">
        <v>43500000</v>
      </c>
      <c r="H479" t="s">
        <v>2405</v>
      </c>
      <c r="I479">
        <v>0</v>
      </c>
      <c r="J479" s="54">
        <v>43769</v>
      </c>
      <c r="K479">
        <v>37</v>
      </c>
      <c r="L479" t="s">
        <v>2017</v>
      </c>
      <c r="M479" t="s">
        <v>2383</v>
      </c>
      <c r="N479" t="s">
        <v>2507</v>
      </c>
    </row>
    <row r="480" spans="1:14">
      <c r="A480">
        <v>422030100</v>
      </c>
      <c r="B480" t="s">
        <v>2394</v>
      </c>
      <c r="C480">
        <v>442</v>
      </c>
      <c r="D480" t="s">
        <v>2395</v>
      </c>
      <c r="E480">
        <v>1</v>
      </c>
      <c r="F480">
        <v>10010000366</v>
      </c>
      <c r="G480" s="74">
        <v>42852273</v>
      </c>
      <c r="H480" t="s">
        <v>2406</v>
      </c>
      <c r="I480">
        <v>0</v>
      </c>
      <c r="J480" s="54">
        <v>43799</v>
      </c>
      <c r="K480">
        <v>37</v>
      </c>
      <c r="L480" t="s">
        <v>2017</v>
      </c>
      <c r="M480" t="s">
        <v>2383</v>
      </c>
      <c r="N480" t="s">
        <v>2507</v>
      </c>
    </row>
    <row r="481" spans="1:14">
      <c r="A481">
        <v>422030100</v>
      </c>
      <c r="B481" t="s">
        <v>2394</v>
      </c>
      <c r="C481">
        <v>442</v>
      </c>
      <c r="D481" t="s">
        <v>2395</v>
      </c>
      <c r="E481">
        <v>1</v>
      </c>
      <c r="F481">
        <v>10010000372</v>
      </c>
      <c r="G481" s="74">
        <v>47873106</v>
      </c>
      <c r="H481" t="s">
        <v>2407</v>
      </c>
      <c r="I481">
        <v>0</v>
      </c>
      <c r="J481" s="54">
        <v>43825</v>
      </c>
      <c r="K481">
        <v>37</v>
      </c>
      <c r="L481" t="s">
        <v>2017</v>
      </c>
      <c r="M481" t="s">
        <v>2383</v>
      </c>
      <c r="N481" t="s">
        <v>2507</v>
      </c>
    </row>
    <row r="482" spans="1:14">
      <c r="A482">
        <v>422030100</v>
      </c>
      <c r="B482" t="s">
        <v>2394</v>
      </c>
      <c r="C482">
        <v>442</v>
      </c>
      <c r="D482" t="s">
        <v>2395</v>
      </c>
      <c r="E482">
        <v>1</v>
      </c>
      <c r="F482">
        <v>10010000374</v>
      </c>
      <c r="G482" s="74">
        <v>43295455</v>
      </c>
      <c r="H482" t="s">
        <v>2408</v>
      </c>
      <c r="I482">
        <v>0</v>
      </c>
      <c r="J482" s="54">
        <v>43829</v>
      </c>
      <c r="K482">
        <v>37</v>
      </c>
      <c r="L482" t="s">
        <v>2017</v>
      </c>
      <c r="M482" t="s">
        <v>2383</v>
      </c>
      <c r="N482" t="s">
        <v>2507</v>
      </c>
    </row>
    <row r="483" spans="1:14">
      <c r="A483">
        <v>422030100</v>
      </c>
      <c r="B483" t="s">
        <v>2394</v>
      </c>
      <c r="C483">
        <v>442</v>
      </c>
      <c r="D483" t="s">
        <v>2395</v>
      </c>
      <c r="E483">
        <v>1</v>
      </c>
      <c r="F483">
        <v>10010000063</v>
      </c>
      <c r="G483" s="74">
        <v>20000000</v>
      </c>
      <c r="H483" t="s">
        <v>2409</v>
      </c>
      <c r="I483">
        <v>0</v>
      </c>
      <c r="J483" s="54">
        <v>43483</v>
      </c>
      <c r="K483">
        <v>45</v>
      </c>
      <c r="L483" t="s">
        <v>1995</v>
      </c>
      <c r="M483" t="s">
        <v>2388</v>
      </c>
      <c r="N483" t="s">
        <v>2507</v>
      </c>
    </row>
    <row r="484" spans="1:14">
      <c r="A484">
        <v>422030100</v>
      </c>
      <c r="B484" t="s">
        <v>2394</v>
      </c>
      <c r="C484">
        <v>442</v>
      </c>
      <c r="D484" t="s">
        <v>2395</v>
      </c>
      <c r="E484">
        <v>1</v>
      </c>
      <c r="F484">
        <v>10010000064</v>
      </c>
      <c r="G484" s="74">
        <v>20000000</v>
      </c>
      <c r="H484" t="s">
        <v>2410</v>
      </c>
      <c r="I484">
        <v>0</v>
      </c>
      <c r="J484" s="54">
        <v>43496</v>
      </c>
      <c r="K484">
        <v>45</v>
      </c>
      <c r="L484" t="s">
        <v>1995</v>
      </c>
      <c r="M484" t="s">
        <v>2388</v>
      </c>
      <c r="N484" t="s">
        <v>2507</v>
      </c>
    </row>
    <row r="485" spans="1:14">
      <c r="A485">
        <v>422030100</v>
      </c>
      <c r="B485" t="s">
        <v>2394</v>
      </c>
      <c r="C485">
        <v>442</v>
      </c>
      <c r="D485" t="s">
        <v>2395</v>
      </c>
      <c r="E485">
        <v>1</v>
      </c>
      <c r="F485">
        <v>10010000065</v>
      </c>
      <c r="G485" s="74">
        <v>20000000</v>
      </c>
      <c r="H485" t="s">
        <v>2411</v>
      </c>
      <c r="I485">
        <v>0</v>
      </c>
      <c r="J485" s="54">
        <v>43524</v>
      </c>
      <c r="K485">
        <v>45</v>
      </c>
      <c r="L485" t="s">
        <v>1995</v>
      </c>
      <c r="M485" t="s">
        <v>2388</v>
      </c>
      <c r="N485" t="s">
        <v>2507</v>
      </c>
    </row>
    <row r="486" spans="1:14">
      <c r="A486">
        <v>422030100</v>
      </c>
      <c r="B486" t="s">
        <v>2394</v>
      </c>
      <c r="C486">
        <v>442</v>
      </c>
      <c r="D486" t="s">
        <v>2395</v>
      </c>
      <c r="E486">
        <v>1</v>
      </c>
      <c r="F486">
        <v>10010000066</v>
      </c>
      <c r="G486" s="74">
        <v>20000000</v>
      </c>
      <c r="H486" t="s">
        <v>2411</v>
      </c>
      <c r="I486">
        <v>0</v>
      </c>
      <c r="J486" s="54">
        <v>43554</v>
      </c>
      <c r="K486">
        <v>45</v>
      </c>
      <c r="L486" t="s">
        <v>1995</v>
      </c>
      <c r="M486" t="s">
        <v>2388</v>
      </c>
      <c r="N486" t="s">
        <v>2507</v>
      </c>
    </row>
    <row r="487" spans="1:14">
      <c r="A487">
        <v>422030100</v>
      </c>
      <c r="B487" t="s">
        <v>2394</v>
      </c>
      <c r="C487">
        <v>442</v>
      </c>
      <c r="D487" t="s">
        <v>2395</v>
      </c>
      <c r="E487">
        <v>1</v>
      </c>
      <c r="F487">
        <v>10010000067</v>
      </c>
      <c r="G487" s="74">
        <v>20000000</v>
      </c>
      <c r="H487" t="s">
        <v>2411</v>
      </c>
      <c r="I487">
        <v>0</v>
      </c>
      <c r="J487" s="54">
        <v>43585</v>
      </c>
      <c r="K487">
        <v>45</v>
      </c>
      <c r="L487" t="s">
        <v>1995</v>
      </c>
      <c r="M487" t="s">
        <v>2388</v>
      </c>
      <c r="N487" t="s">
        <v>2507</v>
      </c>
    </row>
    <row r="488" spans="1:14">
      <c r="A488">
        <v>422030100</v>
      </c>
      <c r="B488" t="s">
        <v>2394</v>
      </c>
      <c r="C488">
        <v>442</v>
      </c>
      <c r="D488" t="s">
        <v>2395</v>
      </c>
      <c r="E488">
        <v>1</v>
      </c>
      <c r="F488">
        <v>10010000076</v>
      </c>
      <c r="G488" s="74">
        <v>20000000</v>
      </c>
      <c r="H488" t="s">
        <v>2411</v>
      </c>
      <c r="I488">
        <v>0</v>
      </c>
      <c r="J488" s="54">
        <v>43616</v>
      </c>
      <c r="K488">
        <v>45</v>
      </c>
      <c r="L488" t="s">
        <v>1995</v>
      </c>
      <c r="M488" t="s">
        <v>2388</v>
      </c>
      <c r="N488" t="s">
        <v>2507</v>
      </c>
    </row>
    <row r="489" spans="1:14">
      <c r="A489">
        <v>422030100</v>
      </c>
      <c r="B489" t="s">
        <v>2394</v>
      </c>
      <c r="C489">
        <v>442</v>
      </c>
      <c r="D489" t="s">
        <v>2395</v>
      </c>
      <c r="E489">
        <v>1</v>
      </c>
      <c r="F489">
        <v>10010000077</v>
      </c>
      <c r="G489" s="74">
        <v>20000000</v>
      </c>
      <c r="H489" t="s">
        <v>2412</v>
      </c>
      <c r="I489">
        <v>0</v>
      </c>
      <c r="J489" s="54">
        <v>43646</v>
      </c>
      <c r="K489">
        <v>45</v>
      </c>
      <c r="L489" t="s">
        <v>1995</v>
      </c>
      <c r="M489" t="s">
        <v>2388</v>
      </c>
      <c r="N489" t="s">
        <v>2507</v>
      </c>
    </row>
    <row r="490" spans="1:14">
      <c r="A490">
        <v>422030100</v>
      </c>
      <c r="B490" t="s">
        <v>2394</v>
      </c>
      <c r="C490">
        <v>442</v>
      </c>
      <c r="D490" t="s">
        <v>2395</v>
      </c>
      <c r="E490">
        <v>1</v>
      </c>
      <c r="F490">
        <v>10010000078</v>
      </c>
      <c r="G490" s="74">
        <v>20000000</v>
      </c>
      <c r="H490" t="s">
        <v>2412</v>
      </c>
      <c r="I490">
        <v>0</v>
      </c>
      <c r="J490" s="54">
        <v>43677</v>
      </c>
      <c r="K490">
        <v>45</v>
      </c>
      <c r="L490" t="s">
        <v>1995</v>
      </c>
      <c r="M490" t="s">
        <v>2388</v>
      </c>
      <c r="N490" t="s">
        <v>2507</v>
      </c>
    </row>
    <row r="491" spans="1:14">
      <c r="A491">
        <v>422030100</v>
      </c>
      <c r="B491" t="s">
        <v>2394</v>
      </c>
      <c r="C491">
        <v>442</v>
      </c>
      <c r="D491" t="s">
        <v>2395</v>
      </c>
      <c r="E491">
        <v>1</v>
      </c>
      <c r="F491">
        <v>10010000079</v>
      </c>
      <c r="G491" s="74">
        <v>20000000</v>
      </c>
      <c r="H491" t="s">
        <v>2413</v>
      </c>
      <c r="I491">
        <v>0</v>
      </c>
      <c r="J491" s="54">
        <v>43708</v>
      </c>
      <c r="K491">
        <v>45</v>
      </c>
      <c r="L491" t="s">
        <v>1995</v>
      </c>
      <c r="M491" t="s">
        <v>2388</v>
      </c>
      <c r="N491" t="s">
        <v>2507</v>
      </c>
    </row>
    <row r="492" spans="1:14">
      <c r="A492">
        <v>422030100</v>
      </c>
      <c r="B492" t="s">
        <v>2394</v>
      </c>
      <c r="C492">
        <v>442</v>
      </c>
      <c r="D492" t="s">
        <v>2395</v>
      </c>
      <c r="E492">
        <v>1</v>
      </c>
      <c r="F492">
        <v>10010000080</v>
      </c>
      <c r="G492" s="74">
        <v>20000000</v>
      </c>
      <c r="H492" t="s">
        <v>2414</v>
      </c>
      <c r="I492">
        <v>0</v>
      </c>
      <c r="J492" s="54">
        <v>43738</v>
      </c>
      <c r="K492">
        <v>45</v>
      </c>
      <c r="L492" t="s">
        <v>1995</v>
      </c>
      <c r="M492" t="s">
        <v>2388</v>
      </c>
      <c r="N492" t="s">
        <v>2507</v>
      </c>
    </row>
    <row r="493" spans="1:14">
      <c r="A493">
        <v>422030100</v>
      </c>
      <c r="B493" t="s">
        <v>2394</v>
      </c>
      <c r="C493">
        <v>442</v>
      </c>
      <c r="D493" t="s">
        <v>2395</v>
      </c>
      <c r="E493">
        <v>1</v>
      </c>
      <c r="F493">
        <v>10010000081</v>
      </c>
      <c r="G493" s="74">
        <v>20000000</v>
      </c>
      <c r="H493" t="s">
        <v>2415</v>
      </c>
      <c r="I493">
        <v>0</v>
      </c>
      <c r="J493" s="54">
        <v>43769</v>
      </c>
      <c r="K493">
        <v>45</v>
      </c>
      <c r="L493" t="s">
        <v>1995</v>
      </c>
      <c r="M493" t="s">
        <v>2388</v>
      </c>
      <c r="N493" t="s">
        <v>2507</v>
      </c>
    </row>
    <row r="494" spans="1:14">
      <c r="A494">
        <v>422030100</v>
      </c>
      <c r="B494" t="s">
        <v>2394</v>
      </c>
      <c r="C494">
        <v>442</v>
      </c>
      <c r="D494" t="s">
        <v>2395</v>
      </c>
      <c r="E494">
        <v>1</v>
      </c>
      <c r="F494">
        <v>10010000082</v>
      </c>
      <c r="G494" s="74">
        <v>46333334</v>
      </c>
      <c r="H494" t="s">
        <v>2411</v>
      </c>
      <c r="I494">
        <v>0</v>
      </c>
      <c r="J494" s="54">
        <v>43799</v>
      </c>
      <c r="K494">
        <v>45</v>
      </c>
      <c r="L494" t="s">
        <v>1995</v>
      </c>
      <c r="M494" t="s">
        <v>2388</v>
      </c>
      <c r="N494" t="s">
        <v>2507</v>
      </c>
    </row>
    <row r="495" spans="1:14">
      <c r="A495">
        <v>422030100</v>
      </c>
      <c r="B495" t="s">
        <v>2394</v>
      </c>
      <c r="C495">
        <v>442</v>
      </c>
      <c r="D495" t="s">
        <v>2395</v>
      </c>
      <c r="E495">
        <v>2</v>
      </c>
      <c r="F495">
        <v>10010008215</v>
      </c>
      <c r="G495" s="74">
        <v>6110000</v>
      </c>
      <c r="H495" t="s">
        <v>2416</v>
      </c>
      <c r="I495">
        <v>0</v>
      </c>
      <c r="J495" s="54">
        <v>43496</v>
      </c>
      <c r="L495" t="s">
        <v>2076</v>
      </c>
    </row>
    <row r="496" spans="1:14">
      <c r="A496">
        <v>422030100</v>
      </c>
      <c r="B496" t="s">
        <v>2394</v>
      </c>
      <c r="C496">
        <v>442</v>
      </c>
      <c r="D496" t="s">
        <v>2395</v>
      </c>
      <c r="E496">
        <v>2</v>
      </c>
      <c r="F496">
        <v>10010009433</v>
      </c>
      <c r="G496" s="74">
        <v>6080000</v>
      </c>
      <c r="H496" t="s">
        <v>2417</v>
      </c>
      <c r="I496">
        <v>0</v>
      </c>
      <c r="J496" s="54">
        <v>43524</v>
      </c>
      <c r="L496" t="s">
        <v>2076</v>
      </c>
    </row>
    <row r="497" spans="1:12">
      <c r="A497">
        <v>422030100</v>
      </c>
      <c r="B497" t="s">
        <v>2394</v>
      </c>
      <c r="C497">
        <v>442</v>
      </c>
      <c r="D497" t="s">
        <v>2395</v>
      </c>
      <c r="E497">
        <v>2</v>
      </c>
      <c r="F497">
        <v>10010010696</v>
      </c>
      <c r="G497" s="74">
        <v>6170000</v>
      </c>
      <c r="H497" t="s">
        <v>2418</v>
      </c>
      <c r="I497">
        <v>0</v>
      </c>
      <c r="J497" s="54">
        <v>43543</v>
      </c>
      <c r="L497" t="s">
        <v>2076</v>
      </c>
    </row>
    <row r="498" spans="1:12">
      <c r="A498">
        <v>422030100</v>
      </c>
      <c r="B498" t="s">
        <v>2394</v>
      </c>
      <c r="C498">
        <v>442</v>
      </c>
      <c r="D498" t="s">
        <v>2395</v>
      </c>
      <c r="E498">
        <v>2</v>
      </c>
      <c r="F498">
        <v>10010012003</v>
      </c>
      <c r="G498" s="74">
        <v>6250000</v>
      </c>
      <c r="H498" t="s">
        <v>2419</v>
      </c>
      <c r="I498">
        <v>0</v>
      </c>
      <c r="J498" s="54">
        <v>43572</v>
      </c>
      <c r="L498" t="s">
        <v>2076</v>
      </c>
    </row>
    <row r="499" spans="1:12">
      <c r="A499">
        <v>422030100</v>
      </c>
      <c r="B499" t="s">
        <v>2394</v>
      </c>
      <c r="C499">
        <v>442</v>
      </c>
      <c r="D499" t="s">
        <v>2395</v>
      </c>
      <c r="E499">
        <v>2</v>
      </c>
      <c r="F499">
        <v>10010013196</v>
      </c>
      <c r="G499" s="74">
        <v>6330000</v>
      </c>
      <c r="H499" t="s">
        <v>2420</v>
      </c>
      <c r="I499">
        <v>0</v>
      </c>
      <c r="J499" s="54">
        <v>43606</v>
      </c>
      <c r="L499" t="s">
        <v>2076</v>
      </c>
    </row>
    <row r="500" spans="1:12">
      <c r="A500">
        <v>422030100</v>
      </c>
      <c r="B500" t="s">
        <v>2394</v>
      </c>
      <c r="C500">
        <v>442</v>
      </c>
      <c r="D500" t="s">
        <v>2395</v>
      </c>
      <c r="E500">
        <v>2</v>
      </c>
      <c r="F500">
        <v>10010014661</v>
      </c>
      <c r="G500" s="74">
        <v>6220000</v>
      </c>
      <c r="H500" t="s">
        <v>2421</v>
      </c>
      <c r="I500">
        <v>0</v>
      </c>
      <c r="J500" s="54">
        <v>43635</v>
      </c>
      <c r="L500" t="s">
        <v>2076</v>
      </c>
    </row>
    <row r="501" spans="1:12">
      <c r="A501">
        <v>422030100</v>
      </c>
      <c r="B501" t="s">
        <v>2394</v>
      </c>
      <c r="C501">
        <v>442</v>
      </c>
      <c r="D501" t="s">
        <v>2395</v>
      </c>
      <c r="E501">
        <v>2</v>
      </c>
      <c r="F501">
        <v>10010016804</v>
      </c>
      <c r="G501" s="74">
        <v>6020000</v>
      </c>
      <c r="H501" t="s">
        <v>2422</v>
      </c>
      <c r="I501">
        <v>0</v>
      </c>
      <c r="J501" s="54">
        <v>43672</v>
      </c>
      <c r="L501" t="s">
        <v>2076</v>
      </c>
    </row>
    <row r="502" spans="1:12">
      <c r="A502">
        <v>422030100</v>
      </c>
      <c r="B502" t="s">
        <v>2394</v>
      </c>
      <c r="C502">
        <v>442</v>
      </c>
      <c r="D502" t="s">
        <v>2395</v>
      </c>
      <c r="E502">
        <v>2</v>
      </c>
      <c r="F502">
        <v>10010017685</v>
      </c>
      <c r="G502" s="74">
        <v>6190000</v>
      </c>
      <c r="H502" t="s">
        <v>2423</v>
      </c>
      <c r="I502">
        <v>0</v>
      </c>
      <c r="J502" s="54">
        <v>43698</v>
      </c>
      <c r="L502" t="s">
        <v>2076</v>
      </c>
    </row>
    <row r="503" spans="1:12">
      <c r="A503">
        <v>422030100</v>
      </c>
      <c r="B503" t="s">
        <v>2394</v>
      </c>
      <c r="C503">
        <v>442</v>
      </c>
      <c r="D503" t="s">
        <v>2395</v>
      </c>
      <c r="E503">
        <v>2</v>
      </c>
      <c r="F503">
        <v>10010019174</v>
      </c>
      <c r="G503" s="74">
        <v>6410000</v>
      </c>
      <c r="H503" t="s">
        <v>2424</v>
      </c>
      <c r="I503">
        <v>0</v>
      </c>
      <c r="J503" s="54">
        <v>43727</v>
      </c>
      <c r="L503" t="s">
        <v>2076</v>
      </c>
    </row>
    <row r="504" spans="1:12">
      <c r="A504">
        <v>422030100</v>
      </c>
      <c r="B504" t="s">
        <v>2394</v>
      </c>
      <c r="C504">
        <v>442</v>
      </c>
      <c r="D504" t="s">
        <v>2395</v>
      </c>
      <c r="E504">
        <v>2</v>
      </c>
      <c r="F504">
        <v>10010020566</v>
      </c>
      <c r="G504" s="74">
        <v>6440000</v>
      </c>
      <c r="H504" t="s">
        <v>2425</v>
      </c>
      <c r="I504">
        <v>0</v>
      </c>
      <c r="J504" s="54">
        <v>43761</v>
      </c>
      <c r="L504" t="s">
        <v>2076</v>
      </c>
    </row>
    <row r="505" spans="1:12">
      <c r="A505">
        <v>422030100</v>
      </c>
      <c r="B505" t="s">
        <v>2394</v>
      </c>
      <c r="C505">
        <v>442</v>
      </c>
      <c r="D505" t="s">
        <v>2395</v>
      </c>
      <c r="E505">
        <v>2</v>
      </c>
      <c r="F505">
        <v>10010021989</v>
      </c>
      <c r="G505" s="74">
        <v>6440000</v>
      </c>
      <c r="H505" t="s">
        <v>2426</v>
      </c>
      <c r="I505">
        <v>0</v>
      </c>
      <c r="J505" s="54">
        <v>43789</v>
      </c>
      <c r="L505" t="s">
        <v>2076</v>
      </c>
    </row>
    <row r="506" spans="1:12">
      <c r="A506">
        <v>422030100</v>
      </c>
      <c r="B506" t="s">
        <v>2394</v>
      </c>
      <c r="C506">
        <v>442</v>
      </c>
      <c r="D506" t="s">
        <v>2395</v>
      </c>
      <c r="E506">
        <v>2</v>
      </c>
      <c r="F506">
        <v>10010023400</v>
      </c>
      <c r="G506" s="74">
        <v>6440000</v>
      </c>
      <c r="H506" t="s">
        <v>2427</v>
      </c>
      <c r="I506">
        <v>0</v>
      </c>
      <c r="J506" s="54">
        <v>43825</v>
      </c>
      <c r="L506" t="s">
        <v>2076</v>
      </c>
    </row>
    <row r="507" spans="1:12" hidden="1">
      <c r="A507">
        <v>422030100</v>
      </c>
      <c r="B507" t="s">
        <v>2394</v>
      </c>
      <c r="C507">
        <v>1721</v>
      </c>
      <c r="D507" t="s">
        <v>2428</v>
      </c>
      <c r="E507">
        <v>26</v>
      </c>
      <c r="F507">
        <v>5072019</v>
      </c>
      <c r="G507">
        <v>3975000</v>
      </c>
      <c r="H507" t="s">
        <v>2429</v>
      </c>
      <c r="I507">
        <v>0</v>
      </c>
      <c r="J507">
        <v>43651</v>
      </c>
      <c r="K507">
        <v>45</v>
      </c>
      <c r="L507" t="s">
        <v>1995</v>
      </c>
    </row>
    <row r="508" spans="1:12" hidden="1">
      <c r="A508">
        <v>422030100</v>
      </c>
      <c r="B508" t="s">
        <v>2394</v>
      </c>
      <c r="C508">
        <v>1722</v>
      </c>
      <c r="D508" t="s">
        <v>2430</v>
      </c>
      <c r="E508">
        <v>25</v>
      </c>
      <c r="F508">
        <v>31072019</v>
      </c>
      <c r="G508">
        <v>0</v>
      </c>
      <c r="H508" t="s">
        <v>2431</v>
      </c>
      <c r="I508">
        <v>3975000</v>
      </c>
      <c r="J508">
        <v>43677</v>
      </c>
      <c r="K508">
        <v>45</v>
      </c>
      <c r="L508" t="s">
        <v>1995</v>
      </c>
    </row>
    <row r="512" spans="1:12">
      <c r="B512" t="s">
        <v>2383</v>
      </c>
      <c r="C512" s="74">
        <f t="shared" ref="C512:C527" si="0">SUMIF(M:M,B512,G:G)</f>
        <v>621770835</v>
      </c>
    </row>
    <row r="513" spans="2:4">
      <c r="B513" t="s">
        <v>2384</v>
      </c>
      <c r="C513" s="74">
        <f t="shared" si="0"/>
        <v>196594364</v>
      </c>
      <c r="D513" t="s">
        <v>681</v>
      </c>
    </row>
    <row r="514" spans="2:4">
      <c r="B514" t="s">
        <v>2385</v>
      </c>
      <c r="C514" s="74">
        <f t="shared" si="0"/>
        <v>131727274</v>
      </c>
    </row>
    <row r="515" spans="2:4">
      <c r="B515" t="s">
        <v>2386</v>
      </c>
      <c r="C515" s="74">
        <f t="shared" si="0"/>
        <v>259592570</v>
      </c>
    </row>
    <row r="516" spans="2:4">
      <c r="B516" t="s">
        <v>2387</v>
      </c>
      <c r="C516" s="74">
        <f t="shared" si="0"/>
        <v>104722222</v>
      </c>
    </row>
    <row r="517" spans="2:4">
      <c r="B517" t="s">
        <v>2499</v>
      </c>
      <c r="C517" s="74">
        <f t="shared" si="0"/>
        <v>125191875</v>
      </c>
    </row>
    <row r="518" spans="2:4">
      <c r="B518" t="s">
        <v>2388</v>
      </c>
      <c r="C518" s="74">
        <f t="shared" si="0"/>
        <v>266333334</v>
      </c>
    </row>
    <row r="519" spans="2:4">
      <c r="B519" t="s">
        <v>2389</v>
      </c>
      <c r="C519" s="74">
        <f t="shared" si="0"/>
        <v>161268438</v>
      </c>
    </row>
    <row r="520" spans="2:4">
      <c r="B520" t="s">
        <v>2390</v>
      </c>
      <c r="C520" s="74">
        <f t="shared" si="0"/>
        <v>14149167</v>
      </c>
    </row>
    <row r="521" spans="2:4">
      <c r="B521" t="s">
        <v>2391</v>
      </c>
      <c r="C521" s="74">
        <f t="shared" si="0"/>
        <v>218636366</v>
      </c>
    </row>
    <row r="522" spans="2:4">
      <c r="B522" t="s">
        <v>2392</v>
      </c>
      <c r="C522" s="74">
        <f t="shared" si="0"/>
        <v>32088182</v>
      </c>
    </row>
    <row r="523" spans="2:4">
      <c r="B523" t="s">
        <v>2393</v>
      </c>
      <c r="C523" s="74">
        <f t="shared" si="0"/>
        <v>145115455</v>
      </c>
    </row>
    <row r="524" spans="2:4">
      <c r="B524" t="s">
        <v>2496</v>
      </c>
      <c r="C524" s="74">
        <f t="shared" si="0"/>
        <v>65454546</v>
      </c>
    </row>
    <row r="525" spans="2:4">
      <c r="B525" t="s">
        <v>2509</v>
      </c>
      <c r="C525" s="74">
        <f t="shared" si="0"/>
        <v>156520000</v>
      </c>
    </row>
    <row r="526" spans="2:4">
      <c r="B526" t="s">
        <v>2497</v>
      </c>
      <c r="C526" s="74">
        <f t="shared" si="0"/>
        <v>125208593</v>
      </c>
      <c r="D526" t="s">
        <v>681</v>
      </c>
    </row>
    <row r="527" spans="2:4">
      <c r="B527" t="s">
        <v>2498</v>
      </c>
      <c r="C527" s="74">
        <f t="shared" si="0"/>
        <v>77010481</v>
      </c>
      <c r="D527" t="s">
        <v>681</v>
      </c>
    </row>
    <row r="528" spans="2:4" ht="14" thickBot="1">
      <c r="C528" s="80">
        <f>SUBTOTAL(9,C512:C527)</f>
        <v>2701383702</v>
      </c>
    </row>
  </sheetData>
  <autoFilter ref="A1:BF508" xr:uid="{00000000-0009-0000-0000-000021000000}">
    <filterColumn colId="4">
      <filters>
        <filter val="1"/>
        <filter val="2"/>
        <filter val="9"/>
      </filters>
    </filterColumn>
  </autoFilter>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E14"/>
  <sheetViews>
    <sheetView view="pageBreakPreview" zoomScale="130" zoomScaleNormal="100" zoomScaleSheetLayoutView="130" workbookViewId="0">
      <selection activeCell="C19" sqref="C19"/>
    </sheetView>
  </sheetViews>
  <sheetFormatPr baseColWidth="10" defaultRowHeight="13"/>
  <cols>
    <col min="2" max="2" width="33.1640625" customWidth="1"/>
    <col min="3" max="6" width="20.5" customWidth="1"/>
    <col min="8" max="8" width="30.5" customWidth="1"/>
  </cols>
  <sheetData>
    <row r="1" spans="1:5" s="37" customFormat="1">
      <c r="A1" s="480" t="s">
        <v>723</v>
      </c>
      <c r="B1" s="480"/>
      <c r="C1" s="480"/>
      <c r="D1" s="480"/>
      <c r="E1" s="480"/>
    </row>
    <row r="2" spans="1:5" s="37" customFormat="1">
      <c r="A2" s="480" t="s">
        <v>2500</v>
      </c>
      <c r="B2" s="480"/>
      <c r="C2" s="480"/>
      <c r="D2" s="480"/>
      <c r="E2" s="480"/>
    </row>
    <row r="3" spans="1:5" s="37" customFormat="1">
      <c r="A3" s="480" t="s">
        <v>2508</v>
      </c>
      <c r="B3" s="480"/>
      <c r="C3" s="480"/>
      <c r="D3" s="480"/>
      <c r="E3" s="480"/>
    </row>
    <row r="5" spans="1:5">
      <c r="B5" t="s">
        <v>2501</v>
      </c>
      <c r="C5" s="74">
        <v>95057879962</v>
      </c>
      <c r="D5" s="74"/>
    </row>
    <row r="6" spans="1:5">
      <c r="B6" t="s">
        <v>2502</v>
      </c>
      <c r="C6" s="74">
        <f>C5*0.025</f>
        <v>2376446999.0500002</v>
      </c>
      <c r="D6" s="74">
        <f>+C5*1%</f>
        <v>950578799.62</v>
      </c>
    </row>
    <row r="8" spans="1:5" s="37" customFormat="1">
      <c r="A8" s="37" t="s">
        <v>2503</v>
      </c>
      <c r="B8" s="37" t="s">
        <v>277</v>
      </c>
      <c r="C8" s="81" t="s">
        <v>2504</v>
      </c>
      <c r="D8" s="81" t="s">
        <v>2505</v>
      </c>
      <c r="E8" s="81" t="s">
        <v>307</v>
      </c>
    </row>
    <row r="9" spans="1:5">
      <c r="B9" t="s">
        <v>668</v>
      </c>
      <c r="C9" s="74"/>
      <c r="D9" s="74">
        <v>439134746</v>
      </c>
      <c r="E9" s="74">
        <v>439134746</v>
      </c>
    </row>
    <row r="10" spans="1:5">
      <c r="B10" t="s">
        <v>681</v>
      </c>
      <c r="C10" s="74">
        <f>SUMIF('Detalle de honorarios'!N:N,B10,'Detalle de honorarios'!G:G)</f>
        <v>398813438</v>
      </c>
      <c r="D10" s="74">
        <f>+E10-C10</f>
        <v>200177031</v>
      </c>
      <c r="E10" s="74">
        <v>598990469</v>
      </c>
    </row>
    <row r="11" spans="1:5">
      <c r="B11" t="s">
        <v>663</v>
      </c>
      <c r="C11" s="74">
        <f>SUMIF('Detalle de honorarios'!N:N,B11,'Detalle de honorarios'!G:G)</f>
        <v>160709872</v>
      </c>
      <c r="D11" s="74">
        <f>+E11-C11</f>
        <v>902518757</v>
      </c>
      <c r="E11" s="74">
        <v>1063228629</v>
      </c>
    </row>
    <row r="12" spans="1:5">
      <c r="B12" t="s">
        <v>2506</v>
      </c>
      <c r="C12" s="74">
        <f>SUMIF('Detalle de honorarios'!N:N,B12,'Detalle de honorarios'!G:G)</f>
        <v>1253756223</v>
      </c>
      <c r="D12" s="74">
        <f>+E12-C12</f>
        <v>538110956</v>
      </c>
      <c r="E12" s="74">
        <v>1791867179</v>
      </c>
    </row>
    <row r="13" spans="1:5">
      <c r="B13" t="s">
        <v>2507</v>
      </c>
      <c r="C13" s="74">
        <f>SUMIF('Detalle de honorarios'!N:N,B13,'Detalle de honorarios'!G:G)</f>
        <v>888104169</v>
      </c>
      <c r="D13" s="74">
        <f>+E13-C13</f>
        <v>55100000</v>
      </c>
      <c r="E13" s="74">
        <v>943204169</v>
      </c>
    </row>
    <row r="14" spans="1:5" s="37" customFormat="1" ht="14" thickBot="1">
      <c r="B14" s="37" t="s">
        <v>307</v>
      </c>
      <c r="C14" s="80">
        <f>SUM(C9:C13)</f>
        <v>2701383702</v>
      </c>
      <c r="D14" s="80">
        <f>SUM(D9:D13)</f>
        <v>2135041490</v>
      </c>
      <c r="E14" s="80">
        <f>SUM(E9:E13)</f>
        <v>4836425192</v>
      </c>
    </row>
  </sheetData>
  <mergeCells count="3">
    <mergeCell ref="A1:E1"/>
    <mergeCell ref="A2:E2"/>
    <mergeCell ref="A3:E3"/>
  </mergeCells>
  <pageMargins left="0.7" right="0.7" top="0.75" bottom="0.75" header="0.3" footer="0.3"/>
  <pageSetup paperSize="9" scale="8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filterMode="1">
    <tabColor rgb="FFFFFF00"/>
  </sheetPr>
  <dimension ref="A1:J1067"/>
  <sheetViews>
    <sheetView topLeftCell="A444" workbookViewId="0">
      <selection activeCell="B16" sqref="B16"/>
    </sheetView>
  </sheetViews>
  <sheetFormatPr baseColWidth="10" defaultRowHeight="13"/>
  <cols>
    <col min="2" max="2" width="30.5" style="71" customWidth="1"/>
    <col min="3" max="3" width="7.83203125" customWidth="1"/>
    <col min="4" max="4" width="18.6640625" customWidth="1"/>
    <col min="5" max="5" width="4.33203125" customWidth="1"/>
    <col min="7" max="7" width="15.5" style="23" bestFit="1" customWidth="1"/>
    <col min="8" max="8" width="40.6640625" customWidth="1"/>
    <col min="10" max="10" width="11.5" style="54"/>
  </cols>
  <sheetData>
    <row r="1" spans="1:10">
      <c r="B1" s="72" t="s">
        <v>4060</v>
      </c>
    </row>
    <row r="3" spans="1:10">
      <c r="A3">
        <v>411030400</v>
      </c>
      <c r="B3" s="71" t="s">
        <v>2515</v>
      </c>
      <c r="C3">
        <v>680</v>
      </c>
      <c r="D3" t="s">
        <v>2516</v>
      </c>
      <c r="E3">
        <v>26</v>
      </c>
      <c r="F3">
        <v>41</v>
      </c>
      <c r="G3" s="23">
        <v>500000</v>
      </c>
      <c r="H3" t="s">
        <v>2517</v>
      </c>
      <c r="I3">
        <v>0</v>
      </c>
      <c r="J3" s="54">
        <v>43738</v>
      </c>
    </row>
    <row r="4" spans="1:10">
      <c r="A4">
        <v>411030400</v>
      </c>
      <c r="B4" s="71" t="s">
        <v>2515</v>
      </c>
      <c r="C4">
        <v>680</v>
      </c>
      <c r="D4" t="s">
        <v>2516</v>
      </c>
      <c r="E4">
        <v>26</v>
      </c>
      <c r="F4">
        <v>1582</v>
      </c>
      <c r="G4" s="23">
        <v>1800000</v>
      </c>
      <c r="H4" t="s">
        <v>2518</v>
      </c>
      <c r="I4">
        <v>0</v>
      </c>
      <c r="J4" s="54">
        <v>43496</v>
      </c>
    </row>
    <row r="5" spans="1:10">
      <c r="A5">
        <v>411030400</v>
      </c>
      <c r="B5" s="71" t="s">
        <v>2515</v>
      </c>
      <c r="C5">
        <v>680</v>
      </c>
      <c r="D5" t="s">
        <v>2516</v>
      </c>
      <c r="E5">
        <v>26</v>
      </c>
      <c r="F5">
        <v>1584</v>
      </c>
      <c r="G5" s="23">
        <v>1200000</v>
      </c>
      <c r="H5" t="s">
        <v>2519</v>
      </c>
      <c r="I5">
        <v>0</v>
      </c>
      <c r="J5" s="54">
        <v>43496</v>
      </c>
    </row>
    <row r="6" spans="1:10">
      <c r="A6">
        <v>411030400</v>
      </c>
      <c r="B6" s="71" t="s">
        <v>2515</v>
      </c>
      <c r="C6">
        <v>680</v>
      </c>
      <c r="D6" t="s">
        <v>2516</v>
      </c>
      <c r="E6">
        <v>26</v>
      </c>
      <c r="F6">
        <v>1</v>
      </c>
      <c r="G6" s="23">
        <v>6282000</v>
      </c>
      <c r="H6" t="s">
        <v>2520</v>
      </c>
      <c r="I6">
        <v>0</v>
      </c>
      <c r="J6" s="54">
        <v>43524</v>
      </c>
    </row>
    <row r="7" spans="1:10">
      <c r="A7">
        <v>411030400</v>
      </c>
      <c r="B7" s="71" t="s">
        <v>2515</v>
      </c>
      <c r="C7">
        <v>680</v>
      </c>
      <c r="D7" t="s">
        <v>2516</v>
      </c>
      <c r="E7">
        <v>26</v>
      </c>
      <c r="F7">
        <v>8</v>
      </c>
      <c r="G7" s="23">
        <v>2300000</v>
      </c>
      <c r="H7" t="s">
        <v>2521</v>
      </c>
      <c r="I7">
        <v>0</v>
      </c>
      <c r="J7" s="54">
        <v>43549</v>
      </c>
    </row>
    <row r="8" spans="1:10">
      <c r="A8">
        <v>411030400</v>
      </c>
      <c r="B8" s="71" t="s">
        <v>2515</v>
      </c>
      <c r="C8">
        <v>680</v>
      </c>
      <c r="D8" t="s">
        <v>2516</v>
      </c>
      <c r="E8">
        <v>26</v>
      </c>
      <c r="F8">
        <v>14</v>
      </c>
      <c r="G8" s="23">
        <v>900000</v>
      </c>
      <c r="H8" t="s">
        <v>2522</v>
      </c>
      <c r="I8">
        <v>0</v>
      </c>
      <c r="J8" s="54">
        <v>43577</v>
      </c>
    </row>
    <row r="9" spans="1:10">
      <c r="A9">
        <v>411030400</v>
      </c>
      <c r="B9" s="71" t="s">
        <v>2515</v>
      </c>
      <c r="C9">
        <v>680</v>
      </c>
      <c r="D9" t="s">
        <v>2516</v>
      </c>
      <c r="E9">
        <v>26</v>
      </c>
      <c r="F9">
        <v>24</v>
      </c>
      <c r="G9" s="23">
        <v>1750000</v>
      </c>
      <c r="H9" t="s">
        <v>2523</v>
      </c>
      <c r="I9">
        <v>0</v>
      </c>
      <c r="J9" s="54">
        <v>43589</v>
      </c>
    </row>
    <row r="10" spans="1:10">
      <c r="A10">
        <v>411030400</v>
      </c>
      <c r="B10" s="71" t="s">
        <v>2515</v>
      </c>
      <c r="C10">
        <v>680</v>
      </c>
      <c r="D10" t="s">
        <v>2516</v>
      </c>
      <c r="E10">
        <v>26</v>
      </c>
      <c r="F10">
        <v>25</v>
      </c>
      <c r="G10" s="23">
        <v>2500000</v>
      </c>
      <c r="H10" t="s">
        <v>2524</v>
      </c>
      <c r="I10">
        <v>0</v>
      </c>
      <c r="J10" s="54">
        <v>43589</v>
      </c>
    </row>
    <row r="11" spans="1:10">
      <c r="A11">
        <v>411030400</v>
      </c>
      <c r="B11" s="71" t="s">
        <v>2515</v>
      </c>
      <c r="C11">
        <v>680</v>
      </c>
      <c r="D11" t="s">
        <v>2516</v>
      </c>
      <c r="E11">
        <v>26</v>
      </c>
      <c r="F11">
        <v>29</v>
      </c>
      <c r="G11" s="23">
        <v>2500000</v>
      </c>
      <c r="H11" t="s">
        <v>2525</v>
      </c>
      <c r="I11">
        <v>0</v>
      </c>
      <c r="J11" s="54">
        <v>43613</v>
      </c>
    </row>
    <row r="12" spans="1:10">
      <c r="A12">
        <v>411030400</v>
      </c>
      <c r="B12" s="71" t="s">
        <v>2515</v>
      </c>
      <c r="C12">
        <v>680</v>
      </c>
      <c r="D12" t="s">
        <v>2516</v>
      </c>
      <c r="E12">
        <v>26</v>
      </c>
      <c r="F12">
        <v>25</v>
      </c>
      <c r="G12" s="23">
        <v>400000</v>
      </c>
      <c r="H12" t="s">
        <v>2526</v>
      </c>
      <c r="I12">
        <v>0</v>
      </c>
      <c r="J12" s="54">
        <v>43614</v>
      </c>
    </row>
    <row r="13" spans="1:10">
      <c r="A13">
        <v>411030400</v>
      </c>
      <c r="B13" s="71" t="s">
        <v>2515</v>
      </c>
      <c r="C13">
        <v>680</v>
      </c>
      <c r="D13" t="s">
        <v>2516</v>
      </c>
      <c r="E13">
        <v>26</v>
      </c>
      <c r="F13">
        <v>28</v>
      </c>
      <c r="G13" s="23">
        <v>2175000</v>
      </c>
      <c r="H13" t="s">
        <v>2527</v>
      </c>
      <c r="I13">
        <v>0</v>
      </c>
      <c r="J13" s="54">
        <v>43614</v>
      </c>
    </row>
    <row r="14" spans="1:10">
      <c r="A14">
        <v>411030400</v>
      </c>
      <c r="B14" s="71" t="s">
        <v>2515</v>
      </c>
      <c r="C14">
        <v>680</v>
      </c>
      <c r="D14" t="s">
        <v>2516</v>
      </c>
      <c r="E14">
        <v>26</v>
      </c>
      <c r="F14">
        <v>42</v>
      </c>
      <c r="G14" s="23">
        <v>380000</v>
      </c>
      <c r="H14" t="s">
        <v>2528</v>
      </c>
      <c r="I14">
        <v>0</v>
      </c>
      <c r="J14" s="54">
        <v>43776</v>
      </c>
    </row>
    <row r="15" spans="1:10">
      <c r="A15">
        <v>411030400</v>
      </c>
      <c r="B15" s="71" t="s">
        <v>2515</v>
      </c>
      <c r="C15">
        <v>680</v>
      </c>
      <c r="D15" t="s">
        <v>2516</v>
      </c>
      <c r="E15">
        <v>26</v>
      </c>
      <c r="F15">
        <v>43</v>
      </c>
      <c r="G15" s="23">
        <v>230000</v>
      </c>
      <c r="H15" t="s">
        <v>2529</v>
      </c>
      <c r="I15">
        <v>0</v>
      </c>
      <c r="J15" s="54">
        <v>43826</v>
      </c>
    </row>
    <row r="16" spans="1:10">
      <c r="A16">
        <v>411030400</v>
      </c>
      <c r="B16" s="71" t="s">
        <v>2515</v>
      </c>
      <c r="C16">
        <v>680</v>
      </c>
      <c r="D16" t="s">
        <v>2516</v>
      </c>
      <c r="E16">
        <v>26</v>
      </c>
      <c r="F16">
        <v>44</v>
      </c>
      <c r="G16" s="23">
        <v>4000000</v>
      </c>
      <c r="H16" t="s">
        <v>2530</v>
      </c>
      <c r="I16">
        <v>0</v>
      </c>
      <c r="J16" s="54">
        <v>43830</v>
      </c>
    </row>
    <row r="17" spans="1:10">
      <c r="A17">
        <v>411030500</v>
      </c>
      <c r="B17" s="71" t="s">
        <v>2531</v>
      </c>
      <c r="C17">
        <v>629</v>
      </c>
      <c r="D17" t="s">
        <v>2532</v>
      </c>
      <c r="E17">
        <v>26</v>
      </c>
      <c r="F17">
        <v>0</v>
      </c>
      <c r="G17" s="23">
        <v>25650</v>
      </c>
      <c r="H17" t="s">
        <v>2533</v>
      </c>
      <c r="I17">
        <v>0</v>
      </c>
      <c r="J17" s="54">
        <v>43623</v>
      </c>
    </row>
    <row r="18" spans="1:10">
      <c r="A18">
        <v>411030500</v>
      </c>
      <c r="B18" s="71" t="s">
        <v>2531</v>
      </c>
      <c r="C18">
        <v>629</v>
      </c>
      <c r="D18" t="s">
        <v>2532</v>
      </c>
      <c r="E18">
        <v>26</v>
      </c>
      <c r="F18">
        <v>0</v>
      </c>
      <c r="G18" s="23">
        <v>455000</v>
      </c>
      <c r="H18" t="s">
        <v>2534</v>
      </c>
      <c r="I18">
        <v>0</v>
      </c>
      <c r="J18" s="54">
        <v>43595</v>
      </c>
    </row>
    <row r="19" spans="1:10">
      <c r="A19">
        <v>411030500</v>
      </c>
      <c r="B19" s="71" t="s">
        <v>2531</v>
      </c>
      <c r="C19">
        <v>629</v>
      </c>
      <c r="D19" t="s">
        <v>2532</v>
      </c>
      <c r="E19">
        <v>26</v>
      </c>
      <c r="F19">
        <v>10010002377</v>
      </c>
      <c r="G19" s="23">
        <v>30000</v>
      </c>
      <c r="H19" t="s">
        <v>2535</v>
      </c>
      <c r="I19">
        <v>0</v>
      </c>
      <c r="J19" s="54">
        <v>43830</v>
      </c>
    </row>
    <row r="20" spans="1:10">
      <c r="A20">
        <v>411030600</v>
      </c>
      <c r="B20" s="71" t="s">
        <v>2536</v>
      </c>
      <c r="C20">
        <v>1666</v>
      </c>
      <c r="D20" t="s">
        <v>2537</v>
      </c>
      <c r="E20">
        <v>26</v>
      </c>
      <c r="F20">
        <v>1575</v>
      </c>
      <c r="G20" s="23">
        <v>77000</v>
      </c>
      <c r="H20" t="s">
        <v>2538</v>
      </c>
      <c r="I20">
        <v>0</v>
      </c>
      <c r="J20" s="54">
        <v>43468</v>
      </c>
    </row>
    <row r="21" spans="1:10">
      <c r="A21">
        <v>411030600</v>
      </c>
      <c r="B21" s="71" t="s">
        <v>2536</v>
      </c>
      <c r="C21">
        <v>1666</v>
      </c>
      <c r="D21" t="s">
        <v>2537</v>
      </c>
      <c r="E21">
        <v>26</v>
      </c>
      <c r="F21">
        <v>1575</v>
      </c>
      <c r="G21" s="23">
        <v>77000</v>
      </c>
      <c r="H21" t="s">
        <v>2538</v>
      </c>
      <c r="I21">
        <v>0</v>
      </c>
      <c r="J21" s="54">
        <v>43468</v>
      </c>
    </row>
    <row r="22" spans="1:10">
      <c r="A22">
        <v>411030600</v>
      </c>
      <c r="B22" s="71" t="s">
        <v>2536</v>
      </c>
      <c r="C22">
        <v>1666</v>
      </c>
      <c r="D22" t="s">
        <v>2537</v>
      </c>
      <c r="E22">
        <v>26</v>
      </c>
      <c r="F22">
        <v>1576</v>
      </c>
      <c r="G22" s="23">
        <v>40000</v>
      </c>
      <c r="H22" t="s">
        <v>2539</v>
      </c>
      <c r="I22">
        <v>0</v>
      </c>
      <c r="J22" s="54">
        <v>43468</v>
      </c>
    </row>
    <row r="23" spans="1:10">
      <c r="A23">
        <v>411030600</v>
      </c>
      <c r="B23" s="71" t="s">
        <v>2536</v>
      </c>
      <c r="C23">
        <v>1666</v>
      </c>
      <c r="D23" t="s">
        <v>2537</v>
      </c>
      <c r="E23">
        <v>26</v>
      </c>
      <c r="F23">
        <v>5</v>
      </c>
      <c r="G23" s="23">
        <v>250000</v>
      </c>
      <c r="H23" t="s">
        <v>2540</v>
      </c>
      <c r="I23">
        <v>0</v>
      </c>
      <c r="J23" s="54">
        <v>43523</v>
      </c>
    </row>
    <row r="24" spans="1:10">
      <c r="A24">
        <v>411030600</v>
      </c>
      <c r="B24" s="71" t="s">
        <v>2536</v>
      </c>
      <c r="C24">
        <v>1666</v>
      </c>
      <c r="D24" t="s">
        <v>2537</v>
      </c>
      <c r="E24">
        <v>26</v>
      </c>
      <c r="F24">
        <v>10</v>
      </c>
      <c r="G24" s="23">
        <v>77000</v>
      </c>
      <c r="H24" t="s">
        <v>2541</v>
      </c>
      <c r="I24">
        <v>0</v>
      </c>
      <c r="J24" s="54">
        <v>43556</v>
      </c>
    </row>
    <row r="25" spans="1:10">
      <c r="A25">
        <v>411030600</v>
      </c>
      <c r="B25" s="71" t="s">
        <v>2536</v>
      </c>
      <c r="C25">
        <v>1666</v>
      </c>
      <c r="D25" t="s">
        <v>2537</v>
      </c>
      <c r="E25">
        <v>26</v>
      </c>
      <c r="F25">
        <v>15</v>
      </c>
      <c r="G25" s="23">
        <v>80000</v>
      </c>
      <c r="H25" t="s">
        <v>2542</v>
      </c>
      <c r="I25">
        <v>0</v>
      </c>
      <c r="J25" s="54">
        <v>43566</v>
      </c>
    </row>
    <row r="26" spans="1:10">
      <c r="A26">
        <v>411030600</v>
      </c>
      <c r="B26" s="71" t="s">
        <v>2536</v>
      </c>
      <c r="C26">
        <v>1666</v>
      </c>
      <c r="D26" t="s">
        <v>2537</v>
      </c>
      <c r="E26">
        <v>26</v>
      </c>
      <c r="F26">
        <v>15</v>
      </c>
      <c r="G26" s="23">
        <v>80000</v>
      </c>
      <c r="H26" t="s">
        <v>2542</v>
      </c>
      <c r="I26">
        <v>0</v>
      </c>
      <c r="J26" s="54">
        <v>43566</v>
      </c>
    </row>
    <row r="27" spans="1:10">
      <c r="A27">
        <v>411030600</v>
      </c>
      <c r="B27" s="71" t="s">
        <v>2536</v>
      </c>
      <c r="C27">
        <v>1666</v>
      </c>
      <c r="D27" t="s">
        <v>2537</v>
      </c>
      <c r="E27">
        <v>26</v>
      </c>
      <c r="F27">
        <v>16</v>
      </c>
      <c r="G27" s="23">
        <v>1150000</v>
      </c>
      <c r="H27" t="s">
        <v>2543</v>
      </c>
      <c r="I27">
        <v>0</v>
      </c>
      <c r="J27" s="54">
        <v>43566</v>
      </c>
    </row>
    <row r="28" spans="1:10">
      <c r="A28">
        <v>411030600</v>
      </c>
      <c r="B28" s="71" t="s">
        <v>2536</v>
      </c>
      <c r="C28">
        <v>1666</v>
      </c>
      <c r="D28" t="s">
        <v>2537</v>
      </c>
      <c r="E28">
        <v>26</v>
      </c>
      <c r="F28">
        <v>17</v>
      </c>
      <c r="G28" s="23">
        <v>500000</v>
      </c>
      <c r="H28" t="s">
        <v>2544</v>
      </c>
      <c r="I28">
        <v>0</v>
      </c>
      <c r="J28" s="54">
        <v>43571</v>
      </c>
    </row>
    <row r="29" spans="1:10">
      <c r="A29">
        <v>411030600</v>
      </c>
      <c r="B29" s="71" t="s">
        <v>2536</v>
      </c>
      <c r="C29">
        <v>1666</v>
      </c>
      <c r="D29" t="s">
        <v>2537</v>
      </c>
      <c r="E29">
        <v>26</v>
      </c>
      <c r="F29">
        <v>38</v>
      </c>
      <c r="G29" s="23">
        <v>90000</v>
      </c>
      <c r="H29" t="s">
        <v>2545</v>
      </c>
      <c r="I29">
        <v>0</v>
      </c>
      <c r="J29" s="54">
        <v>43685</v>
      </c>
    </row>
    <row r="30" spans="1:10">
      <c r="A30">
        <v>411030600</v>
      </c>
      <c r="B30" s="71" t="s">
        <v>2536</v>
      </c>
      <c r="C30">
        <v>1666</v>
      </c>
      <c r="D30" t="s">
        <v>2537</v>
      </c>
      <c r="E30">
        <v>26</v>
      </c>
      <c r="F30">
        <v>39</v>
      </c>
      <c r="G30" s="23">
        <v>450000</v>
      </c>
      <c r="H30" t="s">
        <v>2546</v>
      </c>
      <c r="I30">
        <v>0</v>
      </c>
      <c r="J30" s="54">
        <v>43685</v>
      </c>
    </row>
    <row r="31" spans="1:10">
      <c r="A31">
        <v>411030600</v>
      </c>
      <c r="B31" s="71" t="s">
        <v>2536</v>
      </c>
      <c r="C31">
        <v>1666</v>
      </c>
      <c r="D31" t="s">
        <v>2537</v>
      </c>
      <c r="E31">
        <v>26</v>
      </c>
      <c r="F31">
        <v>1203</v>
      </c>
      <c r="G31" s="23">
        <v>240000</v>
      </c>
      <c r="H31" t="s">
        <v>2547</v>
      </c>
      <c r="I31">
        <v>0</v>
      </c>
      <c r="J31" s="54">
        <v>43693</v>
      </c>
    </row>
    <row r="32" spans="1:10">
      <c r="A32">
        <v>411030600</v>
      </c>
      <c r="B32" s="71" t="s">
        <v>2536</v>
      </c>
      <c r="C32">
        <v>1666</v>
      </c>
      <c r="D32" t="s">
        <v>2537</v>
      </c>
      <c r="E32">
        <v>26</v>
      </c>
      <c r="F32">
        <v>40</v>
      </c>
      <c r="G32" s="23">
        <v>1200000</v>
      </c>
      <c r="H32" t="s">
        <v>2548</v>
      </c>
      <c r="I32">
        <v>0</v>
      </c>
      <c r="J32" s="54">
        <v>43769</v>
      </c>
    </row>
    <row r="33" spans="1:10" ht="12.75" hidden="1" customHeight="1">
      <c r="A33">
        <v>421010100</v>
      </c>
      <c r="B33" t="s">
        <v>2432</v>
      </c>
      <c r="C33">
        <v>1673</v>
      </c>
      <c r="D33" t="s">
        <v>2484</v>
      </c>
      <c r="E33">
        <v>26</v>
      </c>
      <c r="F33">
        <v>28022019</v>
      </c>
      <c r="G33">
        <v>1000000</v>
      </c>
      <c r="H33" t="s">
        <v>2485</v>
      </c>
      <c r="I33">
        <v>0</v>
      </c>
      <c r="J33">
        <v>43524</v>
      </c>
    </row>
    <row r="34" spans="1:10" ht="12.75" hidden="1" customHeight="1">
      <c r="A34">
        <v>421010100</v>
      </c>
      <c r="B34" t="s">
        <v>2432</v>
      </c>
      <c r="C34">
        <v>1673</v>
      </c>
      <c r="D34" t="s">
        <v>2484</v>
      </c>
      <c r="E34">
        <v>26</v>
      </c>
      <c r="F34">
        <v>28032019</v>
      </c>
      <c r="G34">
        <v>1000000</v>
      </c>
      <c r="H34" t="s">
        <v>2486</v>
      </c>
      <c r="I34">
        <v>0</v>
      </c>
      <c r="J34">
        <v>43552</v>
      </c>
    </row>
    <row r="35" spans="1:10" ht="12.75" hidden="1" customHeight="1">
      <c r="A35">
        <v>421010100</v>
      </c>
      <c r="B35" t="s">
        <v>2432</v>
      </c>
      <c r="C35">
        <v>1673</v>
      </c>
      <c r="D35" t="s">
        <v>2484</v>
      </c>
      <c r="E35">
        <v>26</v>
      </c>
      <c r="F35">
        <v>30042019</v>
      </c>
      <c r="G35">
        <v>1000000</v>
      </c>
      <c r="H35" t="s">
        <v>2486</v>
      </c>
      <c r="I35">
        <v>0</v>
      </c>
      <c r="J35">
        <v>43585</v>
      </c>
    </row>
    <row r="36" spans="1:10" ht="12.75" hidden="1" customHeight="1">
      <c r="A36">
        <v>421010100</v>
      </c>
      <c r="B36" t="s">
        <v>2432</v>
      </c>
      <c r="C36">
        <v>1673</v>
      </c>
      <c r="D36" t="s">
        <v>2484</v>
      </c>
      <c r="E36">
        <v>26</v>
      </c>
      <c r="F36">
        <v>31052019</v>
      </c>
      <c r="G36">
        <v>1000000</v>
      </c>
      <c r="H36" t="s">
        <v>2486</v>
      </c>
      <c r="I36">
        <v>0</v>
      </c>
      <c r="J36">
        <v>43616</v>
      </c>
    </row>
    <row r="37" spans="1:10" ht="12.75" hidden="1" customHeight="1">
      <c r="A37">
        <v>421010100</v>
      </c>
      <c r="B37" t="s">
        <v>2432</v>
      </c>
      <c r="C37">
        <v>1673</v>
      </c>
      <c r="D37" t="s">
        <v>2484</v>
      </c>
      <c r="E37">
        <v>26</v>
      </c>
      <c r="F37">
        <v>28062019</v>
      </c>
      <c r="G37">
        <v>1000000</v>
      </c>
      <c r="H37" t="s">
        <v>2487</v>
      </c>
      <c r="I37">
        <v>0</v>
      </c>
      <c r="J37">
        <v>43644</v>
      </c>
    </row>
    <row r="38" spans="1:10" ht="12.75" hidden="1" customHeight="1">
      <c r="A38">
        <v>421010100</v>
      </c>
      <c r="B38" t="s">
        <v>2432</v>
      </c>
      <c r="C38">
        <v>1673</v>
      </c>
      <c r="D38" t="s">
        <v>2484</v>
      </c>
      <c r="E38">
        <v>26</v>
      </c>
      <c r="F38">
        <v>31072019</v>
      </c>
      <c r="G38">
        <v>1000000</v>
      </c>
      <c r="H38" t="s">
        <v>2486</v>
      </c>
      <c r="I38">
        <v>0</v>
      </c>
      <c r="J38">
        <v>43677</v>
      </c>
    </row>
    <row r="39" spans="1:10" ht="12.75" hidden="1" customHeight="1">
      <c r="A39">
        <v>421010100</v>
      </c>
      <c r="B39" t="s">
        <v>2432</v>
      </c>
      <c r="C39">
        <v>1673</v>
      </c>
      <c r="D39" t="s">
        <v>2484</v>
      </c>
      <c r="E39">
        <v>26</v>
      </c>
      <c r="F39">
        <v>31082019</v>
      </c>
      <c r="G39">
        <v>1000000</v>
      </c>
      <c r="H39" t="s">
        <v>2486</v>
      </c>
      <c r="I39">
        <v>0</v>
      </c>
      <c r="J39">
        <v>43708</v>
      </c>
    </row>
    <row r="40" spans="1:10" ht="12.75" hidden="1" customHeight="1">
      <c r="A40">
        <v>421010100</v>
      </c>
      <c r="B40" t="s">
        <v>2432</v>
      </c>
      <c r="C40">
        <v>1673</v>
      </c>
      <c r="D40" t="s">
        <v>2484</v>
      </c>
      <c r="E40">
        <v>26</v>
      </c>
      <c r="F40">
        <v>30090019</v>
      </c>
      <c r="G40">
        <v>1000000</v>
      </c>
      <c r="H40" t="s">
        <v>2488</v>
      </c>
      <c r="I40">
        <v>0</v>
      </c>
      <c r="J40">
        <v>43738</v>
      </c>
    </row>
    <row r="41" spans="1:10" ht="12.75" hidden="1" customHeight="1">
      <c r="A41">
        <v>421010100</v>
      </c>
      <c r="B41" t="s">
        <v>2432</v>
      </c>
      <c r="C41">
        <v>1673</v>
      </c>
      <c r="D41" t="s">
        <v>2484</v>
      </c>
      <c r="E41">
        <v>26</v>
      </c>
      <c r="F41">
        <v>31002019</v>
      </c>
      <c r="G41">
        <v>1000000</v>
      </c>
      <c r="H41" t="s">
        <v>2489</v>
      </c>
      <c r="I41">
        <v>0</v>
      </c>
      <c r="J41">
        <v>43769</v>
      </c>
    </row>
    <row r="42" spans="1:10" ht="12.75" hidden="1" customHeight="1">
      <c r="A42">
        <v>421010100</v>
      </c>
      <c r="B42" t="s">
        <v>2432</v>
      </c>
      <c r="C42">
        <v>1673</v>
      </c>
      <c r="D42" t="s">
        <v>2484</v>
      </c>
      <c r="E42">
        <v>26</v>
      </c>
      <c r="F42">
        <v>30112019</v>
      </c>
      <c r="G42">
        <v>1000000</v>
      </c>
      <c r="H42" t="s">
        <v>2490</v>
      </c>
      <c r="I42">
        <v>0</v>
      </c>
      <c r="J42">
        <v>43799</v>
      </c>
    </row>
    <row r="43" spans="1:10" ht="12.75" hidden="1" customHeight="1">
      <c r="A43">
        <v>421010100</v>
      </c>
      <c r="B43" t="s">
        <v>2432</v>
      </c>
      <c r="C43">
        <v>1673</v>
      </c>
      <c r="D43" t="s">
        <v>2484</v>
      </c>
      <c r="E43">
        <v>26</v>
      </c>
      <c r="F43">
        <v>30112019</v>
      </c>
      <c r="G43">
        <v>1000000</v>
      </c>
      <c r="H43" t="s">
        <v>2486</v>
      </c>
      <c r="I43">
        <v>0</v>
      </c>
      <c r="J43">
        <v>43829</v>
      </c>
    </row>
    <row r="44" spans="1:10" ht="12.75" hidden="1" customHeight="1">
      <c r="A44">
        <v>421020100</v>
      </c>
      <c r="B44" t="s">
        <v>2549</v>
      </c>
      <c r="C44">
        <v>422</v>
      </c>
      <c r="D44" t="s">
        <v>2550</v>
      </c>
      <c r="E44">
        <v>26</v>
      </c>
      <c r="F44">
        <v>1397</v>
      </c>
      <c r="G44">
        <v>10000</v>
      </c>
      <c r="H44" t="s">
        <v>2624</v>
      </c>
      <c r="I44">
        <v>0</v>
      </c>
      <c r="J44">
        <v>43685</v>
      </c>
    </row>
    <row r="45" spans="1:10" ht="12.75" hidden="1" customHeight="1">
      <c r="A45">
        <v>421020100</v>
      </c>
      <c r="B45" t="s">
        <v>2549</v>
      </c>
      <c r="C45">
        <v>422</v>
      </c>
      <c r="D45" t="s">
        <v>2550</v>
      </c>
      <c r="E45">
        <v>26</v>
      </c>
      <c r="F45">
        <v>77409</v>
      </c>
      <c r="G45">
        <v>2000</v>
      </c>
      <c r="H45" t="s">
        <v>2625</v>
      </c>
      <c r="I45">
        <v>0</v>
      </c>
      <c r="J45">
        <v>43685</v>
      </c>
    </row>
    <row r="46" spans="1:10" ht="12.75" hidden="1" customHeight="1">
      <c r="A46">
        <v>421020100</v>
      </c>
      <c r="B46" t="s">
        <v>2549</v>
      </c>
      <c r="C46">
        <v>422</v>
      </c>
      <c r="D46" t="s">
        <v>2550</v>
      </c>
      <c r="E46">
        <v>26</v>
      </c>
      <c r="F46">
        <v>520040048721</v>
      </c>
      <c r="G46">
        <v>50000</v>
      </c>
      <c r="H46" t="s">
        <v>2626</v>
      </c>
      <c r="I46">
        <v>0</v>
      </c>
      <c r="J46">
        <v>43685</v>
      </c>
    </row>
    <row r="47" spans="1:10" ht="12.75" hidden="1" customHeight="1">
      <c r="A47">
        <v>421020100</v>
      </c>
      <c r="B47" t="s">
        <v>2549</v>
      </c>
      <c r="C47">
        <v>422</v>
      </c>
      <c r="D47" t="s">
        <v>2550</v>
      </c>
      <c r="E47">
        <v>26</v>
      </c>
      <c r="F47">
        <v>8511</v>
      </c>
      <c r="G47">
        <v>20000</v>
      </c>
      <c r="H47" t="s">
        <v>2627</v>
      </c>
      <c r="I47">
        <v>0</v>
      </c>
      <c r="J47">
        <v>43658</v>
      </c>
    </row>
    <row r="48" spans="1:10" ht="12.75" hidden="1" customHeight="1">
      <c r="A48">
        <v>421020100</v>
      </c>
      <c r="B48" t="s">
        <v>2549</v>
      </c>
      <c r="C48">
        <v>422</v>
      </c>
      <c r="D48" t="s">
        <v>2550</v>
      </c>
      <c r="E48">
        <v>26</v>
      </c>
      <c r="F48">
        <v>1258715</v>
      </c>
      <c r="G48">
        <v>15000</v>
      </c>
      <c r="H48" t="s">
        <v>2628</v>
      </c>
      <c r="I48">
        <v>0</v>
      </c>
      <c r="J48">
        <v>43671</v>
      </c>
    </row>
    <row r="49" spans="1:10">
      <c r="A49">
        <v>421020100</v>
      </c>
      <c r="B49" s="71" t="s">
        <v>2549</v>
      </c>
      <c r="C49">
        <v>422</v>
      </c>
      <c r="D49" t="s">
        <v>2550</v>
      </c>
      <c r="E49">
        <v>26</v>
      </c>
      <c r="F49">
        <v>1702</v>
      </c>
      <c r="G49" s="23">
        <v>260000</v>
      </c>
      <c r="H49" t="s">
        <v>2551</v>
      </c>
      <c r="I49">
        <v>0</v>
      </c>
      <c r="J49" s="54">
        <v>43690</v>
      </c>
    </row>
    <row r="50" spans="1:10" ht="12.75" hidden="1" customHeight="1">
      <c r="A50">
        <v>421020100</v>
      </c>
      <c r="B50" t="s">
        <v>2549</v>
      </c>
      <c r="C50">
        <v>422</v>
      </c>
      <c r="D50" t="s">
        <v>2550</v>
      </c>
      <c r="E50">
        <v>26</v>
      </c>
      <c r="F50">
        <v>5659</v>
      </c>
      <c r="G50">
        <v>30000</v>
      </c>
      <c r="H50" t="s">
        <v>2629</v>
      </c>
      <c r="I50">
        <v>0</v>
      </c>
      <c r="J50">
        <v>43696</v>
      </c>
    </row>
    <row r="51" spans="1:10" ht="12.75" hidden="1" customHeight="1">
      <c r="A51">
        <v>421020100</v>
      </c>
      <c r="B51" t="s">
        <v>2549</v>
      </c>
      <c r="C51">
        <v>422</v>
      </c>
      <c r="D51" t="s">
        <v>2550</v>
      </c>
      <c r="E51">
        <v>26</v>
      </c>
      <c r="F51">
        <v>1414</v>
      </c>
      <c r="G51">
        <v>15000</v>
      </c>
      <c r="H51" t="s">
        <v>2630</v>
      </c>
      <c r="I51">
        <v>0</v>
      </c>
      <c r="J51">
        <v>43706</v>
      </c>
    </row>
    <row r="52" spans="1:10" ht="12.75" hidden="1" customHeight="1">
      <c r="A52">
        <v>421020100</v>
      </c>
      <c r="B52" t="s">
        <v>2549</v>
      </c>
      <c r="C52">
        <v>422</v>
      </c>
      <c r="D52" t="s">
        <v>2550</v>
      </c>
      <c r="E52">
        <v>26</v>
      </c>
      <c r="F52">
        <v>4987</v>
      </c>
      <c r="G52">
        <v>20000</v>
      </c>
      <c r="H52" t="s">
        <v>2631</v>
      </c>
      <c r="I52">
        <v>0</v>
      </c>
      <c r="J52">
        <v>43733</v>
      </c>
    </row>
    <row r="53" spans="1:10" ht="12.75" hidden="1" customHeight="1">
      <c r="A53">
        <v>421020100</v>
      </c>
      <c r="B53" t="s">
        <v>2549</v>
      </c>
      <c r="C53">
        <v>422</v>
      </c>
      <c r="D53" t="s">
        <v>2550</v>
      </c>
      <c r="E53">
        <v>26</v>
      </c>
      <c r="F53">
        <v>7452</v>
      </c>
      <c r="G53">
        <v>15000</v>
      </c>
      <c r="H53" t="s">
        <v>2632</v>
      </c>
      <c r="I53">
        <v>0</v>
      </c>
      <c r="J53">
        <v>43738</v>
      </c>
    </row>
    <row r="54" spans="1:10" ht="12.75" hidden="1" customHeight="1">
      <c r="A54">
        <v>421020100</v>
      </c>
      <c r="B54" t="s">
        <v>2549</v>
      </c>
      <c r="C54">
        <v>422</v>
      </c>
      <c r="D54" t="s">
        <v>2550</v>
      </c>
      <c r="E54">
        <v>26</v>
      </c>
      <c r="F54">
        <v>6444</v>
      </c>
      <c r="G54">
        <v>35000</v>
      </c>
      <c r="H54" t="s">
        <v>2633</v>
      </c>
      <c r="I54">
        <v>0</v>
      </c>
      <c r="J54">
        <v>43811</v>
      </c>
    </row>
    <row r="55" spans="1:10" ht="12.75" hidden="1" customHeight="1">
      <c r="A55">
        <v>421020400</v>
      </c>
      <c r="B55" t="s">
        <v>2634</v>
      </c>
      <c r="C55">
        <v>750</v>
      </c>
      <c r="D55" t="s">
        <v>2635</v>
      </c>
      <c r="E55">
        <v>26</v>
      </c>
      <c r="F55">
        <v>5975</v>
      </c>
      <c r="G55">
        <v>5000</v>
      </c>
      <c r="H55" t="s">
        <v>2636</v>
      </c>
      <c r="I55">
        <v>0</v>
      </c>
      <c r="J55">
        <v>43612</v>
      </c>
    </row>
    <row r="56" spans="1:10" ht="12.75" hidden="1" customHeight="1">
      <c r="A56">
        <v>421020400</v>
      </c>
      <c r="B56" t="s">
        <v>2634</v>
      </c>
      <c r="C56">
        <v>750</v>
      </c>
      <c r="D56" t="s">
        <v>2635</v>
      </c>
      <c r="E56">
        <v>26</v>
      </c>
      <c r="F56">
        <v>2366731</v>
      </c>
      <c r="G56">
        <v>5000</v>
      </c>
      <c r="H56" t="s">
        <v>2636</v>
      </c>
      <c r="I56">
        <v>0</v>
      </c>
      <c r="J56">
        <v>43612</v>
      </c>
    </row>
    <row r="57" spans="1:10" ht="12.75" hidden="1" customHeight="1">
      <c r="A57">
        <v>421020400</v>
      </c>
      <c r="B57" t="s">
        <v>2634</v>
      </c>
      <c r="C57">
        <v>750</v>
      </c>
      <c r="D57" t="s">
        <v>2635</v>
      </c>
      <c r="E57">
        <v>26</v>
      </c>
      <c r="F57">
        <v>2679583</v>
      </c>
      <c r="G57">
        <v>5000</v>
      </c>
      <c r="H57" t="s">
        <v>2636</v>
      </c>
      <c r="I57">
        <v>0</v>
      </c>
      <c r="J57">
        <v>43612</v>
      </c>
    </row>
    <row r="58" spans="1:10">
      <c r="A58">
        <v>421080300</v>
      </c>
      <c r="B58" s="71" t="s">
        <v>2552</v>
      </c>
      <c r="C58">
        <v>403</v>
      </c>
      <c r="D58" t="s">
        <v>2553</v>
      </c>
      <c r="E58">
        <v>26</v>
      </c>
      <c r="F58">
        <v>10010155452</v>
      </c>
      <c r="G58" s="23">
        <v>20000</v>
      </c>
      <c r="H58" t="s">
        <v>2554</v>
      </c>
      <c r="I58">
        <v>0</v>
      </c>
      <c r="J58" s="54">
        <v>43689</v>
      </c>
    </row>
    <row r="59" spans="1:10">
      <c r="A59">
        <v>421080300</v>
      </c>
      <c r="B59" s="71" t="s">
        <v>2552</v>
      </c>
      <c r="C59">
        <v>403</v>
      </c>
      <c r="D59" t="s">
        <v>2553</v>
      </c>
      <c r="E59">
        <v>26</v>
      </c>
      <c r="F59">
        <v>10010155586</v>
      </c>
      <c r="G59" s="23">
        <v>20000</v>
      </c>
      <c r="H59" t="s">
        <v>2555</v>
      </c>
      <c r="I59">
        <v>0</v>
      </c>
      <c r="J59" s="54">
        <v>43690</v>
      </c>
    </row>
    <row r="60" spans="1:10">
      <c r="A60">
        <v>421110400</v>
      </c>
      <c r="B60" s="71" t="s">
        <v>2556</v>
      </c>
      <c r="C60">
        <v>741</v>
      </c>
      <c r="D60" t="s">
        <v>2557</v>
      </c>
      <c r="E60">
        <v>26</v>
      </c>
      <c r="F60">
        <v>0</v>
      </c>
      <c r="G60" s="23">
        <v>141000</v>
      </c>
      <c r="H60" t="s">
        <v>2558</v>
      </c>
      <c r="I60">
        <v>0</v>
      </c>
      <c r="J60" s="54">
        <v>43754</v>
      </c>
    </row>
    <row r="61" spans="1:10">
      <c r="A61">
        <v>421110400</v>
      </c>
      <c r="B61" s="71" t="s">
        <v>2556</v>
      </c>
      <c r="C61">
        <v>741</v>
      </c>
      <c r="D61" t="s">
        <v>2557</v>
      </c>
      <c r="E61">
        <v>26</v>
      </c>
      <c r="F61">
        <v>151119</v>
      </c>
      <c r="G61" s="23">
        <v>388987</v>
      </c>
      <c r="H61" t="s">
        <v>2559</v>
      </c>
      <c r="I61">
        <v>0</v>
      </c>
      <c r="J61" s="54">
        <v>43784</v>
      </c>
    </row>
    <row r="62" spans="1:10" ht="12.75" hidden="1" customHeight="1">
      <c r="A62">
        <v>421111400</v>
      </c>
      <c r="B62" t="s">
        <v>2560</v>
      </c>
      <c r="C62">
        <v>826</v>
      </c>
      <c r="D62" t="s">
        <v>2561</v>
      </c>
      <c r="E62">
        <v>26</v>
      </c>
      <c r="F62">
        <v>7345</v>
      </c>
      <c r="G62">
        <v>30000</v>
      </c>
      <c r="H62" t="s">
        <v>2637</v>
      </c>
      <c r="I62">
        <v>0</v>
      </c>
      <c r="J62">
        <v>43685</v>
      </c>
    </row>
    <row r="63" spans="1:10">
      <c r="A63">
        <v>421111400</v>
      </c>
      <c r="B63" s="71" t="s">
        <v>2560</v>
      </c>
      <c r="C63">
        <v>826</v>
      </c>
      <c r="D63" t="s">
        <v>2561</v>
      </c>
      <c r="E63">
        <v>26</v>
      </c>
      <c r="F63">
        <v>10010162127</v>
      </c>
      <c r="G63" s="23">
        <v>40000</v>
      </c>
      <c r="H63" t="s">
        <v>2562</v>
      </c>
      <c r="I63">
        <v>0</v>
      </c>
      <c r="J63" s="54">
        <v>43696</v>
      </c>
    </row>
    <row r="64" spans="1:10">
      <c r="A64">
        <v>422010300</v>
      </c>
      <c r="B64" s="71" t="s">
        <v>2563</v>
      </c>
      <c r="C64">
        <v>430</v>
      </c>
      <c r="D64" t="s">
        <v>2564</v>
      </c>
      <c r="E64">
        <v>26</v>
      </c>
      <c r="F64">
        <v>290319</v>
      </c>
      <c r="G64" s="23">
        <v>1000000</v>
      </c>
      <c r="H64" t="s">
        <v>2565</v>
      </c>
      <c r="I64">
        <v>0</v>
      </c>
      <c r="J64" s="54">
        <v>43553</v>
      </c>
    </row>
    <row r="65" spans="1:10">
      <c r="A65">
        <v>422010300</v>
      </c>
      <c r="B65" s="71" t="s">
        <v>2563</v>
      </c>
      <c r="C65">
        <v>430</v>
      </c>
      <c r="D65" t="s">
        <v>2564</v>
      </c>
      <c r="E65">
        <v>26</v>
      </c>
      <c r="F65">
        <v>300319</v>
      </c>
      <c r="G65" s="23">
        <v>3472000</v>
      </c>
      <c r="H65" t="s">
        <v>2566</v>
      </c>
      <c r="I65">
        <v>0</v>
      </c>
      <c r="J65" s="54">
        <v>43554</v>
      </c>
    </row>
    <row r="66" spans="1:10" ht="12.75" hidden="1" customHeight="1">
      <c r="A66">
        <v>422010400</v>
      </c>
      <c r="B66" t="s">
        <v>2638</v>
      </c>
      <c r="C66">
        <v>834</v>
      </c>
      <c r="D66" t="s">
        <v>2639</v>
      </c>
      <c r="E66">
        <v>26</v>
      </c>
      <c r="F66">
        <v>0</v>
      </c>
      <c r="G66">
        <v>150000</v>
      </c>
      <c r="H66" t="s">
        <v>2640</v>
      </c>
      <c r="I66">
        <v>0</v>
      </c>
      <c r="J66">
        <v>43722</v>
      </c>
    </row>
    <row r="67" spans="1:10" ht="12.75" hidden="1" customHeight="1">
      <c r="A67">
        <v>422010400</v>
      </c>
      <c r="B67" t="s">
        <v>2638</v>
      </c>
      <c r="C67">
        <v>834</v>
      </c>
      <c r="D67" t="s">
        <v>2639</v>
      </c>
      <c r="E67">
        <v>26</v>
      </c>
      <c r="F67">
        <v>0</v>
      </c>
      <c r="G67">
        <v>2341282</v>
      </c>
      <c r="H67" t="s">
        <v>2641</v>
      </c>
      <c r="I67">
        <v>0</v>
      </c>
      <c r="J67">
        <v>43496</v>
      </c>
    </row>
    <row r="68" spans="1:10" ht="12.75" hidden="1" customHeight="1">
      <c r="A68">
        <v>422010400</v>
      </c>
      <c r="B68" t="s">
        <v>2638</v>
      </c>
      <c r="C68">
        <v>834</v>
      </c>
      <c r="D68" t="s">
        <v>2639</v>
      </c>
      <c r="E68">
        <v>26</v>
      </c>
      <c r="F68">
        <v>0</v>
      </c>
      <c r="G68">
        <v>2341282</v>
      </c>
      <c r="H68" t="s">
        <v>2642</v>
      </c>
      <c r="I68">
        <v>0</v>
      </c>
      <c r="J68">
        <v>43524</v>
      </c>
    </row>
    <row r="69" spans="1:10" ht="12.75" hidden="1" customHeight="1">
      <c r="A69">
        <v>422010400</v>
      </c>
      <c r="B69" t="s">
        <v>2638</v>
      </c>
      <c r="C69">
        <v>834</v>
      </c>
      <c r="D69" t="s">
        <v>2639</v>
      </c>
      <c r="E69">
        <v>26</v>
      </c>
      <c r="F69">
        <v>0</v>
      </c>
      <c r="G69">
        <v>2341281</v>
      </c>
      <c r="H69" t="s">
        <v>2643</v>
      </c>
      <c r="I69">
        <v>0</v>
      </c>
      <c r="J69">
        <v>43553</v>
      </c>
    </row>
    <row r="70" spans="1:10" ht="12.75" hidden="1" customHeight="1">
      <c r="A70">
        <v>422010400</v>
      </c>
      <c r="B70" t="s">
        <v>2638</v>
      </c>
      <c r="C70">
        <v>834</v>
      </c>
      <c r="D70" t="s">
        <v>2639</v>
      </c>
      <c r="E70">
        <v>26</v>
      </c>
      <c r="F70">
        <v>0</v>
      </c>
      <c r="G70">
        <v>2341281</v>
      </c>
      <c r="H70" t="s">
        <v>2644</v>
      </c>
      <c r="I70">
        <v>0</v>
      </c>
      <c r="J70">
        <v>43585</v>
      </c>
    </row>
    <row r="71" spans="1:10" ht="12.75" hidden="1" customHeight="1">
      <c r="A71">
        <v>422010400</v>
      </c>
      <c r="B71" t="s">
        <v>2638</v>
      </c>
      <c r="C71">
        <v>834</v>
      </c>
      <c r="D71" t="s">
        <v>2639</v>
      </c>
      <c r="E71">
        <v>26</v>
      </c>
      <c r="F71">
        <v>0</v>
      </c>
      <c r="G71">
        <v>2388781</v>
      </c>
      <c r="H71" t="s">
        <v>2645</v>
      </c>
      <c r="I71">
        <v>0</v>
      </c>
      <c r="J71">
        <v>43616</v>
      </c>
    </row>
    <row r="72" spans="1:10" ht="12.75" hidden="1" customHeight="1">
      <c r="A72">
        <v>422010400</v>
      </c>
      <c r="B72" t="s">
        <v>2638</v>
      </c>
      <c r="C72">
        <v>834</v>
      </c>
      <c r="D72" t="s">
        <v>2639</v>
      </c>
      <c r="E72">
        <v>26</v>
      </c>
      <c r="F72">
        <v>0</v>
      </c>
      <c r="G72">
        <v>2341281</v>
      </c>
      <c r="H72" t="s">
        <v>2646</v>
      </c>
      <c r="I72">
        <v>0</v>
      </c>
      <c r="J72">
        <v>43645</v>
      </c>
    </row>
    <row r="73" spans="1:10" ht="12.75" hidden="1" customHeight="1">
      <c r="A73">
        <v>422010400</v>
      </c>
      <c r="B73" t="s">
        <v>2638</v>
      </c>
      <c r="C73">
        <v>834</v>
      </c>
      <c r="D73" t="s">
        <v>2639</v>
      </c>
      <c r="E73">
        <v>26</v>
      </c>
      <c r="F73">
        <v>0</v>
      </c>
      <c r="G73">
        <v>2369782</v>
      </c>
      <c r="H73" t="s">
        <v>2647</v>
      </c>
      <c r="I73">
        <v>0</v>
      </c>
      <c r="J73">
        <v>43677</v>
      </c>
    </row>
    <row r="74" spans="1:10" ht="12.75" hidden="1" customHeight="1">
      <c r="A74">
        <v>422010400</v>
      </c>
      <c r="B74" t="s">
        <v>2638</v>
      </c>
      <c r="C74">
        <v>834</v>
      </c>
      <c r="D74" t="s">
        <v>2639</v>
      </c>
      <c r="E74">
        <v>26</v>
      </c>
      <c r="F74">
        <v>0</v>
      </c>
      <c r="G74">
        <v>2339782</v>
      </c>
      <c r="H74" t="s">
        <v>2648</v>
      </c>
      <c r="I74">
        <v>0</v>
      </c>
      <c r="J74">
        <v>43707</v>
      </c>
    </row>
    <row r="75" spans="1:10" ht="12.75" hidden="1" customHeight="1">
      <c r="A75">
        <v>422010400</v>
      </c>
      <c r="B75" t="s">
        <v>2638</v>
      </c>
      <c r="C75">
        <v>834</v>
      </c>
      <c r="D75" t="s">
        <v>2639</v>
      </c>
      <c r="E75">
        <v>26</v>
      </c>
      <c r="F75">
        <v>0</v>
      </c>
      <c r="G75">
        <v>2339782</v>
      </c>
      <c r="H75" t="s">
        <v>2649</v>
      </c>
      <c r="I75">
        <v>0</v>
      </c>
      <c r="J75">
        <v>43738</v>
      </c>
    </row>
    <row r="76" spans="1:10" ht="12.75" hidden="1" customHeight="1">
      <c r="A76">
        <v>422010400</v>
      </c>
      <c r="B76" t="s">
        <v>2638</v>
      </c>
      <c r="C76">
        <v>834</v>
      </c>
      <c r="D76" t="s">
        <v>2639</v>
      </c>
      <c r="E76">
        <v>26</v>
      </c>
      <c r="F76">
        <v>0</v>
      </c>
      <c r="G76">
        <v>2546000</v>
      </c>
      <c r="H76" t="s">
        <v>2650</v>
      </c>
      <c r="I76">
        <v>0</v>
      </c>
      <c r="J76">
        <v>43799</v>
      </c>
    </row>
    <row r="77" spans="1:10" ht="12.75" hidden="1" customHeight="1">
      <c r="A77">
        <v>422010400</v>
      </c>
      <c r="B77" t="s">
        <v>2638</v>
      </c>
      <c r="C77">
        <v>834</v>
      </c>
      <c r="D77" t="s">
        <v>2639</v>
      </c>
      <c r="E77">
        <v>26</v>
      </c>
      <c r="F77">
        <v>0</v>
      </c>
      <c r="G77">
        <v>2504589</v>
      </c>
      <c r="H77" t="s">
        <v>2651</v>
      </c>
      <c r="I77">
        <v>0</v>
      </c>
      <c r="J77">
        <v>43815</v>
      </c>
    </row>
    <row r="78" spans="1:10" ht="12.75" hidden="1" customHeight="1">
      <c r="A78">
        <v>422010400</v>
      </c>
      <c r="B78" t="s">
        <v>2638</v>
      </c>
      <c r="C78">
        <v>834</v>
      </c>
      <c r="D78" t="s">
        <v>2639</v>
      </c>
      <c r="E78">
        <v>26</v>
      </c>
      <c r="F78">
        <v>0</v>
      </c>
      <c r="G78">
        <v>2565000</v>
      </c>
      <c r="H78" t="s">
        <v>2652</v>
      </c>
      <c r="I78">
        <v>0</v>
      </c>
      <c r="J78">
        <v>43830</v>
      </c>
    </row>
    <row r="79" spans="1:10" ht="12.75" hidden="1" customHeight="1">
      <c r="A79">
        <v>422020100</v>
      </c>
      <c r="B79" t="s">
        <v>1992</v>
      </c>
      <c r="C79">
        <v>267</v>
      </c>
      <c r="D79" t="s">
        <v>1993</v>
      </c>
      <c r="E79">
        <v>26</v>
      </c>
      <c r="F79">
        <v>1254</v>
      </c>
      <c r="G79">
        <v>1500000</v>
      </c>
      <c r="H79" t="s">
        <v>1994</v>
      </c>
      <c r="I79">
        <v>0</v>
      </c>
      <c r="J79">
        <v>43480</v>
      </c>
    </row>
    <row r="80" spans="1:10" ht="12.75" hidden="1" customHeight="1">
      <c r="A80">
        <v>422020100</v>
      </c>
      <c r="B80" t="s">
        <v>1992</v>
      </c>
      <c r="C80">
        <v>267</v>
      </c>
      <c r="D80" t="s">
        <v>1993</v>
      </c>
      <c r="E80">
        <v>26</v>
      </c>
      <c r="F80">
        <v>1275</v>
      </c>
      <c r="G80">
        <v>3000000</v>
      </c>
      <c r="H80" t="s">
        <v>1996</v>
      </c>
      <c r="I80">
        <v>0</v>
      </c>
      <c r="J80">
        <v>43511</v>
      </c>
    </row>
    <row r="81" spans="1:10" ht="12.75" hidden="1" customHeight="1">
      <c r="A81">
        <v>422020100</v>
      </c>
      <c r="B81" t="s">
        <v>1992</v>
      </c>
      <c r="C81">
        <v>267</v>
      </c>
      <c r="D81" t="s">
        <v>1993</v>
      </c>
      <c r="E81">
        <v>26</v>
      </c>
      <c r="F81">
        <v>1403</v>
      </c>
      <c r="G81">
        <v>3500000</v>
      </c>
      <c r="H81" t="s">
        <v>1997</v>
      </c>
      <c r="I81">
        <v>0</v>
      </c>
      <c r="J81">
        <v>43539</v>
      </c>
    </row>
    <row r="82" spans="1:10" ht="12.75" hidden="1" customHeight="1">
      <c r="A82">
        <v>422020100</v>
      </c>
      <c r="B82" t="s">
        <v>1992</v>
      </c>
      <c r="C82">
        <v>267</v>
      </c>
      <c r="D82" t="s">
        <v>1993</v>
      </c>
      <c r="E82">
        <v>26</v>
      </c>
      <c r="F82">
        <v>1422</v>
      </c>
      <c r="G82">
        <v>2000000</v>
      </c>
      <c r="H82" t="s">
        <v>1998</v>
      </c>
      <c r="I82">
        <v>0</v>
      </c>
      <c r="J82">
        <v>43570</v>
      </c>
    </row>
    <row r="83" spans="1:10" ht="12.75" hidden="1" customHeight="1">
      <c r="A83">
        <v>422020100</v>
      </c>
      <c r="B83" t="s">
        <v>1992</v>
      </c>
      <c r="C83">
        <v>267</v>
      </c>
      <c r="D83" t="s">
        <v>1993</v>
      </c>
      <c r="E83">
        <v>26</v>
      </c>
      <c r="F83">
        <v>1443</v>
      </c>
      <c r="G83">
        <v>2000000</v>
      </c>
      <c r="H83" t="s">
        <v>1999</v>
      </c>
      <c r="I83">
        <v>0</v>
      </c>
      <c r="J83">
        <v>43598</v>
      </c>
    </row>
    <row r="84" spans="1:10" ht="12.75" hidden="1" customHeight="1">
      <c r="A84">
        <v>422020100</v>
      </c>
      <c r="B84" t="s">
        <v>1992</v>
      </c>
      <c r="C84">
        <v>267</v>
      </c>
      <c r="D84" t="s">
        <v>1993</v>
      </c>
      <c r="E84">
        <v>26</v>
      </c>
      <c r="F84">
        <v>31052019</v>
      </c>
      <c r="G84">
        <v>1000000</v>
      </c>
      <c r="H84" t="s">
        <v>2000</v>
      </c>
      <c r="I84">
        <v>0</v>
      </c>
      <c r="J84">
        <v>43616</v>
      </c>
    </row>
    <row r="85" spans="1:10" ht="12.75" hidden="1" customHeight="1">
      <c r="A85">
        <v>422020100</v>
      </c>
      <c r="B85" t="s">
        <v>1992</v>
      </c>
      <c r="C85">
        <v>267</v>
      </c>
      <c r="D85" t="s">
        <v>1993</v>
      </c>
      <c r="E85">
        <v>26</v>
      </c>
      <c r="F85">
        <v>1620</v>
      </c>
      <c r="G85">
        <v>3000000</v>
      </c>
      <c r="H85" t="s">
        <v>2001</v>
      </c>
      <c r="I85">
        <v>0</v>
      </c>
      <c r="J85">
        <v>43630</v>
      </c>
    </row>
    <row r="86" spans="1:10" ht="12.75" hidden="1" customHeight="1">
      <c r="A86">
        <v>422020100</v>
      </c>
      <c r="B86" t="s">
        <v>1992</v>
      </c>
      <c r="C86">
        <v>267</v>
      </c>
      <c r="D86" t="s">
        <v>1993</v>
      </c>
      <c r="E86">
        <v>26</v>
      </c>
      <c r="F86">
        <v>28062019</v>
      </c>
      <c r="G86">
        <v>1000000</v>
      </c>
      <c r="H86" t="s">
        <v>2002</v>
      </c>
      <c r="I86">
        <v>0</v>
      </c>
      <c r="J86">
        <v>43644</v>
      </c>
    </row>
    <row r="87" spans="1:10" ht="12.75" hidden="1" customHeight="1">
      <c r="A87">
        <v>422020100</v>
      </c>
      <c r="B87" t="s">
        <v>1992</v>
      </c>
      <c r="C87">
        <v>267</v>
      </c>
      <c r="D87" t="s">
        <v>1993</v>
      </c>
      <c r="E87">
        <v>26</v>
      </c>
      <c r="F87">
        <v>1644</v>
      </c>
      <c r="G87">
        <v>3500000</v>
      </c>
      <c r="H87" t="s">
        <v>2003</v>
      </c>
      <c r="I87">
        <v>0</v>
      </c>
      <c r="J87">
        <v>43661</v>
      </c>
    </row>
    <row r="88" spans="1:10" ht="12.75" hidden="1" customHeight="1">
      <c r="A88">
        <v>422020100</v>
      </c>
      <c r="B88" t="s">
        <v>1992</v>
      </c>
      <c r="C88">
        <v>267</v>
      </c>
      <c r="D88" t="s">
        <v>1993</v>
      </c>
      <c r="E88">
        <v>26</v>
      </c>
      <c r="F88">
        <v>2269</v>
      </c>
      <c r="G88">
        <v>3000000</v>
      </c>
      <c r="H88" t="s">
        <v>2004</v>
      </c>
      <c r="I88">
        <v>0</v>
      </c>
      <c r="J88">
        <v>43691</v>
      </c>
    </row>
    <row r="89" spans="1:10" ht="12.75" hidden="1" customHeight="1">
      <c r="A89">
        <v>422020100</v>
      </c>
      <c r="B89" t="s">
        <v>1992</v>
      </c>
      <c r="C89">
        <v>267</v>
      </c>
      <c r="D89" t="s">
        <v>1993</v>
      </c>
      <c r="E89">
        <v>26</v>
      </c>
      <c r="F89">
        <v>2299</v>
      </c>
      <c r="G89">
        <v>3000000</v>
      </c>
      <c r="H89" t="s">
        <v>2005</v>
      </c>
      <c r="I89">
        <v>0</v>
      </c>
      <c r="J89">
        <v>43721</v>
      </c>
    </row>
    <row r="90" spans="1:10" ht="12.75" hidden="1" customHeight="1">
      <c r="A90">
        <v>422020100</v>
      </c>
      <c r="B90" t="s">
        <v>1992</v>
      </c>
      <c r="C90">
        <v>267</v>
      </c>
      <c r="D90" t="s">
        <v>1993</v>
      </c>
      <c r="E90">
        <v>26</v>
      </c>
      <c r="F90">
        <v>2381</v>
      </c>
      <c r="G90">
        <v>3000000</v>
      </c>
      <c r="H90" t="s">
        <v>2006</v>
      </c>
      <c r="I90">
        <v>0</v>
      </c>
      <c r="J90">
        <v>43753</v>
      </c>
    </row>
    <row r="91" spans="1:10" ht="12.75" hidden="1" customHeight="1">
      <c r="A91">
        <v>422020100</v>
      </c>
      <c r="B91" t="s">
        <v>1992</v>
      </c>
      <c r="C91">
        <v>267</v>
      </c>
      <c r="D91" t="s">
        <v>1993</v>
      </c>
      <c r="E91">
        <v>26</v>
      </c>
      <c r="F91">
        <v>2509</v>
      </c>
      <c r="G91">
        <v>4000000</v>
      </c>
      <c r="H91" t="s">
        <v>2007</v>
      </c>
      <c r="I91">
        <v>0</v>
      </c>
      <c r="J91">
        <v>43784</v>
      </c>
    </row>
    <row r="92" spans="1:10" ht="12.75" hidden="1" customHeight="1">
      <c r="A92">
        <v>422020100</v>
      </c>
      <c r="B92" t="s">
        <v>1992</v>
      </c>
      <c r="C92">
        <v>446</v>
      </c>
      <c r="D92" t="s">
        <v>2015</v>
      </c>
      <c r="E92">
        <v>26</v>
      </c>
      <c r="F92">
        <v>28022019</v>
      </c>
      <c r="G92">
        <v>1000000</v>
      </c>
      <c r="H92" t="s">
        <v>2063</v>
      </c>
      <c r="I92">
        <v>0</v>
      </c>
      <c r="J92">
        <v>43524</v>
      </c>
    </row>
    <row r="93" spans="1:10" ht="12.75" hidden="1" customHeight="1">
      <c r="A93">
        <v>422020100</v>
      </c>
      <c r="B93" t="s">
        <v>1992</v>
      </c>
      <c r="C93">
        <v>446</v>
      </c>
      <c r="D93" t="s">
        <v>2015</v>
      </c>
      <c r="E93">
        <v>26</v>
      </c>
      <c r="F93">
        <v>28032019</v>
      </c>
      <c r="G93">
        <v>1000000</v>
      </c>
      <c r="H93" t="s">
        <v>2065</v>
      </c>
      <c r="I93">
        <v>0</v>
      </c>
      <c r="J93">
        <v>43552</v>
      </c>
    </row>
    <row r="94" spans="1:10" ht="12.75" hidden="1" customHeight="1">
      <c r="A94">
        <v>422020100</v>
      </c>
      <c r="B94" t="s">
        <v>1992</v>
      </c>
      <c r="C94">
        <v>446</v>
      </c>
      <c r="D94" t="s">
        <v>2015</v>
      </c>
      <c r="E94">
        <v>26</v>
      </c>
      <c r="F94">
        <v>30042019</v>
      </c>
      <c r="G94">
        <v>1000000</v>
      </c>
      <c r="H94" t="s">
        <v>2067</v>
      </c>
      <c r="I94">
        <v>0</v>
      </c>
      <c r="J94">
        <v>43585</v>
      </c>
    </row>
    <row r="95" spans="1:10" ht="12.75" hidden="1" customHeight="1">
      <c r="A95">
        <v>422020100</v>
      </c>
      <c r="B95" t="s">
        <v>1992</v>
      </c>
      <c r="C95">
        <v>446</v>
      </c>
      <c r="D95" t="s">
        <v>2015</v>
      </c>
      <c r="E95">
        <v>26</v>
      </c>
      <c r="F95">
        <v>31052019</v>
      </c>
      <c r="G95">
        <v>829650</v>
      </c>
      <c r="H95" t="s">
        <v>2068</v>
      </c>
      <c r="I95">
        <v>0</v>
      </c>
      <c r="J95">
        <v>43616</v>
      </c>
    </row>
    <row r="96" spans="1:10" ht="12.75" hidden="1" customHeight="1">
      <c r="A96">
        <v>422020100</v>
      </c>
      <c r="B96" t="s">
        <v>1992</v>
      </c>
      <c r="C96">
        <v>446</v>
      </c>
      <c r="D96" t="s">
        <v>2015</v>
      </c>
      <c r="E96">
        <v>26</v>
      </c>
      <c r="F96">
        <v>30092019</v>
      </c>
      <c r="G96">
        <v>891000</v>
      </c>
      <c r="H96" t="s">
        <v>2072</v>
      </c>
      <c r="I96">
        <v>0</v>
      </c>
      <c r="J96">
        <v>43738</v>
      </c>
    </row>
    <row r="97" spans="1:10" ht="12.75" hidden="1" customHeight="1">
      <c r="A97">
        <v>422030100</v>
      </c>
      <c r="B97" t="s">
        <v>2394</v>
      </c>
      <c r="C97">
        <v>1721</v>
      </c>
      <c r="D97" t="s">
        <v>2428</v>
      </c>
      <c r="E97">
        <v>26</v>
      </c>
      <c r="F97">
        <v>5072019</v>
      </c>
      <c r="G97">
        <v>3975000</v>
      </c>
      <c r="H97" t="s">
        <v>2429</v>
      </c>
      <c r="I97">
        <v>0</v>
      </c>
      <c r="J97">
        <v>43651</v>
      </c>
    </row>
    <row r="98" spans="1:10" ht="12.75" hidden="1" customHeight="1">
      <c r="A98">
        <v>422050200</v>
      </c>
      <c r="B98" t="s">
        <v>2653</v>
      </c>
      <c r="C98">
        <v>817</v>
      </c>
      <c r="D98" t="s">
        <v>2654</v>
      </c>
      <c r="E98">
        <v>26</v>
      </c>
      <c r="F98">
        <v>0</v>
      </c>
      <c r="G98">
        <v>98225</v>
      </c>
      <c r="H98" t="s">
        <v>2655</v>
      </c>
      <c r="I98">
        <v>0</v>
      </c>
      <c r="J98">
        <v>43467</v>
      </c>
    </row>
    <row r="99" spans="1:10" ht="12.75" hidden="1" customHeight="1">
      <c r="A99">
        <v>422050200</v>
      </c>
      <c r="B99" t="s">
        <v>2653</v>
      </c>
      <c r="C99">
        <v>817</v>
      </c>
      <c r="D99" t="s">
        <v>2654</v>
      </c>
      <c r="E99">
        <v>26</v>
      </c>
      <c r="F99">
        <v>0</v>
      </c>
      <c r="G99">
        <v>98225</v>
      </c>
      <c r="H99" t="s">
        <v>2656</v>
      </c>
      <c r="I99">
        <v>0</v>
      </c>
      <c r="J99">
        <v>43496</v>
      </c>
    </row>
    <row r="100" spans="1:10" ht="12.75" hidden="1" customHeight="1">
      <c r="A100">
        <v>422050200</v>
      </c>
      <c r="B100" t="s">
        <v>2653</v>
      </c>
      <c r="C100">
        <v>817</v>
      </c>
      <c r="D100" t="s">
        <v>2654</v>
      </c>
      <c r="E100">
        <v>26</v>
      </c>
      <c r="F100">
        <v>0</v>
      </c>
      <c r="G100">
        <v>98225</v>
      </c>
      <c r="H100" t="s">
        <v>2657</v>
      </c>
      <c r="I100">
        <v>0</v>
      </c>
      <c r="J100">
        <v>43524</v>
      </c>
    </row>
    <row r="101" spans="1:10" ht="12.75" hidden="1" customHeight="1">
      <c r="A101">
        <v>422050200</v>
      </c>
      <c r="B101" t="s">
        <v>2653</v>
      </c>
      <c r="C101">
        <v>817</v>
      </c>
      <c r="D101" t="s">
        <v>2654</v>
      </c>
      <c r="E101">
        <v>26</v>
      </c>
      <c r="F101">
        <v>0</v>
      </c>
      <c r="G101">
        <v>98225</v>
      </c>
      <c r="H101" t="s">
        <v>2658</v>
      </c>
      <c r="I101">
        <v>0</v>
      </c>
      <c r="J101">
        <v>43554</v>
      </c>
    </row>
    <row r="102" spans="1:10" ht="12.75" hidden="1" customHeight="1">
      <c r="A102">
        <v>422050200</v>
      </c>
      <c r="B102" t="s">
        <v>2653</v>
      </c>
      <c r="C102">
        <v>817</v>
      </c>
      <c r="D102" t="s">
        <v>2654</v>
      </c>
      <c r="E102">
        <v>26</v>
      </c>
      <c r="F102">
        <v>0</v>
      </c>
      <c r="G102">
        <v>98225</v>
      </c>
      <c r="H102" t="s">
        <v>2659</v>
      </c>
      <c r="I102">
        <v>0</v>
      </c>
      <c r="J102">
        <v>43585</v>
      </c>
    </row>
    <row r="103" spans="1:10" ht="12.75" hidden="1" customHeight="1">
      <c r="A103">
        <v>422050200</v>
      </c>
      <c r="B103" t="s">
        <v>2653</v>
      </c>
      <c r="C103">
        <v>817</v>
      </c>
      <c r="D103" t="s">
        <v>2654</v>
      </c>
      <c r="E103">
        <v>26</v>
      </c>
      <c r="F103">
        <v>0</v>
      </c>
      <c r="G103">
        <v>98225</v>
      </c>
      <c r="H103" t="s">
        <v>2660</v>
      </c>
      <c r="I103">
        <v>0</v>
      </c>
      <c r="J103">
        <v>43616</v>
      </c>
    </row>
    <row r="104" spans="1:10" ht="12.75" hidden="1" customHeight="1">
      <c r="A104">
        <v>422050200</v>
      </c>
      <c r="B104" t="s">
        <v>2653</v>
      </c>
      <c r="C104">
        <v>817</v>
      </c>
      <c r="D104" t="s">
        <v>2654</v>
      </c>
      <c r="E104">
        <v>26</v>
      </c>
      <c r="F104">
        <v>0</v>
      </c>
      <c r="G104">
        <v>98225</v>
      </c>
      <c r="H104" t="s">
        <v>2661</v>
      </c>
      <c r="I104">
        <v>0</v>
      </c>
      <c r="J104">
        <v>43645</v>
      </c>
    </row>
    <row r="105" spans="1:10" ht="12.75" hidden="1" customHeight="1">
      <c r="A105">
        <v>422050200</v>
      </c>
      <c r="B105" t="s">
        <v>2653</v>
      </c>
      <c r="C105">
        <v>817</v>
      </c>
      <c r="D105" t="s">
        <v>2654</v>
      </c>
      <c r="E105">
        <v>26</v>
      </c>
      <c r="F105">
        <v>0</v>
      </c>
      <c r="G105">
        <v>98225</v>
      </c>
      <c r="H105" t="s">
        <v>2661</v>
      </c>
      <c r="I105">
        <v>0</v>
      </c>
      <c r="J105">
        <v>43677</v>
      </c>
    </row>
    <row r="106" spans="1:10" ht="12.75" hidden="1" customHeight="1">
      <c r="A106">
        <v>422050200</v>
      </c>
      <c r="B106" t="s">
        <v>2653</v>
      </c>
      <c r="C106">
        <v>817</v>
      </c>
      <c r="D106" t="s">
        <v>2654</v>
      </c>
      <c r="E106">
        <v>26</v>
      </c>
      <c r="F106">
        <v>0</v>
      </c>
      <c r="G106">
        <v>98225</v>
      </c>
      <c r="H106" t="s">
        <v>2662</v>
      </c>
      <c r="I106">
        <v>0</v>
      </c>
      <c r="J106">
        <v>43708</v>
      </c>
    </row>
    <row r="107" spans="1:10" ht="12.75" hidden="1" customHeight="1">
      <c r="A107">
        <v>422050200</v>
      </c>
      <c r="B107" t="s">
        <v>2653</v>
      </c>
      <c r="C107">
        <v>817</v>
      </c>
      <c r="D107" t="s">
        <v>2654</v>
      </c>
      <c r="E107">
        <v>26</v>
      </c>
      <c r="F107">
        <v>6</v>
      </c>
      <c r="G107">
        <v>98225</v>
      </c>
      <c r="H107" t="s">
        <v>2662</v>
      </c>
      <c r="I107">
        <v>0</v>
      </c>
      <c r="J107">
        <v>43738</v>
      </c>
    </row>
    <row r="108" spans="1:10" ht="12.75" hidden="1" customHeight="1">
      <c r="A108">
        <v>422050200</v>
      </c>
      <c r="B108" t="s">
        <v>2653</v>
      </c>
      <c r="C108">
        <v>817</v>
      </c>
      <c r="D108" t="s">
        <v>2654</v>
      </c>
      <c r="E108">
        <v>26</v>
      </c>
      <c r="F108">
        <v>0</v>
      </c>
      <c r="G108">
        <v>98225</v>
      </c>
      <c r="H108" t="s">
        <v>2662</v>
      </c>
      <c r="I108">
        <v>0</v>
      </c>
      <c r="J108">
        <v>43769</v>
      </c>
    </row>
    <row r="109" spans="1:10" ht="12.75" hidden="1" customHeight="1">
      <c r="A109">
        <v>422050200</v>
      </c>
      <c r="B109" t="s">
        <v>2653</v>
      </c>
      <c r="C109">
        <v>817</v>
      </c>
      <c r="D109" t="s">
        <v>2654</v>
      </c>
      <c r="E109">
        <v>26</v>
      </c>
      <c r="F109">
        <v>0</v>
      </c>
      <c r="G109">
        <v>98225</v>
      </c>
      <c r="H109" t="s">
        <v>2663</v>
      </c>
      <c r="I109">
        <v>0</v>
      </c>
      <c r="J109">
        <v>43798</v>
      </c>
    </row>
    <row r="110" spans="1:10" ht="12.75" hidden="1" customHeight="1">
      <c r="A110">
        <v>422050200</v>
      </c>
      <c r="B110" t="s">
        <v>2653</v>
      </c>
      <c r="C110">
        <v>817</v>
      </c>
      <c r="D110" t="s">
        <v>2654</v>
      </c>
      <c r="E110">
        <v>26</v>
      </c>
      <c r="F110">
        <v>0</v>
      </c>
      <c r="G110">
        <v>98225</v>
      </c>
      <c r="H110" t="s">
        <v>2664</v>
      </c>
      <c r="I110">
        <v>0</v>
      </c>
      <c r="J110">
        <v>43827</v>
      </c>
    </row>
    <row r="111" spans="1:10" ht="12.75" hidden="1" customHeight="1">
      <c r="A111">
        <v>422070100</v>
      </c>
      <c r="B111" t="s">
        <v>2665</v>
      </c>
      <c r="C111">
        <v>436</v>
      </c>
      <c r="D111" t="s">
        <v>2666</v>
      </c>
      <c r="E111">
        <v>26</v>
      </c>
      <c r="F111">
        <v>1062019</v>
      </c>
      <c r="G111">
        <v>17822335</v>
      </c>
      <c r="H111" t="s">
        <v>2667</v>
      </c>
      <c r="I111">
        <v>0</v>
      </c>
      <c r="J111">
        <v>43617</v>
      </c>
    </row>
    <row r="112" spans="1:10" ht="12.75" hidden="1" customHeight="1">
      <c r="A112">
        <v>422070100</v>
      </c>
      <c r="B112" t="s">
        <v>2665</v>
      </c>
      <c r="C112">
        <v>436</v>
      </c>
      <c r="D112" t="s">
        <v>2666</v>
      </c>
      <c r="E112">
        <v>26</v>
      </c>
      <c r="F112">
        <v>1122019</v>
      </c>
      <c r="G112">
        <v>1896244</v>
      </c>
      <c r="H112" t="s">
        <v>2668</v>
      </c>
      <c r="I112">
        <v>0</v>
      </c>
      <c r="J112">
        <v>43815</v>
      </c>
    </row>
    <row r="113" spans="1:10" ht="12.75" hidden="1" customHeight="1">
      <c r="A113">
        <v>422070100</v>
      </c>
      <c r="B113" t="s">
        <v>2665</v>
      </c>
      <c r="C113">
        <v>436</v>
      </c>
      <c r="D113" t="s">
        <v>2666</v>
      </c>
      <c r="E113">
        <v>26</v>
      </c>
      <c r="F113">
        <v>1612019</v>
      </c>
      <c r="G113">
        <v>2967708</v>
      </c>
      <c r="H113" t="s">
        <v>2669</v>
      </c>
      <c r="I113">
        <v>0</v>
      </c>
      <c r="J113">
        <v>43815</v>
      </c>
    </row>
    <row r="114" spans="1:10" ht="12.75" hidden="1" customHeight="1">
      <c r="A114">
        <v>422070100</v>
      </c>
      <c r="B114" t="s">
        <v>2665</v>
      </c>
      <c r="C114">
        <v>436</v>
      </c>
      <c r="D114" t="s">
        <v>2666</v>
      </c>
      <c r="E114">
        <v>26</v>
      </c>
      <c r="F114">
        <v>16120019</v>
      </c>
      <c r="G114">
        <v>4926708</v>
      </c>
      <c r="H114" t="s">
        <v>2670</v>
      </c>
      <c r="I114">
        <v>0</v>
      </c>
      <c r="J114">
        <v>43815</v>
      </c>
    </row>
    <row r="115" spans="1:10" ht="12.75" hidden="1" customHeight="1">
      <c r="A115">
        <v>422070100</v>
      </c>
      <c r="B115" t="s">
        <v>2665</v>
      </c>
      <c r="C115">
        <v>436</v>
      </c>
      <c r="D115" t="s">
        <v>2666</v>
      </c>
      <c r="E115">
        <v>26</v>
      </c>
      <c r="F115">
        <v>16122019</v>
      </c>
      <c r="G115">
        <v>13423027</v>
      </c>
      <c r="H115" t="s">
        <v>2671</v>
      </c>
      <c r="I115">
        <v>0</v>
      </c>
      <c r="J115">
        <v>43815</v>
      </c>
    </row>
    <row r="116" spans="1:10" ht="12.75" hidden="1" customHeight="1">
      <c r="A116">
        <v>422070100</v>
      </c>
      <c r="B116" t="s">
        <v>2665</v>
      </c>
      <c r="C116">
        <v>436</v>
      </c>
      <c r="D116" t="s">
        <v>2666</v>
      </c>
      <c r="E116">
        <v>26</v>
      </c>
      <c r="F116">
        <v>16122019</v>
      </c>
      <c r="G116">
        <v>4806482</v>
      </c>
      <c r="H116" t="s">
        <v>2672</v>
      </c>
      <c r="I116">
        <v>0</v>
      </c>
      <c r="J116">
        <v>43815</v>
      </c>
    </row>
    <row r="117" spans="1:10" ht="12.75" hidden="1" customHeight="1">
      <c r="A117">
        <v>422070100</v>
      </c>
      <c r="B117" t="s">
        <v>2665</v>
      </c>
      <c r="C117">
        <v>436</v>
      </c>
      <c r="D117" t="s">
        <v>2666</v>
      </c>
      <c r="E117">
        <v>26</v>
      </c>
      <c r="F117">
        <v>16122019</v>
      </c>
      <c r="G117">
        <v>2587500</v>
      </c>
      <c r="H117" t="s">
        <v>2673</v>
      </c>
      <c r="I117">
        <v>0</v>
      </c>
      <c r="J117">
        <v>43815</v>
      </c>
    </row>
    <row r="118" spans="1:10" ht="12.75" hidden="1" customHeight="1">
      <c r="A118">
        <v>422070100</v>
      </c>
      <c r="B118" t="s">
        <v>2665</v>
      </c>
      <c r="C118">
        <v>436</v>
      </c>
      <c r="D118" t="s">
        <v>2666</v>
      </c>
      <c r="E118">
        <v>26</v>
      </c>
      <c r="F118">
        <v>16122019</v>
      </c>
      <c r="G118">
        <v>3976875</v>
      </c>
      <c r="H118" t="s">
        <v>2674</v>
      </c>
      <c r="I118">
        <v>0</v>
      </c>
      <c r="J118">
        <v>43815</v>
      </c>
    </row>
    <row r="119" spans="1:10" ht="12.75" hidden="1" customHeight="1">
      <c r="A119">
        <v>422070100</v>
      </c>
      <c r="B119" t="s">
        <v>2665</v>
      </c>
      <c r="C119">
        <v>436</v>
      </c>
      <c r="D119" t="s">
        <v>2666</v>
      </c>
      <c r="E119">
        <v>26</v>
      </c>
      <c r="F119">
        <v>16122019</v>
      </c>
      <c r="G119">
        <v>3627911</v>
      </c>
      <c r="H119" t="s">
        <v>2675</v>
      </c>
      <c r="I119">
        <v>0</v>
      </c>
      <c r="J119">
        <v>43815</v>
      </c>
    </row>
    <row r="120" spans="1:10" ht="12.75" hidden="1" customHeight="1">
      <c r="A120">
        <v>422070100</v>
      </c>
      <c r="B120" t="s">
        <v>2665</v>
      </c>
      <c r="C120">
        <v>436</v>
      </c>
      <c r="D120" t="s">
        <v>2666</v>
      </c>
      <c r="E120">
        <v>26</v>
      </c>
      <c r="F120">
        <v>16122019</v>
      </c>
      <c r="G120">
        <v>2587500</v>
      </c>
      <c r="H120" t="s">
        <v>2676</v>
      </c>
      <c r="I120">
        <v>0</v>
      </c>
      <c r="J120">
        <v>43815</v>
      </c>
    </row>
    <row r="121" spans="1:10" ht="12.75" hidden="1" customHeight="1">
      <c r="A121">
        <v>422070100</v>
      </c>
      <c r="B121" t="s">
        <v>2665</v>
      </c>
      <c r="C121">
        <v>436</v>
      </c>
      <c r="D121" t="s">
        <v>2666</v>
      </c>
      <c r="E121">
        <v>26</v>
      </c>
      <c r="F121">
        <v>16122019</v>
      </c>
      <c r="G121">
        <v>6905625</v>
      </c>
      <c r="H121" t="s">
        <v>2677</v>
      </c>
      <c r="I121">
        <v>0</v>
      </c>
      <c r="J121">
        <v>43815</v>
      </c>
    </row>
    <row r="122" spans="1:10" ht="12.75" hidden="1" customHeight="1">
      <c r="A122">
        <v>422070100</v>
      </c>
      <c r="B122" t="s">
        <v>2665</v>
      </c>
      <c r="C122">
        <v>436</v>
      </c>
      <c r="D122" t="s">
        <v>2666</v>
      </c>
      <c r="E122">
        <v>26</v>
      </c>
      <c r="F122">
        <v>16122019</v>
      </c>
      <c r="G122">
        <v>11920833</v>
      </c>
      <c r="H122" t="s">
        <v>2678</v>
      </c>
      <c r="I122">
        <v>0</v>
      </c>
      <c r="J122">
        <v>43815</v>
      </c>
    </row>
    <row r="123" spans="1:10" ht="12.75" hidden="1" customHeight="1">
      <c r="A123">
        <v>422070100</v>
      </c>
      <c r="B123" t="s">
        <v>2665</v>
      </c>
      <c r="C123">
        <v>436</v>
      </c>
      <c r="D123" t="s">
        <v>2666</v>
      </c>
      <c r="E123">
        <v>26</v>
      </c>
      <c r="F123">
        <v>16122019</v>
      </c>
      <c r="G123">
        <v>8371604</v>
      </c>
      <c r="H123" t="s">
        <v>2679</v>
      </c>
      <c r="I123">
        <v>0</v>
      </c>
      <c r="J123">
        <v>43815</v>
      </c>
    </row>
    <row r="124" spans="1:10" ht="12.75" hidden="1" customHeight="1">
      <c r="A124">
        <v>422070100</v>
      </c>
      <c r="B124" t="s">
        <v>2665</v>
      </c>
      <c r="C124">
        <v>436</v>
      </c>
      <c r="D124" t="s">
        <v>2666</v>
      </c>
      <c r="E124">
        <v>26</v>
      </c>
      <c r="F124">
        <v>16122019</v>
      </c>
      <c r="G124">
        <v>3286760</v>
      </c>
      <c r="H124" t="s">
        <v>2680</v>
      </c>
      <c r="I124">
        <v>0</v>
      </c>
      <c r="J124">
        <v>43815</v>
      </c>
    </row>
    <row r="125" spans="1:10" ht="12.75" hidden="1" customHeight="1">
      <c r="A125">
        <v>422070100</v>
      </c>
      <c r="B125" t="s">
        <v>2665</v>
      </c>
      <c r="C125">
        <v>436</v>
      </c>
      <c r="D125" t="s">
        <v>2666</v>
      </c>
      <c r="E125">
        <v>26</v>
      </c>
      <c r="F125">
        <v>16122019</v>
      </c>
      <c r="G125">
        <v>2152701</v>
      </c>
      <c r="H125" t="s">
        <v>2681</v>
      </c>
      <c r="I125">
        <v>0</v>
      </c>
      <c r="J125">
        <v>43815</v>
      </c>
    </row>
    <row r="126" spans="1:10" ht="12.75" hidden="1" customHeight="1">
      <c r="A126">
        <v>422070100</v>
      </c>
      <c r="B126" t="s">
        <v>2665</v>
      </c>
      <c r="C126">
        <v>436</v>
      </c>
      <c r="D126" t="s">
        <v>2666</v>
      </c>
      <c r="E126">
        <v>26</v>
      </c>
      <c r="F126">
        <v>16122019</v>
      </c>
      <c r="G126">
        <v>2175860</v>
      </c>
      <c r="H126" t="s">
        <v>2682</v>
      </c>
      <c r="I126">
        <v>0</v>
      </c>
      <c r="J126">
        <v>43815</v>
      </c>
    </row>
    <row r="127" spans="1:10" ht="12.75" hidden="1" customHeight="1">
      <c r="A127">
        <v>422070100</v>
      </c>
      <c r="B127" t="s">
        <v>2665</v>
      </c>
      <c r="C127">
        <v>436</v>
      </c>
      <c r="D127" t="s">
        <v>2666</v>
      </c>
      <c r="E127">
        <v>26</v>
      </c>
      <c r="F127">
        <v>16122019</v>
      </c>
      <c r="G127">
        <v>20654807</v>
      </c>
      <c r="H127" t="s">
        <v>2683</v>
      </c>
      <c r="I127">
        <v>0</v>
      </c>
      <c r="J127">
        <v>43815</v>
      </c>
    </row>
    <row r="128" spans="1:10" ht="12.75" hidden="1" customHeight="1">
      <c r="A128">
        <v>422070100</v>
      </c>
      <c r="B128" t="s">
        <v>2665</v>
      </c>
      <c r="C128">
        <v>436</v>
      </c>
      <c r="D128" t="s">
        <v>2666</v>
      </c>
      <c r="E128">
        <v>26</v>
      </c>
      <c r="F128">
        <v>16122019</v>
      </c>
      <c r="G128">
        <v>2507813</v>
      </c>
      <c r="H128" t="s">
        <v>2684</v>
      </c>
      <c r="I128">
        <v>0</v>
      </c>
      <c r="J128">
        <v>43815</v>
      </c>
    </row>
    <row r="129" spans="1:10" ht="12.75" hidden="1" customHeight="1">
      <c r="A129">
        <v>422070100</v>
      </c>
      <c r="B129" t="s">
        <v>2665</v>
      </c>
      <c r="C129">
        <v>436</v>
      </c>
      <c r="D129" t="s">
        <v>2666</v>
      </c>
      <c r="E129">
        <v>26</v>
      </c>
      <c r="F129">
        <v>16122019</v>
      </c>
      <c r="G129">
        <v>3422083</v>
      </c>
      <c r="H129" t="s">
        <v>2685</v>
      </c>
      <c r="I129">
        <v>0</v>
      </c>
      <c r="J129">
        <v>43815</v>
      </c>
    </row>
    <row r="130" spans="1:10" ht="12.75" hidden="1" customHeight="1">
      <c r="A130">
        <v>422070100</v>
      </c>
      <c r="B130" t="s">
        <v>2665</v>
      </c>
      <c r="C130">
        <v>436</v>
      </c>
      <c r="D130" t="s">
        <v>2666</v>
      </c>
      <c r="E130">
        <v>26</v>
      </c>
      <c r="F130">
        <v>16122019</v>
      </c>
      <c r="G130">
        <v>1865157</v>
      </c>
      <c r="H130" t="s">
        <v>2686</v>
      </c>
      <c r="I130">
        <v>0</v>
      </c>
      <c r="J130">
        <v>43815</v>
      </c>
    </row>
    <row r="131" spans="1:10" ht="12.75" hidden="1" customHeight="1">
      <c r="A131">
        <v>422070100</v>
      </c>
      <c r="B131" t="s">
        <v>2665</v>
      </c>
      <c r="C131">
        <v>436</v>
      </c>
      <c r="D131" t="s">
        <v>2666</v>
      </c>
      <c r="E131">
        <v>26</v>
      </c>
      <c r="F131">
        <v>16122019</v>
      </c>
      <c r="G131">
        <v>2105150</v>
      </c>
      <c r="H131" t="s">
        <v>2687</v>
      </c>
      <c r="I131">
        <v>0</v>
      </c>
      <c r="J131">
        <v>43815</v>
      </c>
    </row>
    <row r="132" spans="1:10" ht="12.75" hidden="1" customHeight="1">
      <c r="A132">
        <v>422070100</v>
      </c>
      <c r="B132" t="s">
        <v>2665</v>
      </c>
      <c r="C132">
        <v>436</v>
      </c>
      <c r="D132" t="s">
        <v>2666</v>
      </c>
      <c r="E132">
        <v>26</v>
      </c>
      <c r="F132">
        <v>16122019</v>
      </c>
      <c r="G132">
        <v>3268801</v>
      </c>
      <c r="H132" t="s">
        <v>2688</v>
      </c>
      <c r="I132">
        <v>0</v>
      </c>
      <c r="J132">
        <v>43815</v>
      </c>
    </row>
    <row r="133" spans="1:10" ht="12.75" hidden="1" customHeight="1">
      <c r="A133">
        <v>422070200</v>
      </c>
      <c r="B133" t="s">
        <v>2689</v>
      </c>
      <c r="C133">
        <v>437</v>
      </c>
      <c r="D133" t="s">
        <v>2690</v>
      </c>
      <c r="E133">
        <v>26</v>
      </c>
      <c r="F133">
        <v>0</v>
      </c>
      <c r="G133">
        <v>2325000</v>
      </c>
      <c r="H133" t="s">
        <v>2691</v>
      </c>
      <c r="I133">
        <v>0</v>
      </c>
      <c r="J133">
        <v>43816</v>
      </c>
    </row>
    <row r="134" spans="1:10" ht="12.75" hidden="1" customHeight="1">
      <c r="A134">
        <v>422070200</v>
      </c>
      <c r="B134" t="s">
        <v>2689</v>
      </c>
      <c r="C134">
        <v>437</v>
      </c>
      <c r="D134" t="s">
        <v>2690</v>
      </c>
      <c r="E134">
        <v>26</v>
      </c>
      <c r="F134">
        <v>0</v>
      </c>
      <c r="G134">
        <v>1400000</v>
      </c>
      <c r="H134" t="s">
        <v>2692</v>
      </c>
      <c r="I134">
        <v>0</v>
      </c>
      <c r="J134">
        <v>43816</v>
      </c>
    </row>
    <row r="135" spans="1:10" ht="12.75" hidden="1" customHeight="1">
      <c r="A135">
        <v>422070200</v>
      </c>
      <c r="B135" t="s">
        <v>2689</v>
      </c>
      <c r="C135">
        <v>437</v>
      </c>
      <c r="D135" t="s">
        <v>2690</v>
      </c>
      <c r="E135">
        <v>26</v>
      </c>
      <c r="F135">
        <v>0</v>
      </c>
      <c r="G135">
        <v>2934000</v>
      </c>
      <c r="H135" t="s">
        <v>2693</v>
      </c>
      <c r="I135">
        <v>0</v>
      </c>
      <c r="J135">
        <v>43816</v>
      </c>
    </row>
    <row r="136" spans="1:10" ht="12.75" hidden="1" customHeight="1">
      <c r="A136">
        <v>422070300</v>
      </c>
      <c r="B136" t="s">
        <v>2694</v>
      </c>
      <c r="C136">
        <v>438</v>
      </c>
      <c r="D136" t="s">
        <v>2695</v>
      </c>
      <c r="E136">
        <v>26</v>
      </c>
      <c r="F136">
        <v>16122019</v>
      </c>
      <c r="G136">
        <v>2800000</v>
      </c>
      <c r="H136" t="s">
        <v>2696</v>
      </c>
      <c r="I136">
        <v>0</v>
      </c>
      <c r="J136">
        <v>43815</v>
      </c>
    </row>
    <row r="137" spans="1:10" ht="12.75" hidden="1" customHeight="1">
      <c r="A137">
        <v>422070300</v>
      </c>
      <c r="B137" t="s">
        <v>2694</v>
      </c>
      <c r="C137">
        <v>438</v>
      </c>
      <c r="D137" t="s">
        <v>2695</v>
      </c>
      <c r="E137">
        <v>26</v>
      </c>
      <c r="F137">
        <v>16122019</v>
      </c>
      <c r="G137">
        <v>2681000</v>
      </c>
      <c r="H137" t="s">
        <v>2697</v>
      </c>
      <c r="I137">
        <v>0</v>
      </c>
      <c r="J137">
        <v>43815</v>
      </c>
    </row>
    <row r="138" spans="1:10" ht="12.75" hidden="1" customHeight="1">
      <c r="A138">
        <v>422070300</v>
      </c>
      <c r="B138" t="s">
        <v>2694</v>
      </c>
      <c r="C138">
        <v>438</v>
      </c>
      <c r="D138" t="s">
        <v>2695</v>
      </c>
      <c r="E138">
        <v>26</v>
      </c>
      <c r="F138">
        <v>16122019</v>
      </c>
      <c r="G138">
        <v>7570263</v>
      </c>
      <c r="H138" t="s">
        <v>2698</v>
      </c>
      <c r="I138">
        <v>0</v>
      </c>
      <c r="J138">
        <v>43815</v>
      </c>
    </row>
    <row r="139" spans="1:10" ht="12.75" hidden="1" customHeight="1">
      <c r="A139">
        <v>422070300</v>
      </c>
      <c r="B139" t="s">
        <v>2694</v>
      </c>
      <c r="C139">
        <v>438</v>
      </c>
      <c r="D139" t="s">
        <v>2695</v>
      </c>
      <c r="E139">
        <v>26</v>
      </c>
      <c r="F139">
        <v>16122019</v>
      </c>
      <c r="G139">
        <v>528746</v>
      </c>
      <c r="H139" t="s">
        <v>2699</v>
      </c>
      <c r="I139">
        <v>0</v>
      </c>
      <c r="J139">
        <v>43815</v>
      </c>
    </row>
    <row r="140" spans="1:10" ht="12.75" hidden="1" customHeight="1">
      <c r="A140">
        <v>422070400</v>
      </c>
      <c r="B140" t="s">
        <v>2700</v>
      </c>
      <c r="C140">
        <v>1624</v>
      </c>
      <c r="D140" t="s">
        <v>2701</v>
      </c>
      <c r="E140">
        <v>26</v>
      </c>
      <c r="F140">
        <v>0</v>
      </c>
      <c r="G140">
        <v>5689583</v>
      </c>
      <c r="H140" t="s">
        <v>2702</v>
      </c>
      <c r="I140">
        <v>0</v>
      </c>
      <c r="J140">
        <v>43815</v>
      </c>
    </row>
    <row r="141" spans="1:10" ht="12.75" hidden="1" customHeight="1">
      <c r="A141">
        <v>422070400</v>
      </c>
      <c r="B141" t="s">
        <v>2700</v>
      </c>
      <c r="C141">
        <v>1624</v>
      </c>
      <c r="D141" t="s">
        <v>2701</v>
      </c>
      <c r="E141">
        <v>26</v>
      </c>
      <c r="F141">
        <v>0</v>
      </c>
      <c r="G141">
        <v>4011389</v>
      </c>
      <c r="H141" t="s">
        <v>2703</v>
      </c>
      <c r="I141">
        <v>0</v>
      </c>
      <c r="J141">
        <v>43815</v>
      </c>
    </row>
    <row r="142" spans="1:10" ht="12.75" hidden="1" customHeight="1">
      <c r="A142">
        <v>422070400</v>
      </c>
      <c r="B142" t="s">
        <v>2700</v>
      </c>
      <c r="C142">
        <v>1624</v>
      </c>
      <c r="D142" t="s">
        <v>2701</v>
      </c>
      <c r="E142">
        <v>26</v>
      </c>
      <c r="F142">
        <v>0</v>
      </c>
      <c r="G142">
        <v>8769854</v>
      </c>
      <c r="H142" t="s">
        <v>2704</v>
      </c>
      <c r="I142">
        <v>0</v>
      </c>
      <c r="J142">
        <v>43815</v>
      </c>
    </row>
    <row r="143" spans="1:10" ht="12.75" hidden="1" customHeight="1">
      <c r="A143">
        <v>422070400</v>
      </c>
      <c r="B143" t="s">
        <v>2700</v>
      </c>
      <c r="C143">
        <v>1624</v>
      </c>
      <c r="D143" t="s">
        <v>2701</v>
      </c>
      <c r="E143">
        <v>26</v>
      </c>
      <c r="F143">
        <v>0</v>
      </c>
      <c r="G143">
        <v>3190583</v>
      </c>
      <c r="H143" t="s">
        <v>2705</v>
      </c>
      <c r="I143">
        <v>0</v>
      </c>
      <c r="J143">
        <v>43815</v>
      </c>
    </row>
    <row r="144" spans="1:10" ht="12.75" hidden="1" customHeight="1">
      <c r="A144">
        <v>422070500</v>
      </c>
      <c r="B144" t="s">
        <v>2706</v>
      </c>
      <c r="C144">
        <v>1741</v>
      </c>
      <c r="D144" t="s">
        <v>2707</v>
      </c>
      <c r="E144">
        <v>26</v>
      </c>
      <c r="F144">
        <v>1612019</v>
      </c>
      <c r="G144">
        <v>4121340</v>
      </c>
      <c r="H144" t="s">
        <v>2708</v>
      </c>
      <c r="I144">
        <v>0</v>
      </c>
      <c r="J144">
        <v>43815</v>
      </c>
    </row>
    <row r="145" spans="1:10" ht="12.75" hidden="1" customHeight="1">
      <c r="A145">
        <v>422070500</v>
      </c>
      <c r="B145" t="s">
        <v>2706</v>
      </c>
      <c r="C145">
        <v>1741</v>
      </c>
      <c r="D145" t="s">
        <v>2707</v>
      </c>
      <c r="E145">
        <v>26</v>
      </c>
      <c r="F145">
        <v>16122019</v>
      </c>
      <c r="G145">
        <v>3562788</v>
      </c>
      <c r="H145" t="s">
        <v>2709</v>
      </c>
      <c r="I145">
        <v>0</v>
      </c>
      <c r="J145">
        <v>43815</v>
      </c>
    </row>
    <row r="146" spans="1:10" ht="12.75" hidden="1" customHeight="1">
      <c r="A146">
        <v>422070500</v>
      </c>
      <c r="B146" t="s">
        <v>2706</v>
      </c>
      <c r="C146">
        <v>1741</v>
      </c>
      <c r="D146" t="s">
        <v>2707</v>
      </c>
      <c r="E146">
        <v>26</v>
      </c>
      <c r="F146">
        <v>16122019</v>
      </c>
      <c r="G146">
        <v>1177230</v>
      </c>
      <c r="H146" t="s">
        <v>2710</v>
      </c>
      <c r="I146">
        <v>0</v>
      </c>
      <c r="J146">
        <v>43815</v>
      </c>
    </row>
    <row r="147" spans="1:10" ht="12.75" hidden="1" customHeight="1">
      <c r="A147">
        <v>422070500</v>
      </c>
      <c r="B147" t="s">
        <v>2706</v>
      </c>
      <c r="C147">
        <v>1741</v>
      </c>
      <c r="D147" t="s">
        <v>2707</v>
      </c>
      <c r="E147">
        <v>26</v>
      </c>
      <c r="F147">
        <v>16122019</v>
      </c>
      <c r="G147">
        <v>3983695</v>
      </c>
      <c r="H147" t="s">
        <v>2711</v>
      </c>
      <c r="I147">
        <v>0</v>
      </c>
      <c r="J147">
        <v>43815</v>
      </c>
    </row>
    <row r="148" spans="1:10" ht="12.75" hidden="1" customHeight="1">
      <c r="A148">
        <v>422070500</v>
      </c>
      <c r="B148" t="s">
        <v>2706</v>
      </c>
      <c r="C148">
        <v>1741</v>
      </c>
      <c r="D148" t="s">
        <v>2707</v>
      </c>
      <c r="E148">
        <v>26</v>
      </c>
      <c r="F148">
        <v>16122019</v>
      </c>
      <c r="G148">
        <v>12666667</v>
      </c>
      <c r="H148" t="s">
        <v>2712</v>
      </c>
      <c r="I148">
        <v>0</v>
      </c>
      <c r="J148">
        <v>43815</v>
      </c>
    </row>
    <row r="149" spans="1:10" ht="12.75" hidden="1" customHeight="1">
      <c r="A149">
        <v>422070500</v>
      </c>
      <c r="B149" t="s">
        <v>2706</v>
      </c>
      <c r="C149">
        <v>1741</v>
      </c>
      <c r="D149" t="s">
        <v>2707</v>
      </c>
      <c r="E149">
        <v>26</v>
      </c>
      <c r="F149">
        <v>16122019</v>
      </c>
      <c r="G149">
        <v>3530583</v>
      </c>
      <c r="H149" t="s">
        <v>2713</v>
      </c>
      <c r="I149">
        <v>0</v>
      </c>
      <c r="J149">
        <v>43815</v>
      </c>
    </row>
    <row r="150" spans="1:10" ht="12.75" hidden="1" customHeight="1">
      <c r="A150">
        <v>422070500</v>
      </c>
      <c r="B150" t="s">
        <v>2706</v>
      </c>
      <c r="C150">
        <v>1741</v>
      </c>
      <c r="D150" t="s">
        <v>2707</v>
      </c>
      <c r="E150">
        <v>26</v>
      </c>
      <c r="F150">
        <v>16122019</v>
      </c>
      <c r="G150">
        <v>4355743</v>
      </c>
      <c r="H150" t="s">
        <v>2714</v>
      </c>
      <c r="I150">
        <v>0</v>
      </c>
      <c r="J150">
        <v>43815</v>
      </c>
    </row>
    <row r="151" spans="1:10" ht="12.75" hidden="1" customHeight="1">
      <c r="A151">
        <v>422070500</v>
      </c>
      <c r="B151" t="s">
        <v>2706</v>
      </c>
      <c r="C151">
        <v>1741</v>
      </c>
      <c r="D151" t="s">
        <v>2707</v>
      </c>
      <c r="E151">
        <v>26</v>
      </c>
      <c r="F151">
        <v>16122019</v>
      </c>
      <c r="G151">
        <v>3117938</v>
      </c>
      <c r="H151" t="s">
        <v>2715</v>
      </c>
      <c r="I151">
        <v>0</v>
      </c>
      <c r="J151">
        <v>43815</v>
      </c>
    </row>
    <row r="152" spans="1:10" ht="12.75" hidden="1" customHeight="1">
      <c r="A152">
        <v>422070500</v>
      </c>
      <c r="B152" t="s">
        <v>2706</v>
      </c>
      <c r="C152">
        <v>1741</v>
      </c>
      <c r="D152" t="s">
        <v>2707</v>
      </c>
      <c r="E152">
        <v>26</v>
      </c>
      <c r="F152">
        <v>16122019</v>
      </c>
      <c r="G152">
        <v>1299132</v>
      </c>
      <c r="H152" t="s">
        <v>2716</v>
      </c>
      <c r="I152">
        <v>0</v>
      </c>
      <c r="J152">
        <v>43815</v>
      </c>
    </row>
    <row r="153" spans="1:10" ht="12.75" hidden="1" customHeight="1">
      <c r="A153">
        <v>422070500</v>
      </c>
      <c r="B153" t="s">
        <v>2706</v>
      </c>
      <c r="C153">
        <v>1741</v>
      </c>
      <c r="D153" t="s">
        <v>2707</v>
      </c>
      <c r="E153">
        <v>26</v>
      </c>
      <c r="F153">
        <v>16122019</v>
      </c>
      <c r="G153">
        <v>3637739</v>
      </c>
      <c r="H153" t="s">
        <v>2717</v>
      </c>
      <c r="I153">
        <v>0</v>
      </c>
      <c r="J153">
        <v>43815</v>
      </c>
    </row>
    <row r="154" spans="1:10" ht="12.75" hidden="1" customHeight="1">
      <c r="A154">
        <v>422100100</v>
      </c>
      <c r="B154" t="s">
        <v>2107</v>
      </c>
      <c r="C154">
        <v>1723</v>
      </c>
      <c r="D154" t="s">
        <v>2200</v>
      </c>
      <c r="E154">
        <v>26</v>
      </c>
      <c r="F154">
        <v>5072019</v>
      </c>
      <c r="G154">
        <v>1000000</v>
      </c>
      <c r="H154" t="s">
        <v>2201</v>
      </c>
      <c r="I154">
        <v>0</v>
      </c>
      <c r="J154">
        <v>43651</v>
      </c>
    </row>
    <row r="155" spans="1:10" ht="12.75" hidden="1" customHeight="1">
      <c r="A155">
        <v>422100100</v>
      </c>
      <c r="B155" t="s">
        <v>2107</v>
      </c>
      <c r="C155">
        <v>1723</v>
      </c>
      <c r="D155" t="s">
        <v>2200</v>
      </c>
      <c r="E155">
        <v>26</v>
      </c>
      <c r="F155">
        <v>2394</v>
      </c>
      <c r="G155">
        <v>1000000</v>
      </c>
      <c r="H155" t="s">
        <v>2006</v>
      </c>
      <c r="I155">
        <v>0</v>
      </c>
      <c r="J155">
        <v>43753</v>
      </c>
    </row>
    <row r="156" spans="1:10" ht="12.75" hidden="1" customHeight="1">
      <c r="A156">
        <v>422100100</v>
      </c>
      <c r="B156" t="s">
        <v>2107</v>
      </c>
      <c r="C156">
        <v>1723</v>
      </c>
      <c r="D156" t="s">
        <v>2200</v>
      </c>
      <c r="E156">
        <v>26</v>
      </c>
      <c r="F156">
        <v>2522</v>
      </c>
      <c r="G156">
        <v>1000000</v>
      </c>
      <c r="H156" t="s">
        <v>2007</v>
      </c>
      <c r="I156">
        <v>0</v>
      </c>
      <c r="J156">
        <v>43784</v>
      </c>
    </row>
    <row r="157" spans="1:10" ht="12.75" hidden="1" customHeight="1">
      <c r="A157">
        <v>422100100</v>
      </c>
      <c r="B157" t="s">
        <v>2107</v>
      </c>
      <c r="C157">
        <v>1723</v>
      </c>
      <c r="D157" t="s">
        <v>2200</v>
      </c>
      <c r="E157">
        <v>26</v>
      </c>
      <c r="F157">
        <v>2700</v>
      </c>
      <c r="G157">
        <v>300000</v>
      </c>
      <c r="H157" t="s">
        <v>2202</v>
      </c>
      <c r="I157">
        <v>0</v>
      </c>
      <c r="J157">
        <v>43829</v>
      </c>
    </row>
    <row r="158" spans="1:10" ht="12.75" hidden="1" customHeight="1">
      <c r="A158">
        <v>422100200</v>
      </c>
      <c r="B158" t="s">
        <v>2207</v>
      </c>
      <c r="C158">
        <v>801</v>
      </c>
      <c r="D158" t="s">
        <v>2227</v>
      </c>
      <c r="E158">
        <v>26</v>
      </c>
      <c r="F158">
        <v>0</v>
      </c>
      <c r="G158">
        <v>2500000</v>
      </c>
      <c r="H158" t="s">
        <v>2228</v>
      </c>
      <c r="I158">
        <v>0</v>
      </c>
      <c r="J158">
        <v>43482</v>
      </c>
    </row>
    <row r="159" spans="1:10" ht="12.75" hidden="1" customHeight="1">
      <c r="A159">
        <v>422100200</v>
      </c>
      <c r="B159" t="s">
        <v>2207</v>
      </c>
      <c r="C159">
        <v>801</v>
      </c>
      <c r="D159" t="s">
        <v>2227</v>
      </c>
      <c r="E159">
        <v>26</v>
      </c>
      <c r="F159">
        <v>0</v>
      </c>
      <c r="G159">
        <v>200000</v>
      </c>
      <c r="H159" t="s">
        <v>2229</v>
      </c>
      <c r="I159">
        <v>0</v>
      </c>
      <c r="J159">
        <v>43494</v>
      </c>
    </row>
    <row r="160" spans="1:10" ht="12.75" hidden="1" customHeight="1">
      <c r="A160">
        <v>422100200</v>
      </c>
      <c r="B160" t="s">
        <v>2207</v>
      </c>
      <c r="C160">
        <v>801</v>
      </c>
      <c r="D160" t="s">
        <v>2227</v>
      </c>
      <c r="E160">
        <v>26</v>
      </c>
      <c r="F160">
        <v>0</v>
      </c>
      <c r="G160">
        <v>300000</v>
      </c>
      <c r="H160" t="s">
        <v>2231</v>
      </c>
      <c r="I160">
        <v>0</v>
      </c>
      <c r="J160">
        <v>43497</v>
      </c>
    </row>
    <row r="161" spans="1:10" ht="12.75" hidden="1" customHeight="1">
      <c r="A161">
        <v>422100200</v>
      </c>
      <c r="B161" t="s">
        <v>2207</v>
      </c>
      <c r="C161">
        <v>801</v>
      </c>
      <c r="D161" t="s">
        <v>2227</v>
      </c>
      <c r="E161">
        <v>26</v>
      </c>
      <c r="F161">
        <v>0</v>
      </c>
      <c r="G161">
        <v>300000</v>
      </c>
      <c r="H161" t="s">
        <v>2232</v>
      </c>
      <c r="I161">
        <v>0</v>
      </c>
      <c r="J161">
        <v>43505</v>
      </c>
    </row>
    <row r="162" spans="1:10" ht="12.75" hidden="1" customHeight="1">
      <c r="A162">
        <v>422100200</v>
      </c>
      <c r="B162" t="s">
        <v>2207</v>
      </c>
      <c r="C162">
        <v>801</v>
      </c>
      <c r="D162" t="s">
        <v>2227</v>
      </c>
      <c r="E162">
        <v>26</v>
      </c>
      <c r="F162">
        <v>0</v>
      </c>
      <c r="G162">
        <v>400000</v>
      </c>
      <c r="H162" t="s">
        <v>2233</v>
      </c>
      <c r="I162">
        <v>0</v>
      </c>
      <c r="J162">
        <v>43512</v>
      </c>
    </row>
    <row r="163" spans="1:10" ht="12.75" hidden="1" customHeight="1">
      <c r="A163">
        <v>422100200</v>
      </c>
      <c r="B163" t="s">
        <v>2207</v>
      </c>
      <c r="C163">
        <v>801</v>
      </c>
      <c r="D163" t="s">
        <v>2227</v>
      </c>
      <c r="E163">
        <v>26</v>
      </c>
      <c r="F163">
        <v>0</v>
      </c>
      <c r="G163">
        <v>300000</v>
      </c>
      <c r="H163" t="s">
        <v>2234</v>
      </c>
      <c r="I163">
        <v>0</v>
      </c>
      <c r="J163">
        <v>43533</v>
      </c>
    </row>
    <row r="164" spans="1:10" ht="12.75" hidden="1" customHeight="1">
      <c r="A164">
        <v>422100200</v>
      </c>
      <c r="B164" t="s">
        <v>2207</v>
      </c>
      <c r="C164">
        <v>801</v>
      </c>
      <c r="D164" t="s">
        <v>2227</v>
      </c>
      <c r="E164">
        <v>26</v>
      </c>
      <c r="F164">
        <v>0</v>
      </c>
      <c r="G164">
        <v>200000</v>
      </c>
      <c r="H164" t="s">
        <v>2235</v>
      </c>
      <c r="I164">
        <v>0</v>
      </c>
      <c r="J164">
        <v>43635</v>
      </c>
    </row>
    <row r="165" spans="1:10" ht="12.75" hidden="1" customHeight="1">
      <c r="A165">
        <v>422100200</v>
      </c>
      <c r="B165" t="s">
        <v>2207</v>
      </c>
      <c r="C165">
        <v>801</v>
      </c>
      <c r="D165" t="s">
        <v>2227</v>
      </c>
      <c r="E165">
        <v>26</v>
      </c>
      <c r="F165">
        <v>0</v>
      </c>
      <c r="G165">
        <v>600000</v>
      </c>
      <c r="H165" t="s">
        <v>2235</v>
      </c>
      <c r="I165">
        <v>0</v>
      </c>
      <c r="J165">
        <v>43638</v>
      </c>
    </row>
    <row r="166" spans="1:10">
      <c r="A166">
        <v>422100300</v>
      </c>
      <c r="B166" s="71" t="s">
        <v>2258</v>
      </c>
      <c r="C166">
        <v>1702</v>
      </c>
      <c r="D166" t="s">
        <v>2274</v>
      </c>
      <c r="E166">
        <v>26</v>
      </c>
      <c r="F166">
        <v>300419</v>
      </c>
      <c r="G166" s="23">
        <v>2800000</v>
      </c>
      <c r="H166" t="s">
        <v>2275</v>
      </c>
      <c r="I166">
        <v>0</v>
      </c>
      <c r="J166" s="54">
        <v>43585</v>
      </c>
    </row>
    <row r="167" spans="1:10">
      <c r="A167">
        <v>422100300</v>
      </c>
      <c r="B167" s="71" t="s">
        <v>2258</v>
      </c>
      <c r="C167">
        <v>1702</v>
      </c>
      <c r="D167" t="s">
        <v>2274</v>
      </c>
      <c r="E167">
        <v>26</v>
      </c>
      <c r="F167">
        <v>31052019</v>
      </c>
      <c r="G167" s="23">
        <v>2800000</v>
      </c>
      <c r="H167" t="s">
        <v>2276</v>
      </c>
      <c r="I167">
        <v>0</v>
      </c>
      <c r="J167" s="54">
        <v>43616</v>
      </c>
    </row>
    <row r="168" spans="1:10">
      <c r="A168">
        <v>422100300</v>
      </c>
      <c r="B168" s="71" t="s">
        <v>2258</v>
      </c>
      <c r="C168">
        <v>1702</v>
      </c>
      <c r="D168" t="s">
        <v>2274</v>
      </c>
      <c r="E168">
        <v>26</v>
      </c>
      <c r="F168">
        <v>29062019</v>
      </c>
      <c r="G168" s="23">
        <v>3300000</v>
      </c>
      <c r="H168" t="s">
        <v>2277</v>
      </c>
      <c r="I168">
        <v>0</v>
      </c>
      <c r="J168" s="54">
        <v>43645</v>
      </c>
    </row>
    <row r="169" spans="1:10" ht="12.75" hidden="1" customHeight="1">
      <c r="A169">
        <v>422100400</v>
      </c>
      <c r="B169" t="s">
        <v>2283</v>
      </c>
      <c r="C169">
        <v>801</v>
      </c>
      <c r="D169" t="s">
        <v>2227</v>
      </c>
      <c r="E169">
        <v>26</v>
      </c>
      <c r="F169">
        <v>0</v>
      </c>
      <c r="G169">
        <v>500000</v>
      </c>
      <c r="H169" t="s">
        <v>2300</v>
      </c>
      <c r="I169">
        <v>0</v>
      </c>
      <c r="J169">
        <v>43757</v>
      </c>
    </row>
    <row r="170" spans="1:10">
      <c r="A170">
        <v>422110100</v>
      </c>
      <c r="B170" s="71" t="s">
        <v>2567</v>
      </c>
      <c r="C170">
        <v>449</v>
      </c>
      <c r="D170" t="s">
        <v>2568</v>
      </c>
      <c r="E170">
        <v>26</v>
      </c>
      <c r="F170">
        <v>211219</v>
      </c>
      <c r="G170" s="23">
        <v>100000</v>
      </c>
      <c r="H170" t="s">
        <v>2569</v>
      </c>
      <c r="I170">
        <v>0</v>
      </c>
      <c r="J170" s="54">
        <v>43823</v>
      </c>
    </row>
    <row r="171" spans="1:10">
      <c r="A171">
        <v>422110100</v>
      </c>
      <c r="B171" s="71" t="s">
        <v>2567</v>
      </c>
      <c r="C171">
        <v>449</v>
      </c>
      <c r="D171" t="s">
        <v>2568</v>
      </c>
      <c r="E171">
        <v>26</v>
      </c>
      <c r="F171">
        <v>2112019</v>
      </c>
      <c r="G171" s="23">
        <v>100000</v>
      </c>
      <c r="H171" t="s">
        <v>2569</v>
      </c>
      <c r="I171">
        <v>0</v>
      </c>
      <c r="J171" s="54">
        <v>43823</v>
      </c>
    </row>
    <row r="172" spans="1:10">
      <c r="A172">
        <v>422110100</v>
      </c>
      <c r="B172" s="71" t="s">
        <v>2567</v>
      </c>
      <c r="C172">
        <v>449</v>
      </c>
      <c r="D172" t="s">
        <v>2568</v>
      </c>
      <c r="E172">
        <v>26</v>
      </c>
      <c r="F172">
        <v>20122019</v>
      </c>
      <c r="G172" s="23">
        <v>100000</v>
      </c>
      <c r="H172" t="s">
        <v>2570</v>
      </c>
      <c r="I172">
        <v>0</v>
      </c>
      <c r="J172" s="54">
        <v>43823</v>
      </c>
    </row>
    <row r="173" spans="1:10">
      <c r="A173">
        <v>422110100</v>
      </c>
      <c r="B173" s="71" t="s">
        <v>2567</v>
      </c>
      <c r="C173">
        <v>449</v>
      </c>
      <c r="D173" t="s">
        <v>2568</v>
      </c>
      <c r="E173">
        <v>26</v>
      </c>
      <c r="F173">
        <v>21122019</v>
      </c>
      <c r="G173" s="23">
        <v>100000</v>
      </c>
      <c r="H173" t="s">
        <v>2571</v>
      </c>
      <c r="I173">
        <v>0</v>
      </c>
      <c r="J173" s="54">
        <v>43823</v>
      </c>
    </row>
    <row r="174" spans="1:10" ht="12.75" hidden="1" customHeight="1">
      <c r="A174">
        <v>422110200</v>
      </c>
      <c r="B174" t="s">
        <v>2718</v>
      </c>
      <c r="C174">
        <v>852</v>
      </c>
      <c r="D174" t="s">
        <v>2719</v>
      </c>
      <c r="E174">
        <v>26</v>
      </c>
      <c r="F174">
        <v>0</v>
      </c>
      <c r="G174">
        <v>369676</v>
      </c>
      <c r="H174" t="s">
        <v>2720</v>
      </c>
      <c r="I174">
        <v>0</v>
      </c>
      <c r="J174">
        <v>43500</v>
      </c>
    </row>
    <row r="175" spans="1:10" ht="12.75" hidden="1" customHeight="1">
      <c r="A175">
        <v>422110200</v>
      </c>
      <c r="B175" t="s">
        <v>2718</v>
      </c>
      <c r="C175">
        <v>852</v>
      </c>
      <c r="D175" t="s">
        <v>2719</v>
      </c>
      <c r="E175">
        <v>26</v>
      </c>
      <c r="F175">
        <v>0</v>
      </c>
      <c r="G175">
        <v>76500</v>
      </c>
      <c r="H175" t="s">
        <v>2721</v>
      </c>
      <c r="I175">
        <v>0</v>
      </c>
      <c r="J175">
        <v>43521</v>
      </c>
    </row>
    <row r="176" spans="1:10" ht="12.75" hidden="1" customHeight="1">
      <c r="A176">
        <v>422110200</v>
      </c>
      <c r="B176" t="s">
        <v>2718</v>
      </c>
      <c r="C176">
        <v>852</v>
      </c>
      <c r="D176" t="s">
        <v>2719</v>
      </c>
      <c r="E176">
        <v>26</v>
      </c>
      <c r="F176">
        <v>658266</v>
      </c>
      <c r="G176">
        <v>60750</v>
      </c>
      <c r="H176" t="s">
        <v>2722</v>
      </c>
      <c r="I176">
        <v>0</v>
      </c>
      <c r="J176">
        <v>43529</v>
      </c>
    </row>
    <row r="177" spans="1:10" ht="12.75" hidden="1" customHeight="1">
      <c r="A177">
        <v>422110200</v>
      </c>
      <c r="B177" t="s">
        <v>2718</v>
      </c>
      <c r="C177">
        <v>852</v>
      </c>
      <c r="D177" t="s">
        <v>2719</v>
      </c>
      <c r="E177">
        <v>26</v>
      </c>
      <c r="F177">
        <v>658267</v>
      </c>
      <c r="G177">
        <v>40500</v>
      </c>
      <c r="H177" t="s">
        <v>2722</v>
      </c>
      <c r="I177">
        <v>0</v>
      </c>
      <c r="J177">
        <v>43533</v>
      </c>
    </row>
    <row r="178" spans="1:10" ht="12.75" hidden="1" customHeight="1">
      <c r="A178">
        <v>422110200</v>
      </c>
      <c r="B178" t="s">
        <v>2718</v>
      </c>
      <c r="C178">
        <v>852</v>
      </c>
      <c r="D178" t="s">
        <v>2719</v>
      </c>
      <c r="E178">
        <v>26</v>
      </c>
      <c r="F178">
        <v>658268</v>
      </c>
      <c r="G178">
        <v>54000</v>
      </c>
      <c r="H178" t="s">
        <v>2722</v>
      </c>
      <c r="I178">
        <v>0</v>
      </c>
      <c r="J178">
        <v>43542</v>
      </c>
    </row>
    <row r="179" spans="1:10" ht="12.75" hidden="1" customHeight="1">
      <c r="A179">
        <v>422110200</v>
      </c>
      <c r="B179" t="s">
        <v>2718</v>
      </c>
      <c r="C179">
        <v>852</v>
      </c>
      <c r="D179" t="s">
        <v>2719</v>
      </c>
      <c r="E179">
        <v>26</v>
      </c>
      <c r="F179">
        <v>0</v>
      </c>
      <c r="G179">
        <v>67500</v>
      </c>
      <c r="H179" t="s">
        <v>2723</v>
      </c>
      <c r="I179">
        <v>0</v>
      </c>
      <c r="J179">
        <v>43556</v>
      </c>
    </row>
    <row r="180" spans="1:10" ht="12.75" hidden="1" customHeight="1">
      <c r="A180">
        <v>422110200</v>
      </c>
      <c r="B180" t="s">
        <v>2718</v>
      </c>
      <c r="C180">
        <v>852</v>
      </c>
      <c r="D180" t="s">
        <v>2719</v>
      </c>
      <c r="E180">
        <v>26</v>
      </c>
      <c r="F180">
        <v>0</v>
      </c>
      <c r="G180">
        <v>369676</v>
      </c>
      <c r="H180" t="s">
        <v>2724</v>
      </c>
      <c r="I180">
        <v>0</v>
      </c>
      <c r="J180">
        <v>43556</v>
      </c>
    </row>
    <row r="181" spans="1:10" ht="12.75" hidden="1" customHeight="1">
      <c r="A181">
        <v>422110200</v>
      </c>
      <c r="B181" t="s">
        <v>2718</v>
      </c>
      <c r="C181">
        <v>852</v>
      </c>
      <c r="D181" t="s">
        <v>2719</v>
      </c>
      <c r="E181">
        <v>26</v>
      </c>
      <c r="F181">
        <v>0</v>
      </c>
      <c r="G181">
        <v>60000</v>
      </c>
      <c r="H181" t="s">
        <v>2725</v>
      </c>
      <c r="I181">
        <v>0</v>
      </c>
      <c r="J181">
        <v>43556</v>
      </c>
    </row>
    <row r="182" spans="1:10" ht="12.75" hidden="1" customHeight="1">
      <c r="A182">
        <v>422110200</v>
      </c>
      <c r="B182" t="s">
        <v>2718</v>
      </c>
      <c r="C182">
        <v>852</v>
      </c>
      <c r="D182" t="s">
        <v>2719</v>
      </c>
      <c r="E182">
        <v>26</v>
      </c>
      <c r="F182">
        <v>0</v>
      </c>
      <c r="G182">
        <v>70500</v>
      </c>
      <c r="H182" t="s">
        <v>2722</v>
      </c>
      <c r="I182">
        <v>0</v>
      </c>
      <c r="J182">
        <v>43563</v>
      </c>
    </row>
    <row r="183" spans="1:10" ht="12.75" hidden="1" customHeight="1">
      <c r="A183">
        <v>422110200</v>
      </c>
      <c r="B183" t="s">
        <v>2718</v>
      </c>
      <c r="C183">
        <v>852</v>
      </c>
      <c r="D183" t="s">
        <v>2719</v>
      </c>
      <c r="E183">
        <v>26</v>
      </c>
      <c r="F183">
        <v>0</v>
      </c>
      <c r="G183">
        <v>60000</v>
      </c>
      <c r="H183" t="s">
        <v>2726</v>
      </c>
      <c r="I183">
        <v>0</v>
      </c>
      <c r="J183">
        <v>43584</v>
      </c>
    </row>
    <row r="184" spans="1:10" ht="12.75" hidden="1" customHeight="1">
      <c r="A184">
        <v>422110200</v>
      </c>
      <c r="B184" t="s">
        <v>2718</v>
      </c>
      <c r="C184">
        <v>852</v>
      </c>
      <c r="D184" t="s">
        <v>2719</v>
      </c>
      <c r="E184">
        <v>26</v>
      </c>
      <c r="F184">
        <v>0</v>
      </c>
      <c r="G184">
        <v>40500</v>
      </c>
      <c r="H184" t="s">
        <v>2726</v>
      </c>
      <c r="I184">
        <v>0</v>
      </c>
      <c r="J184">
        <v>43584</v>
      </c>
    </row>
    <row r="185" spans="1:10" ht="12.75" hidden="1" customHeight="1">
      <c r="A185">
        <v>422110200</v>
      </c>
      <c r="B185" t="s">
        <v>2718</v>
      </c>
      <c r="C185">
        <v>852</v>
      </c>
      <c r="D185" t="s">
        <v>2719</v>
      </c>
      <c r="E185">
        <v>26</v>
      </c>
      <c r="F185">
        <v>0</v>
      </c>
      <c r="G185">
        <v>369676</v>
      </c>
      <c r="H185" t="s">
        <v>2727</v>
      </c>
      <c r="I185">
        <v>0</v>
      </c>
      <c r="J185">
        <v>43591</v>
      </c>
    </row>
    <row r="186" spans="1:10" ht="12.75" hidden="1" customHeight="1">
      <c r="A186">
        <v>422110200</v>
      </c>
      <c r="B186" t="s">
        <v>2718</v>
      </c>
      <c r="C186">
        <v>852</v>
      </c>
      <c r="D186" t="s">
        <v>2719</v>
      </c>
      <c r="E186">
        <v>26</v>
      </c>
      <c r="F186">
        <v>0</v>
      </c>
      <c r="G186">
        <v>70500</v>
      </c>
      <c r="H186" t="s">
        <v>2726</v>
      </c>
      <c r="I186">
        <v>0</v>
      </c>
      <c r="J186">
        <v>43591</v>
      </c>
    </row>
    <row r="187" spans="1:10" ht="12.75" hidden="1" customHeight="1">
      <c r="A187">
        <v>422110200</v>
      </c>
      <c r="B187" t="s">
        <v>2718</v>
      </c>
      <c r="C187">
        <v>852</v>
      </c>
      <c r="D187" t="s">
        <v>2719</v>
      </c>
      <c r="E187">
        <v>26</v>
      </c>
      <c r="F187">
        <v>0</v>
      </c>
      <c r="G187">
        <v>55500</v>
      </c>
      <c r="H187" t="s">
        <v>2728</v>
      </c>
      <c r="I187">
        <v>0</v>
      </c>
      <c r="J187">
        <v>43596</v>
      </c>
    </row>
    <row r="188" spans="1:10" ht="12.75" hidden="1" customHeight="1">
      <c r="A188">
        <v>422110200</v>
      </c>
      <c r="B188" t="s">
        <v>2718</v>
      </c>
      <c r="C188">
        <v>852</v>
      </c>
      <c r="D188" t="s">
        <v>2719</v>
      </c>
      <c r="E188">
        <v>26</v>
      </c>
      <c r="F188">
        <v>0</v>
      </c>
      <c r="G188">
        <v>66000</v>
      </c>
      <c r="H188" t="s">
        <v>2729</v>
      </c>
      <c r="I188">
        <v>0</v>
      </c>
      <c r="J188">
        <v>43609</v>
      </c>
    </row>
    <row r="189" spans="1:10" ht="12.75" hidden="1" customHeight="1">
      <c r="A189">
        <v>422110200</v>
      </c>
      <c r="B189" t="s">
        <v>2718</v>
      </c>
      <c r="C189">
        <v>852</v>
      </c>
      <c r="D189" t="s">
        <v>2719</v>
      </c>
      <c r="E189">
        <v>26</v>
      </c>
      <c r="F189">
        <v>0</v>
      </c>
      <c r="G189">
        <v>45000</v>
      </c>
      <c r="H189" t="s">
        <v>2730</v>
      </c>
      <c r="I189">
        <v>0</v>
      </c>
      <c r="J189">
        <v>43621</v>
      </c>
    </row>
    <row r="190" spans="1:10" ht="12.75" hidden="1" customHeight="1">
      <c r="A190">
        <v>422110200</v>
      </c>
      <c r="B190" t="s">
        <v>2718</v>
      </c>
      <c r="C190">
        <v>852</v>
      </c>
      <c r="D190" t="s">
        <v>2719</v>
      </c>
      <c r="E190">
        <v>26</v>
      </c>
      <c r="F190">
        <v>0</v>
      </c>
      <c r="G190">
        <v>397027</v>
      </c>
      <c r="H190" t="s">
        <v>2731</v>
      </c>
      <c r="I190">
        <v>0</v>
      </c>
      <c r="J190">
        <v>43621</v>
      </c>
    </row>
    <row r="191" spans="1:10" ht="12.75" hidden="1" customHeight="1">
      <c r="A191">
        <v>422110200</v>
      </c>
      <c r="B191" t="s">
        <v>2718</v>
      </c>
      <c r="C191">
        <v>852</v>
      </c>
      <c r="D191" t="s">
        <v>2719</v>
      </c>
      <c r="E191">
        <v>26</v>
      </c>
      <c r="F191">
        <v>0</v>
      </c>
      <c r="G191">
        <v>66750</v>
      </c>
      <c r="H191" t="s">
        <v>2732</v>
      </c>
      <c r="I191">
        <v>0</v>
      </c>
      <c r="J191">
        <v>43621</v>
      </c>
    </row>
    <row r="192" spans="1:10" ht="12.75" hidden="1" customHeight="1">
      <c r="A192">
        <v>422110200</v>
      </c>
      <c r="B192" t="s">
        <v>2718</v>
      </c>
      <c r="C192">
        <v>852</v>
      </c>
      <c r="D192" t="s">
        <v>2719</v>
      </c>
      <c r="E192">
        <v>26</v>
      </c>
      <c r="F192">
        <v>0</v>
      </c>
      <c r="G192">
        <v>80921</v>
      </c>
      <c r="H192" t="s">
        <v>2732</v>
      </c>
      <c r="I192">
        <v>0</v>
      </c>
      <c r="J192">
        <v>43621</v>
      </c>
    </row>
    <row r="193" spans="1:10" ht="12.75" hidden="1" customHeight="1">
      <c r="A193">
        <v>422110200</v>
      </c>
      <c r="B193" t="s">
        <v>2718</v>
      </c>
      <c r="C193">
        <v>852</v>
      </c>
      <c r="D193" t="s">
        <v>2719</v>
      </c>
      <c r="E193">
        <v>26</v>
      </c>
      <c r="F193">
        <v>0</v>
      </c>
      <c r="G193">
        <v>76125</v>
      </c>
      <c r="H193" t="s">
        <v>2733</v>
      </c>
      <c r="I193">
        <v>0</v>
      </c>
      <c r="J193">
        <v>43664</v>
      </c>
    </row>
    <row r="194" spans="1:10" ht="12.75" hidden="1" customHeight="1">
      <c r="A194">
        <v>422110200</v>
      </c>
      <c r="B194" t="s">
        <v>2718</v>
      </c>
      <c r="C194">
        <v>852</v>
      </c>
      <c r="D194" t="s">
        <v>2719</v>
      </c>
      <c r="E194">
        <v>26</v>
      </c>
      <c r="F194">
        <v>0</v>
      </c>
      <c r="G194">
        <v>63375</v>
      </c>
      <c r="H194" t="s">
        <v>2734</v>
      </c>
      <c r="I194">
        <v>0</v>
      </c>
      <c r="J194">
        <v>43664</v>
      </c>
    </row>
    <row r="195" spans="1:10" ht="12.75" hidden="1" customHeight="1">
      <c r="A195">
        <v>422110200</v>
      </c>
      <c r="B195" t="s">
        <v>2718</v>
      </c>
      <c r="C195">
        <v>852</v>
      </c>
      <c r="D195" t="s">
        <v>2719</v>
      </c>
      <c r="E195">
        <v>26</v>
      </c>
      <c r="F195">
        <v>0</v>
      </c>
      <c r="G195">
        <v>153300</v>
      </c>
      <c r="H195" t="s">
        <v>2728</v>
      </c>
      <c r="I195">
        <v>0</v>
      </c>
      <c r="J195">
        <v>43664</v>
      </c>
    </row>
    <row r="196" spans="1:10" ht="12.75" hidden="1" customHeight="1">
      <c r="A196">
        <v>422110200</v>
      </c>
      <c r="B196" t="s">
        <v>2718</v>
      </c>
      <c r="C196">
        <v>852</v>
      </c>
      <c r="D196" t="s">
        <v>2719</v>
      </c>
      <c r="E196">
        <v>26</v>
      </c>
      <c r="F196">
        <v>0</v>
      </c>
      <c r="G196">
        <v>369676</v>
      </c>
      <c r="H196" t="s">
        <v>2727</v>
      </c>
      <c r="I196">
        <v>0</v>
      </c>
      <c r="J196">
        <v>43664</v>
      </c>
    </row>
    <row r="197" spans="1:10" ht="12.75" hidden="1" customHeight="1">
      <c r="A197">
        <v>422110200</v>
      </c>
      <c r="B197" t="s">
        <v>2718</v>
      </c>
      <c r="C197">
        <v>852</v>
      </c>
      <c r="D197" t="s">
        <v>2719</v>
      </c>
      <c r="E197">
        <v>26</v>
      </c>
      <c r="F197">
        <v>0</v>
      </c>
      <c r="G197">
        <v>76125</v>
      </c>
      <c r="H197" t="s">
        <v>2734</v>
      </c>
      <c r="I197">
        <v>0</v>
      </c>
      <c r="J197">
        <v>43664</v>
      </c>
    </row>
    <row r="198" spans="1:10" ht="12.75" hidden="1" customHeight="1">
      <c r="A198">
        <v>422110200</v>
      </c>
      <c r="B198" t="s">
        <v>2718</v>
      </c>
      <c r="C198">
        <v>852</v>
      </c>
      <c r="D198" t="s">
        <v>2719</v>
      </c>
      <c r="E198">
        <v>26</v>
      </c>
      <c r="F198">
        <v>0</v>
      </c>
      <c r="G198">
        <v>70050</v>
      </c>
      <c r="H198" t="s">
        <v>2735</v>
      </c>
      <c r="I198">
        <v>0</v>
      </c>
      <c r="J198">
        <v>43664</v>
      </c>
    </row>
    <row r="199" spans="1:10" ht="12.75" hidden="1" customHeight="1">
      <c r="A199">
        <v>422110200</v>
      </c>
      <c r="B199" t="s">
        <v>2718</v>
      </c>
      <c r="C199">
        <v>852</v>
      </c>
      <c r="D199" t="s">
        <v>2719</v>
      </c>
      <c r="E199">
        <v>26</v>
      </c>
      <c r="F199">
        <v>0</v>
      </c>
      <c r="G199">
        <v>76500</v>
      </c>
      <c r="H199" t="s">
        <v>2734</v>
      </c>
      <c r="I199">
        <v>0</v>
      </c>
      <c r="J199">
        <v>43664</v>
      </c>
    </row>
    <row r="200" spans="1:10" ht="12.75" hidden="1" customHeight="1">
      <c r="A200">
        <v>422110200</v>
      </c>
      <c r="B200" t="s">
        <v>2718</v>
      </c>
      <c r="C200">
        <v>852</v>
      </c>
      <c r="D200" t="s">
        <v>2719</v>
      </c>
      <c r="E200">
        <v>26</v>
      </c>
      <c r="F200">
        <v>0</v>
      </c>
      <c r="G200">
        <v>63750</v>
      </c>
      <c r="H200" t="s">
        <v>2735</v>
      </c>
      <c r="I200">
        <v>0</v>
      </c>
      <c r="J200">
        <v>43664</v>
      </c>
    </row>
    <row r="201" spans="1:10" ht="12.75" hidden="1" customHeight="1">
      <c r="A201">
        <v>422110200</v>
      </c>
      <c r="B201" t="s">
        <v>2718</v>
      </c>
      <c r="C201">
        <v>852</v>
      </c>
      <c r="D201" t="s">
        <v>2719</v>
      </c>
      <c r="E201">
        <v>26</v>
      </c>
      <c r="F201">
        <v>0</v>
      </c>
      <c r="G201">
        <v>766307</v>
      </c>
      <c r="H201" t="s">
        <v>2736</v>
      </c>
      <c r="I201">
        <v>0</v>
      </c>
      <c r="J201">
        <v>43709</v>
      </c>
    </row>
    <row r="202" spans="1:10" ht="12.75" hidden="1" customHeight="1">
      <c r="A202">
        <v>422110200</v>
      </c>
      <c r="B202" t="s">
        <v>2718</v>
      </c>
      <c r="C202">
        <v>852</v>
      </c>
      <c r="D202" t="s">
        <v>2719</v>
      </c>
      <c r="E202">
        <v>26</v>
      </c>
      <c r="F202">
        <v>0</v>
      </c>
      <c r="G202">
        <v>70050</v>
      </c>
      <c r="H202" t="s">
        <v>2737</v>
      </c>
      <c r="I202">
        <v>0</v>
      </c>
      <c r="J202">
        <v>43748</v>
      </c>
    </row>
    <row r="203" spans="1:10" ht="12.75" hidden="1" customHeight="1">
      <c r="A203">
        <v>422110200</v>
      </c>
      <c r="B203" t="s">
        <v>2718</v>
      </c>
      <c r="C203">
        <v>852</v>
      </c>
      <c r="D203" t="s">
        <v>2719</v>
      </c>
      <c r="E203">
        <v>26</v>
      </c>
      <c r="F203">
        <v>0</v>
      </c>
      <c r="G203">
        <v>354676</v>
      </c>
      <c r="H203" t="s">
        <v>2738</v>
      </c>
      <c r="I203">
        <v>0</v>
      </c>
      <c r="J203">
        <v>43748</v>
      </c>
    </row>
    <row r="204" spans="1:10" ht="12.75" hidden="1" customHeight="1">
      <c r="A204">
        <v>422110200</v>
      </c>
      <c r="B204" t="s">
        <v>2718</v>
      </c>
      <c r="C204">
        <v>852</v>
      </c>
      <c r="D204" t="s">
        <v>2719</v>
      </c>
      <c r="E204">
        <v>26</v>
      </c>
      <c r="F204">
        <v>0</v>
      </c>
      <c r="G204">
        <v>363000</v>
      </c>
      <c r="H204" t="s">
        <v>2739</v>
      </c>
      <c r="I204">
        <v>0</v>
      </c>
      <c r="J204">
        <v>43748</v>
      </c>
    </row>
    <row r="205" spans="1:10" ht="12.75" hidden="1" customHeight="1">
      <c r="A205">
        <v>422110200</v>
      </c>
      <c r="B205" t="s">
        <v>2718</v>
      </c>
      <c r="C205">
        <v>852</v>
      </c>
      <c r="D205" t="s">
        <v>2719</v>
      </c>
      <c r="E205">
        <v>26</v>
      </c>
      <c r="F205">
        <v>0</v>
      </c>
      <c r="G205">
        <v>137100</v>
      </c>
      <c r="H205" t="s">
        <v>2737</v>
      </c>
      <c r="I205">
        <v>0</v>
      </c>
      <c r="J205">
        <v>43748</v>
      </c>
    </row>
    <row r="206" spans="1:10" ht="12.75" hidden="1" customHeight="1">
      <c r="A206">
        <v>422110200</v>
      </c>
      <c r="B206" t="s">
        <v>2718</v>
      </c>
      <c r="C206">
        <v>852</v>
      </c>
      <c r="D206" t="s">
        <v>2719</v>
      </c>
      <c r="E206">
        <v>26</v>
      </c>
      <c r="F206">
        <v>0</v>
      </c>
      <c r="G206">
        <v>357000</v>
      </c>
      <c r="H206" t="s">
        <v>2739</v>
      </c>
      <c r="I206">
        <v>0</v>
      </c>
      <c r="J206">
        <v>43748</v>
      </c>
    </row>
    <row r="207" spans="1:10" ht="12.75" hidden="1" customHeight="1">
      <c r="A207">
        <v>422110200</v>
      </c>
      <c r="B207" t="s">
        <v>2718</v>
      </c>
      <c r="C207">
        <v>852</v>
      </c>
      <c r="D207" t="s">
        <v>2719</v>
      </c>
      <c r="E207">
        <v>26</v>
      </c>
      <c r="F207">
        <v>0</v>
      </c>
      <c r="G207">
        <v>70050</v>
      </c>
      <c r="H207" t="s">
        <v>2737</v>
      </c>
      <c r="I207">
        <v>0</v>
      </c>
      <c r="J207">
        <v>43748</v>
      </c>
    </row>
    <row r="208" spans="1:10" ht="12.75" hidden="1" customHeight="1">
      <c r="A208">
        <v>422110200</v>
      </c>
      <c r="B208" t="s">
        <v>2718</v>
      </c>
      <c r="C208">
        <v>852</v>
      </c>
      <c r="D208" t="s">
        <v>2719</v>
      </c>
      <c r="E208">
        <v>26</v>
      </c>
      <c r="F208">
        <v>0</v>
      </c>
      <c r="G208">
        <v>70050</v>
      </c>
      <c r="H208" t="s">
        <v>2737</v>
      </c>
      <c r="I208">
        <v>0</v>
      </c>
      <c r="J208">
        <v>43748</v>
      </c>
    </row>
    <row r="209" spans="1:10" ht="12.75" hidden="1" customHeight="1">
      <c r="A209">
        <v>422110200</v>
      </c>
      <c r="B209" t="s">
        <v>2718</v>
      </c>
      <c r="C209">
        <v>852</v>
      </c>
      <c r="D209" t="s">
        <v>2719</v>
      </c>
      <c r="E209">
        <v>26</v>
      </c>
      <c r="F209">
        <v>0</v>
      </c>
      <c r="G209">
        <v>66450</v>
      </c>
      <c r="H209" t="s">
        <v>2737</v>
      </c>
      <c r="I209">
        <v>0</v>
      </c>
      <c r="J209">
        <v>43748</v>
      </c>
    </row>
    <row r="210" spans="1:10" ht="12.75" hidden="1" customHeight="1">
      <c r="A210">
        <v>422110200</v>
      </c>
      <c r="B210" t="s">
        <v>2718</v>
      </c>
      <c r="C210">
        <v>852</v>
      </c>
      <c r="D210" t="s">
        <v>2719</v>
      </c>
      <c r="E210">
        <v>26</v>
      </c>
      <c r="F210">
        <v>0</v>
      </c>
      <c r="G210">
        <v>369439</v>
      </c>
      <c r="H210" t="s">
        <v>2738</v>
      </c>
      <c r="I210">
        <v>0</v>
      </c>
      <c r="J210">
        <v>43748</v>
      </c>
    </row>
    <row r="211" spans="1:10" ht="12.75" hidden="1" customHeight="1">
      <c r="A211">
        <v>422110200</v>
      </c>
      <c r="B211" t="s">
        <v>2718</v>
      </c>
      <c r="C211">
        <v>852</v>
      </c>
      <c r="D211" t="s">
        <v>2719</v>
      </c>
      <c r="E211">
        <v>26</v>
      </c>
      <c r="F211">
        <v>0</v>
      </c>
      <c r="G211">
        <v>82050</v>
      </c>
      <c r="H211" t="s">
        <v>2739</v>
      </c>
      <c r="I211">
        <v>0</v>
      </c>
      <c r="J211">
        <v>43748</v>
      </c>
    </row>
    <row r="212" spans="1:10" ht="12.75" hidden="1" customHeight="1">
      <c r="A212">
        <v>422110200</v>
      </c>
      <c r="B212" t="s">
        <v>2718</v>
      </c>
      <c r="C212">
        <v>852</v>
      </c>
      <c r="D212" t="s">
        <v>2719</v>
      </c>
      <c r="E212">
        <v>26</v>
      </c>
      <c r="F212">
        <v>0</v>
      </c>
      <c r="G212">
        <v>76125</v>
      </c>
      <c r="H212" t="s">
        <v>2739</v>
      </c>
      <c r="I212">
        <v>0</v>
      </c>
      <c r="J212">
        <v>43748</v>
      </c>
    </row>
    <row r="213" spans="1:10" ht="12.75" hidden="1" customHeight="1">
      <c r="A213">
        <v>422110200</v>
      </c>
      <c r="B213" t="s">
        <v>2718</v>
      </c>
      <c r="C213">
        <v>852</v>
      </c>
      <c r="D213" t="s">
        <v>2719</v>
      </c>
      <c r="E213">
        <v>26</v>
      </c>
      <c r="F213">
        <v>0</v>
      </c>
      <c r="G213">
        <v>261150</v>
      </c>
      <c r="H213" t="s">
        <v>2740</v>
      </c>
      <c r="I213">
        <v>0</v>
      </c>
      <c r="J213">
        <v>43767</v>
      </c>
    </row>
    <row r="214" spans="1:10" ht="12.75" hidden="1" customHeight="1">
      <c r="A214">
        <v>422110200</v>
      </c>
      <c r="B214" t="s">
        <v>2718</v>
      </c>
      <c r="C214">
        <v>852</v>
      </c>
      <c r="D214" t="s">
        <v>2719</v>
      </c>
      <c r="E214">
        <v>26</v>
      </c>
      <c r="F214">
        <v>0</v>
      </c>
      <c r="G214">
        <v>377176</v>
      </c>
      <c r="H214" t="s">
        <v>2741</v>
      </c>
      <c r="I214">
        <v>0</v>
      </c>
      <c r="J214">
        <v>43777</v>
      </c>
    </row>
    <row r="215" spans="1:10" ht="12.75" hidden="1" customHeight="1">
      <c r="A215">
        <v>422110200</v>
      </c>
      <c r="B215" t="s">
        <v>2718</v>
      </c>
      <c r="C215">
        <v>852</v>
      </c>
      <c r="D215" t="s">
        <v>2719</v>
      </c>
      <c r="E215">
        <v>26</v>
      </c>
      <c r="F215">
        <v>0</v>
      </c>
      <c r="G215">
        <v>370500</v>
      </c>
      <c r="H215" t="s">
        <v>2739</v>
      </c>
      <c r="I215">
        <v>0</v>
      </c>
      <c r="J215">
        <v>43777</v>
      </c>
    </row>
    <row r="216" spans="1:10">
      <c r="A216">
        <v>422120100</v>
      </c>
      <c r="B216" s="71" t="s">
        <v>2572</v>
      </c>
      <c r="C216">
        <v>476</v>
      </c>
      <c r="D216" t="s">
        <v>2573</v>
      </c>
      <c r="E216">
        <v>26</v>
      </c>
      <c r="F216">
        <v>10201989760</v>
      </c>
      <c r="G216" s="23">
        <v>244000</v>
      </c>
      <c r="H216" t="s">
        <v>2574</v>
      </c>
      <c r="I216">
        <v>0</v>
      </c>
      <c r="J216" s="54">
        <v>43621</v>
      </c>
    </row>
    <row r="217" spans="1:10">
      <c r="A217">
        <v>422120100</v>
      </c>
      <c r="B217" s="71" t="s">
        <v>2572</v>
      </c>
      <c r="C217">
        <v>476</v>
      </c>
      <c r="D217" t="s">
        <v>2573</v>
      </c>
      <c r="E217">
        <v>26</v>
      </c>
      <c r="F217">
        <v>5007149223</v>
      </c>
      <c r="G217" s="23">
        <v>312521</v>
      </c>
      <c r="H217" t="s">
        <v>2575</v>
      </c>
      <c r="I217">
        <v>0</v>
      </c>
      <c r="J217" s="54">
        <v>43753</v>
      </c>
    </row>
    <row r="218" spans="1:10">
      <c r="A218">
        <v>422120100</v>
      </c>
      <c r="B218" s="71" t="s">
        <v>2572</v>
      </c>
      <c r="C218">
        <v>476</v>
      </c>
      <c r="D218" t="s">
        <v>2573</v>
      </c>
      <c r="E218">
        <v>26</v>
      </c>
      <c r="F218">
        <v>5007193372</v>
      </c>
      <c r="G218" s="23">
        <v>895455</v>
      </c>
      <c r="H218" t="s">
        <v>2575</v>
      </c>
      <c r="I218">
        <v>0</v>
      </c>
      <c r="J218" s="54">
        <v>43783</v>
      </c>
    </row>
    <row r="219" spans="1:10" ht="12.75" hidden="1" customHeight="1">
      <c r="A219">
        <v>422140100</v>
      </c>
      <c r="B219" t="s">
        <v>2742</v>
      </c>
      <c r="C219">
        <v>533</v>
      </c>
      <c r="D219" t="s">
        <v>2743</v>
      </c>
      <c r="E219">
        <v>26</v>
      </c>
      <c r="F219">
        <v>1627140</v>
      </c>
      <c r="G219">
        <v>160000</v>
      </c>
      <c r="H219" t="s">
        <v>2744</v>
      </c>
      <c r="I219">
        <v>0</v>
      </c>
      <c r="J219">
        <v>43469</v>
      </c>
    </row>
    <row r="220" spans="1:10" ht="12.75" hidden="1" customHeight="1">
      <c r="A220">
        <v>422140100</v>
      </c>
      <c r="B220" t="s">
        <v>2742</v>
      </c>
      <c r="C220">
        <v>533</v>
      </c>
      <c r="D220" t="s">
        <v>2743</v>
      </c>
      <c r="E220">
        <v>26</v>
      </c>
      <c r="F220">
        <v>6010</v>
      </c>
      <c r="G220">
        <v>5000</v>
      </c>
      <c r="H220" t="s">
        <v>2745</v>
      </c>
      <c r="I220">
        <v>0</v>
      </c>
      <c r="J220">
        <v>43473</v>
      </c>
    </row>
    <row r="221" spans="1:10" ht="12.75" hidden="1" customHeight="1">
      <c r="A221">
        <v>422140100</v>
      </c>
      <c r="B221" t="s">
        <v>2742</v>
      </c>
      <c r="C221">
        <v>533</v>
      </c>
      <c r="D221" t="s">
        <v>2743</v>
      </c>
      <c r="E221">
        <v>26</v>
      </c>
      <c r="F221">
        <v>6021</v>
      </c>
      <c r="G221">
        <v>5000</v>
      </c>
      <c r="H221" t="s">
        <v>2745</v>
      </c>
      <c r="I221">
        <v>0</v>
      </c>
      <c r="J221">
        <v>43473</v>
      </c>
    </row>
    <row r="222" spans="1:10" ht="12.75" hidden="1" customHeight="1">
      <c r="A222">
        <v>422140100</v>
      </c>
      <c r="B222" t="s">
        <v>2742</v>
      </c>
      <c r="C222">
        <v>533</v>
      </c>
      <c r="D222" t="s">
        <v>2743</v>
      </c>
      <c r="E222">
        <v>26</v>
      </c>
      <c r="F222">
        <v>12898259</v>
      </c>
      <c r="G222">
        <v>12000</v>
      </c>
      <c r="H222" t="s">
        <v>2745</v>
      </c>
      <c r="I222">
        <v>0</v>
      </c>
      <c r="J222">
        <v>43473</v>
      </c>
    </row>
    <row r="223" spans="1:10" ht="12.75" hidden="1" customHeight="1">
      <c r="A223">
        <v>422140100</v>
      </c>
      <c r="B223" t="s">
        <v>2742</v>
      </c>
      <c r="C223">
        <v>533</v>
      </c>
      <c r="D223" t="s">
        <v>2743</v>
      </c>
      <c r="E223">
        <v>26</v>
      </c>
      <c r="F223">
        <v>12898259</v>
      </c>
      <c r="G223">
        <v>12000</v>
      </c>
      <c r="H223" t="s">
        <v>2745</v>
      </c>
      <c r="I223">
        <v>0</v>
      </c>
      <c r="J223">
        <v>43473</v>
      </c>
    </row>
    <row r="224" spans="1:10" ht="12.75" hidden="1" customHeight="1">
      <c r="A224">
        <v>422140100</v>
      </c>
      <c r="B224" t="s">
        <v>2742</v>
      </c>
      <c r="C224">
        <v>533</v>
      </c>
      <c r="D224" t="s">
        <v>2743</v>
      </c>
      <c r="E224">
        <v>26</v>
      </c>
      <c r="F224">
        <v>24927</v>
      </c>
      <c r="G224">
        <v>2200</v>
      </c>
      <c r="H224" t="s">
        <v>2746</v>
      </c>
      <c r="I224">
        <v>0</v>
      </c>
      <c r="J224">
        <v>43475</v>
      </c>
    </row>
    <row r="225" spans="1:10" ht="12.75" hidden="1" customHeight="1">
      <c r="A225">
        <v>422140100</v>
      </c>
      <c r="B225" t="s">
        <v>2742</v>
      </c>
      <c r="C225">
        <v>533</v>
      </c>
      <c r="D225" t="s">
        <v>2743</v>
      </c>
      <c r="E225">
        <v>26</v>
      </c>
      <c r="F225">
        <v>446386</v>
      </c>
      <c r="G225">
        <v>5000</v>
      </c>
      <c r="H225" t="s">
        <v>2747</v>
      </c>
      <c r="I225">
        <v>0</v>
      </c>
      <c r="J225">
        <v>43475</v>
      </c>
    </row>
    <row r="226" spans="1:10" ht="12.75" hidden="1" customHeight="1">
      <c r="A226">
        <v>422140100</v>
      </c>
      <c r="B226" t="s">
        <v>2742</v>
      </c>
      <c r="C226">
        <v>533</v>
      </c>
      <c r="D226" t="s">
        <v>2743</v>
      </c>
      <c r="E226">
        <v>26</v>
      </c>
      <c r="F226">
        <v>12898259</v>
      </c>
      <c r="G226">
        <v>12000</v>
      </c>
      <c r="H226" t="s">
        <v>2747</v>
      </c>
      <c r="I226">
        <v>0</v>
      </c>
      <c r="J226">
        <v>43475</v>
      </c>
    </row>
    <row r="227" spans="1:10" ht="12.75" hidden="1" customHeight="1">
      <c r="A227">
        <v>422140100</v>
      </c>
      <c r="B227" t="s">
        <v>2742</v>
      </c>
      <c r="C227">
        <v>533</v>
      </c>
      <c r="D227" t="s">
        <v>2743</v>
      </c>
      <c r="E227">
        <v>26</v>
      </c>
      <c r="F227">
        <v>10070001034</v>
      </c>
      <c r="G227">
        <v>50000</v>
      </c>
      <c r="H227" t="s">
        <v>2748</v>
      </c>
      <c r="I227">
        <v>0</v>
      </c>
      <c r="J227">
        <v>43475</v>
      </c>
    </row>
    <row r="228" spans="1:10" ht="12.75" hidden="1" customHeight="1">
      <c r="A228">
        <v>422140100</v>
      </c>
      <c r="B228" t="s">
        <v>2742</v>
      </c>
      <c r="C228">
        <v>533</v>
      </c>
      <c r="D228" t="s">
        <v>2743</v>
      </c>
      <c r="E228">
        <v>26</v>
      </c>
      <c r="F228">
        <v>110118</v>
      </c>
      <c r="G228">
        <v>120000</v>
      </c>
      <c r="H228" t="s">
        <v>2749</v>
      </c>
      <c r="I228">
        <v>0</v>
      </c>
      <c r="J228">
        <v>43476</v>
      </c>
    </row>
    <row r="229" spans="1:10" ht="12.75" hidden="1" customHeight="1">
      <c r="A229">
        <v>422140100</v>
      </c>
      <c r="B229" t="s">
        <v>2742</v>
      </c>
      <c r="C229">
        <v>533</v>
      </c>
      <c r="D229" t="s">
        <v>2743</v>
      </c>
      <c r="E229">
        <v>26</v>
      </c>
      <c r="F229">
        <v>110118</v>
      </c>
      <c r="G229">
        <v>5000</v>
      </c>
      <c r="H229" t="s">
        <v>2750</v>
      </c>
      <c r="I229">
        <v>0</v>
      </c>
      <c r="J229">
        <v>43476</v>
      </c>
    </row>
    <row r="230" spans="1:10" ht="12.75" hidden="1" customHeight="1">
      <c r="A230">
        <v>422140100</v>
      </c>
      <c r="B230" t="s">
        <v>2742</v>
      </c>
      <c r="C230">
        <v>533</v>
      </c>
      <c r="D230" t="s">
        <v>2743</v>
      </c>
      <c r="E230">
        <v>26</v>
      </c>
      <c r="F230">
        <v>110119</v>
      </c>
      <c r="G230">
        <v>5000</v>
      </c>
      <c r="H230" t="s">
        <v>2750</v>
      </c>
      <c r="I230">
        <v>0</v>
      </c>
      <c r="J230">
        <v>43476</v>
      </c>
    </row>
    <row r="231" spans="1:10" ht="12.75" hidden="1" customHeight="1">
      <c r="A231">
        <v>422140100</v>
      </c>
      <c r="B231" t="s">
        <v>2742</v>
      </c>
      <c r="C231">
        <v>533</v>
      </c>
      <c r="D231" t="s">
        <v>2743</v>
      </c>
      <c r="E231">
        <v>26</v>
      </c>
      <c r="F231">
        <v>110119</v>
      </c>
      <c r="G231">
        <v>120000</v>
      </c>
      <c r="H231" t="s">
        <v>2751</v>
      </c>
      <c r="I231">
        <v>0</v>
      </c>
      <c r="J231">
        <v>43476</v>
      </c>
    </row>
    <row r="232" spans="1:10" ht="12.75" hidden="1" customHeight="1">
      <c r="A232">
        <v>422140100</v>
      </c>
      <c r="B232" t="s">
        <v>2742</v>
      </c>
      <c r="C232">
        <v>533</v>
      </c>
      <c r="D232" t="s">
        <v>2743</v>
      </c>
      <c r="E232">
        <v>26</v>
      </c>
      <c r="F232">
        <v>10060457757</v>
      </c>
      <c r="G232">
        <v>35000</v>
      </c>
      <c r="H232" t="s">
        <v>2752</v>
      </c>
      <c r="I232">
        <v>0</v>
      </c>
      <c r="J232">
        <v>43476</v>
      </c>
    </row>
    <row r="233" spans="1:10" ht="12.75" hidden="1" customHeight="1">
      <c r="A233">
        <v>422140400</v>
      </c>
      <c r="B233" t="s">
        <v>2753</v>
      </c>
      <c r="C233">
        <v>746</v>
      </c>
      <c r="D233" t="s">
        <v>2754</v>
      </c>
      <c r="E233">
        <v>26</v>
      </c>
      <c r="F233">
        <v>1378473</v>
      </c>
      <c r="G233">
        <v>5000</v>
      </c>
      <c r="H233" t="s">
        <v>2755</v>
      </c>
      <c r="I233">
        <v>0</v>
      </c>
      <c r="J233">
        <v>43490</v>
      </c>
    </row>
    <row r="234" spans="1:10" ht="12.75" hidden="1" customHeight="1">
      <c r="A234">
        <v>422150100</v>
      </c>
      <c r="B234" t="s">
        <v>2756</v>
      </c>
      <c r="C234">
        <v>533</v>
      </c>
      <c r="D234" t="s">
        <v>2743</v>
      </c>
      <c r="E234">
        <v>26</v>
      </c>
      <c r="F234">
        <v>130719</v>
      </c>
      <c r="G234">
        <v>80000</v>
      </c>
      <c r="H234" t="s">
        <v>2757</v>
      </c>
      <c r="I234">
        <v>0</v>
      </c>
      <c r="J234">
        <v>43663</v>
      </c>
    </row>
    <row r="235" spans="1:10" ht="12.75" hidden="1" customHeight="1">
      <c r="A235">
        <v>422150100</v>
      </c>
      <c r="B235" t="s">
        <v>2756</v>
      </c>
      <c r="C235">
        <v>533</v>
      </c>
      <c r="D235" t="s">
        <v>2743</v>
      </c>
      <c r="E235">
        <v>26</v>
      </c>
      <c r="F235">
        <v>433162</v>
      </c>
      <c r="G235">
        <v>10000</v>
      </c>
      <c r="H235" t="s">
        <v>2758</v>
      </c>
      <c r="I235">
        <v>0</v>
      </c>
      <c r="J235">
        <v>43512</v>
      </c>
    </row>
    <row r="236" spans="1:10" ht="12.75" hidden="1" customHeight="1">
      <c r="A236">
        <v>422150100</v>
      </c>
      <c r="B236" t="s">
        <v>2756</v>
      </c>
      <c r="C236">
        <v>533</v>
      </c>
      <c r="D236" t="s">
        <v>2743</v>
      </c>
      <c r="E236">
        <v>26</v>
      </c>
      <c r="F236">
        <v>250319</v>
      </c>
      <c r="G236">
        <v>10000</v>
      </c>
      <c r="H236" t="s">
        <v>2759</v>
      </c>
      <c r="I236">
        <v>0</v>
      </c>
      <c r="J236">
        <v>43549</v>
      </c>
    </row>
    <row r="237" spans="1:10" ht="12.75" hidden="1" customHeight="1">
      <c r="A237">
        <v>422150100</v>
      </c>
      <c r="B237" t="s">
        <v>2756</v>
      </c>
      <c r="C237">
        <v>533</v>
      </c>
      <c r="D237" t="s">
        <v>2743</v>
      </c>
      <c r="E237">
        <v>26</v>
      </c>
      <c r="F237">
        <v>3004</v>
      </c>
      <c r="G237">
        <v>5000</v>
      </c>
      <c r="H237" t="s">
        <v>2760</v>
      </c>
      <c r="I237">
        <v>0</v>
      </c>
      <c r="J237">
        <v>43572</v>
      </c>
    </row>
    <row r="238" spans="1:10" ht="12.75" hidden="1" customHeight="1">
      <c r="A238">
        <v>422150100</v>
      </c>
      <c r="B238" t="s">
        <v>2756</v>
      </c>
      <c r="C238">
        <v>533</v>
      </c>
      <c r="D238" t="s">
        <v>2743</v>
      </c>
      <c r="E238">
        <v>26</v>
      </c>
      <c r="F238">
        <v>2204</v>
      </c>
      <c r="G238">
        <v>80000</v>
      </c>
      <c r="H238" t="s">
        <v>2761</v>
      </c>
      <c r="I238">
        <v>0</v>
      </c>
      <c r="J238">
        <v>43577</v>
      </c>
    </row>
    <row r="239" spans="1:10" ht="12.75" hidden="1" customHeight="1">
      <c r="A239">
        <v>422150100</v>
      </c>
      <c r="B239" t="s">
        <v>2756</v>
      </c>
      <c r="C239">
        <v>533</v>
      </c>
      <c r="D239" t="s">
        <v>2743</v>
      </c>
      <c r="E239">
        <v>26</v>
      </c>
      <c r="F239">
        <v>1876371000000</v>
      </c>
      <c r="G239">
        <v>15000</v>
      </c>
      <c r="H239" t="s">
        <v>2762</v>
      </c>
      <c r="I239">
        <v>0</v>
      </c>
      <c r="J239">
        <v>43630</v>
      </c>
    </row>
    <row r="240" spans="1:10" ht="12.75" hidden="1" customHeight="1">
      <c r="A240">
        <v>422150100</v>
      </c>
      <c r="B240" t="s">
        <v>2756</v>
      </c>
      <c r="C240">
        <v>533</v>
      </c>
      <c r="D240" t="s">
        <v>2743</v>
      </c>
      <c r="E240">
        <v>26</v>
      </c>
      <c r="F240">
        <v>1802</v>
      </c>
      <c r="G240">
        <v>5000</v>
      </c>
      <c r="H240" t="s">
        <v>2763</v>
      </c>
      <c r="I240">
        <v>0</v>
      </c>
      <c r="J240">
        <v>43816</v>
      </c>
    </row>
    <row r="241" spans="1:10" ht="12.75" hidden="1" customHeight="1">
      <c r="A241">
        <v>422150100</v>
      </c>
      <c r="B241" t="s">
        <v>2756</v>
      </c>
      <c r="C241">
        <v>533</v>
      </c>
      <c r="D241" t="s">
        <v>2743</v>
      </c>
      <c r="E241">
        <v>26</v>
      </c>
      <c r="F241">
        <v>2501189</v>
      </c>
      <c r="G241">
        <v>5000</v>
      </c>
      <c r="H241" t="s">
        <v>2763</v>
      </c>
      <c r="I241">
        <v>0</v>
      </c>
      <c r="J241">
        <v>43816</v>
      </c>
    </row>
    <row r="242" spans="1:10" ht="12.75" hidden="1" customHeight="1">
      <c r="A242">
        <v>422150100</v>
      </c>
      <c r="B242" t="s">
        <v>2756</v>
      </c>
      <c r="C242">
        <v>533</v>
      </c>
      <c r="D242" t="s">
        <v>2743</v>
      </c>
      <c r="E242">
        <v>26</v>
      </c>
      <c r="F242">
        <v>220118</v>
      </c>
      <c r="G242">
        <v>20000</v>
      </c>
      <c r="H242" t="s">
        <v>2764</v>
      </c>
      <c r="I242">
        <v>0</v>
      </c>
      <c r="J242">
        <v>43487</v>
      </c>
    </row>
    <row r="243" spans="1:10" ht="12.75" hidden="1" customHeight="1">
      <c r="A243">
        <v>422150100</v>
      </c>
      <c r="B243" t="s">
        <v>2756</v>
      </c>
      <c r="C243">
        <v>533</v>
      </c>
      <c r="D243" t="s">
        <v>2743</v>
      </c>
      <c r="E243">
        <v>26</v>
      </c>
      <c r="F243">
        <v>220119</v>
      </c>
      <c r="G243">
        <v>244000</v>
      </c>
      <c r="H243" t="s">
        <v>2765</v>
      </c>
      <c r="I243">
        <v>0</v>
      </c>
      <c r="J243">
        <v>43487</v>
      </c>
    </row>
    <row r="244" spans="1:10" ht="12.75" hidden="1" customHeight="1">
      <c r="A244">
        <v>422150100</v>
      </c>
      <c r="B244" t="s">
        <v>2756</v>
      </c>
      <c r="C244">
        <v>533</v>
      </c>
      <c r="D244" t="s">
        <v>2743</v>
      </c>
      <c r="E244">
        <v>26</v>
      </c>
      <c r="F244">
        <v>3001</v>
      </c>
      <c r="G244">
        <v>15000</v>
      </c>
      <c r="H244" t="s">
        <v>2766</v>
      </c>
      <c r="I244">
        <v>0</v>
      </c>
      <c r="J244">
        <v>43495</v>
      </c>
    </row>
    <row r="245" spans="1:10" ht="12.75" hidden="1" customHeight="1">
      <c r="A245">
        <v>422150100</v>
      </c>
      <c r="B245" t="s">
        <v>2756</v>
      </c>
      <c r="C245">
        <v>533</v>
      </c>
      <c r="D245" t="s">
        <v>2743</v>
      </c>
      <c r="E245">
        <v>26</v>
      </c>
      <c r="F245">
        <v>455421</v>
      </c>
      <c r="G245">
        <v>5000</v>
      </c>
      <c r="H245" t="s">
        <v>2767</v>
      </c>
      <c r="I245">
        <v>0</v>
      </c>
      <c r="J245">
        <v>43495</v>
      </c>
    </row>
    <row r="246" spans="1:10" ht="12.75" hidden="1" customHeight="1">
      <c r="A246">
        <v>422150100</v>
      </c>
      <c r="B246" t="s">
        <v>2756</v>
      </c>
      <c r="C246">
        <v>533</v>
      </c>
      <c r="D246" t="s">
        <v>2743</v>
      </c>
      <c r="E246">
        <v>26</v>
      </c>
      <c r="F246">
        <v>3101</v>
      </c>
      <c r="G246">
        <v>50000</v>
      </c>
      <c r="H246" t="s">
        <v>2768</v>
      </c>
      <c r="I246">
        <v>0</v>
      </c>
      <c r="J246">
        <v>43496</v>
      </c>
    </row>
    <row r="247" spans="1:10" ht="12.75" hidden="1" customHeight="1">
      <c r="A247">
        <v>422150100</v>
      </c>
      <c r="B247" t="s">
        <v>2756</v>
      </c>
      <c r="C247">
        <v>533</v>
      </c>
      <c r="D247" t="s">
        <v>2743</v>
      </c>
      <c r="E247">
        <v>26</v>
      </c>
      <c r="F247">
        <v>486688</v>
      </c>
      <c r="G247">
        <v>5000</v>
      </c>
      <c r="H247" t="s">
        <v>2769</v>
      </c>
      <c r="I247">
        <v>0</v>
      </c>
      <c r="J247">
        <v>43498</v>
      </c>
    </row>
    <row r="248" spans="1:10" ht="12.75" hidden="1" customHeight="1">
      <c r="A248">
        <v>422150100</v>
      </c>
      <c r="B248" t="s">
        <v>2756</v>
      </c>
      <c r="C248">
        <v>533</v>
      </c>
      <c r="D248" t="s">
        <v>2743</v>
      </c>
      <c r="E248">
        <v>26</v>
      </c>
      <c r="F248">
        <v>10070001058</v>
      </c>
      <c r="G248">
        <v>50000</v>
      </c>
      <c r="H248" t="s">
        <v>2770</v>
      </c>
      <c r="I248">
        <v>0</v>
      </c>
      <c r="J248">
        <v>43498</v>
      </c>
    </row>
    <row r="249" spans="1:10" ht="12.75" hidden="1" customHeight="1">
      <c r="A249">
        <v>422150100</v>
      </c>
      <c r="B249" t="s">
        <v>2756</v>
      </c>
      <c r="C249">
        <v>533</v>
      </c>
      <c r="D249" t="s">
        <v>2743</v>
      </c>
      <c r="E249">
        <v>26</v>
      </c>
      <c r="F249">
        <v>40219</v>
      </c>
      <c r="G249">
        <v>5000</v>
      </c>
      <c r="H249" t="s">
        <v>2771</v>
      </c>
      <c r="I249">
        <v>0</v>
      </c>
      <c r="J249">
        <v>43500</v>
      </c>
    </row>
    <row r="250" spans="1:10" ht="12.75" hidden="1" customHeight="1">
      <c r="A250">
        <v>422150100</v>
      </c>
      <c r="B250" t="s">
        <v>2756</v>
      </c>
      <c r="C250">
        <v>533</v>
      </c>
      <c r="D250" t="s">
        <v>2743</v>
      </c>
      <c r="E250">
        <v>26</v>
      </c>
      <c r="F250">
        <v>40219</v>
      </c>
      <c r="G250">
        <v>5000</v>
      </c>
      <c r="H250" t="s">
        <v>2771</v>
      </c>
      <c r="I250">
        <v>0</v>
      </c>
      <c r="J250">
        <v>43500</v>
      </c>
    </row>
    <row r="251" spans="1:10" ht="12.75" hidden="1" customHeight="1">
      <c r="A251">
        <v>422150100</v>
      </c>
      <c r="B251" t="s">
        <v>2756</v>
      </c>
      <c r="C251">
        <v>533</v>
      </c>
      <c r="D251" t="s">
        <v>2743</v>
      </c>
      <c r="E251">
        <v>26</v>
      </c>
      <c r="F251">
        <v>1102</v>
      </c>
      <c r="G251">
        <v>80000</v>
      </c>
      <c r="H251" t="s">
        <v>2772</v>
      </c>
      <c r="I251">
        <v>0</v>
      </c>
      <c r="J251">
        <v>43507</v>
      </c>
    </row>
    <row r="252" spans="1:10" ht="12.75" hidden="1" customHeight="1">
      <c r="A252">
        <v>422150100</v>
      </c>
      <c r="B252" t="s">
        <v>2756</v>
      </c>
      <c r="C252">
        <v>533</v>
      </c>
      <c r="D252" t="s">
        <v>2743</v>
      </c>
      <c r="E252">
        <v>26</v>
      </c>
      <c r="F252">
        <v>602</v>
      </c>
      <c r="G252">
        <v>12000</v>
      </c>
      <c r="H252" t="s">
        <v>2773</v>
      </c>
      <c r="I252">
        <v>0</v>
      </c>
      <c r="J252">
        <v>43509</v>
      </c>
    </row>
    <row r="253" spans="1:10" ht="12.75" hidden="1" customHeight="1">
      <c r="A253">
        <v>422150100</v>
      </c>
      <c r="B253" t="s">
        <v>2756</v>
      </c>
      <c r="C253">
        <v>533</v>
      </c>
      <c r="D253" t="s">
        <v>2743</v>
      </c>
      <c r="E253">
        <v>26</v>
      </c>
      <c r="F253">
        <v>1070</v>
      </c>
      <c r="G253">
        <v>50000</v>
      </c>
      <c r="H253" t="s">
        <v>2774</v>
      </c>
      <c r="I253">
        <v>0</v>
      </c>
      <c r="J253">
        <v>43509</v>
      </c>
    </row>
    <row r="254" spans="1:10" ht="12.75" hidden="1" customHeight="1">
      <c r="A254">
        <v>422150100</v>
      </c>
      <c r="B254" t="s">
        <v>2756</v>
      </c>
      <c r="C254">
        <v>533</v>
      </c>
      <c r="D254" t="s">
        <v>2743</v>
      </c>
      <c r="E254">
        <v>26</v>
      </c>
      <c r="F254">
        <v>1302</v>
      </c>
      <c r="G254">
        <v>5000</v>
      </c>
      <c r="H254" t="s">
        <v>2773</v>
      </c>
      <c r="I254">
        <v>0</v>
      </c>
      <c r="J254">
        <v>43509</v>
      </c>
    </row>
    <row r="255" spans="1:10" ht="12.75" hidden="1" customHeight="1">
      <c r="A255">
        <v>422150100</v>
      </c>
      <c r="B255" t="s">
        <v>2756</v>
      </c>
      <c r="C255">
        <v>533</v>
      </c>
      <c r="D255" t="s">
        <v>2743</v>
      </c>
      <c r="E255">
        <v>26</v>
      </c>
      <c r="F255">
        <v>6033</v>
      </c>
      <c r="G255">
        <v>5000</v>
      </c>
      <c r="H255" t="s">
        <v>2775</v>
      </c>
      <c r="I255">
        <v>0</v>
      </c>
      <c r="J255">
        <v>43509</v>
      </c>
    </row>
    <row r="256" spans="1:10" ht="12.75" hidden="1" customHeight="1">
      <c r="A256">
        <v>422150100</v>
      </c>
      <c r="B256" t="s">
        <v>2756</v>
      </c>
      <c r="C256">
        <v>533</v>
      </c>
      <c r="D256" t="s">
        <v>2743</v>
      </c>
      <c r="E256">
        <v>26</v>
      </c>
      <c r="F256">
        <v>6035</v>
      </c>
      <c r="G256">
        <v>10000</v>
      </c>
      <c r="H256" t="s">
        <v>2776</v>
      </c>
      <c r="I256">
        <v>0</v>
      </c>
      <c r="J256">
        <v>43509</v>
      </c>
    </row>
    <row r="257" spans="1:10" ht="12.75" hidden="1" customHeight="1">
      <c r="A257">
        <v>422150100</v>
      </c>
      <c r="B257" t="s">
        <v>2756</v>
      </c>
      <c r="C257">
        <v>533</v>
      </c>
      <c r="D257" t="s">
        <v>2743</v>
      </c>
      <c r="E257">
        <v>26</v>
      </c>
      <c r="F257">
        <v>6053</v>
      </c>
      <c r="G257">
        <v>80000</v>
      </c>
      <c r="H257" t="s">
        <v>2777</v>
      </c>
      <c r="I257">
        <v>0</v>
      </c>
      <c r="J257">
        <v>43509</v>
      </c>
    </row>
    <row r="258" spans="1:10" ht="12.75" hidden="1" customHeight="1">
      <c r="A258">
        <v>422150100</v>
      </c>
      <c r="B258" t="s">
        <v>2756</v>
      </c>
      <c r="C258">
        <v>533</v>
      </c>
      <c r="D258" t="s">
        <v>2743</v>
      </c>
      <c r="E258">
        <v>26</v>
      </c>
      <c r="F258">
        <v>82817</v>
      </c>
      <c r="G258">
        <v>2200</v>
      </c>
      <c r="H258" t="s">
        <v>2778</v>
      </c>
      <c r="I258">
        <v>0</v>
      </c>
      <c r="J258">
        <v>43509</v>
      </c>
    </row>
    <row r="259" spans="1:10" ht="12.75" hidden="1" customHeight="1">
      <c r="A259">
        <v>422150100</v>
      </c>
      <c r="B259" t="s">
        <v>2756</v>
      </c>
      <c r="C259">
        <v>533</v>
      </c>
      <c r="D259" t="s">
        <v>2743</v>
      </c>
      <c r="E259">
        <v>26</v>
      </c>
      <c r="F259">
        <v>92547</v>
      </c>
      <c r="G259">
        <v>12000</v>
      </c>
      <c r="H259" t="s">
        <v>2779</v>
      </c>
      <c r="I259">
        <v>0</v>
      </c>
      <c r="J259">
        <v>43509</v>
      </c>
    </row>
    <row r="260" spans="1:10" ht="12.75" hidden="1" customHeight="1">
      <c r="A260">
        <v>422150100</v>
      </c>
      <c r="B260" t="s">
        <v>2756</v>
      </c>
      <c r="C260">
        <v>533</v>
      </c>
      <c r="D260" t="s">
        <v>2743</v>
      </c>
      <c r="E260">
        <v>26</v>
      </c>
      <c r="F260">
        <v>97149</v>
      </c>
      <c r="G260">
        <v>2000</v>
      </c>
      <c r="H260" t="s">
        <v>2780</v>
      </c>
      <c r="I260">
        <v>0</v>
      </c>
      <c r="J260">
        <v>43509</v>
      </c>
    </row>
    <row r="261" spans="1:10" ht="12.75" hidden="1" customHeight="1">
      <c r="A261">
        <v>422150100</v>
      </c>
      <c r="B261" t="s">
        <v>2756</v>
      </c>
      <c r="C261">
        <v>533</v>
      </c>
      <c r="D261" t="s">
        <v>2743</v>
      </c>
      <c r="E261">
        <v>26</v>
      </c>
      <c r="F261">
        <v>2755294</v>
      </c>
      <c r="G261">
        <v>5000</v>
      </c>
      <c r="H261" t="s">
        <v>2781</v>
      </c>
      <c r="I261">
        <v>0</v>
      </c>
      <c r="J261">
        <v>43517</v>
      </c>
    </row>
    <row r="262" spans="1:10" ht="12.75" hidden="1" customHeight="1">
      <c r="A262">
        <v>422150100</v>
      </c>
      <c r="B262" t="s">
        <v>2756</v>
      </c>
      <c r="C262">
        <v>533</v>
      </c>
      <c r="D262" t="s">
        <v>2743</v>
      </c>
      <c r="E262">
        <v>26</v>
      </c>
      <c r="F262">
        <v>2940810</v>
      </c>
      <c r="G262">
        <v>5000</v>
      </c>
      <c r="H262" t="s">
        <v>2781</v>
      </c>
      <c r="I262">
        <v>0</v>
      </c>
      <c r="J262">
        <v>43517</v>
      </c>
    </row>
    <row r="263" spans="1:10" ht="12.75" hidden="1" customHeight="1">
      <c r="A263">
        <v>422150100</v>
      </c>
      <c r="B263" t="s">
        <v>2756</v>
      </c>
      <c r="C263">
        <v>533</v>
      </c>
      <c r="D263" t="s">
        <v>2743</v>
      </c>
      <c r="E263">
        <v>26</v>
      </c>
      <c r="F263">
        <v>250219</v>
      </c>
      <c r="G263">
        <v>80000</v>
      </c>
      <c r="H263" t="s">
        <v>2782</v>
      </c>
      <c r="I263">
        <v>0</v>
      </c>
      <c r="J263">
        <v>43521</v>
      </c>
    </row>
    <row r="264" spans="1:10" ht="12.75" hidden="1" customHeight="1">
      <c r="A264">
        <v>422150100</v>
      </c>
      <c r="B264" t="s">
        <v>2756</v>
      </c>
      <c r="C264">
        <v>533</v>
      </c>
      <c r="D264" t="s">
        <v>2743</v>
      </c>
      <c r="E264">
        <v>26</v>
      </c>
      <c r="F264">
        <v>160219</v>
      </c>
      <c r="G264">
        <v>5000</v>
      </c>
      <c r="H264" t="s">
        <v>2783</v>
      </c>
      <c r="I264">
        <v>0</v>
      </c>
      <c r="J264">
        <v>43522</v>
      </c>
    </row>
    <row r="265" spans="1:10" ht="12.75" hidden="1" customHeight="1">
      <c r="A265">
        <v>422150100</v>
      </c>
      <c r="B265" t="s">
        <v>2756</v>
      </c>
      <c r="C265">
        <v>533</v>
      </c>
      <c r="D265" t="s">
        <v>2743</v>
      </c>
      <c r="E265">
        <v>26</v>
      </c>
      <c r="F265">
        <v>210219</v>
      </c>
      <c r="G265">
        <v>15000</v>
      </c>
      <c r="H265" t="s">
        <v>2784</v>
      </c>
      <c r="I265">
        <v>0</v>
      </c>
      <c r="J265">
        <v>43522</v>
      </c>
    </row>
    <row r="266" spans="1:10" ht="12.75" hidden="1" customHeight="1">
      <c r="A266">
        <v>422150100</v>
      </c>
      <c r="B266" t="s">
        <v>2756</v>
      </c>
      <c r="C266">
        <v>533</v>
      </c>
      <c r="D266" t="s">
        <v>2743</v>
      </c>
      <c r="E266">
        <v>26</v>
      </c>
      <c r="F266">
        <v>6032</v>
      </c>
      <c r="G266">
        <v>5000</v>
      </c>
      <c r="H266" t="s">
        <v>2785</v>
      </c>
      <c r="I266">
        <v>0</v>
      </c>
      <c r="J266">
        <v>43532</v>
      </c>
    </row>
    <row r="267" spans="1:10" ht="12.75" hidden="1" customHeight="1">
      <c r="A267">
        <v>422150100</v>
      </c>
      <c r="B267" t="s">
        <v>2756</v>
      </c>
      <c r="C267">
        <v>533</v>
      </c>
      <c r="D267" t="s">
        <v>2743</v>
      </c>
      <c r="E267">
        <v>26</v>
      </c>
      <c r="F267">
        <v>12008</v>
      </c>
      <c r="G267">
        <v>2200</v>
      </c>
      <c r="H267" t="s">
        <v>2778</v>
      </c>
      <c r="I267">
        <v>0</v>
      </c>
      <c r="J267">
        <v>43532</v>
      </c>
    </row>
    <row r="268" spans="1:10" ht="12.75" hidden="1" customHeight="1">
      <c r="A268">
        <v>422150100</v>
      </c>
      <c r="B268" t="s">
        <v>2756</v>
      </c>
      <c r="C268">
        <v>533</v>
      </c>
      <c r="D268" t="s">
        <v>2743</v>
      </c>
      <c r="E268">
        <v>26</v>
      </c>
      <c r="F268">
        <v>30010093154</v>
      </c>
      <c r="G268">
        <v>50000</v>
      </c>
      <c r="H268" t="s">
        <v>2786</v>
      </c>
      <c r="I268">
        <v>0</v>
      </c>
      <c r="J268">
        <v>43532</v>
      </c>
    </row>
    <row r="269" spans="1:10" ht="12.75" hidden="1" customHeight="1">
      <c r="A269">
        <v>422150100</v>
      </c>
      <c r="B269" t="s">
        <v>2756</v>
      </c>
      <c r="C269">
        <v>533</v>
      </c>
      <c r="D269" t="s">
        <v>2743</v>
      </c>
      <c r="E269">
        <v>26</v>
      </c>
      <c r="F269">
        <v>200318</v>
      </c>
      <c r="G269">
        <v>160000</v>
      </c>
      <c r="H269" t="s">
        <v>2787</v>
      </c>
      <c r="I269">
        <v>0</v>
      </c>
      <c r="J269">
        <v>43544</v>
      </c>
    </row>
    <row r="270" spans="1:10" ht="12.75" hidden="1" customHeight="1">
      <c r="A270">
        <v>422150100</v>
      </c>
      <c r="B270" t="s">
        <v>2756</v>
      </c>
      <c r="C270">
        <v>533</v>
      </c>
      <c r="D270" t="s">
        <v>2743</v>
      </c>
      <c r="E270">
        <v>26</v>
      </c>
      <c r="F270">
        <v>200319</v>
      </c>
      <c r="G270">
        <v>80000</v>
      </c>
      <c r="H270" t="s">
        <v>2788</v>
      </c>
      <c r="I270">
        <v>0</v>
      </c>
      <c r="J270">
        <v>43544</v>
      </c>
    </row>
    <row r="271" spans="1:10" ht="12.75" hidden="1" customHeight="1">
      <c r="A271">
        <v>422150100</v>
      </c>
      <c r="B271" t="s">
        <v>2756</v>
      </c>
      <c r="C271">
        <v>533</v>
      </c>
      <c r="D271" t="s">
        <v>2743</v>
      </c>
      <c r="E271">
        <v>26</v>
      </c>
      <c r="F271">
        <v>60010135055</v>
      </c>
      <c r="G271">
        <v>46000</v>
      </c>
      <c r="H271" t="s">
        <v>2789</v>
      </c>
      <c r="I271">
        <v>0</v>
      </c>
      <c r="J271">
        <v>43544</v>
      </c>
    </row>
    <row r="272" spans="1:10" ht="12.75" hidden="1" customHeight="1">
      <c r="A272">
        <v>422150100</v>
      </c>
      <c r="B272" t="s">
        <v>2756</v>
      </c>
      <c r="C272">
        <v>533</v>
      </c>
      <c r="D272" t="s">
        <v>2743</v>
      </c>
      <c r="E272">
        <v>26</v>
      </c>
      <c r="F272">
        <v>60070223856</v>
      </c>
      <c r="G272">
        <v>46000</v>
      </c>
      <c r="H272" t="s">
        <v>2789</v>
      </c>
      <c r="I272">
        <v>0</v>
      </c>
      <c r="J272">
        <v>43544</v>
      </c>
    </row>
    <row r="273" spans="1:10" ht="12.75" hidden="1" customHeight="1">
      <c r="A273">
        <v>422150100</v>
      </c>
      <c r="B273" t="s">
        <v>2756</v>
      </c>
      <c r="C273">
        <v>533</v>
      </c>
      <c r="D273" t="s">
        <v>2743</v>
      </c>
      <c r="E273">
        <v>26</v>
      </c>
      <c r="F273">
        <v>6010</v>
      </c>
      <c r="G273">
        <v>5000</v>
      </c>
      <c r="H273" t="s">
        <v>2790</v>
      </c>
      <c r="I273">
        <v>0</v>
      </c>
      <c r="J273">
        <v>43551</v>
      </c>
    </row>
    <row r="274" spans="1:10" ht="12.75" hidden="1" customHeight="1">
      <c r="A274">
        <v>422150100</v>
      </c>
      <c r="B274" t="s">
        <v>2756</v>
      </c>
      <c r="C274">
        <v>533</v>
      </c>
      <c r="D274" t="s">
        <v>2743</v>
      </c>
      <c r="E274">
        <v>26</v>
      </c>
      <c r="F274">
        <v>200319</v>
      </c>
      <c r="G274">
        <v>5000</v>
      </c>
      <c r="H274" t="s">
        <v>2791</v>
      </c>
      <c r="I274">
        <v>0</v>
      </c>
      <c r="J274">
        <v>43551</v>
      </c>
    </row>
    <row r="275" spans="1:10" ht="12.75" hidden="1" customHeight="1">
      <c r="A275">
        <v>422150100</v>
      </c>
      <c r="B275" t="s">
        <v>2756</v>
      </c>
      <c r="C275">
        <v>533</v>
      </c>
      <c r="D275" t="s">
        <v>2743</v>
      </c>
      <c r="E275">
        <v>26</v>
      </c>
      <c r="F275">
        <v>30010093568</v>
      </c>
      <c r="G275">
        <v>50000</v>
      </c>
      <c r="H275" t="s">
        <v>2748</v>
      </c>
      <c r="I275">
        <v>0</v>
      </c>
      <c r="J275">
        <v>43551</v>
      </c>
    </row>
    <row r="276" spans="1:10" ht="12.75" hidden="1" customHeight="1">
      <c r="A276">
        <v>422150100</v>
      </c>
      <c r="B276" t="s">
        <v>2756</v>
      </c>
      <c r="C276">
        <v>533</v>
      </c>
      <c r="D276" t="s">
        <v>2743</v>
      </c>
      <c r="E276">
        <v>26</v>
      </c>
      <c r="F276">
        <v>290319</v>
      </c>
      <c r="G276">
        <v>160000</v>
      </c>
      <c r="H276" t="s">
        <v>2792</v>
      </c>
      <c r="I276">
        <v>0</v>
      </c>
      <c r="J276">
        <v>43553</v>
      </c>
    </row>
    <row r="277" spans="1:10" ht="12.75" hidden="1" customHeight="1">
      <c r="A277">
        <v>422150100</v>
      </c>
      <c r="B277" t="s">
        <v>2756</v>
      </c>
      <c r="C277">
        <v>533</v>
      </c>
      <c r="D277" t="s">
        <v>2743</v>
      </c>
      <c r="E277">
        <v>26</v>
      </c>
      <c r="F277">
        <v>949386</v>
      </c>
      <c r="G277">
        <v>5000</v>
      </c>
      <c r="H277" t="s">
        <v>2793</v>
      </c>
      <c r="I277">
        <v>0</v>
      </c>
      <c r="J277">
        <v>43553</v>
      </c>
    </row>
    <row r="278" spans="1:10" ht="12.75" hidden="1" customHeight="1">
      <c r="A278">
        <v>422150100</v>
      </c>
      <c r="B278" t="s">
        <v>2756</v>
      </c>
      <c r="C278">
        <v>533</v>
      </c>
      <c r="D278" t="s">
        <v>2743</v>
      </c>
      <c r="E278">
        <v>26</v>
      </c>
      <c r="F278">
        <v>404</v>
      </c>
      <c r="G278">
        <v>80000</v>
      </c>
      <c r="H278" t="s">
        <v>2794</v>
      </c>
      <c r="I278">
        <v>0</v>
      </c>
      <c r="J278">
        <v>43559</v>
      </c>
    </row>
    <row r="279" spans="1:10" ht="12.75" hidden="1" customHeight="1">
      <c r="A279">
        <v>422150100</v>
      </c>
      <c r="B279" t="s">
        <v>2756</v>
      </c>
      <c r="C279">
        <v>533</v>
      </c>
      <c r="D279" t="s">
        <v>2743</v>
      </c>
      <c r="E279">
        <v>26</v>
      </c>
      <c r="F279">
        <v>904</v>
      </c>
      <c r="G279">
        <v>5000</v>
      </c>
      <c r="H279" t="s">
        <v>2795</v>
      </c>
      <c r="I279">
        <v>0</v>
      </c>
      <c r="J279">
        <v>43566</v>
      </c>
    </row>
    <row r="280" spans="1:10" ht="12.75" hidden="1" customHeight="1">
      <c r="A280">
        <v>422150100</v>
      </c>
      <c r="B280" t="s">
        <v>2756</v>
      </c>
      <c r="C280">
        <v>533</v>
      </c>
      <c r="D280" t="s">
        <v>2743</v>
      </c>
      <c r="E280">
        <v>26</v>
      </c>
      <c r="F280">
        <v>1104</v>
      </c>
      <c r="G280">
        <v>5000</v>
      </c>
      <c r="H280" t="s">
        <v>2795</v>
      </c>
      <c r="I280">
        <v>0</v>
      </c>
      <c r="J280">
        <v>43566</v>
      </c>
    </row>
    <row r="281" spans="1:10" ht="12.75" hidden="1" customHeight="1">
      <c r="A281">
        <v>422150100</v>
      </c>
      <c r="B281" t="s">
        <v>2756</v>
      </c>
      <c r="C281">
        <v>533</v>
      </c>
      <c r="D281" t="s">
        <v>2743</v>
      </c>
      <c r="E281">
        <v>26</v>
      </c>
      <c r="F281">
        <v>1104</v>
      </c>
      <c r="G281">
        <v>10000</v>
      </c>
      <c r="H281" t="s">
        <v>2796</v>
      </c>
      <c r="I281">
        <v>0</v>
      </c>
      <c r="J281">
        <v>43570</v>
      </c>
    </row>
    <row r="282" spans="1:10" ht="12.75" hidden="1" customHeight="1">
      <c r="A282">
        <v>422150100</v>
      </c>
      <c r="B282" t="s">
        <v>2756</v>
      </c>
      <c r="C282">
        <v>533</v>
      </c>
      <c r="D282" t="s">
        <v>2743</v>
      </c>
      <c r="E282">
        <v>26</v>
      </c>
      <c r="F282">
        <v>150419</v>
      </c>
      <c r="G282">
        <v>20000</v>
      </c>
      <c r="H282" t="s">
        <v>2797</v>
      </c>
      <c r="I282">
        <v>0</v>
      </c>
      <c r="J282">
        <v>43570</v>
      </c>
    </row>
    <row r="283" spans="1:10" ht="12.75" hidden="1" customHeight="1">
      <c r="A283">
        <v>422150100</v>
      </c>
      <c r="B283" t="s">
        <v>2756</v>
      </c>
      <c r="C283">
        <v>533</v>
      </c>
      <c r="D283" t="s">
        <v>2743</v>
      </c>
      <c r="E283">
        <v>26</v>
      </c>
      <c r="F283">
        <v>160419</v>
      </c>
      <c r="G283">
        <v>160000</v>
      </c>
      <c r="H283" t="s">
        <v>2798</v>
      </c>
      <c r="I283">
        <v>0</v>
      </c>
      <c r="J283">
        <v>43571</v>
      </c>
    </row>
    <row r="284" spans="1:10" ht="12.75" hidden="1" customHeight="1">
      <c r="A284">
        <v>422150100</v>
      </c>
      <c r="B284" t="s">
        <v>2756</v>
      </c>
      <c r="C284">
        <v>533</v>
      </c>
      <c r="D284" t="s">
        <v>2743</v>
      </c>
      <c r="E284">
        <v>26</v>
      </c>
      <c r="F284">
        <v>220419</v>
      </c>
      <c r="G284">
        <v>80000</v>
      </c>
      <c r="H284" t="s">
        <v>2799</v>
      </c>
      <c r="I284">
        <v>0</v>
      </c>
      <c r="J284">
        <v>43577</v>
      </c>
    </row>
    <row r="285" spans="1:10" ht="12.75" hidden="1" customHeight="1">
      <c r="A285">
        <v>422150100</v>
      </c>
      <c r="B285" t="s">
        <v>2756</v>
      </c>
      <c r="C285">
        <v>533</v>
      </c>
      <c r="D285" t="s">
        <v>2743</v>
      </c>
      <c r="E285">
        <v>26</v>
      </c>
      <c r="F285">
        <v>270419</v>
      </c>
      <c r="G285">
        <v>20000</v>
      </c>
      <c r="H285" t="s">
        <v>2800</v>
      </c>
      <c r="I285">
        <v>0</v>
      </c>
      <c r="J285">
        <v>43582</v>
      </c>
    </row>
    <row r="286" spans="1:10" ht="12.75" hidden="1" customHeight="1">
      <c r="A286">
        <v>422150100</v>
      </c>
      <c r="B286" t="s">
        <v>2756</v>
      </c>
      <c r="C286">
        <v>533</v>
      </c>
      <c r="D286" t="s">
        <v>2743</v>
      </c>
      <c r="E286">
        <v>26</v>
      </c>
      <c r="F286">
        <v>805</v>
      </c>
      <c r="G286">
        <v>15000</v>
      </c>
      <c r="H286" t="s">
        <v>2801</v>
      </c>
      <c r="I286">
        <v>0</v>
      </c>
      <c r="J286">
        <v>43593</v>
      </c>
    </row>
    <row r="287" spans="1:10" ht="12.75" hidden="1" customHeight="1">
      <c r="A287">
        <v>422150100</v>
      </c>
      <c r="B287" t="s">
        <v>2756</v>
      </c>
      <c r="C287">
        <v>533</v>
      </c>
      <c r="D287" t="s">
        <v>2743</v>
      </c>
      <c r="E287">
        <v>26</v>
      </c>
      <c r="F287">
        <v>1005</v>
      </c>
      <c r="G287">
        <v>4600</v>
      </c>
      <c r="H287" t="s">
        <v>2802</v>
      </c>
      <c r="I287">
        <v>0</v>
      </c>
      <c r="J287">
        <v>43595</v>
      </c>
    </row>
    <row r="288" spans="1:10" ht="12.75" hidden="1" customHeight="1">
      <c r="A288">
        <v>422150100</v>
      </c>
      <c r="B288" t="s">
        <v>2756</v>
      </c>
      <c r="C288">
        <v>533</v>
      </c>
      <c r="D288" t="s">
        <v>2743</v>
      </c>
      <c r="E288">
        <v>26</v>
      </c>
      <c r="F288">
        <v>552534</v>
      </c>
      <c r="G288">
        <v>5000</v>
      </c>
      <c r="H288" t="s">
        <v>2803</v>
      </c>
      <c r="I288">
        <v>0</v>
      </c>
      <c r="J288">
        <v>43595</v>
      </c>
    </row>
    <row r="289" spans="1:10" ht="12.75" hidden="1" customHeight="1">
      <c r="A289">
        <v>422150100</v>
      </c>
      <c r="B289" t="s">
        <v>2756</v>
      </c>
      <c r="C289">
        <v>533</v>
      </c>
      <c r="D289" t="s">
        <v>2743</v>
      </c>
      <c r="E289">
        <v>26</v>
      </c>
      <c r="F289">
        <v>658348</v>
      </c>
      <c r="G289">
        <v>20000</v>
      </c>
      <c r="H289" t="s">
        <v>2804</v>
      </c>
      <c r="I289">
        <v>0</v>
      </c>
      <c r="J289">
        <v>43595</v>
      </c>
    </row>
    <row r="290" spans="1:10" ht="12.75" hidden="1" customHeight="1">
      <c r="A290">
        <v>422150100</v>
      </c>
      <c r="B290" t="s">
        <v>2756</v>
      </c>
      <c r="C290">
        <v>533</v>
      </c>
      <c r="D290" t="s">
        <v>2743</v>
      </c>
      <c r="E290">
        <v>26</v>
      </c>
      <c r="F290">
        <v>2602868</v>
      </c>
      <c r="G290">
        <v>80000</v>
      </c>
      <c r="H290" t="s">
        <v>2805</v>
      </c>
      <c r="I290">
        <v>0</v>
      </c>
      <c r="J290">
        <v>43595</v>
      </c>
    </row>
    <row r="291" spans="1:10" ht="12.75" hidden="1" customHeight="1">
      <c r="A291">
        <v>422150100</v>
      </c>
      <c r="B291" t="s">
        <v>2756</v>
      </c>
      <c r="C291">
        <v>533</v>
      </c>
      <c r="D291" t="s">
        <v>2743</v>
      </c>
      <c r="E291">
        <v>26</v>
      </c>
      <c r="F291">
        <v>2742759</v>
      </c>
      <c r="G291">
        <v>15000</v>
      </c>
      <c r="H291" t="s">
        <v>2806</v>
      </c>
      <c r="I291">
        <v>0</v>
      </c>
      <c r="J291">
        <v>43595</v>
      </c>
    </row>
    <row r="292" spans="1:10" ht="12.75" hidden="1" customHeight="1">
      <c r="A292">
        <v>422150100</v>
      </c>
      <c r="B292" t="s">
        <v>2756</v>
      </c>
      <c r="C292">
        <v>533</v>
      </c>
      <c r="D292" t="s">
        <v>2743</v>
      </c>
      <c r="E292">
        <v>26</v>
      </c>
      <c r="F292">
        <v>8052019</v>
      </c>
      <c r="G292">
        <v>50000</v>
      </c>
      <c r="H292" t="s">
        <v>2807</v>
      </c>
      <c r="I292">
        <v>0</v>
      </c>
      <c r="J292">
        <v>43595</v>
      </c>
    </row>
    <row r="293" spans="1:10" ht="12.75" hidden="1" customHeight="1">
      <c r="A293">
        <v>422150100</v>
      </c>
      <c r="B293" t="s">
        <v>2756</v>
      </c>
      <c r="C293">
        <v>533</v>
      </c>
      <c r="D293" t="s">
        <v>2743</v>
      </c>
      <c r="E293">
        <v>26</v>
      </c>
      <c r="F293">
        <v>10060484590</v>
      </c>
      <c r="G293">
        <v>50000</v>
      </c>
      <c r="H293" t="s">
        <v>2808</v>
      </c>
      <c r="I293">
        <v>0</v>
      </c>
      <c r="J293">
        <v>43595</v>
      </c>
    </row>
    <row r="294" spans="1:10" ht="12.75" hidden="1" customHeight="1">
      <c r="A294">
        <v>422150100</v>
      </c>
      <c r="B294" t="s">
        <v>2756</v>
      </c>
      <c r="C294">
        <v>533</v>
      </c>
      <c r="D294" t="s">
        <v>2743</v>
      </c>
      <c r="E294">
        <v>26</v>
      </c>
      <c r="F294">
        <v>1576010</v>
      </c>
      <c r="G294">
        <v>10000</v>
      </c>
      <c r="H294" t="s">
        <v>2809</v>
      </c>
      <c r="I294">
        <v>0</v>
      </c>
      <c r="J294">
        <v>43602</v>
      </c>
    </row>
    <row r="295" spans="1:10" ht="12.75" hidden="1" customHeight="1">
      <c r="A295">
        <v>422150100</v>
      </c>
      <c r="B295" t="s">
        <v>2756</v>
      </c>
      <c r="C295">
        <v>533</v>
      </c>
      <c r="D295" t="s">
        <v>2743</v>
      </c>
      <c r="E295">
        <v>26</v>
      </c>
      <c r="F295">
        <v>2651976</v>
      </c>
      <c r="G295">
        <v>10000</v>
      </c>
      <c r="H295" t="s">
        <v>2810</v>
      </c>
      <c r="I295">
        <v>0</v>
      </c>
      <c r="J295">
        <v>43602</v>
      </c>
    </row>
    <row r="296" spans="1:10" ht="12.75" hidden="1" customHeight="1">
      <c r="A296">
        <v>422150100</v>
      </c>
      <c r="B296" t="s">
        <v>2756</v>
      </c>
      <c r="C296">
        <v>533</v>
      </c>
      <c r="D296" t="s">
        <v>2743</v>
      </c>
      <c r="E296">
        <v>26</v>
      </c>
      <c r="F296">
        <v>2005</v>
      </c>
      <c r="G296">
        <v>80000</v>
      </c>
      <c r="H296" t="s">
        <v>2811</v>
      </c>
      <c r="I296">
        <v>0</v>
      </c>
      <c r="J296">
        <v>43605</v>
      </c>
    </row>
    <row r="297" spans="1:10" ht="12.75" hidden="1" customHeight="1">
      <c r="A297">
        <v>422150100</v>
      </c>
      <c r="B297" t="s">
        <v>2756</v>
      </c>
      <c r="C297">
        <v>533</v>
      </c>
      <c r="D297" t="s">
        <v>2743</v>
      </c>
      <c r="E297">
        <v>26</v>
      </c>
      <c r="F297">
        <v>2630505</v>
      </c>
      <c r="G297">
        <v>25000</v>
      </c>
      <c r="H297" t="s">
        <v>2812</v>
      </c>
      <c r="I297">
        <v>0</v>
      </c>
      <c r="J297">
        <v>43606</v>
      </c>
    </row>
    <row r="298" spans="1:10" ht="12.75" hidden="1" customHeight="1">
      <c r="A298">
        <v>422150100</v>
      </c>
      <c r="B298" t="s">
        <v>2756</v>
      </c>
      <c r="C298">
        <v>533</v>
      </c>
      <c r="D298" t="s">
        <v>2743</v>
      </c>
      <c r="E298">
        <v>26</v>
      </c>
      <c r="F298">
        <v>2671439</v>
      </c>
      <c r="G298">
        <v>80000</v>
      </c>
      <c r="H298" t="s">
        <v>2813</v>
      </c>
      <c r="I298">
        <v>0</v>
      </c>
      <c r="J298">
        <v>43608</v>
      </c>
    </row>
    <row r="299" spans="1:10" ht="12.75" hidden="1" customHeight="1">
      <c r="A299">
        <v>422150100</v>
      </c>
      <c r="B299" t="s">
        <v>2756</v>
      </c>
      <c r="C299">
        <v>533</v>
      </c>
      <c r="D299" t="s">
        <v>2743</v>
      </c>
      <c r="E299">
        <v>26</v>
      </c>
      <c r="F299">
        <v>1374679</v>
      </c>
      <c r="G299">
        <v>25000</v>
      </c>
      <c r="H299" t="s">
        <v>2814</v>
      </c>
      <c r="I299">
        <v>0</v>
      </c>
      <c r="J299">
        <v>43613</v>
      </c>
    </row>
    <row r="300" spans="1:10" ht="12.75" hidden="1" customHeight="1">
      <c r="A300">
        <v>422150100</v>
      </c>
      <c r="B300" t="s">
        <v>2756</v>
      </c>
      <c r="C300">
        <v>533</v>
      </c>
      <c r="D300" t="s">
        <v>2743</v>
      </c>
      <c r="E300">
        <v>26</v>
      </c>
      <c r="F300">
        <v>4532</v>
      </c>
      <c r="G300">
        <v>15000</v>
      </c>
      <c r="H300" t="s">
        <v>2815</v>
      </c>
      <c r="I300">
        <v>0</v>
      </c>
      <c r="J300">
        <v>43615</v>
      </c>
    </row>
    <row r="301" spans="1:10" ht="12.75" hidden="1" customHeight="1">
      <c r="A301">
        <v>422150100</v>
      </c>
      <c r="B301" t="s">
        <v>2756</v>
      </c>
      <c r="C301">
        <v>533</v>
      </c>
      <c r="D301" t="s">
        <v>2743</v>
      </c>
      <c r="E301">
        <v>26</v>
      </c>
      <c r="F301">
        <v>6146</v>
      </c>
      <c r="G301">
        <v>5000</v>
      </c>
      <c r="H301" t="s">
        <v>2816</v>
      </c>
      <c r="I301">
        <v>0</v>
      </c>
      <c r="J301">
        <v>43616</v>
      </c>
    </row>
    <row r="302" spans="1:10" ht="12.75" hidden="1" customHeight="1">
      <c r="A302">
        <v>422150100</v>
      </c>
      <c r="B302" t="s">
        <v>2756</v>
      </c>
      <c r="C302">
        <v>533</v>
      </c>
      <c r="D302" t="s">
        <v>2743</v>
      </c>
      <c r="E302">
        <v>26</v>
      </c>
      <c r="F302">
        <v>589100</v>
      </c>
      <c r="G302">
        <v>20000</v>
      </c>
      <c r="H302" t="s">
        <v>2817</v>
      </c>
      <c r="I302">
        <v>0</v>
      </c>
      <c r="J302">
        <v>43616</v>
      </c>
    </row>
    <row r="303" spans="1:10" ht="12.75" hidden="1" customHeight="1">
      <c r="A303">
        <v>422150100</v>
      </c>
      <c r="B303" t="s">
        <v>2756</v>
      </c>
      <c r="C303">
        <v>533</v>
      </c>
      <c r="D303" t="s">
        <v>2743</v>
      </c>
      <c r="E303">
        <v>26</v>
      </c>
      <c r="F303">
        <v>10010652457</v>
      </c>
      <c r="G303">
        <v>120000</v>
      </c>
      <c r="H303" t="s">
        <v>2818</v>
      </c>
      <c r="I303">
        <v>0</v>
      </c>
      <c r="J303">
        <v>43616</v>
      </c>
    </row>
    <row r="304" spans="1:10" ht="12.75" hidden="1" customHeight="1">
      <c r="A304">
        <v>422150100</v>
      </c>
      <c r="B304" t="s">
        <v>2756</v>
      </c>
      <c r="C304">
        <v>533</v>
      </c>
      <c r="D304" t="s">
        <v>2743</v>
      </c>
      <c r="E304">
        <v>26</v>
      </c>
      <c r="F304">
        <v>1735</v>
      </c>
      <c r="G304">
        <v>10000</v>
      </c>
      <c r="H304" t="s">
        <v>2816</v>
      </c>
      <c r="I304">
        <v>0</v>
      </c>
      <c r="J304">
        <v>43617</v>
      </c>
    </row>
    <row r="305" spans="1:10" ht="12.75" hidden="1" customHeight="1">
      <c r="A305">
        <v>422150100</v>
      </c>
      <c r="B305" t="s">
        <v>2756</v>
      </c>
      <c r="C305">
        <v>533</v>
      </c>
      <c r="D305" t="s">
        <v>2743</v>
      </c>
      <c r="E305">
        <v>26</v>
      </c>
      <c r="F305">
        <v>6756</v>
      </c>
      <c r="G305">
        <v>30000</v>
      </c>
      <c r="H305" t="s">
        <v>2819</v>
      </c>
      <c r="I305">
        <v>0</v>
      </c>
      <c r="J305">
        <v>43624</v>
      </c>
    </row>
    <row r="306" spans="1:10" ht="12.75" hidden="1" customHeight="1">
      <c r="A306">
        <v>422150100</v>
      </c>
      <c r="B306" t="s">
        <v>2756</v>
      </c>
      <c r="C306">
        <v>533</v>
      </c>
      <c r="D306" t="s">
        <v>2743</v>
      </c>
      <c r="E306">
        <v>26</v>
      </c>
      <c r="F306">
        <v>3125</v>
      </c>
      <c r="G306">
        <v>80000</v>
      </c>
      <c r="H306" t="s">
        <v>2820</v>
      </c>
      <c r="I306">
        <v>0</v>
      </c>
      <c r="J306">
        <v>43629</v>
      </c>
    </row>
    <row r="307" spans="1:10" ht="12.75" hidden="1" customHeight="1">
      <c r="A307">
        <v>422150100</v>
      </c>
      <c r="B307" t="s">
        <v>2756</v>
      </c>
      <c r="C307">
        <v>533</v>
      </c>
      <c r="D307" t="s">
        <v>2743</v>
      </c>
      <c r="E307">
        <v>26</v>
      </c>
      <c r="F307">
        <v>30010090050</v>
      </c>
      <c r="G307">
        <v>15000</v>
      </c>
      <c r="H307" t="s">
        <v>2821</v>
      </c>
      <c r="I307">
        <v>0</v>
      </c>
      <c r="J307">
        <v>43635</v>
      </c>
    </row>
    <row r="308" spans="1:10" ht="12.75" hidden="1" customHeight="1">
      <c r="A308">
        <v>422150100</v>
      </c>
      <c r="B308" t="s">
        <v>2756</v>
      </c>
      <c r="C308">
        <v>533</v>
      </c>
      <c r="D308" t="s">
        <v>2743</v>
      </c>
      <c r="E308">
        <v>26</v>
      </c>
      <c r="F308">
        <v>8083</v>
      </c>
      <c r="G308">
        <v>80000</v>
      </c>
      <c r="H308" t="s">
        <v>2822</v>
      </c>
      <c r="I308">
        <v>0</v>
      </c>
      <c r="J308">
        <v>43636</v>
      </c>
    </row>
    <row r="309" spans="1:10" ht="12.75" hidden="1" customHeight="1">
      <c r="A309">
        <v>422150100</v>
      </c>
      <c r="B309" t="s">
        <v>2756</v>
      </c>
      <c r="C309">
        <v>533</v>
      </c>
      <c r="D309" t="s">
        <v>2743</v>
      </c>
      <c r="E309">
        <v>26</v>
      </c>
      <c r="F309">
        <v>104605</v>
      </c>
      <c r="G309">
        <v>2300</v>
      </c>
      <c r="H309" t="s">
        <v>2823</v>
      </c>
      <c r="I309">
        <v>0</v>
      </c>
      <c r="J309">
        <v>43636</v>
      </c>
    </row>
    <row r="310" spans="1:10" ht="12.75" hidden="1" customHeight="1">
      <c r="A310">
        <v>422150100</v>
      </c>
      <c r="B310" t="s">
        <v>2756</v>
      </c>
      <c r="C310">
        <v>533</v>
      </c>
      <c r="D310" t="s">
        <v>2743</v>
      </c>
      <c r="E310">
        <v>26</v>
      </c>
      <c r="F310">
        <v>615795</v>
      </c>
      <c r="G310">
        <v>10000</v>
      </c>
      <c r="H310" t="s">
        <v>2822</v>
      </c>
      <c r="I310">
        <v>0</v>
      </c>
      <c r="J310">
        <v>43636</v>
      </c>
    </row>
    <row r="311" spans="1:10" ht="12.75" hidden="1" customHeight="1">
      <c r="A311">
        <v>422150100</v>
      </c>
      <c r="B311" t="s">
        <v>2756</v>
      </c>
      <c r="C311">
        <v>533</v>
      </c>
      <c r="D311" t="s">
        <v>2743</v>
      </c>
      <c r="E311">
        <v>26</v>
      </c>
      <c r="F311">
        <v>2061068</v>
      </c>
      <c r="G311">
        <v>45000</v>
      </c>
      <c r="H311" t="s">
        <v>2824</v>
      </c>
      <c r="I311">
        <v>0</v>
      </c>
      <c r="J311">
        <v>43636</v>
      </c>
    </row>
    <row r="312" spans="1:10" ht="12.75" hidden="1" customHeight="1">
      <c r="A312">
        <v>422150100</v>
      </c>
      <c r="B312" t="s">
        <v>2756</v>
      </c>
      <c r="C312">
        <v>533</v>
      </c>
      <c r="D312" t="s">
        <v>2743</v>
      </c>
      <c r="E312">
        <v>26</v>
      </c>
      <c r="F312">
        <v>3565099</v>
      </c>
      <c r="G312">
        <v>10000</v>
      </c>
      <c r="H312" t="s">
        <v>2825</v>
      </c>
      <c r="I312">
        <v>0</v>
      </c>
      <c r="J312">
        <v>43636</v>
      </c>
    </row>
    <row r="313" spans="1:10" ht="12.75" hidden="1" customHeight="1">
      <c r="A313">
        <v>422150100</v>
      </c>
      <c r="B313" t="s">
        <v>2756</v>
      </c>
      <c r="C313">
        <v>533</v>
      </c>
      <c r="D313" t="s">
        <v>2743</v>
      </c>
      <c r="E313">
        <v>26</v>
      </c>
      <c r="F313">
        <v>10151315074</v>
      </c>
      <c r="G313">
        <v>50000</v>
      </c>
      <c r="H313" t="s">
        <v>2826</v>
      </c>
      <c r="I313">
        <v>0</v>
      </c>
      <c r="J313">
        <v>43636</v>
      </c>
    </row>
    <row r="314" spans="1:10" ht="12.75" hidden="1" customHeight="1">
      <c r="A314">
        <v>422150100</v>
      </c>
      <c r="B314" t="s">
        <v>2756</v>
      </c>
      <c r="C314">
        <v>533</v>
      </c>
      <c r="D314" t="s">
        <v>2743</v>
      </c>
      <c r="E314">
        <v>26</v>
      </c>
      <c r="F314">
        <v>240619</v>
      </c>
      <c r="G314">
        <v>30000</v>
      </c>
      <c r="H314" t="s">
        <v>2827</v>
      </c>
      <c r="I314">
        <v>0</v>
      </c>
      <c r="J314">
        <v>43640</v>
      </c>
    </row>
    <row r="315" spans="1:10" ht="12.75" hidden="1" customHeight="1">
      <c r="A315">
        <v>422150100</v>
      </c>
      <c r="B315" t="s">
        <v>2756</v>
      </c>
      <c r="C315">
        <v>533</v>
      </c>
      <c r="D315" t="s">
        <v>2743</v>
      </c>
      <c r="E315">
        <v>26</v>
      </c>
      <c r="F315">
        <v>9277</v>
      </c>
      <c r="G315">
        <v>20000</v>
      </c>
      <c r="H315" t="s">
        <v>2828</v>
      </c>
      <c r="I315">
        <v>0</v>
      </c>
      <c r="J315">
        <v>43644</v>
      </c>
    </row>
    <row r="316" spans="1:10" ht="12.75" hidden="1" customHeight="1">
      <c r="A316">
        <v>422150100</v>
      </c>
      <c r="B316" t="s">
        <v>2756</v>
      </c>
      <c r="C316">
        <v>533</v>
      </c>
      <c r="D316" t="s">
        <v>2743</v>
      </c>
      <c r="E316">
        <v>26</v>
      </c>
      <c r="F316">
        <v>280619</v>
      </c>
      <c r="G316">
        <v>80000</v>
      </c>
      <c r="H316" t="s">
        <v>2829</v>
      </c>
      <c r="I316">
        <v>0</v>
      </c>
      <c r="J316">
        <v>43644</v>
      </c>
    </row>
    <row r="317" spans="1:10" ht="12.75" hidden="1" customHeight="1">
      <c r="A317">
        <v>422150100</v>
      </c>
      <c r="B317" t="s">
        <v>2756</v>
      </c>
      <c r="C317">
        <v>533</v>
      </c>
      <c r="D317" t="s">
        <v>2743</v>
      </c>
      <c r="E317">
        <v>26</v>
      </c>
      <c r="F317">
        <v>10030742897</v>
      </c>
      <c r="G317">
        <v>50000</v>
      </c>
      <c r="H317" t="s">
        <v>2830</v>
      </c>
      <c r="I317">
        <v>0</v>
      </c>
      <c r="J317">
        <v>43644</v>
      </c>
    </row>
    <row r="318" spans="1:10" ht="12.75" hidden="1" customHeight="1">
      <c r="A318">
        <v>422150100</v>
      </c>
      <c r="B318" t="s">
        <v>2756</v>
      </c>
      <c r="C318">
        <v>533</v>
      </c>
      <c r="D318" t="s">
        <v>2743</v>
      </c>
      <c r="E318">
        <v>26</v>
      </c>
      <c r="F318">
        <v>10070002585</v>
      </c>
      <c r="G318">
        <v>50000</v>
      </c>
      <c r="H318" t="s">
        <v>2830</v>
      </c>
      <c r="I318">
        <v>0</v>
      </c>
      <c r="J318">
        <v>43644</v>
      </c>
    </row>
    <row r="319" spans="1:10" ht="12.75" hidden="1" customHeight="1">
      <c r="A319">
        <v>422150100</v>
      </c>
      <c r="B319" t="s">
        <v>2756</v>
      </c>
      <c r="C319">
        <v>533</v>
      </c>
      <c r="D319" t="s">
        <v>2743</v>
      </c>
      <c r="E319">
        <v>26</v>
      </c>
      <c r="F319">
        <v>11310426932</v>
      </c>
      <c r="G319">
        <v>2300</v>
      </c>
      <c r="H319" t="s">
        <v>2830</v>
      </c>
      <c r="I319">
        <v>0</v>
      </c>
      <c r="J319">
        <v>43644</v>
      </c>
    </row>
    <row r="320" spans="1:10" ht="12.75" hidden="1" customHeight="1">
      <c r="A320">
        <v>422150100</v>
      </c>
      <c r="B320" t="s">
        <v>2756</v>
      </c>
      <c r="C320">
        <v>533</v>
      </c>
      <c r="D320" t="s">
        <v>2743</v>
      </c>
      <c r="E320">
        <v>26</v>
      </c>
      <c r="F320">
        <v>2724</v>
      </c>
      <c r="G320">
        <v>30000</v>
      </c>
      <c r="H320" t="s">
        <v>2831</v>
      </c>
      <c r="I320">
        <v>0</v>
      </c>
      <c r="J320">
        <v>43645</v>
      </c>
    </row>
    <row r="321" spans="1:10" ht="12.75" hidden="1" customHeight="1">
      <c r="A321">
        <v>422150100</v>
      </c>
      <c r="B321" t="s">
        <v>2756</v>
      </c>
      <c r="C321">
        <v>533</v>
      </c>
      <c r="D321" t="s">
        <v>2743</v>
      </c>
      <c r="E321">
        <v>26</v>
      </c>
      <c r="F321">
        <v>8139</v>
      </c>
      <c r="G321">
        <v>45000</v>
      </c>
      <c r="H321" t="s">
        <v>2832</v>
      </c>
      <c r="I321">
        <v>0</v>
      </c>
      <c r="J321">
        <v>43651</v>
      </c>
    </row>
    <row r="322" spans="1:10" ht="12.75" hidden="1" customHeight="1">
      <c r="A322">
        <v>422150100</v>
      </c>
      <c r="B322" t="s">
        <v>2756</v>
      </c>
      <c r="C322">
        <v>533</v>
      </c>
      <c r="D322" t="s">
        <v>2743</v>
      </c>
      <c r="E322">
        <v>26</v>
      </c>
      <c r="F322">
        <v>60719</v>
      </c>
      <c r="G322">
        <v>10000</v>
      </c>
      <c r="H322" t="s">
        <v>2833</v>
      </c>
      <c r="I322">
        <v>0</v>
      </c>
      <c r="J322">
        <v>43652</v>
      </c>
    </row>
    <row r="323" spans="1:10" ht="12.75" hidden="1" customHeight="1">
      <c r="A323">
        <v>422150100</v>
      </c>
      <c r="B323" t="s">
        <v>2756</v>
      </c>
      <c r="C323">
        <v>533</v>
      </c>
      <c r="D323" t="s">
        <v>2743</v>
      </c>
      <c r="E323">
        <v>26</v>
      </c>
      <c r="F323">
        <v>150719</v>
      </c>
      <c r="G323">
        <v>80000</v>
      </c>
      <c r="H323" t="s">
        <v>2834</v>
      </c>
      <c r="I323">
        <v>0</v>
      </c>
      <c r="J323">
        <v>43661</v>
      </c>
    </row>
    <row r="324" spans="1:10" ht="12.75" hidden="1" customHeight="1">
      <c r="A324">
        <v>422150100</v>
      </c>
      <c r="B324" t="s">
        <v>2756</v>
      </c>
      <c r="C324">
        <v>533</v>
      </c>
      <c r="D324" t="s">
        <v>2743</v>
      </c>
      <c r="E324">
        <v>26</v>
      </c>
      <c r="F324">
        <v>2760</v>
      </c>
      <c r="G324">
        <v>80000</v>
      </c>
      <c r="H324" t="s">
        <v>2835</v>
      </c>
      <c r="I324">
        <v>0</v>
      </c>
      <c r="J324">
        <v>43669</v>
      </c>
    </row>
    <row r="325" spans="1:10" ht="12.75" hidden="1" customHeight="1">
      <c r="A325">
        <v>422150100</v>
      </c>
      <c r="B325" t="s">
        <v>2756</v>
      </c>
      <c r="C325">
        <v>533</v>
      </c>
      <c r="D325" t="s">
        <v>2743</v>
      </c>
      <c r="E325">
        <v>26</v>
      </c>
      <c r="F325">
        <v>7075</v>
      </c>
      <c r="G325">
        <v>10000</v>
      </c>
      <c r="H325" t="s">
        <v>2836</v>
      </c>
      <c r="I325">
        <v>0</v>
      </c>
      <c r="J325">
        <v>43671</v>
      </c>
    </row>
    <row r="326" spans="1:10" ht="12.75" hidden="1" customHeight="1">
      <c r="A326">
        <v>422150100</v>
      </c>
      <c r="B326" t="s">
        <v>2756</v>
      </c>
      <c r="C326">
        <v>533</v>
      </c>
      <c r="D326" t="s">
        <v>2743</v>
      </c>
      <c r="E326">
        <v>26</v>
      </c>
      <c r="F326">
        <v>10020906197</v>
      </c>
      <c r="G326">
        <v>50000</v>
      </c>
      <c r="H326" t="s">
        <v>2837</v>
      </c>
      <c r="I326">
        <v>0</v>
      </c>
      <c r="J326">
        <v>43671</v>
      </c>
    </row>
    <row r="327" spans="1:10" ht="12.75" hidden="1" customHeight="1">
      <c r="A327">
        <v>422150100</v>
      </c>
      <c r="B327" t="s">
        <v>2756</v>
      </c>
      <c r="C327">
        <v>533</v>
      </c>
      <c r="D327" t="s">
        <v>2743</v>
      </c>
      <c r="E327">
        <v>26</v>
      </c>
      <c r="F327">
        <v>10400597765</v>
      </c>
      <c r="G327">
        <v>2300</v>
      </c>
      <c r="H327" t="s">
        <v>2838</v>
      </c>
      <c r="I327">
        <v>0</v>
      </c>
      <c r="J327">
        <v>43671</v>
      </c>
    </row>
    <row r="328" spans="1:10" ht="12.75" hidden="1" customHeight="1">
      <c r="A328">
        <v>422150100</v>
      </c>
      <c r="B328" t="s">
        <v>2756</v>
      </c>
      <c r="C328">
        <v>533</v>
      </c>
      <c r="D328" t="s">
        <v>2743</v>
      </c>
      <c r="E328">
        <v>26</v>
      </c>
      <c r="F328">
        <v>2710</v>
      </c>
      <c r="G328">
        <v>80000</v>
      </c>
      <c r="H328" t="s">
        <v>2839</v>
      </c>
      <c r="I328">
        <v>0</v>
      </c>
      <c r="J328">
        <v>43685</v>
      </c>
    </row>
    <row r="329" spans="1:10" ht="12.75" hidden="1" customHeight="1">
      <c r="A329">
        <v>422150100</v>
      </c>
      <c r="B329" t="s">
        <v>2756</v>
      </c>
      <c r="C329">
        <v>533</v>
      </c>
      <c r="D329" t="s">
        <v>2743</v>
      </c>
      <c r="E329">
        <v>26</v>
      </c>
      <c r="F329">
        <v>1164981</v>
      </c>
      <c r="G329">
        <v>10000</v>
      </c>
      <c r="H329" t="s">
        <v>2840</v>
      </c>
      <c r="I329">
        <v>0</v>
      </c>
      <c r="J329">
        <v>43690</v>
      </c>
    </row>
    <row r="330" spans="1:10" ht="12.75" hidden="1" customHeight="1">
      <c r="A330">
        <v>422150100</v>
      </c>
      <c r="B330" t="s">
        <v>2756</v>
      </c>
      <c r="C330">
        <v>533</v>
      </c>
      <c r="D330" t="s">
        <v>2743</v>
      </c>
      <c r="E330">
        <v>26</v>
      </c>
      <c r="F330">
        <v>1093</v>
      </c>
      <c r="G330">
        <v>10000</v>
      </c>
      <c r="H330" t="s">
        <v>2841</v>
      </c>
      <c r="I330">
        <v>0</v>
      </c>
      <c r="J330">
        <v>43697</v>
      </c>
    </row>
    <row r="331" spans="1:10" ht="12.75" hidden="1" customHeight="1">
      <c r="A331">
        <v>422150100</v>
      </c>
      <c r="B331" t="s">
        <v>2756</v>
      </c>
      <c r="C331">
        <v>533</v>
      </c>
      <c r="D331" t="s">
        <v>2743</v>
      </c>
      <c r="E331">
        <v>26</v>
      </c>
      <c r="F331">
        <v>210819</v>
      </c>
      <c r="G331">
        <v>160000</v>
      </c>
      <c r="H331" t="s">
        <v>2842</v>
      </c>
      <c r="I331">
        <v>0</v>
      </c>
      <c r="J331">
        <v>43698</v>
      </c>
    </row>
    <row r="332" spans="1:10" ht="12.75" hidden="1" customHeight="1">
      <c r="A332">
        <v>422150100</v>
      </c>
      <c r="B332" t="s">
        <v>2756</v>
      </c>
      <c r="C332">
        <v>533</v>
      </c>
      <c r="D332" t="s">
        <v>2743</v>
      </c>
      <c r="E332">
        <v>26</v>
      </c>
      <c r="F332">
        <v>3109</v>
      </c>
      <c r="G332">
        <v>160000</v>
      </c>
      <c r="H332" t="s">
        <v>2843</v>
      </c>
      <c r="I332">
        <v>0</v>
      </c>
      <c r="J332">
        <v>43699</v>
      </c>
    </row>
    <row r="333" spans="1:10" ht="12.75" hidden="1" customHeight="1">
      <c r="A333">
        <v>422150100</v>
      </c>
      <c r="B333" t="s">
        <v>2756</v>
      </c>
      <c r="C333">
        <v>533</v>
      </c>
      <c r="D333" t="s">
        <v>2743</v>
      </c>
      <c r="E333">
        <v>26</v>
      </c>
      <c r="F333">
        <v>603</v>
      </c>
      <c r="G333">
        <v>20000</v>
      </c>
      <c r="H333" t="s">
        <v>2844</v>
      </c>
      <c r="I333">
        <v>0</v>
      </c>
      <c r="J333">
        <v>43700</v>
      </c>
    </row>
    <row r="334" spans="1:10" ht="12.75" hidden="1" customHeight="1">
      <c r="A334">
        <v>422150100</v>
      </c>
      <c r="B334" t="s">
        <v>2756</v>
      </c>
      <c r="C334">
        <v>533</v>
      </c>
      <c r="D334" t="s">
        <v>2743</v>
      </c>
      <c r="E334">
        <v>26</v>
      </c>
      <c r="F334">
        <v>2878</v>
      </c>
      <c r="G334">
        <v>10000</v>
      </c>
      <c r="H334" t="s">
        <v>2845</v>
      </c>
      <c r="I334">
        <v>0</v>
      </c>
      <c r="J334">
        <v>43704</v>
      </c>
    </row>
    <row r="335" spans="1:10" ht="12.75" hidden="1" customHeight="1">
      <c r="A335">
        <v>422150100</v>
      </c>
      <c r="B335" t="s">
        <v>2756</v>
      </c>
      <c r="C335">
        <v>533</v>
      </c>
      <c r="D335" t="s">
        <v>2743</v>
      </c>
      <c r="E335">
        <v>26</v>
      </c>
      <c r="F335">
        <v>270819</v>
      </c>
      <c r="G335">
        <v>80000</v>
      </c>
      <c r="H335" t="s">
        <v>2846</v>
      </c>
      <c r="I335">
        <v>0</v>
      </c>
      <c r="J335">
        <v>43704</v>
      </c>
    </row>
    <row r="336" spans="1:10" ht="12.75" hidden="1" customHeight="1">
      <c r="A336">
        <v>422150100</v>
      </c>
      <c r="B336" t="s">
        <v>2756</v>
      </c>
      <c r="C336">
        <v>533</v>
      </c>
      <c r="D336" t="s">
        <v>2743</v>
      </c>
      <c r="E336">
        <v>26</v>
      </c>
      <c r="F336">
        <v>10070137683</v>
      </c>
      <c r="G336">
        <v>40000</v>
      </c>
      <c r="H336" t="s">
        <v>2847</v>
      </c>
      <c r="I336">
        <v>0</v>
      </c>
      <c r="J336">
        <v>43704</v>
      </c>
    </row>
    <row r="337" spans="1:10" ht="12.75" hidden="1" customHeight="1">
      <c r="A337">
        <v>422150100</v>
      </c>
      <c r="B337" t="s">
        <v>2756</v>
      </c>
      <c r="C337">
        <v>533</v>
      </c>
      <c r="D337" t="s">
        <v>2743</v>
      </c>
      <c r="E337">
        <v>26</v>
      </c>
      <c r="F337">
        <v>2737</v>
      </c>
      <c r="G337">
        <v>80000</v>
      </c>
      <c r="H337" t="s">
        <v>2848</v>
      </c>
      <c r="I337">
        <v>0</v>
      </c>
      <c r="J337">
        <v>43706</v>
      </c>
    </row>
    <row r="338" spans="1:10" ht="12.75" hidden="1" customHeight="1">
      <c r="A338">
        <v>422150100</v>
      </c>
      <c r="B338" t="s">
        <v>2756</v>
      </c>
      <c r="C338">
        <v>533</v>
      </c>
      <c r="D338" t="s">
        <v>2743</v>
      </c>
      <c r="E338">
        <v>26</v>
      </c>
      <c r="F338">
        <v>55</v>
      </c>
      <c r="G338">
        <v>10000</v>
      </c>
      <c r="H338" t="s">
        <v>2849</v>
      </c>
      <c r="I338">
        <v>0</v>
      </c>
      <c r="J338">
        <v>43707</v>
      </c>
    </row>
    <row r="339" spans="1:10" ht="12.75" hidden="1" customHeight="1">
      <c r="A339">
        <v>422150100</v>
      </c>
      <c r="B339" t="s">
        <v>2756</v>
      </c>
      <c r="C339">
        <v>533</v>
      </c>
      <c r="D339" t="s">
        <v>2743</v>
      </c>
      <c r="E339">
        <v>26</v>
      </c>
      <c r="F339">
        <v>68688</v>
      </c>
      <c r="G339">
        <v>2400</v>
      </c>
      <c r="H339" t="s">
        <v>2850</v>
      </c>
      <c r="I339">
        <v>0</v>
      </c>
      <c r="J339">
        <v>43707</v>
      </c>
    </row>
    <row r="340" spans="1:10" ht="12.75" hidden="1" customHeight="1">
      <c r="A340">
        <v>422150100</v>
      </c>
      <c r="B340" t="s">
        <v>2756</v>
      </c>
      <c r="C340">
        <v>533</v>
      </c>
      <c r="D340" t="s">
        <v>2743</v>
      </c>
      <c r="E340">
        <v>26</v>
      </c>
      <c r="F340">
        <v>10020920420</v>
      </c>
      <c r="G340">
        <v>50000</v>
      </c>
      <c r="H340" t="s">
        <v>2851</v>
      </c>
      <c r="I340">
        <v>0</v>
      </c>
      <c r="J340">
        <v>43707</v>
      </c>
    </row>
    <row r="341" spans="1:10" ht="12.75" hidden="1" customHeight="1">
      <c r="A341">
        <v>422150100</v>
      </c>
      <c r="B341" t="s">
        <v>2756</v>
      </c>
      <c r="C341">
        <v>533</v>
      </c>
      <c r="D341" t="s">
        <v>2743</v>
      </c>
      <c r="E341">
        <v>26</v>
      </c>
      <c r="F341">
        <v>5158</v>
      </c>
      <c r="G341">
        <v>20000</v>
      </c>
      <c r="H341" t="s">
        <v>2852</v>
      </c>
      <c r="I341">
        <v>0</v>
      </c>
      <c r="J341">
        <v>43713</v>
      </c>
    </row>
    <row r="342" spans="1:10" ht="12.75" hidden="1" customHeight="1">
      <c r="A342">
        <v>422150100</v>
      </c>
      <c r="B342" t="s">
        <v>2756</v>
      </c>
      <c r="C342">
        <v>533</v>
      </c>
      <c r="D342" t="s">
        <v>2743</v>
      </c>
      <c r="E342">
        <v>26</v>
      </c>
      <c r="F342">
        <v>6043</v>
      </c>
      <c r="G342">
        <v>10000</v>
      </c>
      <c r="H342" t="s">
        <v>2853</v>
      </c>
      <c r="I342">
        <v>0</v>
      </c>
      <c r="J342">
        <v>43717</v>
      </c>
    </row>
    <row r="343" spans="1:10" ht="12.75" hidden="1" customHeight="1">
      <c r="A343">
        <v>422150100</v>
      </c>
      <c r="B343" t="s">
        <v>2756</v>
      </c>
      <c r="C343">
        <v>533</v>
      </c>
      <c r="D343" t="s">
        <v>2743</v>
      </c>
      <c r="E343">
        <v>26</v>
      </c>
      <c r="F343">
        <v>40919</v>
      </c>
      <c r="G343">
        <v>80000</v>
      </c>
      <c r="H343" t="s">
        <v>2854</v>
      </c>
      <c r="I343">
        <v>0</v>
      </c>
      <c r="J343">
        <v>43717</v>
      </c>
    </row>
    <row r="344" spans="1:10" ht="12.75" hidden="1" customHeight="1">
      <c r="A344">
        <v>422150100</v>
      </c>
      <c r="B344" t="s">
        <v>2756</v>
      </c>
      <c r="C344">
        <v>533</v>
      </c>
      <c r="D344" t="s">
        <v>2743</v>
      </c>
      <c r="E344">
        <v>26</v>
      </c>
      <c r="F344">
        <v>150010026776</v>
      </c>
      <c r="G344">
        <v>50000</v>
      </c>
      <c r="H344" t="s">
        <v>2855</v>
      </c>
      <c r="I344">
        <v>0</v>
      </c>
      <c r="J344">
        <v>43717</v>
      </c>
    </row>
    <row r="345" spans="1:10" ht="12.75" hidden="1" customHeight="1">
      <c r="A345">
        <v>422150100</v>
      </c>
      <c r="B345" t="s">
        <v>2756</v>
      </c>
      <c r="C345">
        <v>533</v>
      </c>
      <c r="D345" t="s">
        <v>2743</v>
      </c>
      <c r="E345">
        <v>26</v>
      </c>
      <c r="F345">
        <v>6052</v>
      </c>
      <c r="G345">
        <v>10000</v>
      </c>
      <c r="H345" t="s">
        <v>2856</v>
      </c>
      <c r="I345">
        <v>0</v>
      </c>
      <c r="J345">
        <v>43719</v>
      </c>
    </row>
    <row r="346" spans="1:10" ht="12.75" hidden="1" customHeight="1">
      <c r="A346">
        <v>422150100</v>
      </c>
      <c r="B346" t="s">
        <v>2756</v>
      </c>
      <c r="C346">
        <v>533</v>
      </c>
      <c r="D346" t="s">
        <v>2743</v>
      </c>
      <c r="E346">
        <v>26</v>
      </c>
      <c r="F346">
        <v>68354</v>
      </c>
      <c r="G346">
        <v>3600</v>
      </c>
      <c r="H346" t="s">
        <v>2857</v>
      </c>
      <c r="I346">
        <v>0</v>
      </c>
      <c r="J346">
        <v>43719</v>
      </c>
    </row>
    <row r="347" spans="1:10" ht="12.75" hidden="1" customHeight="1">
      <c r="A347">
        <v>422150100</v>
      </c>
      <c r="B347" t="s">
        <v>2756</v>
      </c>
      <c r="C347">
        <v>533</v>
      </c>
      <c r="D347" t="s">
        <v>2743</v>
      </c>
      <c r="E347">
        <v>26</v>
      </c>
      <c r="F347">
        <v>881109</v>
      </c>
      <c r="G347">
        <v>10000</v>
      </c>
      <c r="H347" t="s">
        <v>2858</v>
      </c>
      <c r="I347">
        <v>0</v>
      </c>
      <c r="J347">
        <v>43719</v>
      </c>
    </row>
    <row r="348" spans="1:10" ht="12.75" hidden="1" customHeight="1">
      <c r="A348">
        <v>422150100</v>
      </c>
      <c r="B348" t="s">
        <v>2756</v>
      </c>
      <c r="C348">
        <v>533</v>
      </c>
      <c r="D348" t="s">
        <v>2743</v>
      </c>
      <c r="E348">
        <v>26</v>
      </c>
      <c r="F348">
        <v>10070002738</v>
      </c>
      <c r="G348">
        <v>50000</v>
      </c>
      <c r="H348" t="s">
        <v>2859</v>
      </c>
      <c r="I348">
        <v>0</v>
      </c>
      <c r="J348">
        <v>43719</v>
      </c>
    </row>
    <row r="349" spans="1:10" ht="12.75" hidden="1" customHeight="1">
      <c r="A349">
        <v>422150100</v>
      </c>
      <c r="B349" t="s">
        <v>2756</v>
      </c>
      <c r="C349">
        <v>533</v>
      </c>
      <c r="D349" t="s">
        <v>2743</v>
      </c>
      <c r="E349">
        <v>26</v>
      </c>
      <c r="F349">
        <v>150010026925</v>
      </c>
      <c r="G349">
        <v>50000</v>
      </c>
      <c r="H349" t="s">
        <v>2860</v>
      </c>
      <c r="I349">
        <v>0</v>
      </c>
      <c r="J349">
        <v>43719</v>
      </c>
    </row>
    <row r="350" spans="1:10" ht="12.75" hidden="1" customHeight="1">
      <c r="A350">
        <v>422150100</v>
      </c>
      <c r="B350" t="s">
        <v>2756</v>
      </c>
      <c r="C350">
        <v>533</v>
      </c>
      <c r="D350" t="s">
        <v>2743</v>
      </c>
      <c r="E350">
        <v>26</v>
      </c>
      <c r="F350">
        <v>1309</v>
      </c>
      <c r="G350">
        <v>10000</v>
      </c>
      <c r="H350" t="s">
        <v>2861</v>
      </c>
      <c r="I350">
        <v>0</v>
      </c>
      <c r="J350">
        <v>43721</v>
      </c>
    </row>
    <row r="351" spans="1:10" ht="12.75" hidden="1" customHeight="1">
      <c r="A351">
        <v>422150100</v>
      </c>
      <c r="B351" t="s">
        <v>2756</v>
      </c>
      <c r="C351">
        <v>533</v>
      </c>
      <c r="D351" t="s">
        <v>2743</v>
      </c>
      <c r="E351">
        <v>26</v>
      </c>
      <c r="F351">
        <v>1309</v>
      </c>
      <c r="G351">
        <v>80000</v>
      </c>
      <c r="H351" t="s">
        <v>2862</v>
      </c>
      <c r="I351">
        <v>0</v>
      </c>
      <c r="J351">
        <v>43721</v>
      </c>
    </row>
    <row r="352" spans="1:10" ht="12.75" hidden="1" customHeight="1">
      <c r="A352">
        <v>422150100</v>
      </c>
      <c r="B352" t="s">
        <v>2756</v>
      </c>
      <c r="C352">
        <v>533</v>
      </c>
      <c r="D352" t="s">
        <v>2743</v>
      </c>
      <c r="E352">
        <v>26</v>
      </c>
      <c r="F352">
        <v>3161</v>
      </c>
      <c r="G352">
        <v>50000</v>
      </c>
      <c r="H352" t="s">
        <v>2863</v>
      </c>
      <c r="I352">
        <v>0</v>
      </c>
      <c r="J352">
        <v>43722</v>
      </c>
    </row>
    <row r="353" spans="1:10" ht="12.75" hidden="1" customHeight="1">
      <c r="A353">
        <v>422150100</v>
      </c>
      <c r="B353" t="s">
        <v>2756</v>
      </c>
      <c r="C353">
        <v>533</v>
      </c>
      <c r="D353" t="s">
        <v>2743</v>
      </c>
      <c r="E353">
        <v>26</v>
      </c>
      <c r="F353">
        <v>6031</v>
      </c>
      <c r="G353">
        <v>10000</v>
      </c>
      <c r="H353" t="s">
        <v>2864</v>
      </c>
      <c r="I353">
        <v>0</v>
      </c>
      <c r="J353">
        <v>43722</v>
      </c>
    </row>
    <row r="354" spans="1:10" ht="12.75" hidden="1" customHeight="1">
      <c r="A354">
        <v>422150100</v>
      </c>
      <c r="B354" t="s">
        <v>2756</v>
      </c>
      <c r="C354">
        <v>533</v>
      </c>
      <c r="D354" t="s">
        <v>2743</v>
      </c>
      <c r="E354">
        <v>26</v>
      </c>
      <c r="F354">
        <v>47896</v>
      </c>
      <c r="G354">
        <v>4000</v>
      </c>
      <c r="H354" t="s">
        <v>2863</v>
      </c>
      <c r="I354">
        <v>0</v>
      </c>
      <c r="J354">
        <v>43722</v>
      </c>
    </row>
    <row r="355" spans="1:10" ht="12.75" hidden="1" customHeight="1">
      <c r="A355">
        <v>422150100</v>
      </c>
      <c r="B355" t="s">
        <v>2756</v>
      </c>
      <c r="C355">
        <v>533</v>
      </c>
      <c r="D355" t="s">
        <v>2743</v>
      </c>
      <c r="E355">
        <v>26</v>
      </c>
      <c r="F355">
        <v>506</v>
      </c>
      <c r="G355">
        <v>20000</v>
      </c>
      <c r="H355" t="s">
        <v>2630</v>
      </c>
      <c r="I355">
        <v>0</v>
      </c>
      <c r="J355">
        <v>43724</v>
      </c>
    </row>
    <row r="356" spans="1:10" ht="12.75" hidden="1" customHeight="1">
      <c r="A356">
        <v>422150100</v>
      </c>
      <c r="B356" t="s">
        <v>2756</v>
      </c>
      <c r="C356">
        <v>533</v>
      </c>
      <c r="D356" t="s">
        <v>2743</v>
      </c>
      <c r="E356">
        <v>26</v>
      </c>
      <c r="F356">
        <v>6035</v>
      </c>
      <c r="G356">
        <v>10000</v>
      </c>
      <c r="H356" t="s">
        <v>2865</v>
      </c>
      <c r="I356">
        <v>0</v>
      </c>
      <c r="J356">
        <v>43724</v>
      </c>
    </row>
    <row r="357" spans="1:10" ht="12.75" hidden="1" customHeight="1">
      <c r="A357">
        <v>422150100</v>
      </c>
      <c r="B357" t="s">
        <v>2756</v>
      </c>
      <c r="C357">
        <v>533</v>
      </c>
      <c r="D357" t="s">
        <v>2743</v>
      </c>
      <c r="E357">
        <v>26</v>
      </c>
      <c r="F357">
        <v>190919</v>
      </c>
      <c r="G357">
        <v>80000</v>
      </c>
      <c r="H357" t="s">
        <v>2866</v>
      </c>
      <c r="I357">
        <v>0</v>
      </c>
      <c r="J357">
        <v>43727</v>
      </c>
    </row>
    <row r="358" spans="1:10" ht="12.75" hidden="1" customHeight="1">
      <c r="A358">
        <v>422150100</v>
      </c>
      <c r="B358" t="s">
        <v>2756</v>
      </c>
      <c r="C358">
        <v>533</v>
      </c>
      <c r="D358" t="s">
        <v>2743</v>
      </c>
      <c r="E358">
        <v>26</v>
      </c>
      <c r="F358">
        <v>10030641637</v>
      </c>
      <c r="G358">
        <v>2400</v>
      </c>
      <c r="H358" t="s">
        <v>2867</v>
      </c>
      <c r="I358">
        <v>0</v>
      </c>
      <c r="J358">
        <v>43732</v>
      </c>
    </row>
    <row r="359" spans="1:10" ht="12.75" hidden="1" customHeight="1">
      <c r="A359">
        <v>422150100</v>
      </c>
      <c r="B359" t="s">
        <v>2756</v>
      </c>
      <c r="C359">
        <v>533</v>
      </c>
      <c r="D359" t="s">
        <v>2743</v>
      </c>
      <c r="E359">
        <v>26</v>
      </c>
      <c r="F359">
        <v>7887</v>
      </c>
      <c r="G359">
        <v>80000</v>
      </c>
      <c r="H359" t="s">
        <v>2868</v>
      </c>
      <c r="I359">
        <v>0</v>
      </c>
      <c r="J359">
        <v>43738</v>
      </c>
    </row>
    <row r="360" spans="1:10" ht="12.75" hidden="1" customHeight="1">
      <c r="A360">
        <v>422150100</v>
      </c>
      <c r="B360" t="s">
        <v>2756</v>
      </c>
      <c r="C360">
        <v>533</v>
      </c>
      <c r="D360" t="s">
        <v>2743</v>
      </c>
      <c r="E360">
        <v>26</v>
      </c>
      <c r="F360">
        <v>2728</v>
      </c>
      <c r="G360">
        <v>80000</v>
      </c>
      <c r="H360" t="s">
        <v>2869</v>
      </c>
      <c r="I360">
        <v>0</v>
      </c>
      <c r="J360">
        <v>43741</v>
      </c>
    </row>
    <row r="361" spans="1:10" ht="12.75" hidden="1" customHeight="1">
      <c r="A361">
        <v>422150100</v>
      </c>
      <c r="B361" t="s">
        <v>2756</v>
      </c>
      <c r="C361">
        <v>533</v>
      </c>
      <c r="D361" t="s">
        <v>2743</v>
      </c>
      <c r="E361">
        <v>26</v>
      </c>
      <c r="F361">
        <v>3071</v>
      </c>
      <c r="G361">
        <v>20000</v>
      </c>
      <c r="H361" t="s">
        <v>2870</v>
      </c>
      <c r="I361">
        <v>0</v>
      </c>
      <c r="J361">
        <v>43741</v>
      </c>
    </row>
    <row r="362" spans="1:10" ht="12.75" hidden="1" customHeight="1">
      <c r="A362">
        <v>422150100</v>
      </c>
      <c r="B362" t="s">
        <v>2756</v>
      </c>
      <c r="C362">
        <v>533</v>
      </c>
      <c r="D362" t="s">
        <v>2743</v>
      </c>
      <c r="E362">
        <v>26</v>
      </c>
      <c r="F362">
        <v>7398</v>
      </c>
      <c r="G362">
        <v>20000</v>
      </c>
      <c r="H362" t="s">
        <v>2870</v>
      </c>
      <c r="I362">
        <v>0</v>
      </c>
      <c r="J362">
        <v>43741</v>
      </c>
    </row>
    <row r="363" spans="1:10" ht="12.75" hidden="1" customHeight="1">
      <c r="A363">
        <v>422150100</v>
      </c>
      <c r="B363" t="s">
        <v>2756</v>
      </c>
      <c r="C363">
        <v>533</v>
      </c>
      <c r="D363" t="s">
        <v>2743</v>
      </c>
      <c r="E363">
        <v>26</v>
      </c>
      <c r="F363">
        <v>7667</v>
      </c>
      <c r="G363">
        <v>80000</v>
      </c>
      <c r="H363" t="s">
        <v>2871</v>
      </c>
      <c r="I363">
        <v>0</v>
      </c>
      <c r="J363">
        <v>43742</v>
      </c>
    </row>
    <row r="364" spans="1:10" ht="12.75" hidden="1" customHeight="1">
      <c r="A364">
        <v>422150100</v>
      </c>
      <c r="B364" t="s">
        <v>2756</v>
      </c>
      <c r="C364">
        <v>533</v>
      </c>
      <c r="D364" t="s">
        <v>2743</v>
      </c>
      <c r="E364">
        <v>26</v>
      </c>
      <c r="F364">
        <v>2214</v>
      </c>
      <c r="G364">
        <v>80000</v>
      </c>
      <c r="H364" t="s">
        <v>2872</v>
      </c>
      <c r="I364">
        <v>0</v>
      </c>
      <c r="J364">
        <v>43747</v>
      </c>
    </row>
    <row r="365" spans="1:10" ht="12.75" hidden="1" customHeight="1">
      <c r="A365">
        <v>422150100</v>
      </c>
      <c r="B365" t="s">
        <v>2756</v>
      </c>
      <c r="C365">
        <v>533</v>
      </c>
      <c r="D365" t="s">
        <v>2743</v>
      </c>
      <c r="E365">
        <v>26</v>
      </c>
      <c r="F365">
        <v>9869</v>
      </c>
      <c r="G365">
        <v>10000</v>
      </c>
      <c r="H365" t="s">
        <v>2845</v>
      </c>
      <c r="I365">
        <v>0</v>
      </c>
      <c r="J365">
        <v>43749</v>
      </c>
    </row>
    <row r="366" spans="1:10" ht="12.75" hidden="1" customHeight="1">
      <c r="A366">
        <v>422150100</v>
      </c>
      <c r="B366" t="s">
        <v>2756</v>
      </c>
      <c r="C366">
        <v>533</v>
      </c>
      <c r="D366" t="s">
        <v>2743</v>
      </c>
      <c r="E366">
        <v>26</v>
      </c>
      <c r="F366">
        <v>32052</v>
      </c>
      <c r="G366">
        <v>2400</v>
      </c>
      <c r="H366" t="s">
        <v>2873</v>
      </c>
      <c r="I366">
        <v>0</v>
      </c>
      <c r="J366">
        <v>43749</v>
      </c>
    </row>
    <row r="367" spans="1:10" ht="12.75" hidden="1" customHeight="1">
      <c r="A367">
        <v>422150100</v>
      </c>
      <c r="B367" t="s">
        <v>2756</v>
      </c>
      <c r="C367">
        <v>533</v>
      </c>
      <c r="D367" t="s">
        <v>2743</v>
      </c>
      <c r="E367">
        <v>26</v>
      </c>
      <c r="F367">
        <v>10020001267</v>
      </c>
      <c r="G367">
        <v>50000</v>
      </c>
      <c r="H367" t="s">
        <v>2874</v>
      </c>
      <c r="I367">
        <v>0</v>
      </c>
      <c r="J367">
        <v>43749</v>
      </c>
    </row>
    <row r="368" spans="1:10" ht="12.75" hidden="1" customHeight="1">
      <c r="A368">
        <v>422150100</v>
      </c>
      <c r="B368" t="s">
        <v>2756</v>
      </c>
      <c r="C368">
        <v>533</v>
      </c>
      <c r="D368" t="s">
        <v>2743</v>
      </c>
      <c r="E368">
        <v>26</v>
      </c>
      <c r="F368">
        <v>5818</v>
      </c>
      <c r="G368">
        <v>80000</v>
      </c>
      <c r="H368" t="s">
        <v>2875</v>
      </c>
      <c r="I368">
        <v>0</v>
      </c>
      <c r="J368">
        <v>43759</v>
      </c>
    </row>
    <row r="369" spans="1:10" ht="12.75" hidden="1" customHeight="1">
      <c r="A369">
        <v>422150100</v>
      </c>
      <c r="B369" t="s">
        <v>2756</v>
      </c>
      <c r="C369">
        <v>533</v>
      </c>
      <c r="D369" t="s">
        <v>2743</v>
      </c>
      <c r="E369">
        <v>26</v>
      </c>
      <c r="F369">
        <v>1944</v>
      </c>
      <c r="G369">
        <v>80000</v>
      </c>
      <c r="H369" t="s">
        <v>2876</v>
      </c>
      <c r="I369">
        <v>0</v>
      </c>
      <c r="J369">
        <v>43763</v>
      </c>
    </row>
    <row r="370" spans="1:10" ht="12.75" hidden="1" customHeight="1">
      <c r="A370">
        <v>422150100</v>
      </c>
      <c r="B370" t="s">
        <v>2756</v>
      </c>
      <c r="C370">
        <v>533</v>
      </c>
      <c r="D370" t="s">
        <v>2743</v>
      </c>
      <c r="E370">
        <v>26</v>
      </c>
      <c r="F370">
        <v>3062</v>
      </c>
      <c r="G370">
        <v>80000</v>
      </c>
      <c r="H370" t="s">
        <v>2877</v>
      </c>
      <c r="I370">
        <v>0</v>
      </c>
      <c r="J370">
        <v>43773</v>
      </c>
    </row>
    <row r="371" spans="1:10" ht="12.75" hidden="1" customHeight="1">
      <c r="A371">
        <v>422150100</v>
      </c>
      <c r="B371" t="s">
        <v>2756</v>
      </c>
      <c r="C371">
        <v>533</v>
      </c>
      <c r="D371" t="s">
        <v>2743</v>
      </c>
      <c r="E371">
        <v>26</v>
      </c>
      <c r="F371">
        <v>711</v>
      </c>
      <c r="G371">
        <v>80000</v>
      </c>
      <c r="H371" t="s">
        <v>2842</v>
      </c>
      <c r="I371">
        <v>0</v>
      </c>
      <c r="J371">
        <v>43776</v>
      </c>
    </row>
    <row r="372" spans="1:10" ht="12.75" hidden="1" customHeight="1">
      <c r="A372">
        <v>422150100</v>
      </c>
      <c r="B372" t="s">
        <v>2756</v>
      </c>
      <c r="C372">
        <v>533</v>
      </c>
      <c r="D372" t="s">
        <v>2743</v>
      </c>
      <c r="E372">
        <v>26</v>
      </c>
      <c r="F372">
        <v>77914</v>
      </c>
      <c r="G372">
        <v>2400</v>
      </c>
      <c r="H372" t="s">
        <v>2878</v>
      </c>
      <c r="I372">
        <v>0</v>
      </c>
      <c r="J372">
        <v>43776</v>
      </c>
    </row>
    <row r="373" spans="1:10" ht="12.75" hidden="1" customHeight="1">
      <c r="A373">
        <v>422150100</v>
      </c>
      <c r="B373" t="s">
        <v>2756</v>
      </c>
      <c r="C373">
        <v>533</v>
      </c>
      <c r="D373" t="s">
        <v>2743</v>
      </c>
      <c r="E373">
        <v>26</v>
      </c>
      <c r="F373">
        <v>2115869</v>
      </c>
      <c r="G373">
        <v>10000</v>
      </c>
      <c r="H373" t="s">
        <v>2845</v>
      </c>
      <c r="I373">
        <v>0</v>
      </c>
      <c r="J373">
        <v>43776</v>
      </c>
    </row>
    <row r="374" spans="1:10" ht="12.75" hidden="1" customHeight="1">
      <c r="A374">
        <v>422150100</v>
      </c>
      <c r="B374" t="s">
        <v>2756</v>
      </c>
      <c r="C374">
        <v>533</v>
      </c>
      <c r="D374" t="s">
        <v>2743</v>
      </c>
      <c r="E374">
        <v>26</v>
      </c>
      <c r="F374">
        <v>10020003199</v>
      </c>
      <c r="G374">
        <v>50000</v>
      </c>
      <c r="H374" t="s">
        <v>2879</v>
      </c>
      <c r="I374">
        <v>0</v>
      </c>
      <c r="J374">
        <v>43776</v>
      </c>
    </row>
    <row r="375" spans="1:10" ht="12.75" hidden="1" customHeight="1">
      <c r="A375">
        <v>422150100</v>
      </c>
      <c r="B375" t="s">
        <v>2756</v>
      </c>
      <c r="C375">
        <v>533</v>
      </c>
      <c r="D375" t="s">
        <v>2743</v>
      </c>
      <c r="E375">
        <v>26</v>
      </c>
      <c r="F375">
        <v>2733</v>
      </c>
      <c r="G375">
        <v>80000</v>
      </c>
      <c r="H375" t="s">
        <v>2880</v>
      </c>
      <c r="I375">
        <v>0</v>
      </c>
      <c r="J375">
        <v>43781</v>
      </c>
    </row>
    <row r="376" spans="1:10" ht="12.75" hidden="1" customHeight="1">
      <c r="A376">
        <v>422150100</v>
      </c>
      <c r="B376" t="s">
        <v>2756</v>
      </c>
      <c r="C376">
        <v>533</v>
      </c>
      <c r="D376" t="s">
        <v>2743</v>
      </c>
      <c r="E376">
        <v>26</v>
      </c>
      <c r="F376">
        <v>2945816</v>
      </c>
      <c r="G376">
        <v>40000</v>
      </c>
      <c r="H376" t="s">
        <v>2881</v>
      </c>
      <c r="I376">
        <v>0</v>
      </c>
      <c r="J376">
        <v>43783</v>
      </c>
    </row>
    <row r="377" spans="1:10" ht="12.75" hidden="1" customHeight="1">
      <c r="A377">
        <v>422150100</v>
      </c>
      <c r="B377" t="s">
        <v>2756</v>
      </c>
      <c r="C377">
        <v>533</v>
      </c>
      <c r="D377" t="s">
        <v>2743</v>
      </c>
      <c r="E377">
        <v>26</v>
      </c>
      <c r="F377">
        <v>175</v>
      </c>
      <c r="G377">
        <v>20000</v>
      </c>
      <c r="H377" t="s">
        <v>2882</v>
      </c>
      <c r="I377">
        <v>0</v>
      </c>
      <c r="J377">
        <v>43784</v>
      </c>
    </row>
    <row r="378" spans="1:10" ht="12.75" hidden="1" customHeight="1">
      <c r="A378">
        <v>422150100</v>
      </c>
      <c r="B378" t="s">
        <v>2756</v>
      </c>
      <c r="C378">
        <v>533</v>
      </c>
      <c r="D378" t="s">
        <v>2743</v>
      </c>
      <c r="E378">
        <v>26</v>
      </c>
      <c r="F378">
        <v>2366</v>
      </c>
      <c r="G378">
        <v>240000</v>
      </c>
      <c r="H378" t="s">
        <v>2883</v>
      </c>
      <c r="I378">
        <v>0</v>
      </c>
      <c r="J378">
        <v>43794</v>
      </c>
    </row>
    <row r="379" spans="1:10" ht="12.75" hidden="1" customHeight="1">
      <c r="A379">
        <v>422150100</v>
      </c>
      <c r="B379" t="s">
        <v>2756</v>
      </c>
      <c r="C379">
        <v>533</v>
      </c>
      <c r="D379" t="s">
        <v>2743</v>
      </c>
      <c r="E379">
        <v>26</v>
      </c>
      <c r="F379">
        <v>2511</v>
      </c>
      <c r="G379">
        <v>80000</v>
      </c>
      <c r="H379" t="s">
        <v>2884</v>
      </c>
      <c r="I379">
        <v>0</v>
      </c>
      <c r="J379">
        <v>43794</v>
      </c>
    </row>
    <row r="380" spans="1:10" ht="12.75" hidden="1" customHeight="1">
      <c r="A380">
        <v>422150100</v>
      </c>
      <c r="B380" t="s">
        <v>2756</v>
      </c>
      <c r="C380">
        <v>533</v>
      </c>
      <c r="D380" t="s">
        <v>2743</v>
      </c>
      <c r="E380">
        <v>26</v>
      </c>
      <c r="F380">
        <v>3278</v>
      </c>
      <c r="G380">
        <v>80000</v>
      </c>
      <c r="H380" t="s">
        <v>2885</v>
      </c>
      <c r="I380">
        <v>0</v>
      </c>
      <c r="J380">
        <v>43798</v>
      </c>
    </row>
    <row r="381" spans="1:10" ht="12.75" hidden="1" customHeight="1">
      <c r="A381">
        <v>422150100</v>
      </c>
      <c r="B381" t="s">
        <v>2756</v>
      </c>
      <c r="C381">
        <v>533</v>
      </c>
      <c r="D381" t="s">
        <v>2743</v>
      </c>
      <c r="E381">
        <v>26</v>
      </c>
      <c r="F381">
        <v>6043</v>
      </c>
      <c r="G381">
        <v>10000</v>
      </c>
      <c r="H381" t="s">
        <v>2886</v>
      </c>
      <c r="I381">
        <v>0</v>
      </c>
      <c r="J381">
        <v>43798</v>
      </c>
    </row>
    <row r="382" spans="1:10" ht="12.75" hidden="1" customHeight="1">
      <c r="A382">
        <v>422150100</v>
      </c>
      <c r="B382" t="s">
        <v>2756</v>
      </c>
      <c r="C382">
        <v>533</v>
      </c>
      <c r="D382" t="s">
        <v>2743</v>
      </c>
      <c r="E382">
        <v>26</v>
      </c>
      <c r="F382">
        <v>6505</v>
      </c>
      <c r="G382">
        <v>10000</v>
      </c>
      <c r="H382" t="s">
        <v>2887</v>
      </c>
      <c r="I382">
        <v>0</v>
      </c>
      <c r="J382">
        <v>43798</v>
      </c>
    </row>
    <row r="383" spans="1:10" ht="12.75" hidden="1" customHeight="1">
      <c r="A383">
        <v>422150100</v>
      </c>
      <c r="B383" t="s">
        <v>2756</v>
      </c>
      <c r="C383">
        <v>533</v>
      </c>
      <c r="D383" t="s">
        <v>2743</v>
      </c>
      <c r="E383">
        <v>26</v>
      </c>
      <c r="F383">
        <v>10070002942</v>
      </c>
      <c r="G383">
        <v>50000</v>
      </c>
      <c r="H383" t="s">
        <v>2888</v>
      </c>
      <c r="I383">
        <v>0</v>
      </c>
      <c r="J383">
        <v>43798</v>
      </c>
    </row>
    <row r="384" spans="1:10" ht="12.75" hidden="1" customHeight="1">
      <c r="A384">
        <v>422150100</v>
      </c>
      <c r="B384" t="s">
        <v>2756</v>
      </c>
      <c r="C384">
        <v>533</v>
      </c>
      <c r="D384" t="s">
        <v>2743</v>
      </c>
      <c r="E384">
        <v>26</v>
      </c>
      <c r="F384">
        <v>11300464997</v>
      </c>
      <c r="G384">
        <v>3600</v>
      </c>
      <c r="H384" t="s">
        <v>2889</v>
      </c>
      <c r="I384">
        <v>0</v>
      </c>
      <c r="J384">
        <v>43798</v>
      </c>
    </row>
    <row r="385" spans="1:10" ht="12.75" hidden="1" customHeight="1">
      <c r="A385">
        <v>422150100</v>
      </c>
      <c r="B385" t="s">
        <v>2756</v>
      </c>
      <c r="C385">
        <v>533</v>
      </c>
      <c r="D385" t="s">
        <v>2743</v>
      </c>
      <c r="E385">
        <v>26</v>
      </c>
      <c r="F385">
        <v>5858</v>
      </c>
      <c r="G385">
        <v>80000</v>
      </c>
      <c r="H385" t="s">
        <v>2890</v>
      </c>
      <c r="I385">
        <v>0</v>
      </c>
      <c r="J385">
        <v>43809</v>
      </c>
    </row>
    <row r="386" spans="1:10" ht="12.75" hidden="1" customHeight="1">
      <c r="A386">
        <v>422150100</v>
      </c>
      <c r="B386" t="s">
        <v>2756</v>
      </c>
      <c r="C386">
        <v>533</v>
      </c>
      <c r="D386" t="s">
        <v>2743</v>
      </c>
      <c r="E386">
        <v>26</v>
      </c>
      <c r="F386">
        <v>1652627</v>
      </c>
      <c r="G386">
        <v>80000</v>
      </c>
      <c r="H386" t="s">
        <v>2891</v>
      </c>
      <c r="I386">
        <v>0</v>
      </c>
      <c r="J386">
        <v>43809</v>
      </c>
    </row>
    <row r="387" spans="1:10" ht="12.75" hidden="1" customHeight="1">
      <c r="A387">
        <v>422150100</v>
      </c>
      <c r="B387" t="s">
        <v>2756</v>
      </c>
      <c r="C387">
        <v>533</v>
      </c>
      <c r="D387" t="s">
        <v>2743</v>
      </c>
      <c r="E387">
        <v>26</v>
      </c>
      <c r="F387">
        <v>8205</v>
      </c>
      <c r="G387">
        <v>80000</v>
      </c>
      <c r="H387" t="s">
        <v>2892</v>
      </c>
      <c r="I387">
        <v>0</v>
      </c>
      <c r="J387">
        <v>43812</v>
      </c>
    </row>
    <row r="388" spans="1:10" ht="12.75" hidden="1" customHeight="1">
      <c r="A388">
        <v>422150100</v>
      </c>
      <c r="B388" t="s">
        <v>2756</v>
      </c>
      <c r="C388">
        <v>533</v>
      </c>
      <c r="D388" t="s">
        <v>2743</v>
      </c>
      <c r="E388">
        <v>26</v>
      </c>
      <c r="F388">
        <v>131219</v>
      </c>
      <c r="G388">
        <v>25000</v>
      </c>
      <c r="H388" t="s">
        <v>2893</v>
      </c>
      <c r="I388">
        <v>0</v>
      </c>
      <c r="J388">
        <v>43815</v>
      </c>
    </row>
    <row r="389" spans="1:10" ht="12.75" hidden="1" customHeight="1">
      <c r="A389">
        <v>422150100</v>
      </c>
      <c r="B389" t="s">
        <v>2756</v>
      </c>
      <c r="C389">
        <v>533</v>
      </c>
      <c r="D389" t="s">
        <v>2743</v>
      </c>
      <c r="E389">
        <v>26</v>
      </c>
      <c r="F389">
        <v>2566</v>
      </c>
      <c r="G389">
        <v>10000</v>
      </c>
      <c r="H389" t="s">
        <v>2894</v>
      </c>
      <c r="I389">
        <v>0</v>
      </c>
      <c r="J389">
        <v>43818</v>
      </c>
    </row>
    <row r="390" spans="1:10" ht="12.75" hidden="1" customHeight="1">
      <c r="A390">
        <v>422150100</v>
      </c>
      <c r="B390" t="s">
        <v>2756</v>
      </c>
      <c r="C390">
        <v>533</v>
      </c>
      <c r="D390" t="s">
        <v>2743</v>
      </c>
      <c r="E390">
        <v>26</v>
      </c>
      <c r="F390">
        <v>231219</v>
      </c>
      <c r="G390">
        <v>20000</v>
      </c>
      <c r="H390" t="s">
        <v>2895</v>
      </c>
      <c r="I390">
        <v>0</v>
      </c>
      <c r="J390">
        <v>43825</v>
      </c>
    </row>
    <row r="391" spans="1:10" ht="12.75" hidden="1" customHeight="1">
      <c r="A391">
        <v>422150100</v>
      </c>
      <c r="B391" t="s">
        <v>2756</v>
      </c>
      <c r="C391">
        <v>533</v>
      </c>
      <c r="D391" t="s">
        <v>2743</v>
      </c>
      <c r="E391">
        <v>26</v>
      </c>
      <c r="F391">
        <v>6518</v>
      </c>
      <c r="G391">
        <v>80000</v>
      </c>
      <c r="H391" t="s">
        <v>2896</v>
      </c>
      <c r="I391">
        <v>0</v>
      </c>
      <c r="J391">
        <v>43826</v>
      </c>
    </row>
    <row r="392" spans="1:10" ht="12.75" hidden="1" customHeight="1">
      <c r="A392">
        <v>422150100</v>
      </c>
      <c r="B392" t="s">
        <v>2756</v>
      </c>
      <c r="C392">
        <v>533</v>
      </c>
      <c r="D392" t="s">
        <v>2743</v>
      </c>
      <c r="E392">
        <v>26</v>
      </c>
      <c r="F392">
        <v>301219</v>
      </c>
      <c r="G392">
        <v>80000</v>
      </c>
      <c r="H392" t="s">
        <v>2897</v>
      </c>
      <c r="I392">
        <v>0</v>
      </c>
      <c r="J392">
        <v>43829</v>
      </c>
    </row>
    <row r="393" spans="1:10" ht="12.75" hidden="1" customHeight="1">
      <c r="A393">
        <v>422150400</v>
      </c>
      <c r="B393" t="s">
        <v>2898</v>
      </c>
      <c r="C393">
        <v>746</v>
      </c>
      <c r="D393" t="s">
        <v>2754</v>
      </c>
      <c r="E393">
        <v>26</v>
      </c>
      <c r="F393">
        <v>1068703</v>
      </c>
      <c r="G393">
        <v>5000</v>
      </c>
      <c r="H393" t="s">
        <v>2899</v>
      </c>
      <c r="I393">
        <v>0</v>
      </c>
      <c r="J393">
        <v>43602</v>
      </c>
    </row>
    <row r="394" spans="1:10" ht="12.75" hidden="1" customHeight="1">
      <c r="A394">
        <v>422150400</v>
      </c>
      <c r="B394" t="s">
        <v>2898</v>
      </c>
      <c r="C394">
        <v>746</v>
      </c>
      <c r="D394" t="s">
        <v>2754</v>
      </c>
      <c r="E394">
        <v>26</v>
      </c>
      <c r="F394">
        <v>1242917</v>
      </c>
      <c r="G394">
        <v>5000</v>
      </c>
      <c r="H394" t="s">
        <v>2899</v>
      </c>
      <c r="I394">
        <v>0</v>
      </c>
      <c r="J394">
        <v>43602</v>
      </c>
    </row>
    <row r="395" spans="1:10" ht="12.75" hidden="1" customHeight="1">
      <c r="A395">
        <v>422150400</v>
      </c>
      <c r="B395" t="s">
        <v>2898</v>
      </c>
      <c r="C395">
        <v>746</v>
      </c>
      <c r="D395" t="s">
        <v>2754</v>
      </c>
      <c r="E395">
        <v>26</v>
      </c>
      <c r="F395">
        <v>1168203</v>
      </c>
      <c r="G395">
        <v>5000</v>
      </c>
      <c r="H395" t="s">
        <v>2900</v>
      </c>
      <c r="I395">
        <v>0</v>
      </c>
      <c r="J395">
        <v>43636</v>
      </c>
    </row>
    <row r="396" spans="1:10" ht="12.75" hidden="1" customHeight="1">
      <c r="A396">
        <v>422150400</v>
      </c>
      <c r="B396" t="s">
        <v>2898</v>
      </c>
      <c r="C396">
        <v>746</v>
      </c>
      <c r="D396" t="s">
        <v>2754</v>
      </c>
      <c r="E396">
        <v>26</v>
      </c>
      <c r="F396">
        <v>1353519</v>
      </c>
      <c r="G396">
        <v>5000</v>
      </c>
      <c r="H396" t="s">
        <v>2900</v>
      </c>
      <c r="I396">
        <v>0</v>
      </c>
      <c r="J396">
        <v>43636</v>
      </c>
    </row>
    <row r="397" spans="1:10" ht="12.75" hidden="1" customHeight="1">
      <c r="A397">
        <v>422150400</v>
      </c>
      <c r="B397" t="s">
        <v>2898</v>
      </c>
      <c r="C397">
        <v>746</v>
      </c>
      <c r="D397" t="s">
        <v>2754</v>
      </c>
      <c r="E397">
        <v>26</v>
      </c>
      <c r="F397">
        <v>1519476</v>
      </c>
      <c r="G397">
        <v>5000</v>
      </c>
      <c r="H397" t="s">
        <v>2901</v>
      </c>
      <c r="I397">
        <v>0</v>
      </c>
      <c r="J397">
        <v>43782</v>
      </c>
    </row>
    <row r="398" spans="1:10" ht="12.75" hidden="1" customHeight="1">
      <c r="A398">
        <v>422150400</v>
      </c>
      <c r="B398" t="s">
        <v>2898</v>
      </c>
      <c r="C398">
        <v>746</v>
      </c>
      <c r="D398" t="s">
        <v>2754</v>
      </c>
      <c r="E398">
        <v>26</v>
      </c>
      <c r="F398">
        <v>1745116</v>
      </c>
      <c r="G398">
        <v>5000</v>
      </c>
      <c r="H398" t="s">
        <v>2901</v>
      </c>
      <c r="I398">
        <v>0</v>
      </c>
      <c r="J398">
        <v>43782</v>
      </c>
    </row>
    <row r="399" spans="1:10" ht="12.75" hidden="1" customHeight="1">
      <c r="A399">
        <v>422150400</v>
      </c>
      <c r="B399" t="s">
        <v>2898</v>
      </c>
      <c r="C399">
        <v>746</v>
      </c>
      <c r="D399" t="s">
        <v>2754</v>
      </c>
      <c r="E399">
        <v>26</v>
      </c>
      <c r="F399">
        <v>1874441</v>
      </c>
      <c r="G399">
        <v>5000</v>
      </c>
      <c r="H399" t="s">
        <v>2900</v>
      </c>
      <c r="I399">
        <v>0</v>
      </c>
      <c r="J399">
        <v>43825</v>
      </c>
    </row>
    <row r="400" spans="1:10">
      <c r="A400">
        <v>422150500</v>
      </c>
      <c r="B400" s="71" t="s">
        <v>2576</v>
      </c>
      <c r="C400">
        <v>592</v>
      </c>
      <c r="D400" t="s">
        <v>2577</v>
      </c>
      <c r="E400">
        <v>26</v>
      </c>
      <c r="F400">
        <v>108389</v>
      </c>
      <c r="G400" s="23">
        <v>25000</v>
      </c>
      <c r="H400" t="s">
        <v>2578</v>
      </c>
      <c r="I400">
        <v>0</v>
      </c>
      <c r="J400" s="54">
        <v>43567</v>
      </c>
    </row>
    <row r="401" spans="1:10">
      <c r="A401">
        <v>422150500</v>
      </c>
      <c r="B401" s="71" t="s">
        <v>2576</v>
      </c>
      <c r="C401">
        <v>592</v>
      </c>
      <c r="D401" t="s">
        <v>2577</v>
      </c>
      <c r="E401">
        <v>26</v>
      </c>
      <c r="F401">
        <v>120250</v>
      </c>
      <c r="G401" s="23">
        <v>20000</v>
      </c>
      <c r="H401" t="s">
        <v>2579</v>
      </c>
      <c r="I401">
        <v>0</v>
      </c>
      <c r="J401" s="54">
        <v>43588</v>
      </c>
    </row>
    <row r="402" spans="1:10">
      <c r="A402">
        <v>422150500</v>
      </c>
      <c r="B402" s="71" t="s">
        <v>2576</v>
      </c>
      <c r="C402">
        <v>592</v>
      </c>
      <c r="D402" t="s">
        <v>2577</v>
      </c>
      <c r="E402">
        <v>26</v>
      </c>
      <c r="F402">
        <v>120251</v>
      </c>
      <c r="G402" s="23">
        <v>50000</v>
      </c>
      <c r="H402" t="s">
        <v>2580</v>
      </c>
      <c r="I402">
        <v>0</v>
      </c>
      <c r="J402" s="54">
        <v>43588</v>
      </c>
    </row>
    <row r="403" spans="1:10">
      <c r="A403">
        <v>422150500</v>
      </c>
      <c r="B403" s="71" t="s">
        <v>2576</v>
      </c>
      <c r="C403">
        <v>592</v>
      </c>
      <c r="D403" t="s">
        <v>2577</v>
      </c>
      <c r="E403">
        <v>26</v>
      </c>
      <c r="F403">
        <v>70140004844</v>
      </c>
      <c r="G403" s="23">
        <v>10000</v>
      </c>
      <c r="H403" t="s">
        <v>2581</v>
      </c>
      <c r="I403">
        <v>0</v>
      </c>
      <c r="J403" s="54">
        <v>43608</v>
      </c>
    </row>
    <row r="404" spans="1:10">
      <c r="A404">
        <v>422150500</v>
      </c>
      <c r="B404" s="71" t="s">
        <v>2576</v>
      </c>
      <c r="C404">
        <v>592</v>
      </c>
      <c r="D404" t="s">
        <v>2577</v>
      </c>
      <c r="E404">
        <v>26</v>
      </c>
      <c r="F404">
        <v>686233</v>
      </c>
      <c r="G404" s="23">
        <v>20000</v>
      </c>
      <c r="H404" t="s">
        <v>2582</v>
      </c>
      <c r="I404">
        <v>0</v>
      </c>
      <c r="J404" s="54">
        <v>43613</v>
      </c>
    </row>
    <row r="405" spans="1:10">
      <c r="A405">
        <v>422150500</v>
      </c>
      <c r="B405" s="71" t="s">
        <v>2576</v>
      </c>
      <c r="C405">
        <v>592</v>
      </c>
      <c r="D405" t="s">
        <v>2577</v>
      </c>
      <c r="E405">
        <v>26</v>
      </c>
      <c r="F405">
        <v>122068</v>
      </c>
      <c r="G405" s="23">
        <v>40000</v>
      </c>
      <c r="H405" t="s">
        <v>2583</v>
      </c>
      <c r="I405">
        <v>0</v>
      </c>
      <c r="J405" s="54">
        <v>43628</v>
      </c>
    </row>
    <row r="406" spans="1:10" ht="12.75" hidden="1" customHeight="1">
      <c r="A406">
        <v>422150500</v>
      </c>
      <c r="B406" t="s">
        <v>2576</v>
      </c>
      <c r="C406">
        <v>746</v>
      </c>
      <c r="D406" t="s">
        <v>2754</v>
      </c>
      <c r="E406">
        <v>26</v>
      </c>
      <c r="F406">
        <v>857000</v>
      </c>
      <c r="G406">
        <v>5000</v>
      </c>
      <c r="H406" t="s">
        <v>2902</v>
      </c>
      <c r="I406">
        <v>0</v>
      </c>
      <c r="J406">
        <v>43490</v>
      </c>
    </row>
    <row r="407" spans="1:10" ht="12.75" hidden="1" customHeight="1">
      <c r="A407">
        <v>422150500</v>
      </c>
      <c r="B407" t="s">
        <v>2576</v>
      </c>
      <c r="C407">
        <v>746</v>
      </c>
      <c r="D407" t="s">
        <v>2754</v>
      </c>
      <c r="E407">
        <v>26</v>
      </c>
      <c r="F407">
        <v>1377332</v>
      </c>
      <c r="G407">
        <v>5000</v>
      </c>
      <c r="H407" t="s">
        <v>2902</v>
      </c>
      <c r="I407">
        <v>0</v>
      </c>
      <c r="J407">
        <v>43490</v>
      </c>
    </row>
    <row r="408" spans="1:10" ht="12.75" hidden="1" customHeight="1">
      <c r="A408">
        <v>422150500</v>
      </c>
      <c r="B408" t="s">
        <v>2576</v>
      </c>
      <c r="C408">
        <v>746</v>
      </c>
      <c r="D408" t="s">
        <v>2754</v>
      </c>
      <c r="E408">
        <v>26</v>
      </c>
      <c r="F408">
        <v>1591366</v>
      </c>
      <c r="G408">
        <v>5000</v>
      </c>
      <c r="H408" t="s">
        <v>2902</v>
      </c>
      <c r="I408">
        <v>0</v>
      </c>
      <c r="J408">
        <v>43490</v>
      </c>
    </row>
    <row r="409" spans="1:10" ht="12.75" hidden="1" customHeight="1">
      <c r="A409">
        <v>422150500</v>
      </c>
      <c r="B409" t="s">
        <v>2576</v>
      </c>
      <c r="C409">
        <v>746</v>
      </c>
      <c r="D409" t="s">
        <v>2754</v>
      </c>
      <c r="E409">
        <v>26</v>
      </c>
      <c r="F409">
        <v>1592331</v>
      </c>
      <c r="G409">
        <v>5000</v>
      </c>
      <c r="H409" t="s">
        <v>2903</v>
      </c>
      <c r="I409">
        <v>0</v>
      </c>
      <c r="J409">
        <v>43490</v>
      </c>
    </row>
    <row r="410" spans="1:10" ht="12.75" hidden="1" customHeight="1">
      <c r="A410">
        <v>422150500</v>
      </c>
      <c r="B410" t="s">
        <v>2576</v>
      </c>
      <c r="C410">
        <v>746</v>
      </c>
      <c r="D410" t="s">
        <v>2754</v>
      </c>
      <c r="E410">
        <v>26</v>
      </c>
      <c r="F410">
        <v>2259605</v>
      </c>
      <c r="G410">
        <v>5000</v>
      </c>
      <c r="H410" t="s">
        <v>2904</v>
      </c>
      <c r="I410">
        <v>0</v>
      </c>
      <c r="J410">
        <v>43490</v>
      </c>
    </row>
    <row r="411" spans="1:10" ht="12.75" hidden="1" customHeight="1">
      <c r="A411">
        <v>422150500</v>
      </c>
      <c r="B411" t="s">
        <v>2576</v>
      </c>
      <c r="C411">
        <v>746</v>
      </c>
      <c r="D411" t="s">
        <v>2754</v>
      </c>
      <c r="E411">
        <v>26</v>
      </c>
      <c r="F411">
        <v>2450038</v>
      </c>
      <c r="G411">
        <v>5000</v>
      </c>
      <c r="H411" t="s">
        <v>2902</v>
      </c>
      <c r="I411">
        <v>0</v>
      </c>
      <c r="J411">
        <v>43490</v>
      </c>
    </row>
    <row r="412" spans="1:10" ht="12.75" hidden="1" customHeight="1">
      <c r="A412">
        <v>422150500</v>
      </c>
      <c r="B412" t="s">
        <v>2576</v>
      </c>
      <c r="C412">
        <v>746</v>
      </c>
      <c r="D412" t="s">
        <v>2754</v>
      </c>
      <c r="E412">
        <v>26</v>
      </c>
      <c r="F412">
        <v>2841557</v>
      </c>
      <c r="G412">
        <v>5000</v>
      </c>
      <c r="H412" t="s">
        <v>2902</v>
      </c>
      <c r="I412">
        <v>0</v>
      </c>
      <c r="J412">
        <v>43490</v>
      </c>
    </row>
    <row r="413" spans="1:10" ht="12.75" hidden="1" customHeight="1">
      <c r="A413">
        <v>422150500</v>
      </c>
      <c r="B413" t="s">
        <v>2576</v>
      </c>
      <c r="C413">
        <v>746</v>
      </c>
      <c r="D413" t="s">
        <v>2754</v>
      </c>
      <c r="E413">
        <v>26</v>
      </c>
      <c r="F413">
        <v>1107383</v>
      </c>
      <c r="G413">
        <v>5000</v>
      </c>
      <c r="H413" t="s">
        <v>2905</v>
      </c>
      <c r="I413">
        <v>0</v>
      </c>
      <c r="J413">
        <v>43511</v>
      </c>
    </row>
    <row r="414" spans="1:10" ht="12.75" hidden="1" customHeight="1">
      <c r="A414">
        <v>422150500</v>
      </c>
      <c r="B414" t="s">
        <v>2576</v>
      </c>
      <c r="C414">
        <v>746</v>
      </c>
      <c r="D414" t="s">
        <v>2754</v>
      </c>
      <c r="E414">
        <v>26</v>
      </c>
      <c r="F414">
        <v>1625071</v>
      </c>
      <c r="G414">
        <v>5000</v>
      </c>
      <c r="H414" t="s">
        <v>2905</v>
      </c>
      <c r="I414">
        <v>0</v>
      </c>
      <c r="J414">
        <v>43511</v>
      </c>
    </row>
    <row r="415" spans="1:10" ht="12.75" hidden="1" customHeight="1">
      <c r="A415">
        <v>422150500</v>
      </c>
      <c r="B415" t="s">
        <v>2576</v>
      </c>
      <c r="C415">
        <v>746</v>
      </c>
      <c r="D415" t="s">
        <v>2754</v>
      </c>
      <c r="E415">
        <v>26</v>
      </c>
      <c r="F415">
        <v>1453593</v>
      </c>
      <c r="G415">
        <v>5000</v>
      </c>
      <c r="H415" t="s">
        <v>2906</v>
      </c>
      <c r="I415">
        <v>0</v>
      </c>
      <c r="J415">
        <v>43522</v>
      </c>
    </row>
    <row r="416" spans="1:10" ht="12.75" hidden="1" customHeight="1">
      <c r="A416">
        <v>422150500</v>
      </c>
      <c r="B416" t="s">
        <v>2576</v>
      </c>
      <c r="C416">
        <v>746</v>
      </c>
      <c r="D416" t="s">
        <v>2754</v>
      </c>
      <c r="E416">
        <v>26</v>
      </c>
      <c r="F416">
        <v>1641152</v>
      </c>
      <c r="G416">
        <v>5000</v>
      </c>
      <c r="H416" t="s">
        <v>2907</v>
      </c>
      <c r="I416">
        <v>0</v>
      </c>
      <c r="J416">
        <v>43522</v>
      </c>
    </row>
    <row r="417" spans="1:10" ht="12.75" hidden="1" customHeight="1">
      <c r="A417">
        <v>422150500</v>
      </c>
      <c r="B417" t="s">
        <v>2576</v>
      </c>
      <c r="C417">
        <v>746</v>
      </c>
      <c r="D417" t="s">
        <v>2754</v>
      </c>
      <c r="E417">
        <v>26</v>
      </c>
      <c r="F417">
        <v>1477917</v>
      </c>
      <c r="G417">
        <v>5000</v>
      </c>
      <c r="H417" t="s">
        <v>2908</v>
      </c>
      <c r="I417">
        <v>0</v>
      </c>
      <c r="J417">
        <v>43535</v>
      </c>
    </row>
    <row r="418" spans="1:10" ht="12.75" hidden="1" customHeight="1">
      <c r="A418">
        <v>422150500</v>
      </c>
      <c r="B418" t="s">
        <v>2576</v>
      </c>
      <c r="C418">
        <v>746</v>
      </c>
      <c r="D418" t="s">
        <v>2754</v>
      </c>
      <c r="E418">
        <v>26</v>
      </c>
      <c r="F418">
        <v>1664075</v>
      </c>
      <c r="G418">
        <v>5000</v>
      </c>
      <c r="H418" t="s">
        <v>2909</v>
      </c>
      <c r="I418">
        <v>0</v>
      </c>
      <c r="J418">
        <v>43535</v>
      </c>
    </row>
    <row r="419" spans="1:10" ht="12.75" hidden="1" customHeight="1">
      <c r="A419">
        <v>422150500</v>
      </c>
      <c r="B419" t="s">
        <v>2576</v>
      </c>
      <c r="C419">
        <v>746</v>
      </c>
      <c r="D419" t="s">
        <v>2754</v>
      </c>
      <c r="E419">
        <v>26</v>
      </c>
      <c r="F419">
        <v>1491456</v>
      </c>
      <c r="G419">
        <v>5000</v>
      </c>
      <c r="H419" t="s">
        <v>2910</v>
      </c>
      <c r="I419">
        <v>0</v>
      </c>
      <c r="J419">
        <v>43554</v>
      </c>
    </row>
    <row r="420" spans="1:10" ht="12.75" hidden="1" customHeight="1">
      <c r="A420">
        <v>422150500</v>
      </c>
      <c r="B420" t="s">
        <v>2576</v>
      </c>
      <c r="C420">
        <v>746</v>
      </c>
      <c r="D420" t="s">
        <v>2754</v>
      </c>
      <c r="E420">
        <v>26</v>
      </c>
      <c r="F420">
        <v>1676512</v>
      </c>
      <c r="G420">
        <v>5000</v>
      </c>
      <c r="H420" t="s">
        <v>2911</v>
      </c>
      <c r="I420">
        <v>0</v>
      </c>
      <c r="J420">
        <v>43554</v>
      </c>
    </row>
    <row r="421" spans="1:10" ht="12.75" hidden="1" customHeight="1">
      <c r="A421">
        <v>422150500</v>
      </c>
      <c r="B421" t="s">
        <v>2576</v>
      </c>
      <c r="C421">
        <v>746</v>
      </c>
      <c r="D421" t="s">
        <v>2754</v>
      </c>
      <c r="E421">
        <v>26</v>
      </c>
      <c r="F421">
        <v>1009356</v>
      </c>
      <c r="G421">
        <v>5000</v>
      </c>
      <c r="H421" t="s">
        <v>2912</v>
      </c>
      <c r="I421">
        <v>0</v>
      </c>
      <c r="J421">
        <v>43571</v>
      </c>
    </row>
    <row r="422" spans="1:10" ht="12.75" hidden="1" customHeight="1">
      <c r="A422">
        <v>422150500</v>
      </c>
      <c r="B422" t="s">
        <v>2576</v>
      </c>
      <c r="C422">
        <v>746</v>
      </c>
      <c r="D422" t="s">
        <v>2754</v>
      </c>
      <c r="E422">
        <v>26</v>
      </c>
      <c r="F422">
        <v>1527245</v>
      </c>
      <c r="G422">
        <v>5000</v>
      </c>
      <c r="H422" t="s">
        <v>2912</v>
      </c>
      <c r="I422">
        <v>0</v>
      </c>
      <c r="J422">
        <v>43571</v>
      </c>
    </row>
    <row r="423" spans="1:10" ht="12.75" hidden="1" customHeight="1">
      <c r="A423">
        <v>422150500</v>
      </c>
      <c r="B423" t="s">
        <v>2576</v>
      </c>
      <c r="C423">
        <v>746</v>
      </c>
      <c r="D423" t="s">
        <v>2754</v>
      </c>
      <c r="E423">
        <v>26</v>
      </c>
      <c r="F423">
        <v>1191970</v>
      </c>
      <c r="G423">
        <v>5000</v>
      </c>
      <c r="H423" t="s">
        <v>2912</v>
      </c>
      <c r="I423">
        <v>0</v>
      </c>
      <c r="J423">
        <v>43579</v>
      </c>
    </row>
    <row r="424" spans="1:10" ht="12.75" hidden="1" customHeight="1">
      <c r="A424">
        <v>422150500</v>
      </c>
      <c r="B424" t="s">
        <v>2576</v>
      </c>
      <c r="C424">
        <v>746</v>
      </c>
      <c r="D424" t="s">
        <v>2754</v>
      </c>
      <c r="E424">
        <v>26</v>
      </c>
      <c r="F424">
        <v>1695207</v>
      </c>
      <c r="G424">
        <v>5000</v>
      </c>
      <c r="H424" t="s">
        <v>2912</v>
      </c>
      <c r="I424">
        <v>0</v>
      </c>
      <c r="J424">
        <v>43579</v>
      </c>
    </row>
    <row r="425" spans="1:10" ht="12.75" hidden="1" customHeight="1">
      <c r="A425">
        <v>422150500</v>
      </c>
      <c r="B425" t="s">
        <v>2576</v>
      </c>
      <c r="C425">
        <v>1708</v>
      </c>
      <c r="D425" t="s">
        <v>2913</v>
      </c>
      <c r="E425">
        <v>26</v>
      </c>
      <c r="F425">
        <v>1455915</v>
      </c>
      <c r="G425">
        <v>5000</v>
      </c>
      <c r="H425" t="s">
        <v>2912</v>
      </c>
      <c r="I425">
        <v>0</v>
      </c>
      <c r="J425">
        <v>43752</v>
      </c>
    </row>
    <row r="426" spans="1:10" ht="12.75" hidden="1" customHeight="1">
      <c r="A426">
        <v>422150500</v>
      </c>
      <c r="B426" t="s">
        <v>2576</v>
      </c>
      <c r="C426">
        <v>1708</v>
      </c>
      <c r="D426" t="s">
        <v>2913</v>
      </c>
      <c r="E426">
        <v>26</v>
      </c>
      <c r="F426">
        <v>1665379</v>
      </c>
      <c r="G426">
        <v>5000</v>
      </c>
      <c r="H426" t="s">
        <v>2912</v>
      </c>
      <c r="I426">
        <v>0</v>
      </c>
      <c r="J426">
        <v>43752</v>
      </c>
    </row>
    <row r="427" spans="1:10" ht="12.75" hidden="1" customHeight="1">
      <c r="A427">
        <v>422150500</v>
      </c>
      <c r="B427" t="s">
        <v>2576</v>
      </c>
      <c r="C427">
        <v>1708</v>
      </c>
      <c r="D427" t="s">
        <v>2913</v>
      </c>
      <c r="E427">
        <v>26</v>
      </c>
      <c r="F427">
        <v>1623048</v>
      </c>
      <c r="G427">
        <v>5000</v>
      </c>
      <c r="H427" t="s">
        <v>2900</v>
      </c>
      <c r="I427">
        <v>0</v>
      </c>
      <c r="J427">
        <v>43826</v>
      </c>
    </row>
    <row r="428" spans="1:10" ht="12.75" hidden="1" customHeight="1">
      <c r="A428">
        <v>422150500</v>
      </c>
      <c r="B428" t="s">
        <v>2576</v>
      </c>
      <c r="C428">
        <v>1708</v>
      </c>
      <c r="D428" t="s">
        <v>2913</v>
      </c>
      <c r="E428">
        <v>26</v>
      </c>
      <c r="F428">
        <v>1871436</v>
      </c>
      <c r="G428">
        <v>5000</v>
      </c>
      <c r="H428" t="s">
        <v>2900</v>
      </c>
      <c r="I428">
        <v>0</v>
      </c>
      <c r="J428">
        <v>43826</v>
      </c>
    </row>
    <row r="429" spans="1:10" ht="12.75" hidden="1" customHeight="1">
      <c r="A429">
        <v>422150500</v>
      </c>
      <c r="B429" t="s">
        <v>2576</v>
      </c>
      <c r="C429">
        <v>1708</v>
      </c>
      <c r="D429" t="s">
        <v>2913</v>
      </c>
      <c r="E429">
        <v>26</v>
      </c>
      <c r="F429">
        <v>1206</v>
      </c>
      <c r="G429">
        <v>5000</v>
      </c>
      <c r="H429" t="s">
        <v>2914</v>
      </c>
      <c r="I429">
        <v>0</v>
      </c>
      <c r="J429">
        <v>43830</v>
      </c>
    </row>
    <row r="430" spans="1:10" ht="12.75" hidden="1" customHeight="1">
      <c r="A430">
        <v>422150500</v>
      </c>
      <c r="B430" t="s">
        <v>2576</v>
      </c>
      <c r="C430">
        <v>1708</v>
      </c>
      <c r="D430" t="s">
        <v>2913</v>
      </c>
      <c r="E430">
        <v>26</v>
      </c>
      <c r="F430">
        <v>8315</v>
      </c>
      <c r="G430">
        <v>5000</v>
      </c>
      <c r="H430" t="s">
        <v>2914</v>
      </c>
      <c r="I430">
        <v>0</v>
      </c>
      <c r="J430">
        <v>43830</v>
      </c>
    </row>
    <row r="431" spans="1:10" ht="12.75" hidden="1" customHeight="1">
      <c r="A431">
        <v>422150500</v>
      </c>
      <c r="B431" t="s">
        <v>2576</v>
      </c>
      <c r="C431">
        <v>1708</v>
      </c>
      <c r="D431" t="s">
        <v>2913</v>
      </c>
      <c r="E431">
        <v>26</v>
      </c>
      <c r="F431">
        <v>2636858</v>
      </c>
      <c r="G431">
        <v>5000</v>
      </c>
      <c r="H431" t="s">
        <v>2915</v>
      </c>
      <c r="I431">
        <v>0</v>
      </c>
      <c r="J431">
        <v>43830</v>
      </c>
    </row>
    <row r="432" spans="1:10" ht="12.75" hidden="1" customHeight="1">
      <c r="A432">
        <v>422150500</v>
      </c>
      <c r="B432" t="s">
        <v>2576</v>
      </c>
      <c r="C432">
        <v>1708</v>
      </c>
      <c r="D432" t="s">
        <v>2913</v>
      </c>
      <c r="E432">
        <v>26</v>
      </c>
      <c r="F432">
        <v>3642131</v>
      </c>
      <c r="G432">
        <v>5000</v>
      </c>
      <c r="H432" t="s">
        <v>2915</v>
      </c>
      <c r="I432">
        <v>0</v>
      </c>
      <c r="J432">
        <v>43830</v>
      </c>
    </row>
    <row r="433" spans="1:10">
      <c r="A433">
        <v>422160300</v>
      </c>
      <c r="B433" s="71" t="s">
        <v>2584</v>
      </c>
      <c r="C433">
        <v>978</v>
      </c>
      <c r="D433" t="s">
        <v>2585</v>
      </c>
      <c r="E433">
        <v>26</v>
      </c>
      <c r="F433">
        <v>2450</v>
      </c>
      <c r="G433" s="23">
        <v>15000</v>
      </c>
      <c r="H433" t="s">
        <v>2586</v>
      </c>
      <c r="I433">
        <v>0</v>
      </c>
      <c r="J433" s="54">
        <v>43488</v>
      </c>
    </row>
    <row r="434" spans="1:10">
      <c r="A434">
        <v>422160300</v>
      </c>
      <c r="B434" s="71" t="s">
        <v>2584</v>
      </c>
      <c r="C434">
        <v>978</v>
      </c>
      <c r="D434" t="s">
        <v>2585</v>
      </c>
      <c r="E434">
        <v>26</v>
      </c>
      <c r="F434">
        <v>2463</v>
      </c>
      <c r="G434" s="23">
        <v>15000</v>
      </c>
      <c r="H434" t="s">
        <v>2586</v>
      </c>
      <c r="I434">
        <v>0</v>
      </c>
      <c r="J434" s="54">
        <v>43489</v>
      </c>
    </row>
    <row r="435" spans="1:10">
      <c r="A435">
        <v>422160300</v>
      </c>
      <c r="B435" s="71" t="s">
        <v>2584</v>
      </c>
      <c r="C435">
        <v>978</v>
      </c>
      <c r="D435" t="s">
        <v>2585</v>
      </c>
      <c r="E435">
        <v>26</v>
      </c>
      <c r="F435">
        <v>210219</v>
      </c>
      <c r="G435" s="23">
        <v>90000</v>
      </c>
      <c r="H435" t="s">
        <v>2587</v>
      </c>
      <c r="I435">
        <v>0</v>
      </c>
      <c r="J435" s="54">
        <v>43517</v>
      </c>
    </row>
    <row r="436" spans="1:10">
      <c r="A436">
        <v>422160300</v>
      </c>
      <c r="B436" s="71" t="s">
        <v>2584</v>
      </c>
      <c r="C436">
        <v>978</v>
      </c>
      <c r="D436" t="s">
        <v>2585</v>
      </c>
      <c r="E436">
        <v>26</v>
      </c>
      <c r="F436">
        <v>270219</v>
      </c>
      <c r="G436" s="23">
        <v>1487850</v>
      </c>
      <c r="H436" t="s">
        <v>2588</v>
      </c>
      <c r="I436">
        <v>0</v>
      </c>
      <c r="J436" s="54">
        <v>43523</v>
      </c>
    </row>
    <row r="437" spans="1:10" ht="12.75" hidden="1" customHeight="1">
      <c r="A437">
        <v>422250300</v>
      </c>
      <c r="B437" t="s">
        <v>2916</v>
      </c>
      <c r="C437">
        <v>196</v>
      </c>
      <c r="D437" t="s">
        <v>2917</v>
      </c>
      <c r="E437">
        <v>26</v>
      </c>
      <c r="F437">
        <v>62708</v>
      </c>
      <c r="G437">
        <v>30000</v>
      </c>
      <c r="H437" t="s">
        <v>2918</v>
      </c>
      <c r="I437">
        <v>0</v>
      </c>
      <c r="J437">
        <v>43524</v>
      </c>
    </row>
    <row r="438" spans="1:10" ht="12.75" hidden="1" customHeight="1">
      <c r="A438">
        <v>422250300</v>
      </c>
      <c r="B438" t="s">
        <v>2916</v>
      </c>
      <c r="C438">
        <v>196</v>
      </c>
      <c r="D438" t="s">
        <v>2917</v>
      </c>
      <c r="E438">
        <v>26</v>
      </c>
      <c r="F438">
        <v>62736</v>
      </c>
      <c r="G438">
        <v>30000</v>
      </c>
      <c r="H438" t="s">
        <v>2919</v>
      </c>
      <c r="I438">
        <v>0</v>
      </c>
      <c r="J438">
        <v>43524</v>
      </c>
    </row>
    <row r="439" spans="1:10" ht="12.75" hidden="1" customHeight="1">
      <c r="A439">
        <v>422250300</v>
      </c>
      <c r="B439" t="s">
        <v>2916</v>
      </c>
      <c r="C439">
        <v>196</v>
      </c>
      <c r="D439" t="s">
        <v>2917</v>
      </c>
      <c r="E439">
        <v>26</v>
      </c>
      <c r="F439">
        <v>10010175633</v>
      </c>
      <c r="G439">
        <v>30000</v>
      </c>
      <c r="H439" t="s">
        <v>2920</v>
      </c>
      <c r="I439">
        <v>0</v>
      </c>
      <c r="J439">
        <v>43524</v>
      </c>
    </row>
    <row r="440" spans="1:10" ht="12.75" hidden="1" customHeight="1">
      <c r="A440">
        <v>422250300</v>
      </c>
      <c r="B440" t="s">
        <v>2916</v>
      </c>
      <c r="C440">
        <v>196</v>
      </c>
      <c r="D440" t="s">
        <v>2917</v>
      </c>
      <c r="E440">
        <v>26</v>
      </c>
      <c r="F440">
        <v>10010175638</v>
      </c>
      <c r="G440">
        <v>30000</v>
      </c>
      <c r="H440" t="s">
        <v>2920</v>
      </c>
      <c r="I440">
        <v>0</v>
      </c>
      <c r="J440">
        <v>43524</v>
      </c>
    </row>
    <row r="441" spans="1:10">
      <c r="A441">
        <v>422300100</v>
      </c>
      <c r="B441" s="71" t="s">
        <v>2589</v>
      </c>
      <c r="C441">
        <v>404</v>
      </c>
      <c r="D441" t="s">
        <v>2590</v>
      </c>
      <c r="E441">
        <v>26</v>
      </c>
      <c r="F441">
        <v>10010051886</v>
      </c>
      <c r="G441" s="23">
        <v>27273</v>
      </c>
      <c r="H441" t="s">
        <v>2591</v>
      </c>
      <c r="I441">
        <v>0</v>
      </c>
      <c r="J441" s="54">
        <v>43656</v>
      </c>
    </row>
    <row r="442" spans="1:10">
      <c r="A442">
        <v>422300100</v>
      </c>
      <c r="B442" s="71" t="s">
        <v>2589</v>
      </c>
      <c r="C442">
        <v>404</v>
      </c>
      <c r="D442" t="s">
        <v>2590</v>
      </c>
      <c r="E442">
        <v>26</v>
      </c>
      <c r="F442">
        <v>21</v>
      </c>
      <c r="G442" s="23">
        <v>20000</v>
      </c>
      <c r="H442" t="s">
        <v>2592</v>
      </c>
      <c r="I442">
        <v>0</v>
      </c>
      <c r="J442" s="54">
        <v>43584</v>
      </c>
    </row>
    <row r="443" spans="1:10">
      <c r="A443">
        <v>422300100</v>
      </c>
      <c r="B443" s="71" t="s">
        <v>2589</v>
      </c>
      <c r="C443">
        <v>404</v>
      </c>
      <c r="D443" t="s">
        <v>2590</v>
      </c>
      <c r="E443">
        <v>26</v>
      </c>
      <c r="F443">
        <v>22</v>
      </c>
      <c r="G443" s="23">
        <v>40000</v>
      </c>
      <c r="H443" t="s">
        <v>2593</v>
      </c>
      <c r="I443">
        <v>0</v>
      </c>
      <c r="J443" s="54">
        <v>43585</v>
      </c>
    </row>
    <row r="444" spans="1:10">
      <c r="A444">
        <v>422450100</v>
      </c>
      <c r="B444" s="71" t="s">
        <v>2594</v>
      </c>
      <c r="C444">
        <v>530</v>
      </c>
      <c r="D444" t="s">
        <v>2595</v>
      </c>
      <c r="E444">
        <v>26</v>
      </c>
      <c r="F444">
        <v>153311</v>
      </c>
      <c r="G444" s="23">
        <v>577500</v>
      </c>
      <c r="H444" t="s">
        <v>2596</v>
      </c>
      <c r="I444">
        <v>0</v>
      </c>
      <c r="J444" s="54">
        <v>43830</v>
      </c>
    </row>
    <row r="445" spans="1:10" ht="12.75" hidden="1" customHeight="1">
      <c r="A445">
        <v>422460400</v>
      </c>
      <c r="B445" t="s">
        <v>2921</v>
      </c>
      <c r="C445">
        <v>1001</v>
      </c>
      <c r="D445" t="s">
        <v>2922</v>
      </c>
      <c r="E445">
        <v>26</v>
      </c>
      <c r="F445">
        <v>5622</v>
      </c>
      <c r="G445">
        <v>5000</v>
      </c>
      <c r="H445" t="s">
        <v>2636</v>
      </c>
      <c r="I445">
        <v>0</v>
      </c>
      <c r="J445">
        <v>43640</v>
      </c>
    </row>
    <row r="446" spans="1:10" ht="12.75" hidden="1" customHeight="1">
      <c r="A446">
        <v>422460400</v>
      </c>
      <c r="B446" t="s">
        <v>2921</v>
      </c>
      <c r="C446">
        <v>1001</v>
      </c>
      <c r="D446" t="s">
        <v>2922</v>
      </c>
      <c r="E446">
        <v>26</v>
      </c>
      <c r="F446">
        <v>9186</v>
      </c>
      <c r="G446">
        <v>5000</v>
      </c>
      <c r="H446" t="s">
        <v>2636</v>
      </c>
      <c r="I446">
        <v>0</v>
      </c>
      <c r="J446">
        <v>43640</v>
      </c>
    </row>
    <row r="447" spans="1:10" ht="12.75" hidden="1" customHeight="1">
      <c r="A447">
        <v>422460400</v>
      </c>
      <c r="B447" t="s">
        <v>2921</v>
      </c>
      <c r="C447">
        <v>1001</v>
      </c>
      <c r="D447" t="s">
        <v>2922</v>
      </c>
      <c r="E447">
        <v>26</v>
      </c>
      <c r="F447">
        <v>2158351</v>
      </c>
      <c r="G447">
        <v>5000</v>
      </c>
      <c r="H447" t="s">
        <v>2636</v>
      </c>
      <c r="I447">
        <v>0</v>
      </c>
      <c r="J447">
        <v>43640</v>
      </c>
    </row>
    <row r="448" spans="1:10" ht="12.75" hidden="1" customHeight="1">
      <c r="A448">
        <v>422460400</v>
      </c>
      <c r="B448" t="s">
        <v>2921</v>
      </c>
      <c r="C448">
        <v>1001</v>
      </c>
      <c r="D448" t="s">
        <v>2922</v>
      </c>
      <c r="E448">
        <v>26</v>
      </c>
      <c r="F448">
        <v>2747375</v>
      </c>
      <c r="G448">
        <v>5000</v>
      </c>
      <c r="H448" t="s">
        <v>2636</v>
      </c>
      <c r="I448">
        <v>0</v>
      </c>
      <c r="J448">
        <v>43640</v>
      </c>
    </row>
    <row r="449" spans="1:10" ht="12.75" hidden="1" customHeight="1">
      <c r="A449">
        <v>422500100</v>
      </c>
      <c r="B449" t="s">
        <v>2923</v>
      </c>
      <c r="C449">
        <v>781</v>
      </c>
      <c r="D449" t="s">
        <v>2924</v>
      </c>
      <c r="E449">
        <v>26</v>
      </c>
      <c r="F449">
        <v>25595676</v>
      </c>
      <c r="G449">
        <v>137947</v>
      </c>
      <c r="H449" t="s">
        <v>2925</v>
      </c>
      <c r="I449">
        <v>0</v>
      </c>
      <c r="J449">
        <v>43556</v>
      </c>
    </row>
    <row r="450" spans="1:10" ht="12.75" hidden="1" customHeight="1">
      <c r="A450">
        <v>422500100</v>
      </c>
      <c r="B450" t="s">
        <v>2923</v>
      </c>
      <c r="C450">
        <v>781</v>
      </c>
      <c r="D450" t="s">
        <v>2924</v>
      </c>
      <c r="E450">
        <v>26</v>
      </c>
      <c r="F450">
        <v>872178</v>
      </c>
      <c r="G450">
        <v>400000</v>
      </c>
      <c r="H450" t="s">
        <v>2926</v>
      </c>
      <c r="I450">
        <v>0</v>
      </c>
      <c r="J450">
        <v>43608</v>
      </c>
    </row>
    <row r="451" spans="1:10" ht="12.75" hidden="1" customHeight="1">
      <c r="A451">
        <v>422500100</v>
      </c>
      <c r="B451" t="s">
        <v>2923</v>
      </c>
      <c r="C451">
        <v>781</v>
      </c>
      <c r="D451" t="s">
        <v>2924</v>
      </c>
      <c r="E451">
        <v>26</v>
      </c>
      <c r="F451">
        <v>949535</v>
      </c>
      <c r="G451">
        <v>100000</v>
      </c>
      <c r="H451" t="s">
        <v>2927</v>
      </c>
      <c r="I451">
        <v>0</v>
      </c>
      <c r="J451">
        <v>43740</v>
      </c>
    </row>
    <row r="452" spans="1:10" ht="12.75" hidden="1" customHeight="1">
      <c r="A452">
        <v>422500100</v>
      </c>
      <c r="B452" t="s">
        <v>2923</v>
      </c>
      <c r="C452">
        <v>781</v>
      </c>
      <c r="D452" t="s">
        <v>2924</v>
      </c>
      <c r="E452">
        <v>26</v>
      </c>
      <c r="F452">
        <v>1747738</v>
      </c>
      <c r="G452">
        <v>108425</v>
      </c>
      <c r="H452" t="s">
        <v>2928</v>
      </c>
      <c r="I452">
        <v>0</v>
      </c>
      <c r="J452">
        <v>43788</v>
      </c>
    </row>
    <row r="453" spans="1:10" ht="12.75" hidden="1" customHeight="1">
      <c r="A453">
        <v>422500100</v>
      </c>
      <c r="B453" t="s">
        <v>2923</v>
      </c>
      <c r="C453">
        <v>781</v>
      </c>
      <c r="D453" t="s">
        <v>2924</v>
      </c>
      <c r="E453">
        <v>26</v>
      </c>
      <c r="F453">
        <v>1747739</v>
      </c>
      <c r="G453">
        <v>21085</v>
      </c>
      <c r="H453" t="s">
        <v>2929</v>
      </c>
      <c r="I453">
        <v>0</v>
      </c>
      <c r="J453">
        <v>43788</v>
      </c>
    </row>
    <row r="454" spans="1:10" ht="12.75" hidden="1" customHeight="1">
      <c r="A454">
        <v>422500100</v>
      </c>
      <c r="B454" t="s">
        <v>2923</v>
      </c>
      <c r="C454">
        <v>781</v>
      </c>
      <c r="D454" t="s">
        <v>2924</v>
      </c>
      <c r="E454">
        <v>26</v>
      </c>
      <c r="F454">
        <v>1747740</v>
      </c>
      <c r="G454">
        <v>21085</v>
      </c>
      <c r="H454" t="s">
        <v>2930</v>
      </c>
      <c r="I454">
        <v>0</v>
      </c>
      <c r="J454">
        <v>43788</v>
      </c>
    </row>
    <row r="455" spans="1:10" ht="12.75" hidden="1" customHeight="1">
      <c r="A455">
        <v>422500100</v>
      </c>
      <c r="B455" t="s">
        <v>2923</v>
      </c>
      <c r="C455">
        <v>781</v>
      </c>
      <c r="D455" t="s">
        <v>2924</v>
      </c>
      <c r="E455">
        <v>26</v>
      </c>
      <c r="F455">
        <v>1747741</v>
      </c>
      <c r="G455">
        <v>21085</v>
      </c>
      <c r="H455" t="s">
        <v>2931</v>
      </c>
      <c r="I455">
        <v>0</v>
      </c>
      <c r="J455">
        <v>43788</v>
      </c>
    </row>
    <row r="456" spans="1:10" ht="12.75" hidden="1" customHeight="1">
      <c r="A456">
        <v>422500100</v>
      </c>
      <c r="B456" t="s">
        <v>2923</v>
      </c>
      <c r="C456">
        <v>781</v>
      </c>
      <c r="D456" t="s">
        <v>2924</v>
      </c>
      <c r="E456">
        <v>26</v>
      </c>
      <c r="F456">
        <v>1747745</v>
      </c>
      <c r="G456">
        <v>21085</v>
      </c>
      <c r="H456" t="s">
        <v>2932</v>
      </c>
      <c r="I456">
        <v>0</v>
      </c>
      <c r="J456">
        <v>43788</v>
      </c>
    </row>
    <row r="457" spans="1:10" ht="12.75" hidden="1" customHeight="1">
      <c r="A457">
        <v>422500100</v>
      </c>
      <c r="B457" t="s">
        <v>2923</v>
      </c>
      <c r="C457">
        <v>781</v>
      </c>
      <c r="D457" t="s">
        <v>2924</v>
      </c>
      <c r="E457">
        <v>26</v>
      </c>
      <c r="F457">
        <v>1747746</v>
      </c>
      <c r="G457">
        <v>21085</v>
      </c>
      <c r="H457" t="s">
        <v>2933</v>
      </c>
      <c r="I457">
        <v>0</v>
      </c>
      <c r="J457">
        <v>43788</v>
      </c>
    </row>
    <row r="458" spans="1:10" ht="12.75" hidden="1" customHeight="1">
      <c r="A458">
        <v>422500100</v>
      </c>
      <c r="B458" t="s">
        <v>2923</v>
      </c>
      <c r="C458">
        <v>781</v>
      </c>
      <c r="D458" t="s">
        <v>2924</v>
      </c>
      <c r="E458">
        <v>26</v>
      </c>
      <c r="F458">
        <v>1747747</v>
      </c>
      <c r="G458">
        <v>21085</v>
      </c>
      <c r="H458" t="s">
        <v>2934</v>
      </c>
      <c r="I458">
        <v>0</v>
      </c>
      <c r="J458">
        <v>43788</v>
      </c>
    </row>
    <row r="459" spans="1:10" ht="12.75" hidden="1" customHeight="1">
      <c r="A459">
        <v>422500100</v>
      </c>
      <c r="B459" t="s">
        <v>2923</v>
      </c>
      <c r="C459">
        <v>781</v>
      </c>
      <c r="D459" t="s">
        <v>2924</v>
      </c>
      <c r="E459">
        <v>26</v>
      </c>
      <c r="F459">
        <v>1747748</v>
      </c>
      <c r="G459">
        <v>21085</v>
      </c>
      <c r="H459" t="s">
        <v>2935</v>
      </c>
      <c r="I459">
        <v>0</v>
      </c>
      <c r="J459">
        <v>43788</v>
      </c>
    </row>
    <row r="460" spans="1:10" ht="12.75" hidden="1" customHeight="1">
      <c r="A460">
        <v>422500100</v>
      </c>
      <c r="B460" t="s">
        <v>2923</v>
      </c>
      <c r="C460">
        <v>781</v>
      </c>
      <c r="D460" t="s">
        <v>2924</v>
      </c>
      <c r="E460">
        <v>26</v>
      </c>
      <c r="F460">
        <v>1747749</v>
      </c>
      <c r="G460">
        <v>21085</v>
      </c>
      <c r="H460" t="s">
        <v>2936</v>
      </c>
      <c r="I460">
        <v>0</v>
      </c>
      <c r="J460">
        <v>43788</v>
      </c>
    </row>
    <row r="461" spans="1:10" ht="12.75" hidden="1" customHeight="1">
      <c r="A461">
        <v>422500100</v>
      </c>
      <c r="B461" t="s">
        <v>2923</v>
      </c>
      <c r="C461">
        <v>781</v>
      </c>
      <c r="D461" t="s">
        <v>2924</v>
      </c>
      <c r="E461">
        <v>26</v>
      </c>
      <c r="F461">
        <v>1747750</v>
      </c>
      <c r="G461">
        <v>21085</v>
      </c>
      <c r="H461" t="s">
        <v>2937</v>
      </c>
      <c r="I461">
        <v>0</v>
      </c>
      <c r="J461">
        <v>43788</v>
      </c>
    </row>
    <row r="462" spans="1:10" ht="12.75" hidden="1" customHeight="1">
      <c r="A462">
        <v>422500100</v>
      </c>
      <c r="B462" t="s">
        <v>2923</v>
      </c>
      <c r="C462">
        <v>781</v>
      </c>
      <c r="D462" t="s">
        <v>2924</v>
      </c>
      <c r="E462">
        <v>26</v>
      </c>
      <c r="F462">
        <v>1786951</v>
      </c>
      <c r="G462">
        <v>21085</v>
      </c>
      <c r="H462" t="s">
        <v>2938</v>
      </c>
      <c r="I462">
        <v>0</v>
      </c>
      <c r="J462">
        <v>43788</v>
      </c>
    </row>
    <row r="463" spans="1:10" ht="12.75" hidden="1" customHeight="1">
      <c r="A463">
        <v>422500100</v>
      </c>
      <c r="B463" t="s">
        <v>2923</v>
      </c>
      <c r="C463">
        <v>781</v>
      </c>
      <c r="D463" t="s">
        <v>2924</v>
      </c>
      <c r="E463">
        <v>26</v>
      </c>
      <c r="F463">
        <v>1786952</v>
      </c>
      <c r="G463">
        <v>21085</v>
      </c>
      <c r="H463" t="s">
        <v>2939</v>
      </c>
      <c r="I463">
        <v>0</v>
      </c>
      <c r="J463">
        <v>43788</v>
      </c>
    </row>
    <row r="464" spans="1:10" ht="12.75" hidden="1" customHeight="1">
      <c r="A464">
        <v>422500100</v>
      </c>
      <c r="B464" t="s">
        <v>2923</v>
      </c>
      <c r="C464">
        <v>781</v>
      </c>
      <c r="D464" t="s">
        <v>2924</v>
      </c>
      <c r="E464">
        <v>26</v>
      </c>
      <c r="F464">
        <v>1786953</v>
      </c>
      <c r="G464">
        <v>21085</v>
      </c>
      <c r="H464" t="s">
        <v>2940</v>
      </c>
      <c r="I464">
        <v>0</v>
      </c>
      <c r="J464">
        <v>43788</v>
      </c>
    </row>
    <row r="465" spans="1:10" ht="12.75" hidden="1" customHeight="1">
      <c r="A465">
        <v>422500100</v>
      </c>
      <c r="B465" t="s">
        <v>2923</v>
      </c>
      <c r="C465">
        <v>781</v>
      </c>
      <c r="D465" t="s">
        <v>2924</v>
      </c>
      <c r="E465">
        <v>26</v>
      </c>
      <c r="F465">
        <v>1786954</v>
      </c>
      <c r="G465">
        <v>21085</v>
      </c>
      <c r="H465" t="s">
        <v>2941</v>
      </c>
      <c r="I465">
        <v>0</v>
      </c>
      <c r="J465">
        <v>43788</v>
      </c>
    </row>
    <row r="466" spans="1:10" ht="12.75" hidden="1" customHeight="1">
      <c r="A466">
        <v>422500100</v>
      </c>
      <c r="B466" t="s">
        <v>2923</v>
      </c>
      <c r="C466">
        <v>781</v>
      </c>
      <c r="D466" t="s">
        <v>2924</v>
      </c>
      <c r="E466">
        <v>26</v>
      </c>
      <c r="F466">
        <v>1786955</v>
      </c>
      <c r="G466">
        <v>21085</v>
      </c>
      <c r="H466" t="s">
        <v>2942</v>
      </c>
      <c r="I466">
        <v>0</v>
      </c>
      <c r="J466">
        <v>43788</v>
      </c>
    </row>
    <row r="467" spans="1:10" ht="12.75" hidden="1" customHeight="1">
      <c r="A467">
        <v>422500100</v>
      </c>
      <c r="B467" t="s">
        <v>2923</v>
      </c>
      <c r="C467">
        <v>781</v>
      </c>
      <c r="D467" t="s">
        <v>2924</v>
      </c>
      <c r="E467">
        <v>26</v>
      </c>
      <c r="F467">
        <v>1786956</v>
      </c>
      <c r="G467">
        <v>21085</v>
      </c>
      <c r="H467" t="s">
        <v>2943</v>
      </c>
      <c r="I467">
        <v>0</v>
      </c>
      <c r="J467">
        <v>43788</v>
      </c>
    </row>
    <row r="468" spans="1:10" ht="12.75" hidden="1" customHeight="1">
      <c r="A468">
        <v>422500100</v>
      </c>
      <c r="B468" t="s">
        <v>2923</v>
      </c>
      <c r="C468">
        <v>781</v>
      </c>
      <c r="D468" t="s">
        <v>2924</v>
      </c>
      <c r="E468">
        <v>26</v>
      </c>
      <c r="F468">
        <v>1786957</v>
      </c>
      <c r="G468">
        <v>21085</v>
      </c>
      <c r="H468" t="s">
        <v>2944</v>
      </c>
      <c r="I468">
        <v>0</v>
      </c>
      <c r="J468">
        <v>43788</v>
      </c>
    </row>
    <row r="469" spans="1:10" ht="12.75" hidden="1" customHeight="1">
      <c r="A469">
        <v>422500100</v>
      </c>
      <c r="B469" t="s">
        <v>2923</v>
      </c>
      <c r="C469">
        <v>781</v>
      </c>
      <c r="D469" t="s">
        <v>2924</v>
      </c>
      <c r="E469">
        <v>26</v>
      </c>
      <c r="F469">
        <v>1786958</v>
      </c>
      <c r="G469">
        <v>21085</v>
      </c>
      <c r="H469" t="s">
        <v>2945</v>
      </c>
      <c r="I469">
        <v>0</v>
      </c>
      <c r="J469">
        <v>43788</v>
      </c>
    </row>
    <row r="470" spans="1:10" ht="12.75" hidden="1" customHeight="1">
      <c r="A470">
        <v>422500100</v>
      </c>
      <c r="B470" t="s">
        <v>2923</v>
      </c>
      <c r="C470">
        <v>781</v>
      </c>
      <c r="D470" t="s">
        <v>2924</v>
      </c>
      <c r="E470">
        <v>26</v>
      </c>
      <c r="F470">
        <v>1786959</v>
      </c>
      <c r="G470">
        <v>21085</v>
      </c>
      <c r="H470" t="s">
        <v>2946</v>
      </c>
      <c r="I470">
        <v>0</v>
      </c>
      <c r="J470">
        <v>43788</v>
      </c>
    </row>
    <row r="471" spans="1:10" ht="12.75" hidden="1" customHeight="1">
      <c r="A471">
        <v>422500100</v>
      </c>
      <c r="B471" t="s">
        <v>2923</v>
      </c>
      <c r="C471">
        <v>781</v>
      </c>
      <c r="D471" t="s">
        <v>2924</v>
      </c>
      <c r="E471">
        <v>26</v>
      </c>
      <c r="F471">
        <v>1786912</v>
      </c>
      <c r="G471">
        <v>428010</v>
      </c>
      <c r="H471" t="s">
        <v>2947</v>
      </c>
      <c r="I471">
        <v>0</v>
      </c>
      <c r="J471">
        <v>43826</v>
      </c>
    </row>
    <row r="472" spans="1:10" ht="12.75" hidden="1" customHeight="1">
      <c r="A472">
        <v>422500100</v>
      </c>
      <c r="B472" t="s">
        <v>2923</v>
      </c>
      <c r="C472">
        <v>781</v>
      </c>
      <c r="D472" t="s">
        <v>2924</v>
      </c>
      <c r="E472">
        <v>26</v>
      </c>
      <c r="F472">
        <v>1786913</v>
      </c>
      <c r="G472">
        <v>105425</v>
      </c>
      <c r="H472" t="s">
        <v>2948</v>
      </c>
      <c r="I472">
        <v>0</v>
      </c>
      <c r="J472">
        <v>43826</v>
      </c>
    </row>
    <row r="473" spans="1:10" ht="12.75" hidden="1" customHeight="1">
      <c r="A473">
        <v>422500100</v>
      </c>
      <c r="B473" t="s">
        <v>2923</v>
      </c>
      <c r="C473">
        <v>781</v>
      </c>
      <c r="D473" t="s">
        <v>2924</v>
      </c>
      <c r="E473">
        <v>26</v>
      </c>
      <c r="F473">
        <v>1786914</v>
      </c>
      <c r="G473">
        <v>21085</v>
      </c>
      <c r="H473" t="s">
        <v>2949</v>
      </c>
      <c r="I473">
        <v>0</v>
      </c>
      <c r="J473">
        <v>43826</v>
      </c>
    </row>
    <row r="474" spans="1:10" ht="12.75" hidden="1" customHeight="1">
      <c r="A474">
        <v>422500100</v>
      </c>
      <c r="B474" t="s">
        <v>2923</v>
      </c>
      <c r="C474">
        <v>781</v>
      </c>
      <c r="D474" t="s">
        <v>2924</v>
      </c>
      <c r="E474">
        <v>26</v>
      </c>
      <c r="F474">
        <v>1786921</v>
      </c>
      <c r="G474">
        <v>105425</v>
      </c>
      <c r="H474" t="s">
        <v>2950</v>
      </c>
      <c r="I474">
        <v>0</v>
      </c>
      <c r="J474">
        <v>43826</v>
      </c>
    </row>
    <row r="475" spans="1:10" ht="12.75" hidden="1" customHeight="1">
      <c r="A475">
        <v>422500100</v>
      </c>
      <c r="B475" t="s">
        <v>2923</v>
      </c>
      <c r="C475">
        <v>781</v>
      </c>
      <c r="D475" t="s">
        <v>2924</v>
      </c>
      <c r="E475">
        <v>26</v>
      </c>
      <c r="F475">
        <v>210319</v>
      </c>
      <c r="G475">
        <v>50000</v>
      </c>
      <c r="H475" t="s">
        <v>2951</v>
      </c>
      <c r="I475">
        <v>0</v>
      </c>
      <c r="J475">
        <v>43545</v>
      </c>
    </row>
    <row r="476" spans="1:10" ht="12.75" hidden="1" customHeight="1">
      <c r="A476">
        <v>422500100</v>
      </c>
      <c r="B476" t="s">
        <v>2923</v>
      </c>
      <c r="C476">
        <v>781</v>
      </c>
      <c r="D476" t="s">
        <v>2924</v>
      </c>
      <c r="E476">
        <v>26</v>
      </c>
      <c r="F476">
        <v>280319</v>
      </c>
      <c r="G476">
        <v>120000</v>
      </c>
      <c r="H476" t="s">
        <v>2952</v>
      </c>
      <c r="I476">
        <v>0</v>
      </c>
      <c r="J476">
        <v>43552</v>
      </c>
    </row>
    <row r="477" spans="1:10" ht="12.75" hidden="1" customHeight="1">
      <c r="A477">
        <v>422500100</v>
      </c>
      <c r="B477" t="s">
        <v>2923</v>
      </c>
      <c r="C477">
        <v>781</v>
      </c>
      <c r="D477" t="s">
        <v>2924</v>
      </c>
      <c r="E477">
        <v>26</v>
      </c>
      <c r="F477">
        <v>949350</v>
      </c>
      <c r="G477">
        <v>428010</v>
      </c>
      <c r="H477" t="s">
        <v>2953</v>
      </c>
      <c r="I477">
        <v>0</v>
      </c>
      <c r="J477">
        <v>43668</v>
      </c>
    </row>
    <row r="478" spans="1:10" ht="12.75" hidden="1" customHeight="1">
      <c r="A478">
        <v>422500100</v>
      </c>
      <c r="B478" t="s">
        <v>2923</v>
      </c>
      <c r="C478">
        <v>781</v>
      </c>
      <c r="D478" t="s">
        <v>2924</v>
      </c>
      <c r="E478">
        <v>26</v>
      </c>
      <c r="F478">
        <v>1097707</v>
      </c>
      <c r="G478">
        <v>98131</v>
      </c>
      <c r="H478" t="s">
        <v>2954</v>
      </c>
      <c r="I478">
        <v>0</v>
      </c>
      <c r="J478">
        <v>43670</v>
      </c>
    </row>
    <row r="479" spans="1:10" ht="12.75" hidden="1" customHeight="1">
      <c r="A479">
        <v>422500100</v>
      </c>
      <c r="B479" t="s">
        <v>2923</v>
      </c>
      <c r="C479">
        <v>781</v>
      </c>
      <c r="D479" t="s">
        <v>2924</v>
      </c>
      <c r="E479">
        <v>26</v>
      </c>
      <c r="F479">
        <v>1097708</v>
      </c>
      <c r="G479">
        <v>98131</v>
      </c>
      <c r="H479" t="s">
        <v>2955</v>
      </c>
      <c r="I479">
        <v>0</v>
      </c>
      <c r="J479">
        <v>43670</v>
      </c>
    </row>
    <row r="480" spans="1:10" ht="12.75" hidden="1" customHeight="1">
      <c r="A480">
        <v>422500100</v>
      </c>
      <c r="B480" t="s">
        <v>2923</v>
      </c>
      <c r="C480">
        <v>781</v>
      </c>
      <c r="D480" t="s">
        <v>2924</v>
      </c>
      <c r="E480">
        <v>26</v>
      </c>
      <c r="F480">
        <v>1705562</v>
      </c>
      <c r="G480">
        <v>250000</v>
      </c>
      <c r="H480" t="s">
        <v>2956</v>
      </c>
      <c r="I480">
        <v>0</v>
      </c>
      <c r="J480">
        <v>43719</v>
      </c>
    </row>
    <row r="481" spans="1:10" ht="12.75" hidden="1" customHeight="1">
      <c r="A481">
        <v>422500100</v>
      </c>
      <c r="B481" t="s">
        <v>2923</v>
      </c>
      <c r="C481">
        <v>781</v>
      </c>
      <c r="D481" t="s">
        <v>2924</v>
      </c>
      <c r="E481">
        <v>26</v>
      </c>
      <c r="F481">
        <v>949542</v>
      </c>
      <c r="G481">
        <v>822010</v>
      </c>
      <c r="H481" t="s">
        <v>2957</v>
      </c>
      <c r="I481">
        <v>0</v>
      </c>
      <c r="J481">
        <v>43741</v>
      </c>
    </row>
    <row r="482" spans="1:10" ht="12.75" hidden="1" customHeight="1">
      <c r="A482">
        <v>422500100</v>
      </c>
      <c r="B482" t="s">
        <v>2923</v>
      </c>
      <c r="C482">
        <v>781</v>
      </c>
      <c r="D482" t="s">
        <v>2924</v>
      </c>
      <c r="E482">
        <v>26</v>
      </c>
      <c r="F482">
        <v>949543</v>
      </c>
      <c r="G482">
        <v>428010</v>
      </c>
      <c r="H482" t="s">
        <v>2958</v>
      </c>
      <c r="I482">
        <v>0</v>
      </c>
      <c r="J482">
        <v>43741</v>
      </c>
    </row>
    <row r="483" spans="1:10" ht="12.75" hidden="1" customHeight="1">
      <c r="A483">
        <v>422500100</v>
      </c>
      <c r="B483" t="s">
        <v>2923</v>
      </c>
      <c r="C483">
        <v>781</v>
      </c>
      <c r="D483" t="s">
        <v>2924</v>
      </c>
      <c r="E483">
        <v>26</v>
      </c>
      <c r="F483">
        <v>949544</v>
      </c>
      <c r="G483">
        <v>428010</v>
      </c>
      <c r="H483" t="s">
        <v>2959</v>
      </c>
      <c r="I483">
        <v>0</v>
      </c>
      <c r="J483">
        <v>43741</v>
      </c>
    </row>
    <row r="484" spans="1:10" ht="12.75" hidden="1" customHeight="1">
      <c r="A484">
        <v>422500100</v>
      </c>
      <c r="B484" t="s">
        <v>2923</v>
      </c>
      <c r="C484">
        <v>781</v>
      </c>
      <c r="D484" t="s">
        <v>2924</v>
      </c>
      <c r="E484">
        <v>26</v>
      </c>
      <c r="F484">
        <v>949545</v>
      </c>
      <c r="G484">
        <v>428010</v>
      </c>
      <c r="H484" t="s">
        <v>2960</v>
      </c>
      <c r="I484">
        <v>0</v>
      </c>
      <c r="J484">
        <v>43741</v>
      </c>
    </row>
    <row r="485" spans="1:10" ht="12.75" hidden="1" customHeight="1">
      <c r="A485">
        <v>422500100</v>
      </c>
      <c r="B485" t="s">
        <v>2923</v>
      </c>
      <c r="C485">
        <v>781</v>
      </c>
      <c r="D485" t="s">
        <v>2924</v>
      </c>
      <c r="E485">
        <v>26</v>
      </c>
      <c r="F485">
        <v>949546</v>
      </c>
      <c r="G485">
        <v>98131</v>
      </c>
      <c r="H485" t="s">
        <v>2961</v>
      </c>
      <c r="I485">
        <v>0</v>
      </c>
      <c r="J485">
        <v>43741</v>
      </c>
    </row>
    <row r="486" spans="1:10" ht="12.75" hidden="1" customHeight="1">
      <c r="A486">
        <v>422500100</v>
      </c>
      <c r="B486" t="s">
        <v>2923</v>
      </c>
      <c r="C486">
        <v>781</v>
      </c>
      <c r="D486" t="s">
        <v>2924</v>
      </c>
      <c r="E486">
        <v>26</v>
      </c>
      <c r="F486">
        <v>949547</v>
      </c>
      <c r="G486">
        <v>98131</v>
      </c>
      <c r="H486" t="s">
        <v>2962</v>
      </c>
      <c r="I486">
        <v>0</v>
      </c>
      <c r="J486">
        <v>43741</v>
      </c>
    </row>
    <row r="487" spans="1:10" ht="12.75" hidden="1" customHeight="1">
      <c r="A487">
        <v>422500100</v>
      </c>
      <c r="B487" t="s">
        <v>2923</v>
      </c>
      <c r="C487">
        <v>781</v>
      </c>
      <c r="D487" t="s">
        <v>2924</v>
      </c>
      <c r="E487">
        <v>26</v>
      </c>
      <c r="F487">
        <v>949548</v>
      </c>
      <c r="G487">
        <v>98131</v>
      </c>
      <c r="H487" t="s">
        <v>2963</v>
      </c>
      <c r="I487">
        <v>0</v>
      </c>
      <c r="J487">
        <v>43741</v>
      </c>
    </row>
    <row r="488" spans="1:10" ht="12.75" hidden="1" customHeight="1">
      <c r="A488">
        <v>422500100</v>
      </c>
      <c r="B488" t="s">
        <v>2923</v>
      </c>
      <c r="C488">
        <v>781</v>
      </c>
      <c r="D488" t="s">
        <v>2924</v>
      </c>
      <c r="E488">
        <v>26</v>
      </c>
      <c r="F488">
        <v>949549</v>
      </c>
      <c r="G488">
        <v>20381</v>
      </c>
      <c r="H488" t="s">
        <v>2964</v>
      </c>
      <c r="I488">
        <v>0</v>
      </c>
      <c r="J488">
        <v>43741</v>
      </c>
    </row>
    <row r="489" spans="1:10" ht="12.75" hidden="1" customHeight="1">
      <c r="A489">
        <v>422500100</v>
      </c>
      <c r="B489" t="s">
        <v>2923</v>
      </c>
      <c r="C489">
        <v>781</v>
      </c>
      <c r="D489" t="s">
        <v>2924</v>
      </c>
      <c r="E489">
        <v>26</v>
      </c>
      <c r="F489">
        <v>1747701</v>
      </c>
      <c r="G489">
        <v>20381</v>
      </c>
      <c r="H489" t="s">
        <v>2965</v>
      </c>
      <c r="I489">
        <v>0</v>
      </c>
      <c r="J489">
        <v>43741</v>
      </c>
    </row>
    <row r="490" spans="1:10" ht="12.75" hidden="1" customHeight="1">
      <c r="A490">
        <v>422500100</v>
      </c>
      <c r="B490" t="s">
        <v>2923</v>
      </c>
      <c r="C490">
        <v>781</v>
      </c>
      <c r="D490" t="s">
        <v>2924</v>
      </c>
      <c r="E490">
        <v>26</v>
      </c>
      <c r="F490">
        <v>1747702</v>
      </c>
      <c r="G490">
        <v>20381</v>
      </c>
      <c r="H490" t="s">
        <v>2966</v>
      </c>
      <c r="I490">
        <v>0</v>
      </c>
      <c r="J490">
        <v>43741</v>
      </c>
    </row>
    <row r="491" spans="1:10" ht="12.75" hidden="1" customHeight="1">
      <c r="A491">
        <v>422500100</v>
      </c>
      <c r="B491" t="s">
        <v>2923</v>
      </c>
      <c r="C491">
        <v>781</v>
      </c>
      <c r="D491" t="s">
        <v>2924</v>
      </c>
      <c r="E491">
        <v>26</v>
      </c>
      <c r="F491">
        <v>1747703</v>
      </c>
      <c r="G491">
        <v>20381</v>
      </c>
      <c r="H491" t="s">
        <v>2967</v>
      </c>
      <c r="I491">
        <v>0</v>
      </c>
      <c r="J491">
        <v>43741</v>
      </c>
    </row>
    <row r="492" spans="1:10" ht="12.75" hidden="1" customHeight="1">
      <c r="A492">
        <v>422500100</v>
      </c>
      <c r="B492" t="s">
        <v>2923</v>
      </c>
      <c r="C492">
        <v>781</v>
      </c>
      <c r="D492" t="s">
        <v>2924</v>
      </c>
      <c r="E492">
        <v>26</v>
      </c>
      <c r="F492">
        <v>1747704</v>
      </c>
      <c r="G492">
        <v>20381</v>
      </c>
      <c r="H492" t="s">
        <v>2968</v>
      </c>
      <c r="I492">
        <v>0</v>
      </c>
      <c r="J492">
        <v>43741</v>
      </c>
    </row>
    <row r="493" spans="1:10" ht="12.75" hidden="1" customHeight="1">
      <c r="A493">
        <v>422500100</v>
      </c>
      <c r="B493" t="s">
        <v>2923</v>
      </c>
      <c r="C493">
        <v>781</v>
      </c>
      <c r="D493" t="s">
        <v>2924</v>
      </c>
      <c r="E493">
        <v>26</v>
      </c>
      <c r="F493">
        <v>1705576</v>
      </c>
      <c r="G493">
        <v>126000</v>
      </c>
      <c r="H493" t="s">
        <v>2969</v>
      </c>
      <c r="I493">
        <v>0</v>
      </c>
      <c r="J493">
        <v>43783</v>
      </c>
    </row>
    <row r="494" spans="1:10" ht="12.75" hidden="1" customHeight="1">
      <c r="A494">
        <v>422500100</v>
      </c>
      <c r="B494" t="s">
        <v>2923</v>
      </c>
      <c r="C494">
        <v>781</v>
      </c>
      <c r="D494" t="s">
        <v>2924</v>
      </c>
      <c r="E494">
        <v>26</v>
      </c>
      <c r="F494">
        <v>26951980</v>
      </c>
      <c r="G494">
        <v>25302</v>
      </c>
      <c r="H494" t="s">
        <v>2970</v>
      </c>
      <c r="I494">
        <v>0</v>
      </c>
      <c r="J494">
        <v>43721</v>
      </c>
    </row>
    <row r="495" spans="1:10" ht="12.75" hidden="1" customHeight="1">
      <c r="A495">
        <v>422500100</v>
      </c>
      <c r="B495" t="s">
        <v>2923</v>
      </c>
      <c r="C495">
        <v>781</v>
      </c>
      <c r="D495" t="s">
        <v>2924</v>
      </c>
      <c r="E495">
        <v>26</v>
      </c>
      <c r="F495">
        <v>1705579</v>
      </c>
      <c r="G495">
        <v>250000</v>
      </c>
      <c r="H495" t="s">
        <v>2971</v>
      </c>
      <c r="I495">
        <v>0</v>
      </c>
      <c r="J495">
        <v>43799</v>
      </c>
    </row>
    <row r="496" spans="1:10" ht="12.75" hidden="1" customHeight="1">
      <c r="A496">
        <v>422500100</v>
      </c>
      <c r="B496" t="s">
        <v>2923</v>
      </c>
      <c r="C496">
        <v>781</v>
      </c>
      <c r="D496" t="s">
        <v>2924</v>
      </c>
      <c r="E496">
        <v>26</v>
      </c>
      <c r="F496">
        <v>1786901</v>
      </c>
      <c r="G496">
        <v>105425</v>
      </c>
      <c r="H496" t="s">
        <v>2972</v>
      </c>
      <c r="I496">
        <v>0</v>
      </c>
      <c r="J496">
        <v>43810</v>
      </c>
    </row>
    <row r="497" spans="1:10" ht="12.75" hidden="1" customHeight="1">
      <c r="A497">
        <v>422500100</v>
      </c>
      <c r="B497" t="s">
        <v>2923</v>
      </c>
      <c r="C497">
        <v>781</v>
      </c>
      <c r="D497" t="s">
        <v>2924</v>
      </c>
      <c r="E497">
        <v>26</v>
      </c>
      <c r="F497">
        <v>1786902</v>
      </c>
      <c r="G497">
        <v>358445</v>
      </c>
      <c r="H497" t="s">
        <v>2973</v>
      </c>
      <c r="I497">
        <v>0</v>
      </c>
      <c r="J497">
        <v>43810</v>
      </c>
    </row>
    <row r="498" spans="1:10" ht="12.75" hidden="1" customHeight="1">
      <c r="A498">
        <v>422500100</v>
      </c>
      <c r="B498" t="s">
        <v>2923</v>
      </c>
      <c r="C498">
        <v>781</v>
      </c>
      <c r="D498" t="s">
        <v>2924</v>
      </c>
      <c r="E498">
        <v>26</v>
      </c>
      <c r="F498">
        <v>1786903</v>
      </c>
      <c r="G498">
        <v>105425</v>
      </c>
      <c r="H498" t="s">
        <v>2974</v>
      </c>
      <c r="I498">
        <v>0</v>
      </c>
      <c r="J498">
        <v>43810</v>
      </c>
    </row>
    <row r="499" spans="1:10" ht="12.75" hidden="1" customHeight="1">
      <c r="A499">
        <v>422500100</v>
      </c>
      <c r="B499" t="s">
        <v>2923</v>
      </c>
      <c r="C499">
        <v>781</v>
      </c>
      <c r="D499" t="s">
        <v>2924</v>
      </c>
      <c r="E499">
        <v>26</v>
      </c>
      <c r="F499">
        <v>1786907</v>
      </c>
      <c r="G499">
        <v>142662</v>
      </c>
      <c r="H499" t="s">
        <v>2975</v>
      </c>
      <c r="I499">
        <v>0</v>
      </c>
      <c r="J499">
        <v>43810</v>
      </c>
    </row>
    <row r="500" spans="1:10" ht="12.75" hidden="1" customHeight="1">
      <c r="A500">
        <v>422500100</v>
      </c>
      <c r="B500" t="s">
        <v>2923</v>
      </c>
      <c r="C500">
        <v>781</v>
      </c>
      <c r="D500" t="s">
        <v>2924</v>
      </c>
      <c r="E500">
        <v>26</v>
      </c>
      <c r="F500">
        <v>1786988</v>
      </c>
      <c r="G500">
        <v>105425</v>
      </c>
      <c r="H500" t="s">
        <v>2976</v>
      </c>
      <c r="I500">
        <v>0</v>
      </c>
      <c r="J500">
        <v>43810</v>
      </c>
    </row>
    <row r="501" spans="1:10" ht="12.75" hidden="1" customHeight="1">
      <c r="A501">
        <v>422500100</v>
      </c>
      <c r="B501" t="s">
        <v>2923</v>
      </c>
      <c r="C501">
        <v>781</v>
      </c>
      <c r="D501" t="s">
        <v>2924</v>
      </c>
      <c r="E501">
        <v>26</v>
      </c>
      <c r="F501">
        <v>1786989</v>
      </c>
      <c r="G501">
        <v>105425</v>
      </c>
      <c r="H501" t="s">
        <v>2977</v>
      </c>
      <c r="I501">
        <v>0</v>
      </c>
      <c r="J501">
        <v>43810</v>
      </c>
    </row>
    <row r="502" spans="1:10" ht="12.75" hidden="1" customHeight="1">
      <c r="A502">
        <v>422500100</v>
      </c>
      <c r="B502" t="s">
        <v>2923</v>
      </c>
      <c r="C502">
        <v>781</v>
      </c>
      <c r="D502" t="s">
        <v>2924</v>
      </c>
      <c r="E502">
        <v>26</v>
      </c>
      <c r="F502">
        <v>1786990</v>
      </c>
      <c r="G502">
        <v>21085</v>
      </c>
      <c r="H502" t="s">
        <v>2978</v>
      </c>
      <c r="I502">
        <v>0</v>
      </c>
      <c r="J502">
        <v>43810</v>
      </c>
    </row>
    <row r="503" spans="1:10" ht="12.75" hidden="1" customHeight="1">
      <c r="A503">
        <v>422500100</v>
      </c>
      <c r="B503" t="s">
        <v>2923</v>
      </c>
      <c r="C503">
        <v>781</v>
      </c>
      <c r="D503" t="s">
        <v>2924</v>
      </c>
      <c r="E503">
        <v>26</v>
      </c>
      <c r="F503">
        <v>1786991</v>
      </c>
      <c r="G503">
        <v>105425</v>
      </c>
      <c r="H503" t="s">
        <v>2979</v>
      </c>
      <c r="I503">
        <v>0</v>
      </c>
      <c r="J503">
        <v>43810</v>
      </c>
    </row>
    <row r="504" spans="1:10" ht="12.75" hidden="1" customHeight="1">
      <c r="A504">
        <v>422500100</v>
      </c>
      <c r="B504" t="s">
        <v>2923</v>
      </c>
      <c r="C504">
        <v>781</v>
      </c>
      <c r="D504" t="s">
        <v>2924</v>
      </c>
      <c r="E504">
        <v>26</v>
      </c>
      <c r="F504">
        <v>1786992</v>
      </c>
      <c r="G504">
        <v>105425</v>
      </c>
      <c r="H504" t="s">
        <v>2980</v>
      </c>
      <c r="I504">
        <v>0</v>
      </c>
      <c r="J504">
        <v>43810</v>
      </c>
    </row>
    <row r="505" spans="1:10" ht="12.75" hidden="1" customHeight="1">
      <c r="A505">
        <v>422500100</v>
      </c>
      <c r="B505" t="s">
        <v>2923</v>
      </c>
      <c r="C505">
        <v>781</v>
      </c>
      <c r="D505" t="s">
        <v>2924</v>
      </c>
      <c r="E505">
        <v>26</v>
      </c>
      <c r="F505">
        <v>1786993</v>
      </c>
      <c r="G505">
        <v>142662</v>
      </c>
      <c r="H505" t="s">
        <v>2981</v>
      </c>
      <c r="I505">
        <v>0</v>
      </c>
      <c r="J505">
        <v>43810</v>
      </c>
    </row>
    <row r="506" spans="1:10" ht="12.75" hidden="1" customHeight="1">
      <c r="A506">
        <v>422500100</v>
      </c>
      <c r="B506" t="s">
        <v>2923</v>
      </c>
      <c r="C506">
        <v>781</v>
      </c>
      <c r="D506" t="s">
        <v>2924</v>
      </c>
      <c r="E506">
        <v>26</v>
      </c>
      <c r="F506">
        <v>1786994</v>
      </c>
      <c r="G506">
        <v>105425</v>
      </c>
      <c r="H506" t="s">
        <v>2982</v>
      </c>
      <c r="I506">
        <v>0</v>
      </c>
      <c r="J506">
        <v>43810</v>
      </c>
    </row>
    <row r="507" spans="1:10" ht="12.75" hidden="1" customHeight="1">
      <c r="A507">
        <v>422500100</v>
      </c>
      <c r="B507" t="s">
        <v>2923</v>
      </c>
      <c r="C507">
        <v>781</v>
      </c>
      <c r="D507" t="s">
        <v>2924</v>
      </c>
      <c r="E507">
        <v>26</v>
      </c>
      <c r="F507">
        <v>1786997</v>
      </c>
      <c r="G507">
        <v>105425</v>
      </c>
      <c r="H507" t="s">
        <v>2983</v>
      </c>
      <c r="I507">
        <v>0</v>
      </c>
      <c r="J507">
        <v>43810</v>
      </c>
    </row>
    <row r="508" spans="1:10" ht="12.75" hidden="1" customHeight="1">
      <c r="A508">
        <v>422500100</v>
      </c>
      <c r="B508" t="s">
        <v>2923</v>
      </c>
      <c r="C508">
        <v>781</v>
      </c>
      <c r="D508" t="s">
        <v>2924</v>
      </c>
      <c r="E508">
        <v>26</v>
      </c>
      <c r="F508">
        <v>1786998</v>
      </c>
      <c r="G508">
        <v>105425</v>
      </c>
      <c r="H508" t="s">
        <v>2984</v>
      </c>
      <c r="I508">
        <v>0</v>
      </c>
      <c r="J508">
        <v>43810</v>
      </c>
    </row>
    <row r="509" spans="1:10" ht="12.75" hidden="1" customHeight="1">
      <c r="A509">
        <v>422500100</v>
      </c>
      <c r="B509" t="s">
        <v>2923</v>
      </c>
      <c r="C509">
        <v>781</v>
      </c>
      <c r="D509" t="s">
        <v>2924</v>
      </c>
      <c r="E509">
        <v>26</v>
      </c>
      <c r="F509">
        <v>1786999</v>
      </c>
      <c r="G509">
        <v>105425</v>
      </c>
      <c r="H509" t="s">
        <v>2985</v>
      </c>
      <c r="I509">
        <v>0</v>
      </c>
      <c r="J509">
        <v>43810</v>
      </c>
    </row>
    <row r="510" spans="1:10" ht="12.75" hidden="1" customHeight="1">
      <c r="A510">
        <v>422500100</v>
      </c>
      <c r="B510" t="s">
        <v>2923</v>
      </c>
      <c r="C510">
        <v>781</v>
      </c>
      <c r="D510" t="s">
        <v>2924</v>
      </c>
      <c r="E510">
        <v>26</v>
      </c>
      <c r="F510">
        <v>1787000</v>
      </c>
      <c r="G510">
        <v>105425</v>
      </c>
      <c r="H510" t="s">
        <v>2986</v>
      </c>
      <c r="I510">
        <v>0</v>
      </c>
      <c r="J510">
        <v>43810</v>
      </c>
    </row>
    <row r="511" spans="1:10" ht="12.75" hidden="1" customHeight="1">
      <c r="A511">
        <v>422500100</v>
      </c>
      <c r="B511" t="s">
        <v>2923</v>
      </c>
      <c r="C511">
        <v>781</v>
      </c>
      <c r="D511" t="s">
        <v>2924</v>
      </c>
      <c r="E511">
        <v>26</v>
      </c>
      <c r="F511">
        <v>1705581</v>
      </c>
      <c r="G511">
        <v>64000</v>
      </c>
      <c r="H511" t="s">
        <v>2987</v>
      </c>
      <c r="I511">
        <v>0</v>
      </c>
      <c r="J511">
        <v>43816</v>
      </c>
    </row>
    <row r="512" spans="1:10" ht="12.75" hidden="1" customHeight="1">
      <c r="A512">
        <v>422500100</v>
      </c>
      <c r="B512" t="s">
        <v>2923</v>
      </c>
      <c r="C512">
        <v>781</v>
      </c>
      <c r="D512" t="s">
        <v>2924</v>
      </c>
      <c r="E512">
        <v>26</v>
      </c>
      <c r="F512">
        <v>1786908</v>
      </c>
      <c r="G512">
        <v>428010</v>
      </c>
      <c r="H512" t="s">
        <v>2988</v>
      </c>
      <c r="I512">
        <v>0</v>
      </c>
      <c r="J512">
        <v>43816</v>
      </c>
    </row>
    <row r="513" spans="1:10" ht="12.75" hidden="1" customHeight="1">
      <c r="A513">
        <v>422500100</v>
      </c>
      <c r="B513" t="s">
        <v>2923</v>
      </c>
      <c r="C513">
        <v>781</v>
      </c>
      <c r="D513" t="s">
        <v>2924</v>
      </c>
      <c r="E513">
        <v>26</v>
      </c>
      <c r="F513">
        <v>1705582</v>
      </c>
      <c r="G513">
        <v>320000</v>
      </c>
      <c r="H513" t="s">
        <v>2989</v>
      </c>
      <c r="I513">
        <v>0</v>
      </c>
      <c r="J513">
        <v>43817</v>
      </c>
    </row>
    <row r="514" spans="1:10" ht="12.75" hidden="1" customHeight="1">
      <c r="A514">
        <v>422500100</v>
      </c>
      <c r="B514" t="s">
        <v>2923</v>
      </c>
      <c r="C514">
        <v>781</v>
      </c>
      <c r="D514" t="s">
        <v>2924</v>
      </c>
      <c r="E514">
        <v>26</v>
      </c>
      <c r="F514">
        <v>1786911</v>
      </c>
      <c r="G514">
        <v>428010</v>
      </c>
      <c r="H514" t="s">
        <v>2990</v>
      </c>
      <c r="I514">
        <v>0</v>
      </c>
      <c r="J514">
        <v>43823</v>
      </c>
    </row>
    <row r="515" spans="1:10" ht="12.75" hidden="1" customHeight="1">
      <c r="A515">
        <v>422500100</v>
      </c>
      <c r="B515" t="s">
        <v>2923</v>
      </c>
      <c r="C515">
        <v>782</v>
      </c>
      <c r="D515" t="s">
        <v>2991</v>
      </c>
      <c r="E515">
        <v>26</v>
      </c>
      <c r="F515">
        <v>9102019</v>
      </c>
      <c r="G515">
        <v>29702</v>
      </c>
      <c r="H515" t="s">
        <v>2992</v>
      </c>
      <c r="I515">
        <v>0</v>
      </c>
      <c r="J515">
        <v>43747</v>
      </c>
    </row>
    <row r="516" spans="1:10" ht="12.75" hidden="1" customHeight="1">
      <c r="A516">
        <v>422500100</v>
      </c>
      <c r="B516" t="s">
        <v>2923</v>
      </c>
      <c r="C516">
        <v>782</v>
      </c>
      <c r="D516" t="s">
        <v>2991</v>
      </c>
      <c r="E516">
        <v>26</v>
      </c>
      <c r="F516">
        <v>26105365</v>
      </c>
      <c r="G516">
        <v>697500</v>
      </c>
      <c r="H516" t="s">
        <v>2993</v>
      </c>
      <c r="I516">
        <v>0</v>
      </c>
      <c r="J516">
        <v>43608</v>
      </c>
    </row>
    <row r="517" spans="1:10" ht="12.75" hidden="1" customHeight="1">
      <c r="A517">
        <v>422500100</v>
      </c>
      <c r="B517" t="s">
        <v>2923</v>
      </c>
      <c r="C517">
        <v>782</v>
      </c>
      <c r="D517" t="s">
        <v>2991</v>
      </c>
      <c r="E517">
        <v>26</v>
      </c>
      <c r="F517">
        <v>26105428</v>
      </c>
      <c r="G517">
        <v>253050</v>
      </c>
      <c r="H517" t="s">
        <v>2994</v>
      </c>
      <c r="I517">
        <v>0</v>
      </c>
      <c r="J517">
        <v>43608</v>
      </c>
    </row>
    <row r="518" spans="1:10" ht="12.75" hidden="1" customHeight="1">
      <c r="A518">
        <v>422500100</v>
      </c>
      <c r="B518" t="s">
        <v>2923</v>
      </c>
      <c r="C518">
        <v>782</v>
      </c>
      <c r="D518" t="s">
        <v>2991</v>
      </c>
      <c r="E518">
        <v>26</v>
      </c>
      <c r="F518">
        <v>26105502</v>
      </c>
      <c r="G518">
        <v>40500</v>
      </c>
      <c r="H518" t="s">
        <v>2995</v>
      </c>
      <c r="I518">
        <v>0</v>
      </c>
      <c r="J518">
        <v>43608</v>
      </c>
    </row>
    <row r="519" spans="1:10" ht="12.75" hidden="1" customHeight="1">
      <c r="A519">
        <v>422500100</v>
      </c>
      <c r="B519" t="s">
        <v>2923</v>
      </c>
      <c r="C519">
        <v>782</v>
      </c>
      <c r="D519" t="s">
        <v>2991</v>
      </c>
      <c r="E519">
        <v>26</v>
      </c>
      <c r="F519">
        <v>26106016</v>
      </c>
      <c r="G519">
        <v>67500</v>
      </c>
      <c r="H519" t="s">
        <v>2996</v>
      </c>
      <c r="I519">
        <v>0</v>
      </c>
      <c r="J519">
        <v>43608</v>
      </c>
    </row>
    <row r="520" spans="1:10" ht="12.75" hidden="1" customHeight="1">
      <c r="A520">
        <v>422500100</v>
      </c>
      <c r="B520" t="s">
        <v>2923</v>
      </c>
      <c r="C520">
        <v>782</v>
      </c>
      <c r="D520" t="s">
        <v>2991</v>
      </c>
      <c r="E520">
        <v>26</v>
      </c>
      <c r="F520">
        <v>26106100</v>
      </c>
      <c r="G520">
        <v>365000</v>
      </c>
      <c r="H520" t="s">
        <v>2997</v>
      </c>
      <c r="I520">
        <v>0</v>
      </c>
      <c r="J520">
        <v>43608</v>
      </c>
    </row>
    <row r="521" spans="1:10" ht="12.75" hidden="1" customHeight="1">
      <c r="A521">
        <v>422500100</v>
      </c>
      <c r="B521" t="s">
        <v>2923</v>
      </c>
      <c r="C521">
        <v>782</v>
      </c>
      <c r="D521" t="s">
        <v>2991</v>
      </c>
      <c r="E521">
        <v>26</v>
      </c>
      <c r="F521">
        <v>26106369</v>
      </c>
      <c r="G521">
        <v>209000</v>
      </c>
      <c r="H521" t="s">
        <v>2998</v>
      </c>
      <c r="I521">
        <v>0</v>
      </c>
      <c r="J521">
        <v>43608</v>
      </c>
    </row>
    <row r="522" spans="1:10" ht="12.75" hidden="1" customHeight="1">
      <c r="A522">
        <v>422500100</v>
      </c>
      <c r="B522" t="s">
        <v>2923</v>
      </c>
      <c r="C522">
        <v>782</v>
      </c>
      <c r="D522" t="s">
        <v>2991</v>
      </c>
      <c r="E522">
        <v>26</v>
      </c>
      <c r="F522">
        <v>25620054</v>
      </c>
      <c r="G522">
        <v>87500</v>
      </c>
      <c r="H522" t="s">
        <v>2999</v>
      </c>
      <c r="I522">
        <v>0</v>
      </c>
      <c r="J522">
        <v>43538</v>
      </c>
    </row>
    <row r="523" spans="1:10" ht="12.75" hidden="1" customHeight="1">
      <c r="A523">
        <v>422500100</v>
      </c>
      <c r="B523" t="s">
        <v>2923</v>
      </c>
      <c r="C523">
        <v>782</v>
      </c>
      <c r="D523" t="s">
        <v>2991</v>
      </c>
      <c r="E523">
        <v>26</v>
      </c>
      <c r="F523">
        <v>25620318</v>
      </c>
      <c r="G523">
        <v>307170</v>
      </c>
      <c r="H523" t="s">
        <v>3000</v>
      </c>
      <c r="I523">
        <v>0</v>
      </c>
      <c r="J523">
        <v>43538</v>
      </c>
    </row>
    <row r="524" spans="1:10" ht="12.75" hidden="1" customHeight="1">
      <c r="A524">
        <v>422500100</v>
      </c>
      <c r="B524" t="s">
        <v>2923</v>
      </c>
      <c r="C524">
        <v>782</v>
      </c>
      <c r="D524" t="s">
        <v>2991</v>
      </c>
      <c r="E524">
        <v>26</v>
      </c>
      <c r="F524">
        <v>25620480</v>
      </c>
      <c r="G524">
        <v>180000</v>
      </c>
      <c r="H524" t="s">
        <v>3001</v>
      </c>
      <c r="I524">
        <v>0</v>
      </c>
      <c r="J524">
        <v>43538</v>
      </c>
    </row>
    <row r="525" spans="1:10" ht="12.75" hidden="1" customHeight="1">
      <c r="A525">
        <v>422500100</v>
      </c>
      <c r="B525" t="s">
        <v>2923</v>
      </c>
      <c r="C525">
        <v>782</v>
      </c>
      <c r="D525" t="s">
        <v>2991</v>
      </c>
      <c r="E525">
        <v>26</v>
      </c>
      <c r="F525">
        <v>25620583</v>
      </c>
      <c r="G525">
        <v>172300</v>
      </c>
      <c r="H525" t="s">
        <v>3002</v>
      </c>
      <c r="I525">
        <v>0</v>
      </c>
      <c r="J525">
        <v>43538</v>
      </c>
    </row>
    <row r="526" spans="1:10" ht="12.75" hidden="1" customHeight="1">
      <c r="A526">
        <v>422500100</v>
      </c>
      <c r="B526" t="s">
        <v>2923</v>
      </c>
      <c r="C526">
        <v>782</v>
      </c>
      <c r="D526" t="s">
        <v>2991</v>
      </c>
      <c r="E526">
        <v>26</v>
      </c>
      <c r="F526">
        <v>25620674</v>
      </c>
      <c r="G526">
        <v>404670</v>
      </c>
      <c r="H526" t="s">
        <v>3003</v>
      </c>
      <c r="I526">
        <v>0</v>
      </c>
      <c r="J526">
        <v>43538</v>
      </c>
    </row>
    <row r="527" spans="1:10" ht="12.75" hidden="1" customHeight="1">
      <c r="A527">
        <v>422500100</v>
      </c>
      <c r="B527" t="s">
        <v>2923</v>
      </c>
      <c r="C527">
        <v>782</v>
      </c>
      <c r="D527" t="s">
        <v>2991</v>
      </c>
      <c r="E527">
        <v>26</v>
      </c>
      <c r="F527">
        <v>25620752</v>
      </c>
      <c r="G527">
        <v>1226995</v>
      </c>
      <c r="H527" t="s">
        <v>3003</v>
      </c>
      <c r="I527">
        <v>0</v>
      </c>
      <c r="J527">
        <v>43538</v>
      </c>
    </row>
    <row r="528" spans="1:10" ht="12.75" hidden="1" customHeight="1">
      <c r="A528">
        <v>422500100</v>
      </c>
      <c r="B528" t="s">
        <v>2923</v>
      </c>
      <c r="C528">
        <v>782</v>
      </c>
      <c r="D528" t="s">
        <v>2991</v>
      </c>
      <c r="E528">
        <v>26</v>
      </c>
      <c r="F528">
        <v>25621135</v>
      </c>
      <c r="G528">
        <v>141000</v>
      </c>
      <c r="H528" t="s">
        <v>3004</v>
      </c>
      <c r="I528">
        <v>0</v>
      </c>
      <c r="J528">
        <v>43538</v>
      </c>
    </row>
    <row r="529" spans="1:10" ht="12.75" hidden="1" customHeight="1">
      <c r="A529">
        <v>422500100</v>
      </c>
      <c r="B529" t="s">
        <v>2923</v>
      </c>
      <c r="C529">
        <v>782</v>
      </c>
      <c r="D529" t="s">
        <v>2991</v>
      </c>
      <c r="E529">
        <v>26</v>
      </c>
      <c r="F529">
        <v>25621235</v>
      </c>
      <c r="G529">
        <v>266538</v>
      </c>
      <c r="H529" t="s">
        <v>3005</v>
      </c>
      <c r="I529">
        <v>0</v>
      </c>
      <c r="J529">
        <v>43538</v>
      </c>
    </row>
    <row r="530" spans="1:10" ht="12.75" hidden="1" customHeight="1">
      <c r="A530">
        <v>422500100</v>
      </c>
      <c r="B530" t="s">
        <v>2923</v>
      </c>
      <c r="C530">
        <v>782</v>
      </c>
      <c r="D530" t="s">
        <v>2991</v>
      </c>
      <c r="E530">
        <v>26</v>
      </c>
      <c r="F530">
        <v>25685232</v>
      </c>
      <c r="G530">
        <v>247509</v>
      </c>
      <c r="H530" t="s">
        <v>3006</v>
      </c>
      <c r="I530">
        <v>0</v>
      </c>
      <c r="J530">
        <v>43546</v>
      </c>
    </row>
    <row r="531" spans="1:10" ht="12.75" hidden="1" customHeight="1">
      <c r="A531">
        <v>422500100</v>
      </c>
      <c r="B531" t="s">
        <v>2923</v>
      </c>
      <c r="C531">
        <v>782</v>
      </c>
      <c r="D531" t="s">
        <v>2991</v>
      </c>
      <c r="E531">
        <v>26</v>
      </c>
      <c r="F531">
        <v>2604</v>
      </c>
      <c r="G531">
        <v>24376</v>
      </c>
      <c r="H531" t="s">
        <v>3007</v>
      </c>
      <c r="I531">
        <v>0</v>
      </c>
      <c r="J531">
        <v>43581</v>
      </c>
    </row>
    <row r="532" spans="1:10" ht="12.75" hidden="1" customHeight="1">
      <c r="A532">
        <v>422500100</v>
      </c>
      <c r="B532" t="s">
        <v>2923</v>
      </c>
      <c r="C532">
        <v>782</v>
      </c>
      <c r="D532" t="s">
        <v>2991</v>
      </c>
      <c r="E532">
        <v>26</v>
      </c>
      <c r="F532">
        <v>2604</v>
      </c>
      <c r="G532">
        <v>24376</v>
      </c>
      <c r="H532" t="s">
        <v>3008</v>
      </c>
      <c r="I532">
        <v>0</v>
      </c>
      <c r="J532">
        <v>43581</v>
      </c>
    </row>
    <row r="533" spans="1:10" ht="12.75" hidden="1" customHeight="1">
      <c r="A533">
        <v>422500100</v>
      </c>
      <c r="B533" t="s">
        <v>2923</v>
      </c>
      <c r="C533">
        <v>782</v>
      </c>
      <c r="D533" t="s">
        <v>2991</v>
      </c>
      <c r="E533">
        <v>26</v>
      </c>
      <c r="F533">
        <v>2904</v>
      </c>
      <c r="G533">
        <v>24376</v>
      </c>
      <c r="H533" t="s">
        <v>3009</v>
      </c>
      <c r="I533">
        <v>0</v>
      </c>
      <c r="J533">
        <v>43584</v>
      </c>
    </row>
    <row r="534" spans="1:10" ht="12.75" hidden="1" customHeight="1">
      <c r="A534">
        <v>422500100</v>
      </c>
      <c r="B534" t="s">
        <v>2923</v>
      </c>
      <c r="C534">
        <v>782</v>
      </c>
      <c r="D534" t="s">
        <v>2991</v>
      </c>
      <c r="E534">
        <v>26</v>
      </c>
      <c r="F534">
        <v>2904</v>
      </c>
      <c r="G534">
        <v>24376</v>
      </c>
      <c r="H534" t="s">
        <v>3010</v>
      </c>
      <c r="I534">
        <v>0</v>
      </c>
      <c r="J534">
        <v>43584</v>
      </c>
    </row>
    <row r="535" spans="1:10" ht="12.75" hidden="1" customHeight="1">
      <c r="A535">
        <v>422500100</v>
      </c>
      <c r="B535" t="s">
        <v>2923</v>
      </c>
      <c r="C535">
        <v>782</v>
      </c>
      <c r="D535" t="s">
        <v>2991</v>
      </c>
      <c r="E535">
        <v>26</v>
      </c>
      <c r="F535">
        <v>2904</v>
      </c>
      <c r="G535">
        <v>24376</v>
      </c>
      <c r="H535" t="s">
        <v>3011</v>
      </c>
      <c r="I535">
        <v>0</v>
      </c>
      <c r="J535">
        <v>43584</v>
      </c>
    </row>
    <row r="536" spans="1:10" ht="12.75" hidden="1" customHeight="1">
      <c r="A536">
        <v>422500100</v>
      </c>
      <c r="B536" t="s">
        <v>2923</v>
      </c>
      <c r="C536">
        <v>782</v>
      </c>
      <c r="D536" t="s">
        <v>2991</v>
      </c>
      <c r="E536">
        <v>26</v>
      </c>
      <c r="F536">
        <v>2904</v>
      </c>
      <c r="G536">
        <v>24376</v>
      </c>
      <c r="H536" t="s">
        <v>3012</v>
      </c>
      <c r="I536">
        <v>0</v>
      </c>
      <c r="J536">
        <v>43584</v>
      </c>
    </row>
    <row r="537" spans="1:10" ht="12.75" hidden="1" customHeight="1">
      <c r="A537">
        <v>422500100</v>
      </c>
      <c r="B537" t="s">
        <v>2923</v>
      </c>
      <c r="C537">
        <v>782</v>
      </c>
      <c r="D537" t="s">
        <v>2991</v>
      </c>
      <c r="E537">
        <v>26</v>
      </c>
      <c r="F537">
        <v>2904</v>
      </c>
      <c r="G537">
        <v>24376</v>
      </c>
      <c r="H537" t="s">
        <v>3013</v>
      </c>
      <c r="I537">
        <v>0</v>
      </c>
      <c r="J537">
        <v>43584</v>
      </c>
    </row>
    <row r="538" spans="1:10" ht="12.75" hidden="1" customHeight="1">
      <c r="A538">
        <v>422500100</v>
      </c>
      <c r="B538" t="s">
        <v>2923</v>
      </c>
      <c r="C538">
        <v>782</v>
      </c>
      <c r="D538" t="s">
        <v>2991</v>
      </c>
      <c r="E538">
        <v>26</v>
      </c>
      <c r="F538">
        <v>25966556</v>
      </c>
      <c r="G538">
        <v>24376</v>
      </c>
      <c r="H538" t="s">
        <v>3014</v>
      </c>
      <c r="I538">
        <v>0</v>
      </c>
      <c r="J538">
        <v>43587</v>
      </c>
    </row>
    <row r="539" spans="1:10" ht="12.75" hidden="1" customHeight="1">
      <c r="A539">
        <v>422500100</v>
      </c>
      <c r="B539" t="s">
        <v>2923</v>
      </c>
      <c r="C539">
        <v>782</v>
      </c>
      <c r="D539" t="s">
        <v>2991</v>
      </c>
      <c r="E539">
        <v>26</v>
      </c>
      <c r="F539">
        <v>1305</v>
      </c>
      <c r="G539">
        <v>24376</v>
      </c>
      <c r="H539" t="s">
        <v>3015</v>
      </c>
      <c r="I539">
        <v>0</v>
      </c>
      <c r="J539">
        <v>43598</v>
      </c>
    </row>
    <row r="540" spans="1:10" ht="12.75" hidden="1" customHeight="1">
      <c r="A540">
        <v>422500100</v>
      </c>
      <c r="B540" t="s">
        <v>2923</v>
      </c>
      <c r="C540">
        <v>782</v>
      </c>
      <c r="D540" t="s">
        <v>2991</v>
      </c>
      <c r="E540">
        <v>26</v>
      </c>
      <c r="F540">
        <v>1305</v>
      </c>
      <c r="G540">
        <v>24376</v>
      </c>
      <c r="H540" t="s">
        <v>3015</v>
      </c>
      <c r="I540">
        <v>0</v>
      </c>
      <c r="J540">
        <v>43598</v>
      </c>
    </row>
    <row r="541" spans="1:10" ht="12.75" hidden="1" customHeight="1">
      <c r="A541">
        <v>422500100</v>
      </c>
      <c r="B541" t="s">
        <v>2923</v>
      </c>
      <c r="C541">
        <v>782</v>
      </c>
      <c r="D541" t="s">
        <v>2991</v>
      </c>
      <c r="E541">
        <v>26</v>
      </c>
      <c r="F541">
        <v>1305</v>
      </c>
      <c r="G541">
        <v>24376</v>
      </c>
      <c r="H541" t="s">
        <v>3016</v>
      </c>
      <c r="I541">
        <v>0</v>
      </c>
      <c r="J541">
        <v>43598</v>
      </c>
    </row>
    <row r="542" spans="1:10" ht="12.75" hidden="1" customHeight="1">
      <c r="A542">
        <v>422500100</v>
      </c>
      <c r="B542" t="s">
        <v>2923</v>
      </c>
      <c r="C542">
        <v>782</v>
      </c>
      <c r="D542" t="s">
        <v>2991</v>
      </c>
      <c r="E542">
        <v>26</v>
      </c>
      <c r="F542">
        <v>1305</v>
      </c>
      <c r="G542">
        <v>24376</v>
      </c>
      <c r="H542" t="s">
        <v>3017</v>
      </c>
      <c r="I542">
        <v>0</v>
      </c>
      <c r="J542">
        <v>43598</v>
      </c>
    </row>
    <row r="543" spans="1:10" ht="12.75" hidden="1" customHeight="1">
      <c r="A543">
        <v>422500100</v>
      </c>
      <c r="B543" t="s">
        <v>2923</v>
      </c>
      <c r="C543">
        <v>782</v>
      </c>
      <c r="D543" t="s">
        <v>2991</v>
      </c>
      <c r="E543">
        <v>26</v>
      </c>
      <c r="F543">
        <v>1305</v>
      </c>
      <c r="G543">
        <v>24376</v>
      </c>
      <c r="H543" t="s">
        <v>3018</v>
      </c>
      <c r="I543">
        <v>0</v>
      </c>
      <c r="J543">
        <v>43598</v>
      </c>
    </row>
    <row r="544" spans="1:10" ht="12.75" hidden="1" customHeight="1">
      <c r="A544">
        <v>422500100</v>
      </c>
      <c r="B544" t="s">
        <v>2923</v>
      </c>
      <c r="C544">
        <v>782</v>
      </c>
      <c r="D544" t="s">
        <v>2991</v>
      </c>
      <c r="E544">
        <v>26</v>
      </c>
      <c r="F544">
        <v>26033342</v>
      </c>
      <c r="G544">
        <v>24376</v>
      </c>
      <c r="H544" t="s">
        <v>3019</v>
      </c>
      <c r="I544">
        <v>0</v>
      </c>
      <c r="J544">
        <v>43598</v>
      </c>
    </row>
    <row r="545" spans="1:10" ht="12.75" hidden="1" customHeight="1">
      <c r="A545">
        <v>422500100</v>
      </c>
      <c r="B545" t="s">
        <v>2923</v>
      </c>
      <c r="C545">
        <v>782</v>
      </c>
      <c r="D545" t="s">
        <v>2991</v>
      </c>
      <c r="E545">
        <v>26</v>
      </c>
      <c r="F545">
        <v>26485223</v>
      </c>
      <c r="G545">
        <v>772456</v>
      </c>
      <c r="H545" t="s">
        <v>3020</v>
      </c>
      <c r="I545">
        <v>0</v>
      </c>
      <c r="J545">
        <v>43658</v>
      </c>
    </row>
    <row r="546" spans="1:10" ht="12.75" hidden="1" customHeight="1">
      <c r="A546">
        <v>422500100</v>
      </c>
      <c r="B546" t="s">
        <v>2923</v>
      </c>
      <c r="C546">
        <v>782</v>
      </c>
      <c r="D546" t="s">
        <v>2991</v>
      </c>
      <c r="E546">
        <v>26</v>
      </c>
      <c r="F546">
        <v>26485296</v>
      </c>
      <c r="G546">
        <v>49528</v>
      </c>
      <c r="H546" t="s">
        <v>3021</v>
      </c>
      <c r="I546">
        <v>0</v>
      </c>
      <c r="J546">
        <v>43658</v>
      </c>
    </row>
    <row r="547" spans="1:10" ht="12.75" hidden="1" customHeight="1">
      <c r="A547">
        <v>422500100</v>
      </c>
      <c r="B547" t="s">
        <v>2923</v>
      </c>
      <c r="C547">
        <v>782</v>
      </c>
      <c r="D547" t="s">
        <v>2991</v>
      </c>
      <c r="E547">
        <v>26</v>
      </c>
      <c r="F547">
        <v>26485955</v>
      </c>
      <c r="G547">
        <v>64386</v>
      </c>
      <c r="H547" t="s">
        <v>3022</v>
      </c>
      <c r="I547">
        <v>0</v>
      </c>
      <c r="J547">
        <v>43658</v>
      </c>
    </row>
    <row r="548" spans="1:10" ht="12.75" hidden="1" customHeight="1">
      <c r="A548">
        <v>422500100</v>
      </c>
      <c r="B548" t="s">
        <v>2923</v>
      </c>
      <c r="C548">
        <v>782</v>
      </c>
      <c r="D548" t="s">
        <v>2991</v>
      </c>
      <c r="E548">
        <v>26</v>
      </c>
      <c r="F548">
        <v>26486011</v>
      </c>
      <c r="G548">
        <v>799515</v>
      </c>
      <c r="H548" t="s">
        <v>3022</v>
      </c>
      <c r="I548">
        <v>0</v>
      </c>
      <c r="J548">
        <v>43658</v>
      </c>
    </row>
    <row r="549" spans="1:10" ht="12.75" hidden="1" customHeight="1">
      <c r="A549">
        <v>422500100</v>
      </c>
      <c r="B549" t="s">
        <v>2923</v>
      </c>
      <c r="C549">
        <v>782</v>
      </c>
      <c r="D549" t="s">
        <v>2991</v>
      </c>
      <c r="E549">
        <v>26</v>
      </c>
      <c r="F549">
        <v>26520353</v>
      </c>
      <c r="G549">
        <v>25302</v>
      </c>
      <c r="H549" t="s">
        <v>3023</v>
      </c>
      <c r="I549">
        <v>0</v>
      </c>
      <c r="J549">
        <v>43663</v>
      </c>
    </row>
    <row r="550" spans="1:10" ht="12.75" hidden="1" customHeight="1">
      <c r="A550">
        <v>422500100</v>
      </c>
      <c r="B550" t="s">
        <v>2923</v>
      </c>
      <c r="C550">
        <v>782</v>
      </c>
      <c r="D550" t="s">
        <v>2991</v>
      </c>
      <c r="E550">
        <v>26</v>
      </c>
      <c r="F550">
        <v>26520367</v>
      </c>
      <c r="G550">
        <v>25302</v>
      </c>
      <c r="H550" t="s">
        <v>3024</v>
      </c>
      <c r="I550">
        <v>0</v>
      </c>
      <c r="J550">
        <v>43663</v>
      </c>
    </row>
    <row r="551" spans="1:10" ht="12.75" hidden="1" customHeight="1">
      <c r="A551">
        <v>422500100</v>
      </c>
      <c r="B551" t="s">
        <v>2923</v>
      </c>
      <c r="C551">
        <v>782</v>
      </c>
      <c r="D551" t="s">
        <v>2991</v>
      </c>
      <c r="E551">
        <v>26</v>
      </c>
      <c r="F551">
        <v>26521231</v>
      </c>
      <c r="G551">
        <v>25302</v>
      </c>
      <c r="H551" t="s">
        <v>3025</v>
      </c>
      <c r="I551">
        <v>0</v>
      </c>
      <c r="J551">
        <v>43663</v>
      </c>
    </row>
    <row r="552" spans="1:10" ht="12.75" hidden="1" customHeight="1">
      <c r="A552">
        <v>422500100</v>
      </c>
      <c r="B552" t="s">
        <v>2923</v>
      </c>
      <c r="C552">
        <v>782</v>
      </c>
      <c r="D552" t="s">
        <v>2991</v>
      </c>
      <c r="E552">
        <v>26</v>
      </c>
      <c r="F552">
        <v>26521842</v>
      </c>
      <c r="G552">
        <v>25302</v>
      </c>
      <c r="H552" t="s">
        <v>3026</v>
      </c>
      <c r="I552">
        <v>0</v>
      </c>
      <c r="J552">
        <v>43663</v>
      </c>
    </row>
    <row r="553" spans="1:10" ht="12.75" hidden="1" customHeight="1">
      <c r="A553">
        <v>422500100</v>
      </c>
      <c r="B553" t="s">
        <v>2923</v>
      </c>
      <c r="C553">
        <v>782</v>
      </c>
      <c r="D553" t="s">
        <v>2991</v>
      </c>
      <c r="E553">
        <v>26</v>
      </c>
      <c r="F553">
        <v>26553766</v>
      </c>
      <c r="G553">
        <v>85000</v>
      </c>
      <c r="H553" t="s">
        <v>3027</v>
      </c>
      <c r="I553">
        <v>0</v>
      </c>
      <c r="J553">
        <v>43668</v>
      </c>
    </row>
    <row r="554" spans="1:10" ht="12.75" hidden="1" customHeight="1">
      <c r="A554">
        <v>422500100</v>
      </c>
      <c r="B554" t="s">
        <v>2923</v>
      </c>
      <c r="C554">
        <v>782</v>
      </c>
      <c r="D554" t="s">
        <v>2991</v>
      </c>
      <c r="E554">
        <v>26</v>
      </c>
      <c r="F554">
        <v>26553785</v>
      </c>
      <c r="G554">
        <v>168620</v>
      </c>
      <c r="H554" t="s">
        <v>3028</v>
      </c>
      <c r="I554">
        <v>0</v>
      </c>
      <c r="J554">
        <v>43668</v>
      </c>
    </row>
    <row r="555" spans="1:10" ht="12.75" hidden="1" customHeight="1">
      <c r="A555">
        <v>422500100</v>
      </c>
      <c r="B555" t="s">
        <v>2923</v>
      </c>
      <c r="C555">
        <v>782</v>
      </c>
      <c r="D555" t="s">
        <v>2991</v>
      </c>
      <c r="E555">
        <v>26</v>
      </c>
      <c r="F555">
        <v>26553812</v>
      </c>
      <c r="G555">
        <v>100503</v>
      </c>
      <c r="H555" t="s">
        <v>3029</v>
      </c>
      <c r="I555">
        <v>0</v>
      </c>
      <c r="J555">
        <v>43668</v>
      </c>
    </row>
    <row r="556" spans="1:10" ht="12.75" hidden="1" customHeight="1">
      <c r="A556">
        <v>422500100</v>
      </c>
      <c r="B556" t="s">
        <v>2923</v>
      </c>
      <c r="C556">
        <v>782</v>
      </c>
      <c r="D556" t="s">
        <v>2991</v>
      </c>
      <c r="E556">
        <v>26</v>
      </c>
      <c r="F556">
        <v>26559809</v>
      </c>
      <c r="G556">
        <v>916160</v>
      </c>
      <c r="H556" t="s">
        <v>3030</v>
      </c>
      <c r="I556">
        <v>0</v>
      </c>
      <c r="J556">
        <v>43669</v>
      </c>
    </row>
    <row r="557" spans="1:10" ht="12.75" hidden="1" customHeight="1">
      <c r="A557">
        <v>422500100</v>
      </c>
      <c r="B557" t="s">
        <v>2923</v>
      </c>
      <c r="C557">
        <v>782</v>
      </c>
      <c r="D557" t="s">
        <v>2991</v>
      </c>
      <c r="E557">
        <v>26</v>
      </c>
      <c r="F557">
        <v>26784555</v>
      </c>
      <c r="G557">
        <v>25302</v>
      </c>
      <c r="H557" t="s">
        <v>3031</v>
      </c>
      <c r="I557">
        <v>0</v>
      </c>
      <c r="J557">
        <v>43699</v>
      </c>
    </row>
    <row r="558" spans="1:10" ht="12.75" hidden="1" customHeight="1">
      <c r="A558">
        <v>422500100</v>
      </c>
      <c r="B558" t="s">
        <v>2923</v>
      </c>
      <c r="C558">
        <v>782</v>
      </c>
      <c r="D558" t="s">
        <v>2991</v>
      </c>
      <c r="E558">
        <v>26</v>
      </c>
      <c r="F558">
        <v>26784597</v>
      </c>
      <c r="G558">
        <v>25302</v>
      </c>
      <c r="H558" t="s">
        <v>3032</v>
      </c>
      <c r="I558">
        <v>0</v>
      </c>
      <c r="J558">
        <v>43699</v>
      </c>
    </row>
    <row r="559" spans="1:10" ht="12.75" hidden="1" customHeight="1">
      <c r="A559">
        <v>422500100</v>
      </c>
      <c r="B559" t="s">
        <v>2923</v>
      </c>
      <c r="C559">
        <v>782</v>
      </c>
      <c r="D559" t="s">
        <v>2991</v>
      </c>
      <c r="E559">
        <v>26</v>
      </c>
      <c r="F559">
        <v>26784666</v>
      </c>
      <c r="G559">
        <v>25302</v>
      </c>
      <c r="H559" t="s">
        <v>3033</v>
      </c>
      <c r="I559">
        <v>0</v>
      </c>
      <c r="J559">
        <v>43699</v>
      </c>
    </row>
    <row r="560" spans="1:10" ht="12.75" hidden="1" customHeight="1">
      <c r="A560">
        <v>422500100</v>
      </c>
      <c r="B560" t="s">
        <v>2923</v>
      </c>
      <c r="C560">
        <v>782</v>
      </c>
      <c r="D560" t="s">
        <v>2991</v>
      </c>
      <c r="E560">
        <v>26</v>
      </c>
      <c r="F560">
        <v>26784682</v>
      </c>
      <c r="G560">
        <v>25302</v>
      </c>
      <c r="H560" t="s">
        <v>3033</v>
      </c>
      <c r="I560">
        <v>0</v>
      </c>
      <c r="J560">
        <v>43699</v>
      </c>
    </row>
    <row r="561" spans="1:10" ht="12.75" hidden="1" customHeight="1">
      <c r="A561">
        <v>422500100</v>
      </c>
      <c r="B561" t="s">
        <v>2923</v>
      </c>
      <c r="C561">
        <v>782</v>
      </c>
      <c r="D561" t="s">
        <v>2991</v>
      </c>
      <c r="E561">
        <v>26</v>
      </c>
      <c r="F561">
        <v>26793487</v>
      </c>
      <c r="G561">
        <v>117477</v>
      </c>
      <c r="H561" t="s">
        <v>3034</v>
      </c>
      <c r="I561">
        <v>0</v>
      </c>
      <c r="J561">
        <v>43700</v>
      </c>
    </row>
    <row r="562" spans="1:10" ht="12.75" hidden="1" customHeight="1">
      <c r="A562">
        <v>422500100</v>
      </c>
      <c r="B562" t="s">
        <v>2923</v>
      </c>
      <c r="C562">
        <v>782</v>
      </c>
      <c r="D562" t="s">
        <v>2991</v>
      </c>
      <c r="E562">
        <v>26</v>
      </c>
      <c r="F562">
        <v>26793557</v>
      </c>
      <c r="G562">
        <v>425000</v>
      </c>
      <c r="H562" t="s">
        <v>3035</v>
      </c>
      <c r="I562">
        <v>0</v>
      </c>
      <c r="J562">
        <v>43700</v>
      </c>
    </row>
    <row r="563" spans="1:10" ht="12.75" hidden="1" customHeight="1">
      <c r="A563">
        <v>422500100</v>
      </c>
      <c r="B563" t="s">
        <v>2923</v>
      </c>
      <c r="C563">
        <v>782</v>
      </c>
      <c r="D563" t="s">
        <v>2991</v>
      </c>
      <c r="E563">
        <v>26</v>
      </c>
      <c r="F563">
        <v>26793749</v>
      </c>
      <c r="G563">
        <v>605470</v>
      </c>
      <c r="H563" t="s">
        <v>3036</v>
      </c>
      <c r="I563">
        <v>0</v>
      </c>
      <c r="J563">
        <v>43700</v>
      </c>
    </row>
    <row r="564" spans="1:10" ht="12.75" hidden="1" customHeight="1">
      <c r="A564">
        <v>422500100</v>
      </c>
      <c r="B564" t="s">
        <v>2923</v>
      </c>
      <c r="C564">
        <v>782</v>
      </c>
      <c r="D564" t="s">
        <v>2991</v>
      </c>
      <c r="E564">
        <v>26</v>
      </c>
      <c r="F564">
        <v>26793834</v>
      </c>
      <c r="G564">
        <v>606000</v>
      </c>
      <c r="H564" t="s">
        <v>3037</v>
      </c>
      <c r="I564">
        <v>0</v>
      </c>
      <c r="J564">
        <v>43700</v>
      </c>
    </row>
    <row r="565" spans="1:10" ht="12.75" hidden="1" customHeight="1">
      <c r="A565">
        <v>422500100</v>
      </c>
      <c r="B565" t="s">
        <v>2923</v>
      </c>
      <c r="C565">
        <v>782</v>
      </c>
      <c r="D565" t="s">
        <v>2991</v>
      </c>
      <c r="E565">
        <v>26</v>
      </c>
      <c r="F565">
        <v>26793959</v>
      </c>
      <c r="G565">
        <v>157685</v>
      </c>
      <c r="H565" t="s">
        <v>3038</v>
      </c>
      <c r="I565">
        <v>0</v>
      </c>
      <c r="J565">
        <v>43700</v>
      </c>
    </row>
    <row r="566" spans="1:10" ht="12.75" hidden="1" customHeight="1">
      <c r="A566">
        <v>422500100</v>
      </c>
      <c r="B566" t="s">
        <v>2923</v>
      </c>
      <c r="C566">
        <v>782</v>
      </c>
      <c r="D566" t="s">
        <v>2991</v>
      </c>
      <c r="E566">
        <v>26</v>
      </c>
      <c r="F566">
        <v>26794134</v>
      </c>
      <c r="G566">
        <v>165460</v>
      </c>
      <c r="H566" t="s">
        <v>3032</v>
      </c>
      <c r="I566">
        <v>0</v>
      </c>
      <c r="J566">
        <v>43700</v>
      </c>
    </row>
    <row r="567" spans="1:10" ht="12.75" hidden="1" customHeight="1">
      <c r="A567">
        <v>422500100</v>
      </c>
      <c r="B567" t="s">
        <v>2923</v>
      </c>
      <c r="C567">
        <v>782</v>
      </c>
      <c r="D567" t="s">
        <v>2991</v>
      </c>
      <c r="E567">
        <v>26</v>
      </c>
      <c r="F567">
        <v>26794776</v>
      </c>
      <c r="G567">
        <v>25302</v>
      </c>
      <c r="H567" t="s">
        <v>3039</v>
      </c>
      <c r="I567">
        <v>0</v>
      </c>
      <c r="J567">
        <v>43700</v>
      </c>
    </row>
    <row r="568" spans="1:10" ht="12.75" hidden="1" customHeight="1">
      <c r="A568">
        <v>422500100</v>
      </c>
      <c r="B568" t="s">
        <v>2923</v>
      </c>
      <c r="C568">
        <v>782</v>
      </c>
      <c r="D568" t="s">
        <v>2991</v>
      </c>
      <c r="E568">
        <v>26</v>
      </c>
      <c r="F568">
        <v>220219</v>
      </c>
      <c r="G568">
        <v>1991458</v>
      </c>
      <c r="H568" t="s">
        <v>3040</v>
      </c>
      <c r="I568">
        <v>0</v>
      </c>
      <c r="J568">
        <v>43710</v>
      </c>
    </row>
    <row r="569" spans="1:10" ht="12.75" hidden="1" customHeight="1">
      <c r="A569">
        <v>422500100</v>
      </c>
      <c r="B569" t="s">
        <v>2923</v>
      </c>
      <c r="C569">
        <v>782</v>
      </c>
      <c r="D569" t="s">
        <v>2991</v>
      </c>
      <c r="E569">
        <v>26</v>
      </c>
      <c r="F569">
        <v>16042019</v>
      </c>
      <c r="G569">
        <v>810354</v>
      </c>
      <c r="H569" t="s">
        <v>3041</v>
      </c>
      <c r="I569">
        <v>0</v>
      </c>
      <c r="J569">
        <v>43710</v>
      </c>
    </row>
    <row r="570" spans="1:10" ht="12.75" hidden="1" customHeight="1">
      <c r="A570">
        <v>422500100</v>
      </c>
      <c r="B570" t="s">
        <v>2923</v>
      </c>
      <c r="C570">
        <v>782</v>
      </c>
      <c r="D570" t="s">
        <v>2991</v>
      </c>
      <c r="E570">
        <v>26</v>
      </c>
      <c r="F570">
        <v>5092019</v>
      </c>
      <c r="G570">
        <v>33736</v>
      </c>
      <c r="H570" t="s">
        <v>3042</v>
      </c>
      <c r="I570">
        <v>0</v>
      </c>
      <c r="J570">
        <v>43713</v>
      </c>
    </row>
    <row r="571" spans="1:10" ht="12.75" hidden="1" customHeight="1">
      <c r="A571">
        <v>422500100</v>
      </c>
      <c r="B571" t="s">
        <v>2923</v>
      </c>
      <c r="C571">
        <v>782</v>
      </c>
      <c r="D571" t="s">
        <v>2991</v>
      </c>
      <c r="E571">
        <v>26</v>
      </c>
      <c r="F571">
        <v>26895253</v>
      </c>
      <c r="G571">
        <v>807945</v>
      </c>
      <c r="H571" t="s">
        <v>3043</v>
      </c>
      <c r="I571">
        <v>0</v>
      </c>
      <c r="J571">
        <v>43713</v>
      </c>
    </row>
    <row r="572" spans="1:10" ht="12.75" hidden="1" customHeight="1">
      <c r="A572">
        <v>422500100</v>
      </c>
      <c r="B572" t="s">
        <v>2923</v>
      </c>
      <c r="C572">
        <v>782</v>
      </c>
      <c r="D572" t="s">
        <v>2991</v>
      </c>
      <c r="E572">
        <v>26</v>
      </c>
      <c r="F572">
        <v>26895803</v>
      </c>
      <c r="G572">
        <v>25302</v>
      </c>
      <c r="H572" t="s">
        <v>3044</v>
      </c>
      <c r="I572">
        <v>0</v>
      </c>
      <c r="J572">
        <v>43713</v>
      </c>
    </row>
    <row r="573" spans="1:10" ht="12.75" hidden="1" customHeight="1">
      <c r="A573">
        <v>422500100</v>
      </c>
      <c r="B573" t="s">
        <v>2923</v>
      </c>
      <c r="C573">
        <v>782</v>
      </c>
      <c r="D573" t="s">
        <v>2991</v>
      </c>
      <c r="E573">
        <v>26</v>
      </c>
      <c r="F573">
        <v>26895851</v>
      </c>
      <c r="G573">
        <v>25302</v>
      </c>
      <c r="H573" t="s">
        <v>3045</v>
      </c>
      <c r="I573">
        <v>0</v>
      </c>
      <c r="J573">
        <v>43713</v>
      </c>
    </row>
    <row r="574" spans="1:10" ht="12.75" hidden="1" customHeight="1">
      <c r="A574">
        <v>422500100</v>
      </c>
      <c r="B574" t="s">
        <v>2923</v>
      </c>
      <c r="C574">
        <v>782</v>
      </c>
      <c r="D574" t="s">
        <v>2991</v>
      </c>
      <c r="E574">
        <v>26</v>
      </c>
      <c r="F574">
        <v>26965094</v>
      </c>
      <c r="G574">
        <v>25302</v>
      </c>
      <c r="H574" t="s">
        <v>3046</v>
      </c>
      <c r="I574">
        <v>0</v>
      </c>
      <c r="J574">
        <v>43724</v>
      </c>
    </row>
    <row r="575" spans="1:10" ht="12.75" hidden="1" customHeight="1">
      <c r="A575">
        <v>422500100</v>
      </c>
      <c r="B575" t="s">
        <v>2923</v>
      </c>
      <c r="C575">
        <v>782</v>
      </c>
      <c r="D575" t="s">
        <v>2991</v>
      </c>
      <c r="E575">
        <v>26</v>
      </c>
      <c r="F575">
        <v>26965116</v>
      </c>
      <c r="G575">
        <v>25302</v>
      </c>
      <c r="H575" t="s">
        <v>3047</v>
      </c>
      <c r="I575">
        <v>0</v>
      </c>
      <c r="J575">
        <v>43724</v>
      </c>
    </row>
    <row r="576" spans="1:10" ht="12.75" hidden="1" customHeight="1">
      <c r="A576">
        <v>422500100</v>
      </c>
      <c r="B576" t="s">
        <v>2923</v>
      </c>
      <c r="C576">
        <v>782</v>
      </c>
      <c r="D576" t="s">
        <v>2991</v>
      </c>
      <c r="E576">
        <v>26</v>
      </c>
      <c r="F576">
        <v>27273377</v>
      </c>
      <c r="G576">
        <v>25302</v>
      </c>
      <c r="H576" t="s">
        <v>3048</v>
      </c>
      <c r="I576">
        <v>0</v>
      </c>
      <c r="J576">
        <v>43766</v>
      </c>
    </row>
    <row r="577" spans="1:10" ht="12.75" hidden="1" customHeight="1">
      <c r="A577">
        <v>422500100</v>
      </c>
      <c r="B577" t="s">
        <v>2923</v>
      </c>
      <c r="C577">
        <v>782</v>
      </c>
      <c r="D577" t="s">
        <v>2991</v>
      </c>
      <c r="E577">
        <v>26</v>
      </c>
      <c r="F577">
        <v>27273393</v>
      </c>
      <c r="G577">
        <v>25302</v>
      </c>
      <c r="H577" t="s">
        <v>3049</v>
      </c>
      <c r="I577">
        <v>0</v>
      </c>
      <c r="J577">
        <v>43766</v>
      </c>
    </row>
    <row r="578" spans="1:10" ht="12.75" hidden="1" customHeight="1">
      <c r="A578">
        <v>422500100</v>
      </c>
      <c r="B578" t="s">
        <v>2923</v>
      </c>
      <c r="C578">
        <v>782</v>
      </c>
      <c r="D578" t="s">
        <v>2991</v>
      </c>
      <c r="E578">
        <v>26</v>
      </c>
      <c r="F578">
        <v>27273416</v>
      </c>
      <c r="G578">
        <v>25302</v>
      </c>
      <c r="H578" t="s">
        <v>3050</v>
      </c>
      <c r="I578">
        <v>0</v>
      </c>
      <c r="J578">
        <v>43766</v>
      </c>
    </row>
    <row r="579" spans="1:10" ht="12.75" hidden="1" customHeight="1">
      <c r="A579">
        <v>422500100</v>
      </c>
      <c r="B579" t="s">
        <v>2923</v>
      </c>
      <c r="C579">
        <v>782</v>
      </c>
      <c r="D579" t="s">
        <v>2991</v>
      </c>
      <c r="E579">
        <v>26</v>
      </c>
      <c r="F579">
        <v>27421276</v>
      </c>
      <c r="G579">
        <v>493810</v>
      </c>
      <c r="H579" t="s">
        <v>3051</v>
      </c>
      <c r="I579">
        <v>0</v>
      </c>
      <c r="J579">
        <v>43788</v>
      </c>
    </row>
    <row r="580" spans="1:10" ht="12.75" hidden="1" customHeight="1">
      <c r="A580">
        <v>422500100</v>
      </c>
      <c r="B580" t="s">
        <v>2923</v>
      </c>
      <c r="C580">
        <v>782</v>
      </c>
      <c r="D580" t="s">
        <v>2991</v>
      </c>
      <c r="E580">
        <v>26</v>
      </c>
      <c r="F580">
        <v>27421346</v>
      </c>
      <c r="G580">
        <v>518000</v>
      </c>
      <c r="H580" t="s">
        <v>3052</v>
      </c>
      <c r="I580">
        <v>0</v>
      </c>
      <c r="J580">
        <v>43788</v>
      </c>
    </row>
    <row r="581" spans="1:10" ht="12.75" hidden="1" customHeight="1">
      <c r="A581">
        <v>422500100</v>
      </c>
      <c r="B581" t="s">
        <v>2923</v>
      </c>
      <c r="C581">
        <v>782</v>
      </c>
      <c r="D581" t="s">
        <v>2991</v>
      </c>
      <c r="E581">
        <v>26</v>
      </c>
      <c r="F581">
        <v>27421404</v>
      </c>
      <c r="G581">
        <v>372000</v>
      </c>
      <c r="H581" t="s">
        <v>3053</v>
      </c>
      <c r="I581">
        <v>0</v>
      </c>
      <c r="J581">
        <v>43788</v>
      </c>
    </row>
    <row r="582" spans="1:10" ht="12.75" hidden="1" customHeight="1">
      <c r="A582">
        <v>422500100</v>
      </c>
      <c r="B582" t="s">
        <v>2923</v>
      </c>
      <c r="C582">
        <v>782</v>
      </c>
      <c r="D582" t="s">
        <v>2991</v>
      </c>
      <c r="E582">
        <v>26</v>
      </c>
      <c r="F582">
        <v>27421421</v>
      </c>
      <c r="G582">
        <v>150000</v>
      </c>
      <c r="H582" t="s">
        <v>3054</v>
      </c>
      <c r="I582">
        <v>0</v>
      </c>
      <c r="J582">
        <v>43788</v>
      </c>
    </row>
    <row r="583" spans="1:10" ht="12.75" hidden="1" customHeight="1">
      <c r="A583">
        <v>422500100</v>
      </c>
      <c r="B583" t="s">
        <v>2923</v>
      </c>
      <c r="C583">
        <v>782</v>
      </c>
      <c r="D583" t="s">
        <v>2991</v>
      </c>
      <c r="E583">
        <v>26</v>
      </c>
      <c r="F583">
        <v>27421536</v>
      </c>
      <c r="G583">
        <v>99225</v>
      </c>
      <c r="H583" t="s">
        <v>3055</v>
      </c>
      <c r="I583">
        <v>0</v>
      </c>
      <c r="J583">
        <v>43788</v>
      </c>
    </row>
    <row r="584" spans="1:10" ht="12.75" hidden="1" customHeight="1">
      <c r="A584">
        <v>422500100</v>
      </c>
      <c r="B584" t="s">
        <v>2923</v>
      </c>
      <c r="C584">
        <v>782</v>
      </c>
      <c r="D584" t="s">
        <v>2991</v>
      </c>
      <c r="E584">
        <v>26</v>
      </c>
      <c r="F584">
        <v>27421560</v>
      </c>
      <c r="G584">
        <v>255300</v>
      </c>
      <c r="H584" t="s">
        <v>3056</v>
      </c>
      <c r="I584">
        <v>0</v>
      </c>
      <c r="J584">
        <v>43788</v>
      </c>
    </row>
    <row r="585" spans="1:10" ht="12.75" hidden="1" customHeight="1">
      <c r="A585">
        <v>422500100</v>
      </c>
      <c r="B585" t="s">
        <v>2923</v>
      </c>
      <c r="C585">
        <v>782</v>
      </c>
      <c r="D585" t="s">
        <v>2991</v>
      </c>
      <c r="E585">
        <v>26</v>
      </c>
      <c r="F585">
        <v>27421656</v>
      </c>
      <c r="G585">
        <v>240000</v>
      </c>
      <c r="H585" t="s">
        <v>3057</v>
      </c>
      <c r="I585">
        <v>0</v>
      </c>
      <c r="J585">
        <v>43788</v>
      </c>
    </row>
    <row r="586" spans="1:10" ht="12.75" hidden="1" customHeight="1">
      <c r="A586">
        <v>422500100</v>
      </c>
      <c r="B586" t="s">
        <v>2923</v>
      </c>
      <c r="C586">
        <v>782</v>
      </c>
      <c r="D586" t="s">
        <v>2991</v>
      </c>
      <c r="E586">
        <v>26</v>
      </c>
      <c r="F586">
        <v>27422327</v>
      </c>
      <c r="G586">
        <v>84650</v>
      </c>
      <c r="H586" t="s">
        <v>3058</v>
      </c>
      <c r="I586">
        <v>0</v>
      </c>
      <c r="J586">
        <v>43788</v>
      </c>
    </row>
    <row r="587" spans="1:10" ht="12.75" hidden="1" customHeight="1">
      <c r="A587">
        <v>422500100</v>
      </c>
      <c r="B587" t="s">
        <v>2923</v>
      </c>
      <c r="C587">
        <v>782</v>
      </c>
      <c r="D587" t="s">
        <v>2991</v>
      </c>
      <c r="E587">
        <v>26</v>
      </c>
      <c r="F587">
        <v>27422417</v>
      </c>
      <c r="G587">
        <v>25302</v>
      </c>
      <c r="H587" t="s">
        <v>3059</v>
      </c>
      <c r="I587">
        <v>0</v>
      </c>
      <c r="J587">
        <v>43788</v>
      </c>
    </row>
    <row r="588" spans="1:10" ht="12.75" hidden="1" customHeight="1">
      <c r="A588">
        <v>422500100</v>
      </c>
      <c r="B588" t="s">
        <v>2923</v>
      </c>
      <c r="C588">
        <v>782</v>
      </c>
      <c r="D588" t="s">
        <v>2991</v>
      </c>
      <c r="E588">
        <v>26</v>
      </c>
      <c r="F588">
        <v>27422434</v>
      </c>
      <c r="G588">
        <v>25302</v>
      </c>
      <c r="H588" t="s">
        <v>3060</v>
      </c>
      <c r="I588">
        <v>0</v>
      </c>
      <c r="J588">
        <v>43788</v>
      </c>
    </row>
    <row r="589" spans="1:10" ht="12.75" hidden="1" customHeight="1">
      <c r="A589">
        <v>422500100</v>
      </c>
      <c r="B589" t="s">
        <v>2923</v>
      </c>
      <c r="C589">
        <v>782</v>
      </c>
      <c r="D589" t="s">
        <v>2991</v>
      </c>
      <c r="E589">
        <v>26</v>
      </c>
      <c r="F589">
        <v>27422441</v>
      </c>
      <c r="G589">
        <v>25302</v>
      </c>
      <c r="H589" t="s">
        <v>3061</v>
      </c>
      <c r="I589">
        <v>0</v>
      </c>
      <c r="J589">
        <v>43788</v>
      </c>
    </row>
    <row r="590" spans="1:10" ht="12.75" hidden="1" customHeight="1">
      <c r="A590">
        <v>422500100</v>
      </c>
      <c r="B590" t="s">
        <v>2923</v>
      </c>
      <c r="C590">
        <v>782</v>
      </c>
      <c r="D590" t="s">
        <v>2991</v>
      </c>
      <c r="E590">
        <v>26</v>
      </c>
      <c r="F590">
        <v>27422445</v>
      </c>
      <c r="G590">
        <v>25302</v>
      </c>
      <c r="H590" t="s">
        <v>3062</v>
      </c>
      <c r="I590">
        <v>0</v>
      </c>
      <c r="J590">
        <v>43788</v>
      </c>
    </row>
    <row r="591" spans="1:10" ht="12.75" hidden="1" customHeight="1">
      <c r="A591">
        <v>422500100</v>
      </c>
      <c r="B591" t="s">
        <v>2923</v>
      </c>
      <c r="C591">
        <v>782</v>
      </c>
      <c r="D591" t="s">
        <v>2991</v>
      </c>
      <c r="E591">
        <v>26</v>
      </c>
      <c r="F591">
        <v>27422460</v>
      </c>
      <c r="G591">
        <v>25302</v>
      </c>
      <c r="H591" t="s">
        <v>3063</v>
      </c>
      <c r="I591">
        <v>0</v>
      </c>
      <c r="J591">
        <v>43788</v>
      </c>
    </row>
    <row r="592" spans="1:10" ht="12.75" hidden="1" customHeight="1">
      <c r="A592">
        <v>422500100</v>
      </c>
      <c r="B592" t="s">
        <v>2923</v>
      </c>
      <c r="C592">
        <v>782</v>
      </c>
      <c r="D592" t="s">
        <v>2991</v>
      </c>
      <c r="E592">
        <v>26</v>
      </c>
      <c r="F592">
        <v>27422468</v>
      </c>
      <c r="G592">
        <v>25302</v>
      </c>
      <c r="H592" t="s">
        <v>3064</v>
      </c>
      <c r="I592">
        <v>0</v>
      </c>
      <c r="J592">
        <v>43788</v>
      </c>
    </row>
    <row r="593" spans="1:10" ht="12.75" hidden="1" customHeight="1">
      <c r="A593">
        <v>422500100</v>
      </c>
      <c r="B593" t="s">
        <v>2923</v>
      </c>
      <c r="C593">
        <v>782</v>
      </c>
      <c r="D593" t="s">
        <v>2991</v>
      </c>
      <c r="E593">
        <v>26</v>
      </c>
      <c r="F593">
        <v>27422524</v>
      </c>
      <c r="G593">
        <v>25302</v>
      </c>
      <c r="H593" t="s">
        <v>3065</v>
      </c>
      <c r="I593">
        <v>0</v>
      </c>
      <c r="J593">
        <v>43788</v>
      </c>
    </row>
    <row r="594" spans="1:10" ht="12.75" hidden="1" customHeight="1">
      <c r="A594">
        <v>422500100</v>
      </c>
      <c r="B594" t="s">
        <v>2923</v>
      </c>
      <c r="C594">
        <v>782</v>
      </c>
      <c r="D594" t="s">
        <v>2991</v>
      </c>
      <c r="E594">
        <v>26</v>
      </c>
      <c r="F594">
        <v>274225530</v>
      </c>
      <c r="G594">
        <v>25302</v>
      </c>
      <c r="H594" t="s">
        <v>3066</v>
      </c>
      <c r="I594">
        <v>0</v>
      </c>
      <c r="J594">
        <v>43788</v>
      </c>
    </row>
    <row r="595" spans="1:10" ht="12.75" hidden="1" customHeight="1">
      <c r="A595">
        <v>422500100</v>
      </c>
      <c r="B595" t="s">
        <v>2923</v>
      </c>
      <c r="C595">
        <v>782</v>
      </c>
      <c r="D595" t="s">
        <v>2991</v>
      </c>
      <c r="E595">
        <v>26</v>
      </c>
      <c r="F595">
        <v>27428156</v>
      </c>
      <c r="G595">
        <v>824000</v>
      </c>
      <c r="H595" t="s">
        <v>3067</v>
      </c>
      <c r="I595">
        <v>0</v>
      </c>
      <c r="J595">
        <v>43789</v>
      </c>
    </row>
    <row r="596" spans="1:10" ht="12.75" hidden="1" customHeight="1">
      <c r="A596">
        <v>422500100</v>
      </c>
      <c r="B596" t="s">
        <v>2923</v>
      </c>
      <c r="C596">
        <v>782</v>
      </c>
      <c r="D596" t="s">
        <v>2991</v>
      </c>
      <c r="E596">
        <v>26</v>
      </c>
      <c r="F596">
        <v>27428180</v>
      </c>
      <c r="G596">
        <v>195050</v>
      </c>
      <c r="H596" t="s">
        <v>3068</v>
      </c>
      <c r="I596">
        <v>0</v>
      </c>
      <c r="J596">
        <v>43789</v>
      </c>
    </row>
    <row r="597" spans="1:10" ht="12.75" hidden="1" customHeight="1">
      <c r="A597">
        <v>422500100</v>
      </c>
      <c r="B597" t="s">
        <v>2923</v>
      </c>
      <c r="C597">
        <v>782</v>
      </c>
      <c r="D597" t="s">
        <v>2991</v>
      </c>
      <c r="E597">
        <v>26</v>
      </c>
      <c r="F597">
        <v>27428229</v>
      </c>
      <c r="G597">
        <v>446455</v>
      </c>
      <c r="H597" t="s">
        <v>3069</v>
      </c>
      <c r="I597">
        <v>0</v>
      </c>
      <c r="J597">
        <v>43789</v>
      </c>
    </row>
    <row r="598" spans="1:10" ht="12.75" hidden="1" customHeight="1">
      <c r="A598">
        <v>422500100</v>
      </c>
      <c r="B598" t="s">
        <v>2923</v>
      </c>
      <c r="C598">
        <v>782</v>
      </c>
      <c r="D598" t="s">
        <v>2991</v>
      </c>
      <c r="E598">
        <v>26</v>
      </c>
      <c r="F598">
        <v>27428242</v>
      </c>
      <c r="G598">
        <v>345400</v>
      </c>
      <c r="H598" t="s">
        <v>3070</v>
      </c>
      <c r="I598">
        <v>0</v>
      </c>
      <c r="J598">
        <v>43789</v>
      </c>
    </row>
    <row r="599" spans="1:10" ht="12.75" hidden="1" customHeight="1">
      <c r="A599">
        <v>422500100</v>
      </c>
      <c r="B599" t="s">
        <v>2923</v>
      </c>
      <c r="C599">
        <v>782</v>
      </c>
      <c r="D599" t="s">
        <v>2991</v>
      </c>
      <c r="E599">
        <v>26</v>
      </c>
      <c r="F599">
        <v>27428277</v>
      </c>
      <c r="G599">
        <v>456700</v>
      </c>
      <c r="H599" t="s">
        <v>3071</v>
      </c>
      <c r="I599">
        <v>0</v>
      </c>
      <c r="J599">
        <v>43789</v>
      </c>
    </row>
    <row r="600" spans="1:10" ht="12.75" hidden="1" customHeight="1">
      <c r="A600">
        <v>422500100</v>
      </c>
      <c r="B600" t="s">
        <v>2923</v>
      </c>
      <c r="C600">
        <v>782</v>
      </c>
      <c r="D600" t="s">
        <v>2991</v>
      </c>
      <c r="E600">
        <v>26</v>
      </c>
      <c r="F600">
        <v>27428285</v>
      </c>
      <c r="G600">
        <v>233100</v>
      </c>
      <c r="H600" t="s">
        <v>3072</v>
      </c>
      <c r="I600">
        <v>0</v>
      </c>
      <c r="J600">
        <v>43789</v>
      </c>
    </row>
    <row r="601" spans="1:10" ht="12.75" hidden="1" customHeight="1">
      <c r="A601">
        <v>422500100</v>
      </c>
      <c r="B601" t="s">
        <v>2923</v>
      </c>
      <c r="C601">
        <v>782</v>
      </c>
      <c r="D601" t="s">
        <v>2991</v>
      </c>
      <c r="E601">
        <v>26</v>
      </c>
      <c r="F601">
        <v>27428309</v>
      </c>
      <c r="G601">
        <v>25302</v>
      </c>
      <c r="H601" t="s">
        <v>3073</v>
      </c>
      <c r="I601">
        <v>0</v>
      </c>
      <c r="J601">
        <v>43789</v>
      </c>
    </row>
    <row r="602" spans="1:10" ht="12.75" hidden="1" customHeight="1">
      <c r="A602">
        <v>422500100</v>
      </c>
      <c r="B602" t="s">
        <v>2923</v>
      </c>
      <c r="C602">
        <v>782</v>
      </c>
      <c r="D602" t="s">
        <v>2991</v>
      </c>
      <c r="E602">
        <v>26</v>
      </c>
      <c r="F602">
        <v>27428317</v>
      </c>
      <c r="G602">
        <v>25302</v>
      </c>
      <c r="H602" t="s">
        <v>3074</v>
      </c>
      <c r="I602">
        <v>0</v>
      </c>
      <c r="J602">
        <v>43789</v>
      </c>
    </row>
    <row r="603" spans="1:10" ht="12.75" hidden="1" customHeight="1">
      <c r="A603">
        <v>422500100</v>
      </c>
      <c r="B603" t="s">
        <v>2923</v>
      </c>
      <c r="C603">
        <v>782</v>
      </c>
      <c r="D603" t="s">
        <v>2991</v>
      </c>
      <c r="E603">
        <v>26</v>
      </c>
      <c r="F603">
        <v>27428325</v>
      </c>
      <c r="G603">
        <v>25302</v>
      </c>
      <c r="H603" t="s">
        <v>3075</v>
      </c>
      <c r="I603">
        <v>0</v>
      </c>
      <c r="J603">
        <v>43789</v>
      </c>
    </row>
    <row r="604" spans="1:10" ht="12.75" hidden="1" customHeight="1">
      <c r="A604">
        <v>422500100</v>
      </c>
      <c r="B604" t="s">
        <v>2923</v>
      </c>
      <c r="C604">
        <v>782</v>
      </c>
      <c r="D604" t="s">
        <v>2991</v>
      </c>
      <c r="E604">
        <v>26</v>
      </c>
      <c r="F604">
        <v>27428349</v>
      </c>
      <c r="G604">
        <v>25302</v>
      </c>
      <c r="H604" t="s">
        <v>3076</v>
      </c>
      <c r="I604">
        <v>0</v>
      </c>
      <c r="J604">
        <v>43789</v>
      </c>
    </row>
    <row r="605" spans="1:10" ht="12.75" hidden="1" customHeight="1">
      <c r="A605">
        <v>422500100</v>
      </c>
      <c r="B605" t="s">
        <v>2923</v>
      </c>
      <c r="C605">
        <v>782</v>
      </c>
      <c r="D605" t="s">
        <v>2991</v>
      </c>
      <c r="E605">
        <v>26</v>
      </c>
      <c r="F605">
        <v>27428356</v>
      </c>
      <c r="G605">
        <v>25302</v>
      </c>
      <c r="H605" t="s">
        <v>3077</v>
      </c>
      <c r="I605">
        <v>0</v>
      </c>
      <c r="J605">
        <v>43789</v>
      </c>
    </row>
    <row r="606" spans="1:10" ht="12.75" hidden="1" customHeight="1">
      <c r="A606">
        <v>422500100</v>
      </c>
      <c r="B606" t="s">
        <v>2923</v>
      </c>
      <c r="C606">
        <v>782</v>
      </c>
      <c r="D606" t="s">
        <v>2991</v>
      </c>
      <c r="E606">
        <v>26</v>
      </c>
      <c r="F606">
        <v>27428358</v>
      </c>
      <c r="G606">
        <v>25302</v>
      </c>
      <c r="H606" t="s">
        <v>3078</v>
      </c>
      <c r="I606">
        <v>0</v>
      </c>
      <c r="J606">
        <v>43789</v>
      </c>
    </row>
    <row r="607" spans="1:10" ht="12.75" hidden="1" customHeight="1">
      <c r="A607">
        <v>422500100</v>
      </c>
      <c r="B607" t="s">
        <v>2923</v>
      </c>
      <c r="C607">
        <v>782</v>
      </c>
      <c r="D607" t="s">
        <v>2991</v>
      </c>
      <c r="E607">
        <v>26</v>
      </c>
      <c r="F607">
        <v>27428365</v>
      </c>
      <c r="G607">
        <v>25302</v>
      </c>
      <c r="H607" t="s">
        <v>3079</v>
      </c>
      <c r="I607">
        <v>0</v>
      </c>
      <c r="J607">
        <v>43789</v>
      </c>
    </row>
    <row r="608" spans="1:10" ht="12.75" hidden="1" customHeight="1">
      <c r="A608">
        <v>422500100</v>
      </c>
      <c r="B608" t="s">
        <v>2923</v>
      </c>
      <c r="C608">
        <v>782</v>
      </c>
      <c r="D608" t="s">
        <v>2991</v>
      </c>
      <c r="E608">
        <v>26</v>
      </c>
      <c r="F608">
        <v>27428373</v>
      </c>
      <c r="G608">
        <v>25302</v>
      </c>
      <c r="H608" t="s">
        <v>3080</v>
      </c>
      <c r="I608">
        <v>0</v>
      </c>
      <c r="J608">
        <v>43789</v>
      </c>
    </row>
    <row r="609" spans="1:10" ht="12.75" hidden="1" customHeight="1">
      <c r="A609">
        <v>422500100</v>
      </c>
      <c r="B609" t="s">
        <v>2923</v>
      </c>
      <c r="C609">
        <v>782</v>
      </c>
      <c r="D609" t="s">
        <v>2991</v>
      </c>
      <c r="E609">
        <v>26</v>
      </c>
      <c r="F609">
        <v>27571610</v>
      </c>
      <c r="G609">
        <v>25302</v>
      </c>
      <c r="H609" t="s">
        <v>3081</v>
      </c>
      <c r="I609">
        <v>0</v>
      </c>
      <c r="J609">
        <v>43809</v>
      </c>
    </row>
    <row r="610" spans="1:10" ht="12.75" hidden="1" customHeight="1">
      <c r="A610">
        <v>422500100</v>
      </c>
      <c r="B610" t="s">
        <v>2923</v>
      </c>
      <c r="C610">
        <v>782</v>
      </c>
      <c r="D610" t="s">
        <v>2991</v>
      </c>
      <c r="E610">
        <v>26</v>
      </c>
      <c r="F610">
        <v>27584500</v>
      </c>
      <c r="G610">
        <v>25302</v>
      </c>
      <c r="H610" t="s">
        <v>3082</v>
      </c>
      <c r="I610">
        <v>0</v>
      </c>
      <c r="J610">
        <v>43810</v>
      </c>
    </row>
    <row r="611" spans="1:10" ht="12.75" hidden="1" customHeight="1">
      <c r="A611">
        <v>422500100</v>
      </c>
      <c r="B611" t="s">
        <v>2923</v>
      </c>
      <c r="C611">
        <v>782</v>
      </c>
      <c r="D611" t="s">
        <v>2991</v>
      </c>
      <c r="E611">
        <v>26</v>
      </c>
      <c r="F611">
        <v>27584515</v>
      </c>
      <c r="G611">
        <v>25302</v>
      </c>
      <c r="H611" t="s">
        <v>3083</v>
      </c>
      <c r="I611">
        <v>0</v>
      </c>
      <c r="J611">
        <v>43810</v>
      </c>
    </row>
    <row r="612" spans="1:10" ht="12.75" hidden="1" customHeight="1">
      <c r="A612">
        <v>422500100</v>
      </c>
      <c r="B612" t="s">
        <v>2923</v>
      </c>
      <c r="C612">
        <v>783</v>
      </c>
      <c r="D612" t="s">
        <v>3084</v>
      </c>
      <c r="E612">
        <v>26</v>
      </c>
      <c r="F612">
        <v>0</v>
      </c>
      <c r="G612">
        <v>567418</v>
      </c>
      <c r="H612" t="s">
        <v>3085</v>
      </c>
      <c r="I612">
        <v>0</v>
      </c>
      <c r="J612">
        <v>43551</v>
      </c>
    </row>
    <row r="613" spans="1:10" ht="12.75" hidden="1" customHeight="1">
      <c r="A613">
        <v>422500100</v>
      </c>
      <c r="B613" t="s">
        <v>2923</v>
      </c>
      <c r="C613">
        <v>783</v>
      </c>
      <c r="D613" t="s">
        <v>3084</v>
      </c>
      <c r="E613">
        <v>26</v>
      </c>
      <c r="F613">
        <v>0</v>
      </c>
      <c r="G613">
        <v>535500</v>
      </c>
      <c r="H613" t="s">
        <v>3086</v>
      </c>
      <c r="I613">
        <v>0</v>
      </c>
      <c r="J613">
        <v>43565</v>
      </c>
    </row>
    <row r="614" spans="1:10" ht="12.75" hidden="1" customHeight="1">
      <c r="A614">
        <v>422500100</v>
      </c>
      <c r="B614" t="s">
        <v>2923</v>
      </c>
      <c r="C614">
        <v>783</v>
      </c>
      <c r="D614" t="s">
        <v>3084</v>
      </c>
      <c r="E614">
        <v>26</v>
      </c>
      <c r="F614">
        <v>0</v>
      </c>
      <c r="G614">
        <v>820000</v>
      </c>
      <c r="H614" t="s">
        <v>3087</v>
      </c>
      <c r="I614">
        <v>0</v>
      </c>
      <c r="J614">
        <v>43570</v>
      </c>
    </row>
    <row r="615" spans="1:10" ht="12.75" hidden="1" customHeight="1">
      <c r="A615">
        <v>422500100</v>
      </c>
      <c r="B615" t="s">
        <v>2923</v>
      </c>
      <c r="C615">
        <v>783</v>
      </c>
      <c r="D615" t="s">
        <v>3084</v>
      </c>
      <c r="E615">
        <v>26</v>
      </c>
      <c r="F615">
        <v>0</v>
      </c>
      <c r="G615">
        <v>300000</v>
      </c>
      <c r="H615" t="s">
        <v>3088</v>
      </c>
      <c r="I615">
        <v>0</v>
      </c>
      <c r="J615">
        <v>43683</v>
      </c>
    </row>
    <row r="616" spans="1:10" ht="12.75" hidden="1" customHeight="1">
      <c r="A616">
        <v>422500100</v>
      </c>
      <c r="B616" t="s">
        <v>2923</v>
      </c>
      <c r="C616">
        <v>783</v>
      </c>
      <c r="D616" t="s">
        <v>3084</v>
      </c>
      <c r="E616">
        <v>26</v>
      </c>
      <c r="F616">
        <v>949512</v>
      </c>
      <c r="G616">
        <v>100000</v>
      </c>
      <c r="H616" t="s">
        <v>3089</v>
      </c>
      <c r="I616">
        <v>0</v>
      </c>
      <c r="J616">
        <v>43717</v>
      </c>
    </row>
    <row r="617" spans="1:10" ht="12.75" hidden="1" customHeight="1">
      <c r="A617">
        <v>422500100</v>
      </c>
      <c r="B617" t="s">
        <v>2923</v>
      </c>
      <c r="C617">
        <v>783</v>
      </c>
      <c r="D617" t="s">
        <v>3084</v>
      </c>
      <c r="E617">
        <v>26</v>
      </c>
      <c r="F617">
        <v>10012019</v>
      </c>
      <c r="G617">
        <v>500000</v>
      </c>
      <c r="H617" t="s">
        <v>3090</v>
      </c>
      <c r="I617">
        <v>0</v>
      </c>
      <c r="J617">
        <v>43475</v>
      </c>
    </row>
    <row r="618" spans="1:10" ht="12.75" hidden="1" customHeight="1">
      <c r="A618">
        <v>422500100</v>
      </c>
      <c r="B618" t="s">
        <v>2923</v>
      </c>
      <c r="C618">
        <v>783</v>
      </c>
      <c r="D618" t="s">
        <v>3084</v>
      </c>
      <c r="E618">
        <v>26</v>
      </c>
      <c r="F618">
        <v>25871586</v>
      </c>
      <c r="G618">
        <v>24376</v>
      </c>
      <c r="H618" t="s">
        <v>3091</v>
      </c>
      <c r="I618">
        <v>0</v>
      </c>
      <c r="J618">
        <v>43570</v>
      </c>
    </row>
    <row r="619" spans="1:10" ht="12.75" hidden="1" customHeight="1">
      <c r="A619">
        <v>422500200</v>
      </c>
      <c r="B619" t="s">
        <v>2597</v>
      </c>
      <c r="C619">
        <v>779</v>
      </c>
      <c r="D619" t="s">
        <v>3092</v>
      </c>
      <c r="E619">
        <v>26</v>
      </c>
      <c r="F619">
        <v>2119981</v>
      </c>
      <c r="G619">
        <v>10000</v>
      </c>
      <c r="H619" t="s">
        <v>3093</v>
      </c>
      <c r="I619">
        <v>0</v>
      </c>
      <c r="J619">
        <v>43677</v>
      </c>
    </row>
    <row r="620" spans="1:10" ht="12.75" hidden="1" customHeight="1">
      <c r="A620">
        <v>422500200</v>
      </c>
      <c r="B620" t="s">
        <v>2597</v>
      </c>
      <c r="C620">
        <v>779</v>
      </c>
      <c r="D620" t="s">
        <v>3092</v>
      </c>
      <c r="E620">
        <v>26</v>
      </c>
      <c r="F620">
        <v>3582219</v>
      </c>
      <c r="G620">
        <v>10000</v>
      </c>
      <c r="H620" t="s">
        <v>3094</v>
      </c>
      <c r="I620">
        <v>0</v>
      </c>
      <c r="J620">
        <v>43707</v>
      </c>
    </row>
    <row r="621" spans="1:10">
      <c r="A621">
        <v>422500200</v>
      </c>
      <c r="B621" s="71" t="s">
        <v>2597</v>
      </c>
      <c r="C621">
        <v>780</v>
      </c>
      <c r="D621" t="s">
        <v>2598</v>
      </c>
      <c r="E621">
        <v>26</v>
      </c>
      <c r="F621">
        <v>13102019</v>
      </c>
      <c r="G621" s="23">
        <v>41000</v>
      </c>
      <c r="H621" t="s">
        <v>2599</v>
      </c>
      <c r="I621">
        <v>0</v>
      </c>
      <c r="J621" s="54">
        <v>43767</v>
      </c>
    </row>
    <row r="622" spans="1:10">
      <c r="A622">
        <v>422500200</v>
      </c>
      <c r="B622" s="71" t="s">
        <v>2597</v>
      </c>
      <c r="C622">
        <v>780</v>
      </c>
      <c r="D622" t="s">
        <v>2598</v>
      </c>
      <c r="E622">
        <v>26</v>
      </c>
      <c r="F622">
        <v>18102019</v>
      </c>
      <c r="G622" s="23">
        <v>41000</v>
      </c>
      <c r="H622" t="s">
        <v>2599</v>
      </c>
      <c r="I622">
        <v>0</v>
      </c>
      <c r="J622" s="54">
        <v>43767</v>
      </c>
    </row>
    <row r="623" spans="1:10">
      <c r="A623">
        <v>422500200</v>
      </c>
      <c r="B623" s="71" t="s">
        <v>2597</v>
      </c>
      <c r="C623">
        <v>780</v>
      </c>
      <c r="D623" t="s">
        <v>2598</v>
      </c>
      <c r="E623">
        <v>26</v>
      </c>
      <c r="F623">
        <v>29102019</v>
      </c>
      <c r="G623" s="23">
        <v>66000</v>
      </c>
      <c r="H623" t="s">
        <v>2600</v>
      </c>
      <c r="I623">
        <v>0</v>
      </c>
      <c r="J623" s="54">
        <v>43767</v>
      </c>
    </row>
    <row r="624" spans="1:10">
      <c r="A624">
        <v>422500200</v>
      </c>
      <c r="B624" s="71" t="s">
        <v>2597</v>
      </c>
      <c r="C624">
        <v>780</v>
      </c>
      <c r="D624" t="s">
        <v>2598</v>
      </c>
      <c r="E624">
        <v>26</v>
      </c>
      <c r="F624">
        <v>5112019</v>
      </c>
      <c r="G624" s="23">
        <v>47906</v>
      </c>
      <c r="H624" t="s">
        <v>2601</v>
      </c>
      <c r="I624">
        <v>0</v>
      </c>
      <c r="J624" s="54">
        <v>43790</v>
      </c>
    </row>
    <row r="625" spans="1:10" ht="12.75" hidden="1" customHeight="1">
      <c r="A625">
        <v>422500200</v>
      </c>
      <c r="B625" t="s">
        <v>2597</v>
      </c>
      <c r="C625">
        <v>780</v>
      </c>
      <c r="D625" t="s">
        <v>2598</v>
      </c>
      <c r="E625">
        <v>26</v>
      </c>
      <c r="F625">
        <v>5112019</v>
      </c>
      <c r="G625">
        <v>100000</v>
      </c>
      <c r="H625" t="s">
        <v>3095</v>
      </c>
      <c r="I625">
        <v>0</v>
      </c>
      <c r="J625">
        <v>43790</v>
      </c>
    </row>
    <row r="626" spans="1:10" ht="12.75" hidden="1" customHeight="1">
      <c r="A626">
        <v>422500200</v>
      </c>
      <c r="B626" t="s">
        <v>2597</v>
      </c>
      <c r="C626">
        <v>780</v>
      </c>
      <c r="D626" t="s">
        <v>2598</v>
      </c>
      <c r="E626">
        <v>26</v>
      </c>
      <c r="F626">
        <v>7112019</v>
      </c>
      <c r="G626">
        <v>51378</v>
      </c>
      <c r="H626" t="s">
        <v>3096</v>
      </c>
      <c r="I626">
        <v>0</v>
      </c>
      <c r="J626">
        <v>43790</v>
      </c>
    </row>
    <row r="627" spans="1:10">
      <c r="A627">
        <v>422510100</v>
      </c>
      <c r="B627" s="71" t="s">
        <v>2602</v>
      </c>
      <c r="C627">
        <v>981</v>
      </c>
      <c r="D627" t="s">
        <v>2603</v>
      </c>
      <c r="E627">
        <v>26</v>
      </c>
      <c r="F627">
        <v>4122019</v>
      </c>
      <c r="G627" s="23">
        <v>300000</v>
      </c>
      <c r="H627" t="s">
        <v>2604</v>
      </c>
      <c r="I627">
        <v>0</v>
      </c>
      <c r="J627" s="54">
        <v>43803</v>
      </c>
    </row>
    <row r="628" spans="1:10">
      <c r="A628">
        <v>422510100</v>
      </c>
      <c r="B628" s="71" t="s">
        <v>2602</v>
      </c>
      <c r="C628">
        <v>981</v>
      </c>
      <c r="D628" t="s">
        <v>2603</v>
      </c>
      <c r="E628">
        <v>26</v>
      </c>
      <c r="F628">
        <v>2447</v>
      </c>
      <c r="G628" s="23">
        <v>5000</v>
      </c>
      <c r="H628" t="s">
        <v>2605</v>
      </c>
      <c r="I628">
        <v>0</v>
      </c>
      <c r="J628" s="54">
        <v>43780</v>
      </c>
    </row>
    <row r="629" spans="1:10">
      <c r="A629">
        <v>422510100</v>
      </c>
      <c r="B629" s="71" t="s">
        <v>2602</v>
      </c>
      <c r="C629">
        <v>981</v>
      </c>
      <c r="D629" t="s">
        <v>2603</v>
      </c>
      <c r="E629">
        <v>26</v>
      </c>
      <c r="F629">
        <v>1555</v>
      </c>
      <c r="G629" s="23">
        <v>200000</v>
      </c>
      <c r="H629" t="s">
        <v>2606</v>
      </c>
      <c r="I629">
        <v>0</v>
      </c>
      <c r="J629" s="54">
        <v>43567</v>
      </c>
    </row>
    <row r="630" spans="1:10">
      <c r="A630">
        <v>422510100</v>
      </c>
      <c r="B630" s="71" t="s">
        <v>2602</v>
      </c>
      <c r="C630">
        <v>981</v>
      </c>
      <c r="D630" t="s">
        <v>2603</v>
      </c>
      <c r="E630">
        <v>26</v>
      </c>
      <c r="F630">
        <v>20</v>
      </c>
      <c r="G630" s="23">
        <v>60000</v>
      </c>
      <c r="H630" t="s">
        <v>2606</v>
      </c>
      <c r="I630">
        <v>0</v>
      </c>
      <c r="J630" s="54">
        <v>43584</v>
      </c>
    </row>
    <row r="631" spans="1:10">
      <c r="A631">
        <v>422510100</v>
      </c>
      <c r="B631" s="71" t="s">
        <v>2602</v>
      </c>
      <c r="C631">
        <v>981</v>
      </c>
      <c r="D631" t="s">
        <v>2603</v>
      </c>
      <c r="E631">
        <v>26</v>
      </c>
      <c r="F631">
        <v>23</v>
      </c>
      <c r="G631" s="23">
        <v>40000</v>
      </c>
      <c r="H631" t="s">
        <v>2607</v>
      </c>
      <c r="I631">
        <v>0</v>
      </c>
      <c r="J631" s="54">
        <v>43588</v>
      </c>
    </row>
    <row r="632" spans="1:10">
      <c r="A632">
        <v>422550100</v>
      </c>
      <c r="B632" s="71" t="s">
        <v>2608</v>
      </c>
      <c r="C632">
        <v>257</v>
      </c>
      <c r="D632" t="s">
        <v>2609</v>
      </c>
      <c r="E632">
        <v>26</v>
      </c>
      <c r="F632">
        <v>230719</v>
      </c>
      <c r="G632" s="23">
        <v>100000</v>
      </c>
      <c r="H632" t="s">
        <v>2610</v>
      </c>
      <c r="I632">
        <v>0</v>
      </c>
      <c r="J632" s="54">
        <v>43669</v>
      </c>
    </row>
    <row r="633" spans="1:10" ht="12.75" hidden="1" customHeight="1">
      <c r="A633">
        <v>422580100</v>
      </c>
      <c r="B633" t="s">
        <v>3097</v>
      </c>
      <c r="C633">
        <v>464</v>
      </c>
      <c r="D633" t="s">
        <v>3098</v>
      </c>
      <c r="E633">
        <v>26</v>
      </c>
      <c r="F633">
        <v>783540</v>
      </c>
      <c r="G633">
        <v>200000</v>
      </c>
      <c r="H633" t="s">
        <v>3099</v>
      </c>
      <c r="I633">
        <v>0</v>
      </c>
      <c r="J633">
        <v>43646</v>
      </c>
    </row>
    <row r="634" spans="1:10">
      <c r="A634">
        <v>422620100</v>
      </c>
      <c r="B634" s="71" t="s">
        <v>2611</v>
      </c>
      <c r="C634">
        <v>992</v>
      </c>
      <c r="D634" t="s">
        <v>2612</v>
      </c>
      <c r="E634">
        <v>26</v>
      </c>
      <c r="F634">
        <v>10010125429</v>
      </c>
      <c r="G634" s="23">
        <v>300000</v>
      </c>
      <c r="H634" t="s">
        <v>2613</v>
      </c>
      <c r="I634">
        <v>0</v>
      </c>
      <c r="J634" s="54">
        <v>43637</v>
      </c>
    </row>
    <row r="635" spans="1:10">
      <c r="A635">
        <v>422700100</v>
      </c>
      <c r="B635" s="71" t="s">
        <v>2614</v>
      </c>
      <c r="C635">
        <v>962</v>
      </c>
      <c r="D635" t="s">
        <v>2615</v>
      </c>
      <c r="E635">
        <v>26</v>
      </c>
      <c r="F635">
        <v>2670</v>
      </c>
      <c r="G635" s="23">
        <v>10000</v>
      </c>
      <c r="H635" t="s">
        <v>2616</v>
      </c>
      <c r="I635">
        <v>0</v>
      </c>
      <c r="J635" s="54">
        <v>43809</v>
      </c>
    </row>
    <row r="636" spans="1:10" ht="12.75" hidden="1" customHeight="1">
      <c r="A636">
        <v>422700400</v>
      </c>
      <c r="B636" t="s">
        <v>3100</v>
      </c>
      <c r="C636">
        <v>965</v>
      </c>
      <c r="D636" t="s">
        <v>3101</v>
      </c>
      <c r="E636">
        <v>26</v>
      </c>
      <c r="F636">
        <v>63706</v>
      </c>
      <c r="G636">
        <v>30000</v>
      </c>
      <c r="H636" t="s">
        <v>2636</v>
      </c>
      <c r="I636">
        <v>0</v>
      </c>
      <c r="J636">
        <v>43535</v>
      </c>
    </row>
    <row r="637" spans="1:10">
      <c r="A637">
        <v>422700500</v>
      </c>
      <c r="B637" s="71" t="s">
        <v>2617</v>
      </c>
      <c r="C637">
        <v>966</v>
      </c>
      <c r="D637" t="s">
        <v>2618</v>
      </c>
      <c r="E637">
        <v>26</v>
      </c>
      <c r="F637">
        <v>9</v>
      </c>
      <c r="G637" s="23">
        <v>70000</v>
      </c>
      <c r="H637" t="s">
        <v>2619</v>
      </c>
      <c r="I637">
        <v>0</v>
      </c>
      <c r="J637" s="54">
        <v>43556</v>
      </c>
    </row>
    <row r="638" spans="1:10">
      <c r="A638">
        <v>422700500</v>
      </c>
      <c r="B638" s="71" t="s">
        <v>2617</v>
      </c>
      <c r="C638">
        <v>966</v>
      </c>
      <c r="D638" t="s">
        <v>2618</v>
      </c>
      <c r="E638">
        <v>26</v>
      </c>
      <c r="F638">
        <v>27</v>
      </c>
      <c r="G638" s="23">
        <v>150000</v>
      </c>
      <c r="H638" t="s">
        <v>2620</v>
      </c>
      <c r="I638">
        <v>0</v>
      </c>
      <c r="J638" s="54">
        <v>43607</v>
      </c>
    </row>
    <row r="639" spans="1:10" ht="12.75" hidden="1" customHeight="1">
      <c r="A639">
        <v>422701000</v>
      </c>
      <c r="B639" t="s">
        <v>3102</v>
      </c>
      <c r="C639">
        <v>967</v>
      </c>
      <c r="D639" t="s">
        <v>3103</v>
      </c>
      <c r="E639">
        <v>26</v>
      </c>
      <c r="F639">
        <v>2659</v>
      </c>
      <c r="G639">
        <v>2437560</v>
      </c>
      <c r="H639" t="s">
        <v>3104</v>
      </c>
      <c r="I639">
        <v>0</v>
      </c>
      <c r="J639">
        <v>43497</v>
      </c>
    </row>
    <row r="640" spans="1:10" ht="12.75" hidden="1" customHeight="1">
      <c r="A640">
        <v>422701000</v>
      </c>
      <c r="B640" t="s">
        <v>3102</v>
      </c>
      <c r="C640">
        <v>967</v>
      </c>
      <c r="D640" t="s">
        <v>3103</v>
      </c>
      <c r="E640">
        <v>26</v>
      </c>
      <c r="F640">
        <v>136021</v>
      </c>
      <c r="G640">
        <v>406260</v>
      </c>
      <c r="H640" t="s">
        <v>3105</v>
      </c>
      <c r="I640">
        <v>0</v>
      </c>
      <c r="J640">
        <v>43591</v>
      </c>
    </row>
    <row r="641" spans="1:10" ht="12.75" hidden="1" customHeight="1">
      <c r="A641">
        <v>422701000</v>
      </c>
      <c r="B641" t="s">
        <v>3102</v>
      </c>
      <c r="C641">
        <v>967</v>
      </c>
      <c r="D641" t="s">
        <v>3103</v>
      </c>
      <c r="E641">
        <v>26</v>
      </c>
      <c r="F641">
        <v>139731</v>
      </c>
      <c r="G641">
        <v>421700</v>
      </c>
      <c r="H641" t="s">
        <v>3106</v>
      </c>
      <c r="I641">
        <v>0</v>
      </c>
      <c r="J641">
        <v>43663</v>
      </c>
    </row>
    <row r="642" spans="1:10" ht="12.75" hidden="1" customHeight="1">
      <c r="A642">
        <v>422750100</v>
      </c>
      <c r="B642" t="s">
        <v>3107</v>
      </c>
      <c r="C642">
        <v>479</v>
      </c>
      <c r="D642" t="s">
        <v>3108</v>
      </c>
      <c r="E642">
        <v>26</v>
      </c>
      <c r="F642">
        <v>0</v>
      </c>
      <c r="G642">
        <v>240500</v>
      </c>
      <c r="H642" t="s">
        <v>3109</v>
      </c>
      <c r="I642">
        <v>0</v>
      </c>
      <c r="J642">
        <v>43551</v>
      </c>
    </row>
    <row r="643" spans="1:10" ht="12.75" hidden="1" customHeight="1">
      <c r="A643">
        <v>422750100</v>
      </c>
      <c r="B643" t="s">
        <v>3107</v>
      </c>
      <c r="C643">
        <v>479</v>
      </c>
      <c r="D643" t="s">
        <v>3108</v>
      </c>
      <c r="E643">
        <v>26</v>
      </c>
      <c r="F643">
        <v>1085689</v>
      </c>
      <c r="G643">
        <v>26991600</v>
      </c>
      <c r="H643" t="s">
        <v>3110</v>
      </c>
      <c r="I643">
        <v>0</v>
      </c>
      <c r="J643">
        <v>43658</v>
      </c>
    </row>
    <row r="644" spans="1:10" ht="12.75" hidden="1" customHeight="1">
      <c r="A644">
        <v>422750100</v>
      </c>
      <c r="B644" t="s">
        <v>3107</v>
      </c>
      <c r="C644">
        <v>479</v>
      </c>
      <c r="D644" t="s">
        <v>3108</v>
      </c>
      <c r="E644">
        <v>26</v>
      </c>
      <c r="F644">
        <v>1085688</v>
      </c>
      <c r="G644">
        <v>27531500</v>
      </c>
      <c r="H644" t="s">
        <v>3111</v>
      </c>
      <c r="I644">
        <v>0</v>
      </c>
      <c r="J644">
        <v>43502</v>
      </c>
    </row>
    <row r="645" spans="1:10" ht="12.75" hidden="1" customHeight="1">
      <c r="A645">
        <v>422750200</v>
      </c>
      <c r="B645" t="s">
        <v>3112</v>
      </c>
      <c r="C645">
        <v>517</v>
      </c>
      <c r="D645" t="s">
        <v>3113</v>
      </c>
      <c r="E645">
        <v>26</v>
      </c>
      <c r="F645">
        <v>92220</v>
      </c>
      <c r="G645">
        <v>14132441</v>
      </c>
      <c r="H645" t="s">
        <v>3114</v>
      </c>
      <c r="I645">
        <v>0</v>
      </c>
      <c r="J645">
        <v>43495</v>
      </c>
    </row>
    <row r="646" spans="1:10" ht="12.75" hidden="1" customHeight="1">
      <c r="A646">
        <v>422750200</v>
      </c>
      <c r="B646" t="s">
        <v>3112</v>
      </c>
      <c r="C646">
        <v>517</v>
      </c>
      <c r="D646" t="s">
        <v>3113</v>
      </c>
      <c r="E646">
        <v>26</v>
      </c>
      <c r="F646">
        <v>188925</v>
      </c>
      <c r="G646">
        <v>14132441</v>
      </c>
      <c r="H646" t="s">
        <v>3115</v>
      </c>
      <c r="I646">
        <v>0</v>
      </c>
      <c r="J646">
        <v>43654</v>
      </c>
    </row>
    <row r="647" spans="1:10" ht="12.75" hidden="1" customHeight="1">
      <c r="A647">
        <v>422750200</v>
      </c>
      <c r="B647" t="s">
        <v>3112</v>
      </c>
      <c r="C647">
        <v>517</v>
      </c>
      <c r="D647" t="s">
        <v>3113</v>
      </c>
      <c r="E647">
        <v>26</v>
      </c>
      <c r="F647">
        <v>193720</v>
      </c>
      <c r="G647">
        <v>46000</v>
      </c>
      <c r="H647" t="s">
        <v>3116</v>
      </c>
      <c r="I647">
        <v>0</v>
      </c>
      <c r="J647">
        <v>43773</v>
      </c>
    </row>
    <row r="648" spans="1:10" ht="12.75" hidden="1" customHeight="1">
      <c r="A648">
        <v>422750300</v>
      </c>
      <c r="B648" t="s">
        <v>3117</v>
      </c>
      <c r="C648">
        <v>481</v>
      </c>
      <c r="D648" t="s">
        <v>3118</v>
      </c>
      <c r="E648">
        <v>26</v>
      </c>
      <c r="F648">
        <v>309626</v>
      </c>
      <c r="G648">
        <v>17268004</v>
      </c>
      <c r="H648" t="s">
        <v>3119</v>
      </c>
      <c r="I648">
        <v>0</v>
      </c>
      <c r="J648">
        <v>43488</v>
      </c>
    </row>
    <row r="649" spans="1:10" ht="12.75" hidden="1" customHeight="1">
      <c r="A649">
        <v>422750300</v>
      </c>
      <c r="B649" t="s">
        <v>3117</v>
      </c>
      <c r="C649">
        <v>481</v>
      </c>
      <c r="D649" t="s">
        <v>3118</v>
      </c>
      <c r="E649">
        <v>26</v>
      </c>
      <c r="F649">
        <v>331673</v>
      </c>
      <c r="G649">
        <v>16913525</v>
      </c>
      <c r="H649" t="s">
        <v>3120</v>
      </c>
      <c r="I649">
        <v>0</v>
      </c>
      <c r="J649">
        <v>43651</v>
      </c>
    </row>
    <row r="650" spans="1:10" ht="12.75" hidden="1" customHeight="1">
      <c r="A650">
        <v>422750400</v>
      </c>
      <c r="B650" t="s">
        <v>3121</v>
      </c>
      <c r="C650">
        <v>1612</v>
      </c>
      <c r="D650" t="s">
        <v>3122</v>
      </c>
      <c r="E650">
        <v>26</v>
      </c>
      <c r="F650">
        <v>92203</v>
      </c>
      <c r="G650">
        <v>849952</v>
      </c>
      <c r="H650" t="s">
        <v>3123</v>
      </c>
      <c r="I650">
        <v>0</v>
      </c>
      <c r="J650">
        <v>43495</v>
      </c>
    </row>
    <row r="651" spans="1:10" ht="12.75" hidden="1" customHeight="1">
      <c r="A651">
        <v>422750400</v>
      </c>
      <c r="B651" t="s">
        <v>3121</v>
      </c>
      <c r="C651">
        <v>1612</v>
      </c>
      <c r="D651" t="s">
        <v>3122</v>
      </c>
      <c r="E651">
        <v>26</v>
      </c>
      <c r="F651">
        <v>0</v>
      </c>
      <c r="G651">
        <v>338145</v>
      </c>
      <c r="H651" t="s">
        <v>3124</v>
      </c>
      <c r="I651">
        <v>0</v>
      </c>
      <c r="J651">
        <v>43521</v>
      </c>
    </row>
    <row r="652" spans="1:10" ht="12.75" hidden="1" customHeight="1">
      <c r="A652">
        <v>422750400</v>
      </c>
      <c r="B652" t="s">
        <v>3121</v>
      </c>
      <c r="C652">
        <v>1612</v>
      </c>
      <c r="D652" t="s">
        <v>3122</v>
      </c>
      <c r="E652">
        <v>26</v>
      </c>
      <c r="F652">
        <v>179633</v>
      </c>
      <c r="G652">
        <v>232000</v>
      </c>
      <c r="H652" t="s">
        <v>3125</v>
      </c>
      <c r="I652">
        <v>0</v>
      </c>
      <c r="J652">
        <v>43521</v>
      </c>
    </row>
    <row r="653" spans="1:10" ht="12.75" hidden="1" customHeight="1">
      <c r="A653">
        <v>422750400</v>
      </c>
      <c r="B653" t="s">
        <v>3121</v>
      </c>
      <c r="C653">
        <v>1612</v>
      </c>
      <c r="D653" t="s">
        <v>3122</v>
      </c>
      <c r="E653">
        <v>26</v>
      </c>
      <c r="F653">
        <v>188926</v>
      </c>
      <c r="G653">
        <v>849952</v>
      </c>
      <c r="H653" t="s">
        <v>3126</v>
      </c>
      <c r="I653">
        <v>0</v>
      </c>
      <c r="J653">
        <v>43654</v>
      </c>
    </row>
    <row r="654" spans="1:10" ht="12.75" hidden="1" customHeight="1">
      <c r="A654">
        <v>422751000</v>
      </c>
      <c r="B654" t="s">
        <v>3127</v>
      </c>
      <c r="C654">
        <v>483</v>
      </c>
      <c r="D654" t="s">
        <v>3128</v>
      </c>
      <c r="E654">
        <v>26</v>
      </c>
      <c r="F654">
        <v>92204</v>
      </c>
      <c r="G654">
        <v>180680</v>
      </c>
      <c r="H654" t="s">
        <v>3129</v>
      </c>
      <c r="I654">
        <v>0</v>
      </c>
      <c r="J654">
        <v>43495</v>
      </c>
    </row>
    <row r="655" spans="1:10" ht="12.75" hidden="1" customHeight="1">
      <c r="A655">
        <v>422751000</v>
      </c>
      <c r="B655" t="s">
        <v>3127</v>
      </c>
      <c r="C655">
        <v>483</v>
      </c>
      <c r="D655" t="s">
        <v>3128</v>
      </c>
      <c r="E655">
        <v>26</v>
      </c>
      <c r="F655">
        <v>92205</v>
      </c>
      <c r="G655">
        <v>180680</v>
      </c>
      <c r="H655" t="s">
        <v>3130</v>
      </c>
      <c r="I655">
        <v>0</v>
      </c>
      <c r="J655">
        <v>43495</v>
      </c>
    </row>
    <row r="656" spans="1:10" ht="12.75" hidden="1" customHeight="1">
      <c r="A656">
        <v>422751000</v>
      </c>
      <c r="B656" t="s">
        <v>3127</v>
      </c>
      <c r="C656">
        <v>483</v>
      </c>
      <c r="D656" t="s">
        <v>3128</v>
      </c>
      <c r="E656">
        <v>26</v>
      </c>
      <c r="F656">
        <v>92206</v>
      </c>
      <c r="G656">
        <v>180678</v>
      </c>
      <c r="H656" t="s">
        <v>3130</v>
      </c>
      <c r="I656">
        <v>0</v>
      </c>
      <c r="J656">
        <v>43495</v>
      </c>
    </row>
    <row r="657" spans="1:10" ht="12.75" hidden="1" customHeight="1">
      <c r="A657">
        <v>422751000</v>
      </c>
      <c r="B657" t="s">
        <v>3127</v>
      </c>
      <c r="C657">
        <v>483</v>
      </c>
      <c r="D657" t="s">
        <v>3128</v>
      </c>
      <c r="E657">
        <v>26</v>
      </c>
      <c r="F657">
        <v>92207</v>
      </c>
      <c r="G657">
        <v>180681</v>
      </c>
      <c r="H657" t="s">
        <v>3130</v>
      </c>
      <c r="I657">
        <v>0</v>
      </c>
      <c r="J657">
        <v>43495</v>
      </c>
    </row>
    <row r="658" spans="1:10" ht="12.75" hidden="1" customHeight="1">
      <c r="A658">
        <v>422751000</v>
      </c>
      <c r="B658" t="s">
        <v>3127</v>
      </c>
      <c r="C658">
        <v>483</v>
      </c>
      <c r="D658" t="s">
        <v>3128</v>
      </c>
      <c r="E658">
        <v>26</v>
      </c>
      <c r="F658">
        <v>92208</v>
      </c>
      <c r="G658">
        <v>180681</v>
      </c>
      <c r="H658" t="s">
        <v>3130</v>
      </c>
      <c r="I658">
        <v>0</v>
      </c>
      <c r="J658">
        <v>43495</v>
      </c>
    </row>
    <row r="659" spans="1:10" ht="12.75" hidden="1" customHeight="1">
      <c r="A659">
        <v>422751000</v>
      </c>
      <c r="B659" t="s">
        <v>3127</v>
      </c>
      <c r="C659">
        <v>483</v>
      </c>
      <c r="D659" t="s">
        <v>3128</v>
      </c>
      <c r="E659">
        <v>26</v>
      </c>
      <c r="F659">
        <v>92209</v>
      </c>
      <c r="G659">
        <v>180681</v>
      </c>
      <c r="H659" t="s">
        <v>3130</v>
      </c>
      <c r="I659">
        <v>0</v>
      </c>
      <c r="J659">
        <v>43495</v>
      </c>
    </row>
    <row r="660" spans="1:10" ht="12.75" hidden="1" customHeight="1">
      <c r="A660">
        <v>422751000</v>
      </c>
      <c r="B660" t="s">
        <v>3127</v>
      </c>
      <c r="C660">
        <v>483</v>
      </c>
      <c r="D660" t="s">
        <v>3128</v>
      </c>
      <c r="E660">
        <v>26</v>
      </c>
      <c r="F660">
        <v>92210</v>
      </c>
      <c r="G660">
        <v>180681</v>
      </c>
      <c r="H660" t="s">
        <v>3130</v>
      </c>
      <c r="I660">
        <v>0</v>
      </c>
      <c r="J660">
        <v>43495</v>
      </c>
    </row>
    <row r="661" spans="1:10" ht="12.75" hidden="1" customHeight="1">
      <c r="A661">
        <v>422751000</v>
      </c>
      <c r="B661" t="s">
        <v>3127</v>
      </c>
      <c r="C661">
        <v>483</v>
      </c>
      <c r="D661" t="s">
        <v>3128</v>
      </c>
      <c r="E661">
        <v>26</v>
      </c>
      <c r="F661">
        <v>92211</v>
      </c>
      <c r="G661">
        <v>235582</v>
      </c>
      <c r="H661" t="s">
        <v>3130</v>
      </c>
      <c r="I661">
        <v>0</v>
      </c>
      <c r="J661">
        <v>43495</v>
      </c>
    </row>
    <row r="662" spans="1:10" ht="12.75" hidden="1" customHeight="1">
      <c r="A662">
        <v>422751000</v>
      </c>
      <c r="B662" t="s">
        <v>3127</v>
      </c>
      <c r="C662">
        <v>483</v>
      </c>
      <c r="D662" t="s">
        <v>3128</v>
      </c>
      <c r="E662">
        <v>26</v>
      </c>
      <c r="F662">
        <v>92212</v>
      </c>
      <c r="G662">
        <v>237990</v>
      </c>
      <c r="H662" t="s">
        <v>3130</v>
      </c>
      <c r="I662">
        <v>0</v>
      </c>
      <c r="J662">
        <v>43495</v>
      </c>
    </row>
    <row r="663" spans="1:10" ht="12.75" hidden="1" customHeight="1">
      <c r="A663">
        <v>422751000</v>
      </c>
      <c r="B663" t="s">
        <v>3127</v>
      </c>
      <c r="C663">
        <v>483</v>
      </c>
      <c r="D663" t="s">
        <v>3128</v>
      </c>
      <c r="E663">
        <v>26</v>
      </c>
      <c r="F663">
        <v>92213</v>
      </c>
      <c r="G663">
        <v>182413</v>
      </c>
      <c r="H663" t="s">
        <v>3130</v>
      </c>
      <c r="I663">
        <v>0</v>
      </c>
      <c r="J663">
        <v>43495</v>
      </c>
    </row>
    <row r="664" spans="1:10" ht="12.75" hidden="1" customHeight="1">
      <c r="A664">
        <v>422751000</v>
      </c>
      <c r="B664" t="s">
        <v>3127</v>
      </c>
      <c r="C664">
        <v>483</v>
      </c>
      <c r="D664" t="s">
        <v>3128</v>
      </c>
      <c r="E664">
        <v>26</v>
      </c>
      <c r="F664">
        <v>92214</v>
      </c>
      <c r="G664">
        <v>182346</v>
      </c>
      <c r="H664" t="s">
        <v>3130</v>
      </c>
      <c r="I664">
        <v>0</v>
      </c>
      <c r="J664">
        <v>43495</v>
      </c>
    </row>
    <row r="665" spans="1:10" ht="12.75" hidden="1" customHeight="1">
      <c r="A665">
        <v>422751000</v>
      </c>
      <c r="B665" t="s">
        <v>3127</v>
      </c>
      <c r="C665">
        <v>483</v>
      </c>
      <c r="D665" t="s">
        <v>3128</v>
      </c>
      <c r="E665">
        <v>26</v>
      </c>
      <c r="F665">
        <v>92215</v>
      </c>
      <c r="G665">
        <v>182279</v>
      </c>
      <c r="H665" t="s">
        <v>3130</v>
      </c>
      <c r="I665">
        <v>0</v>
      </c>
      <c r="J665">
        <v>43495</v>
      </c>
    </row>
    <row r="666" spans="1:10" ht="12.75" hidden="1" customHeight="1">
      <c r="A666">
        <v>422751000</v>
      </c>
      <c r="B666" t="s">
        <v>3127</v>
      </c>
      <c r="C666">
        <v>483</v>
      </c>
      <c r="D666" t="s">
        <v>3128</v>
      </c>
      <c r="E666">
        <v>26</v>
      </c>
      <c r="F666">
        <v>92216</v>
      </c>
      <c r="G666">
        <v>182211</v>
      </c>
      <c r="H666" t="s">
        <v>3130</v>
      </c>
      <c r="I666">
        <v>0</v>
      </c>
      <c r="J666">
        <v>43495</v>
      </c>
    </row>
    <row r="667" spans="1:10" ht="12.75" hidden="1" customHeight="1">
      <c r="A667">
        <v>422751000</v>
      </c>
      <c r="B667" t="s">
        <v>3127</v>
      </c>
      <c r="C667">
        <v>483</v>
      </c>
      <c r="D667" t="s">
        <v>3128</v>
      </c>
      <c r="E667">
        <v>26</v>
      </c>
      <c r="F667">
        <v>92217</v>
      </c>
      <c r="G667">
        <v>182142</v>
      </c>
      <c r="H667" t="s">
        <v>3130</v>
      </c>
      <c r="I667">
        <v>0</v>
      </c>
      <c r="J667">
        <v>43495</v>
      </c>
    </row>
    <row r="668" spans="1:10" ht="12.75" hidden="1" customHeight="1">
      <c r="A668">
        <v>422751000</v>
      </c>
      <c r="B668" t="s">
        <v>3127</v>
      </c>
      <c r="C668">
        <v>483</v>
      </c>
      <c r="D668" t="s">
        <v>3128</v>
      </c>
      <c r="E668">
        <v>26</v>
      </c>
      <c r="F668">
        <v>92218</v>
      </c>
      <c r="G668">
        <v>182077</v>
      </c>
      <c r="H668" t="s">
        <v>3130</v>
      </c>
      <c r="I668">
        <v>0</v>
      </c>
      <c r="J668">
        <v>43495</v>
      </c>
    </row>
    <row r="669" spans="1:10" ht="12.75" hidden="1" customHeight="1">
      <c r="A669">
        <v>422751000</v>
      </c>
      <c r="B669" t="s">
        <v>3127</v>
      </c>
      <c r="C669">
        <v>483</v>
      </c>
      <c r="D669" t="s">
        <v>3128</v>
      </c>
      <c r="E669">
        <v>26</v>
      </c>
      <c r="F669">
        <v>92219</v>
      </c>
      <c r="G669">
        <v>182008</v>
      </c>
      <c r="H669" t="s">
        <v>3130</v>
      </c>
      <c r="I669">
        <v>0</v>
      </c>
      <c r="J669">
        <v>43495</v>
      </c>
    </row>
    <row r="670" spans="1:10" ht="12.75" hidden="1" customHeight="1">
      <c r="A670">
        <v>422751000</v>
      </c>
      <c r="B670" t="s">
        <v>3127</v>
      </c>
      <c r="C670">
        <v>483</v>
      </c>
      <c r="D670" t="s">
        <v>3128</v>
      </c>
      <c r="E670">
        <v>26</v>
      </c>
      <c r="F670">
        <v>188919</v>
      </c>
      <c r="G670">
        <v>2960534</v>
      </c>
      <c r="H670" t="s">
        <v>3131</v>
      </c>
      <c r="I670">
        <v>0</v>
      </c>
      <c r="J670">
        <v>43654</v>
      </c>
    </row>
    <row r="671" spans="1:10" ht="12.75" hidden="1" customHeight="1">
      <c r="A671">
        <v>422751000</v>
      </c>
      <c r="B671" t="s">
        <v>3127</v>
      </c>
      <c r="C671">
        <v>484</v>
      </c>
      <c r="D671" t="s">
        <v>3132</v>
      </c>
      <c r="E671">
        <v>26</v>
      </c>
      <c r="F671">
        <v>309111</v>
      </c>
      <c r="G671">
        <v>3381550</v>
      </c>
      <c r="H671" t="s">
        <v>3133</v>
      </c>
      <c r="I671">
        <v>0</v>
      </c>
      <c r="J671">
        <v>43487</v>
      </c>
    </row>
    <row r="672" spans="1:10" ht="12.75" hidden="1" customHeight="1">
      <c r="A672">
        <v>422751500</v>
      </c>
      <c r="B672" t="s">
        <v>3134</v>
      </c>
      <c r="C672">
        <v>485</v>
      </c>
      <c r="D672" t="s">
        <v>3135</v>
      </c>
      <c r="E672">
        <v>26</v>
      </c>
      <c r="F672">
        <v>1063038</v>
      </c>
      <c r="G672">
        <v>1342400</v>
      </c>
      <c r="H672" t="s">
        <v>3136</v>
      </c>
      <c r="I672">
        <v>0</v>
      </c>
      <c r="J672">
        <v>43658</v>
      </c>
    </row>
    <row r="673" spans="1:10" ht="12.75" hidden="1" customHeight="1">
      <c r="A673">
        <v>422751500</v>
      </c>
      <c r="B673" t="s">
        <v>3134</v>
      </c>
      <c r="C673">
        <v>485</v>
      </c>
      <c r="D673" t="s">
        <v>3135</v>
      </c>
      <c r="E673">
        <v>26</v>
      </c>
      <c r="F673">
        <v>391030827</v>
      </c>
      <c r="G673">
        <v>2280000</v>
      </c>
      <c r="H673" t="s">
        <v>3137</v>
      </c>
      <c r="I673">
        <v>0</v>
      </c>
      <c r="J673">
        <v>43487</v>
      </c>
    </row>
    <row r="674" spans="1:10" ht="12.75" hidden="1" customHeight="1">
      <c r="A674">
        <v>422751500</v>
      </c>
      <c r="B674" t="s">
        <v>3134</v>
      </c>
      <c r="C674">
        <v>485</v>
      </c>
      <c r="D674" t="s">
        <v>3135</v>
      </c>
      <c r="E674">
        <v>26</v>
      </c>
      <c r="F674">
        <v>3914238371</v>
      </c>
      <c r="G674">
        <v>4422000</v>
      </c>
      <c r="H674" t="s">
        <v>3138</v>
      </c>
      <c r="I674">
        <v>0</v>
      </c>
      <c r="J674">
        <v>43768</v>
      </c>
    </row>
    <row r="675" spans="1:10" ht="12.75" hidden="1" customHeight="1">
      <c r="A675">
        <v>422751500</v>
      </c>
      <c r="B675" t="s">
        <v>3134</v>
      </c>
      <c r="C675">
        <v>485</v>
      </c>
      <c r="D675" t="s">
        <v>3135</v>
      </c>
      <c r="E675">
        <v>26</v>
      </c>
      <c r="F675">
        <v>8974</v>
      </c>
      <c r="G675">
        <v>250000</v>
      </c>
      <c r="H675" t="s">
        <v>3139</v>
      </c>
      <c r="I675">
        <v>0</v>
      </c>
      <c r="J675">
        <v>43666</v>
      </c>
    </row>
    <row r="676" spans="1:10" ht="12.75" hidden="1" customHeight="1">
      <c r="A676">
        <v>422751500</v>
      </c>
      <c r="B676" t="s">
        <v>3134</v>
      </c>
      <c r="C676">
        <v>485</v>
      </c>
      <c r="D676" t="s">
        <v>3135</v>
      </c>
      <c r="E676">
        <v>26</v>
      </c>
      <c r="F676">
        <v>20025861</v>
      </c>
      <c r="G676">
        <v>150000</v>
      </c>
      <c r="H676" t="s">
        <v>3140</v>
      </c>
      <c r="I676">
        <v>0</v>
      </c>
      <c r="J676">
        <v>43811</v>
      </c>
    </row>
    <row r="677" spans="1:10" ht="12.75" hidden="1" customHeight="1">
      <c r="A677">
        <v>422752000</v>
      </c>
      <c r="B677" t="s">
        <v>3141</v>
      </c>
      <c r="C677">
        <v>413</v>
      </c>
      <c r="D677" t="s">
        <v>3142</v>
      </c>
      <c r="E677">
        <v>26</v>
      </c>
      <c r="F677">
        <v>182485</v>
      </c>
      <c r="G677">
        <v>310500</v>
      </c>
      <c r="H677" t="s">
        <v>3143</v>
      </c>
      <c r="I677">
        <v>0</v>
      </c>
      <c r="J677">
        <v>43551</v>
      </c>
    </row>
    <row r="678" spans="1:10" ht="12.75" hidden="1" customHeight="1">
      <c r="A678">
        <v>422752000</v>
      </c>
      <c r="B678" t="s">
        <v>3141</v>
      </c>
      <c r="C678">
        <v>413</v>
      </c>
      <c r="D678" t="s">
        <v>3142</v>
      </c>
      <c r="E678">
        <v>26</v>
      </c>
      <c r="F678">
        <v>1635</v>
      </c>
      <c r="G678">
        <v>200000</v>
      </c>
      <c r="H678" t="s">
        <v>3144</v>
      </c>
      <c r="I678">
        <v>0</v>
      </c>
      <c r="J678">
        <v>43551</v>
      </c>
    </row>
    <row r="679" spans="1:10" ht="12.75" hidden="1" customHeight="1">
      <c r="A679">
        <v>422752000</v>
      </c>
      <c r="B679" t="s">
        <v>3141</v>
      </c>
      <c r="C679">
        <v>413</v>
      </c>
      <c r="D679" t="s">
        <v>3142</v>
      </c>
      <c r="E679">
        <v>26</v>
      </c>
      <c r="F679">
        <v>1762</v>
      </c>
      <c r="G679">
        <v>180000</v>
      </c>
      <c r="H679" t="s">
        <v>3145</v>
      </c>
      <c r="I679">
        <v>0</v>
      </c>
      <c r="J679">
        <v>43551</v>
      </c>
    </row>
    <row r="680" spans="1:10" ht="12.75" hidden="1" customHeight="1">
      <c r="A680">
        <v>422752000</v>
      </c>
      <c r="B680" t="s">
        <v>3141</v>
      </c>
      <c r="C680">
        <v>413</v>
      </c>
      <c r="D680" t="s">
        <v>3142</v>
      </c>
      <c r="E680">
        <v>26</v>
      </c>
      <c r="F680">
        <v>20020002668</v>
      </c>
      <c r="G680">
        <v>250000</v>
      </c>
      <c r="H680" t="s">
        <v>3146</v>
      </c>
      <c r="I680">
        <v>0</v>
      </c>
      <c r="J680">
        <v>43559</v>
      </c>
    </row>
    <row r="681" spans="1:10" ht="12.75" hidden="1" customHeight="1">
      <c r="A681">
        <v>422752000</v>
      </c>
      <c r="B681" t="s">
        <v>3141</v>
      </c>
      <c r="C681">
        <v>413</v>
      </c>
      <c r="D681" t="s">
        <v>3142</v>
      </c>
      <c r="E681">
        <v>26</v>
      </c>
      <c r="F681">
        <v>807741</v>
      </c>
      <c r="G681">
        <v>247756</v>
      </c>
      <c r="H681" t="s">
        <v>3147</v>
      </c>
      <c r="I681">
        <v>0</v>
      </c>
      <c r="J681">
        <v>43636</v>
      </c>
    </row>
    <row r="682" spans="1:10" ht="12.75" hidden="1" customHeight="1">
      <c r="A682">
        <v>422752000</v>
      </c>
      <c r="B682" t="s">
        <v>3141</v>
      </c>
      <c r="C682">
        <v>413</v>
      </c>
      <c r="D682" t="s">
        <v>3142</v>
      </c>
      <c r="E682">
        <v>26</v>
      </c>
      <c r="F682">
        <v>807743</v>
      </c>
      <c r="G682">
        <v>247756</v>
      </c>
      <c r="H682" t="s">
        <v>3148</v>
      </c>
      <c r="I682">
        <v>0</v>
      </c>
      <c r="J682">
        <v>43636</v>
      </c>
    </row>
    <row r="683" spans="1:10" ht="12.75" hidden="1" customHeight="1">
      <c r="A683">
        <v>422752000</v>
      </c>
      <c r="B683" t="s">
        <v>3141</v>
      </c>
      <c r="C683">
        <v>413</v>
      </c>
      <c r="D683" t="s">
        <v>3142</v>
      </c>
      <c r="E683">
        <v>26</v>
      </c>
      <c r="F683">
        <v>7029</v>
      </c>
      <c r="G683">
        <v>150000</v>
      </c>
      <c r="H683" t="s">
        <v>3149</v>
      </c>
      <c r="I683">
        <v>0</v>
      </c>
      <c r="J683">
        <v>43652</v>
      </c>
    </row>
    <row r="684" spans="1:10" ht="12.75" hidden="1" customHeight="1">
      <c r="A684">
        <v>422752000</v>
      </c>
      <c r="B684" t="s">
        <v>3141</v>
      </c>
      <c r="C684">
        <v>413</v>
      </c>
      <c r="D684" t="s">
        <v>3142</v>
      </c>
      <c r="E684">
        <v>26</v>
      </c>
      <c r="F684">
        <v>323997</v>
      </c>
      <c r="G684">
        <v>1388393</v>
      </c>
      <c r="H684" t="s">
        <v>3150</v>
      </c>
      <c r="I684">
        <v>0</v>
      </c>
      <c r="J684">
        <v>43652</v>
      </c>
    </row>
    <row r="685" spans="1:10" ht="12.75" hidden="1" customHeight="1">
      <c r="A685">
        <v>422752000</v>
      </c>
      <c r="B685" t="s">
        <v>3141</v>
      </c>
      <c r="C685">
        <v>413</v>
      </c>
      <c r="D685" t="s">
        <v>3142</v>
      </c>
      <c r="E685">
        <v>26</v>
      </c>
      <c r="F685">
        <v>426959</v>
      </c>
      <c r="G685">
        <v>1342204</v>
      </c>
      <c r="H685" t="s">
        <v>3151</v>
      </c>
      <c r="I685">
        <v>0</v>
      </c>
      <c r="J685">
        <v>43663</v>
      </c>
    </row>
    <row r="686" spans="1:10" ht="12.75" hidden="1" customHeight="1">
      <c r="A686">
        <v>422752000</v>
      </c>
      <c r="B686" t="s">
        <v>3141</v>
      </c>
      <c r="C686">
        <v>413</v>
      </c>
      <c r="D686" t="s">
        <v>3142</v>
      </c>
      <c r="E686">
        <v>26</v>
      </c>
      <c r="F686">
        <v>9891</v>
      </c>
      <c r="G686">
        <v>150000</v>
      </c>
      <c r="H686" t="s">
        <v>3152</v>
      </c>
      <c r="I686">
        <v>0</v>
      </c>
      <c r="J686">
        <v>43693</v>
      </c>
    </row>
    <row r="687" spans="1:10" ht="12.75" hidden="1" customHeight="1">
      <c r="A687">
        <v>422752000</v>
      </c>
      <c r="B687" t="s">
        <v>3141</v>
      </c>
      <c r="C687">
        <v>413</v>
      </c>
      <c r="D687" t="s">
        <v>3142</v>
      </c>
      <c r="E687">
        <v>26</v>
      </c>
      <c r="F687">
        <v>20025559</v>
      </c>
      <c r="G687">
        <v>150000</v>
      </c>
      <c r="H687" t="s">
        <v>3153</v>
      </c>
      <c r="I687">
        <v>0</v>
      </c>
      <c r="J687">
        <v>43742</v>
      </c>
    </row>
    <row r="688" spans="1:10" ht="12.75" hidden="1" customHeight="1">
      <c r="A688">
        <v>422752000</v>
      </c>
      <c r="B688" t="s">
        <v>3141</v>
      </c>
      <c r="C688">
        <v>413</v>
      </c>
      <c r="D688" t="s">
        <v>3142</v>
      </c>
      <c r="E688">
        <v>26</v>
      </c>
      <c r="F688">
        <v>326081</v>
      </c>
      <c r="G688">
        <v>682470</v>
      </c>
      <c r="H688" t="s">
        <v>3154</v>
      </c>
      <c r="I688">
        <v>0</v>
      </c>
      <c r="J688">
        <v>43651</v>
      </c>
    </row>
    <row r="689" spans="1:10" ht="12.75" hidden="1" customHeight="1">
      <c r="A689">
        <v>422752000</v>
      </c>
      <c r="B689" t="s">
        <v>3141</v>
      </c>
      <c r="C689">
        <v>413</v>
      </c>
      <c r="D689" t="s">
        <v>3142</v>
      </c>
      <c r="E689">
        <v>26</v>
      </c>
      <c r="F689">
        <v>326170</v>
      </c>
      <c r="G689">
        <v>362038</v>
      </c>
      <c r="H689" t="s">
        <v>3155</v>
      </c>
      <c r="I689">
        <v>0</v>
      </c>
      <c r="J689">
        <v>43651</v>
      </c>
    </row>
    <row r="690" spans="1:10" ht="12.75" hidden="1" customHeight="1">
      <c r="A690">
        <v>422752000</v>
      </c>
      <c r="B690" t="s">
        <v>3141</v>
      </c>
      <c r="C690">
        <v>413</v>
      </c>
      <c r="D690" t="s">
        <v>3142</v>
      </c>
      <c r="E690">
        <v>26</v>
      </c>
      <c r="F690">
        <v>326171</v>
      </c>
      <c r="G690">
        <v>482400</v>
      </c>
      <c r="H690" t="s">
        <v>3156</v>
      </c>
      <c r="I690">
        <v>0</v>
      </c>
      <c r="J690">
        <v>43651</v>
      </c>
    </row>
    <row r="691" spans="1:10" ht="12.75" hidden="1" customHeight="1">
      <c r="A691">
        <v>422752000</v>
      </c>
      <c r="B691" t="s">
        <v>3141</v>
      </c>
      <c r="C691">
        <v>414</v>
      </c>
      <c r="D691" t="s">
        <v>3157</v>
      </c>
      <c r="E691">
        <v>26</v>
      </c>
      <c r="F691">
        <v>0</v>
      </c>
      <c r="G691">
        <v>408000</v>
      </c>
      <c r="H691" t="s">
        <v>3158</v>
      </c>
      <c r="I691">
        <v>0</v>
      </c>
      <c r="J691">
        <v>43588</v>
      </c>
    </row>
    <row r="692" spans="1:10" ht="12.75" hidden="1" customHeight="1">
      <c r="A692">
        <v>422752000</v>
      </c>
      <c r="B692" t="s">
        <v>3141</v>
      </c>
      <c r="C692">
        <v>414</v>
      </c>
      <c r="D692" t="s">
        <v>3157</v>
      </c>
      <c r="E692">
        <v>26</v>
      </c>
      <c r="F692">
        <v>190671</v>
      </c>
      <c r="G692">
        <v>391500</v>
      </c>
      <c r="H692" t="s">
        <v>3159</v>
      </c>
      <c r="I692">
        <v>0</v>
      </c>
      <c r="J692">
        <v>43689</v>
      </c>
    </row>
    <row r="693" spans="1:10" ht="12.75" hidden="1" customHeight="1">
      <c r="A693">
        <v>422752000</v>
      </c>
      <c r="B693" t="s">
        <v>3141</v>
      </c>
      <c r="C693">
        <v>414</v>
      </c>
      <c r="D693" t="s">
        <v>3157</v>
      </c>
      <c r="E693">
        <v>26</v>
      </c>
      <c r="F693">
        <v>101112</v>
      </c>
      <c r="G693">
        <v>117480</v>
      </c>
      <c r="H693" t="s">
        <v>3160</v>
      </c>
      <c r="I693">
        <v>0</v>
      </c>
      <c r="J693">
        <v>43566</v>
      </c>
    </row>
    <row r="694" spans="1:10" ht="12.75" hidden="1" customHeight="1">
      <c r="A694">
        <v>422752000</v>
      </c>
      <c r="B694" t="s">
        <v>3141</v>
      </c>
      <c r="C694">
        <v>414</v>
      </c>
      <c r="D694" t="s">
        <v>3157</v>
      </c>
      <c r="E694">
        <v>26</v>
      </c>
      <c r="F694">
        <v>0</v>
      </c>
      <c r="G694">
        <v>221000</v>
      </c>
      <c r="H694" t="s">
        <v>3161</v>
      </c>
      <c r="I694">
        <v>0</v>
      </c>
      <c r="J694">
        <v>43664</v>
      </c>
    </row>
    <row r="695" spans="1:10" ht="12.75" hidden="1" customHeight="1">
      <c r="A695">
        <v>422752000</v>
      </c>
      <c r="B695" t="s">
        <v>3141</v>
      </c>
      <c r="C695">
        <v>414</v>
      </c>
      <c r="D695" t="s">
        <v>3157</v>
      </c>
      <c r="E695">
        <v>26</v>
      </c>
      <c r="F695">
        <v>0</v>
      </c>
      <c r="G695">
        <v>251600</v>
      </c>
      <c r="H695" t="s">
        <v>3162</v>
      </c>
      <c r="I695">
        <v>0</v>
      </c>
      <c r="J695">
        <v>43601</v>
      </c>
    </row>
    <row r="696" spans="1:10" ht="12.75" hidden="1" customHeight="1">
      <c r="A696">
        <v>422752000</v>
      </c>
      <c r="B696" t="s">
        <v>3141</v>
      </c>
      <c r="C696">
        <v>414</v>
      </c>
      <c r="D696" t="s">
        <v>3157</v>
      </c>
      <c r="E696">
        <v>26</v>
      </c>
      <c r="F696">
        <v>185693</v>
      </c>
      <c r="G696">
        <v>248600</v>
      </c>
      <c r="H696" t="s">
        <v>3163</v>
      </c>
      <c r="I696">
        <v>0</v>
      </c>
      <c r="J696">
        <v>43601</v>
      </c>
    </row>
    <row r="697" spans="1:10" ht="12.75" hidden="1" customHeight="1">
      <c r="A697">
        <v>422752000</v>
      </c>
      <c r="B697" t="s">
        <v>3141</v>
      </c>
      <c r="C697">
        <v>414</v>
      </c>
      <c r="D697" t="s">
        <v>3157</v>
      </c>
      <c r="E697">
        <v>26</v>
      </c>
      <c r="F697">
        <v>185695</v>
      </c>
      <c r="G697">
        <v>243200</v>
      </c>
      <c r="H697" t="s">
        <v>3164</v>
      </c>
      <c r="I697">
        <v>0</v>
      </c>
      <c r="J697">
        <v>43601</v>
      </c>
    </row>
    <row r="698" spans="1:10" ht="12.75" hidden="1" customHeight="1">
      <c r="A698">
        <v>422752000</v>
      </c>
      <c r="B698" t="s">
        <v>3141</v>
      </c>
      <c r="C698">
        <v>414</v>
      </c>
      <c r="D698" t="s">
        <v>3157</v>
      </c>
      <c r="E698">
        <v>26</v>
      </c>
      <c r="F698">
        <v>188712</v>
      </c>
      <c r="G698">
        <v>276000</v>
      </c>
      <c r="H698" t="s">
        <v>3165</v>
      </c>
      <c r="I698">
        <v>0</v>
      </c>
      <c r="J698">
        <v>43650</v>
      </c>
    </row>
    <row r="699" spans="1:10" ht="12.75" hidden="1" customHeight="1">
      <c r="A699">
        <v>422752000</v>
      </c>
      <c r="B699" t="s">
        <v>3141</v>
      </c>
      <c r="C699">
        <v>414</v>
      </c>
      <c r="D699" t="s">
        <v>3157</v>
      </c>
      <c r="E699">
        <v>26</v>
      </c>
      <c r="F699">
        <v>191145</v>
      </c>
      <c r="G699">
        <v>124920</v>
      </c>
      <c r="H699" t="s">
        <v>3166</v>
      </c>
      <c r="I699">
        <v>0</v>
      </c>
      <c r="J699">
        <v>43706</v>
      </c>
    </row>
    <row r="700" spans="1:10" ht="12.75" hidden="1" customHeight="1">
      <c r="A700">
        <v>422752000</v>
      </c>
      <c r="B700" t="s">
        <v>3141</v>
      </c>
      <c r="C700">
        <v>414</v>
      </c>
      <c r="D700" t="s">
        <v>3157</v>
      </c>
      <c r="E700">
        <v>26</v>
      </c>
      <c r="F700">
        <v>194011</v>
      </c>
      <c r="G700">
        <v>375000</v>
      </c>
      <c r="H700" t="s">
        <v>3167</v>
      </c>
      <c r="I700">
        <v>0</v>
      </c>
      <c r="J700">
        <v>43777</v>
      </c>
    </row>
    <row r="701" spans="1:10" ht="12.75" hidden="1" customHeight="1">
      <c r="A701">
        <v>422752000</v>
      </c>
      <c r="B701" t="s">
        <v>3141</v>
      </c>
      <c r="C701">
        <v>414</v>
      </c>
      <c r="D701" t="s">
        <v>3157</v>
      </c>
      <c r="E701">
        <v>26</v>
      </c>
      <c r="F701">
        <v>94540</v>
      </c>
      <c r="G701">
        <v>243000</v>
      </c>
      <c r="H701" t="s">
        <v>3168</v>
      </c>
      <c r="I701">
        <v>0</v>
      </c>
      <c r="J701">
        <v>43515</v>
      </c>
    </row>
    <row r="702" spans="1:10" ht="12.75" hidden="1" customHeight="1">
      <c r="A702">
        <v>422752000</v>
      </c>
      <c r="B702" t="s">
        <v>3141</v>
      </c>
      <c r="C702">
        <v>414</v>
      </c>
      <c r="D702" t="s">
        <v>3157</v>
      </c>
      <c r="E702">
        <v>26</v>
      </c>
      <c r="F702">
        <v>189714</v>
      </c>
      <c r="G702">
        <v>50000</v>
      </c>
      <c r="H702" t="s">
        <v>3169</v>
      </c>
      <c r="I702">
        <v>0</v>
      </c>
      <c r="J702">
        <v>43670</v>
      </c>
    </row>
    <row r="703" spans="1:10" ht="12.75" hidden="1" customHeight="1">
      <c r="A703">
        <v>422752000</v>
      </c>
      <c r="B703" t="s">
        <v>3141</v>
      </c>
      <c r="C703">
        <v>415</v>
      </c>
      <c r="D703" t="s">
        <v>3170</v>
      </c>
      <c r="E703">
        <v>26</v>
      </c>
      <c r="F703">
        <v>314646</v>
      </c>
      <c r="G703">
        <v>355500</v>
      </c>
      <c r="H703" t="s">
        <v>3171</v>
      </c>
      <c r="I703">
        <v>0</v>
      </c>
      <c r="J703">
        <v>43510</v>
      </c>
    </row>
    <row r="704" spans="1:10" ht="12.75" hidden="1" customHeight="1">
      <c r="A704">
        <v>422752000</v>
      </c>
      <c r="B704" t="s">
        <v>3141</v>
      </c>
      <c r="C704">
        <v>415</v>
      </c>
      <c r="D704" t="s">
        <v>3170</v>
      </c>
      <c r="E704">
        <v>26</v>
      </c>
      <c r="F704">
        <v>329689</v>
      </c>
      <c r="G704">
        <v>240000</v>
      </c>
      <c r="H704" t="s">
        <v>3172</v>
      </c>
      <c r="I704">
        <v>0</v>
      </c>
      <c r="J704">
        <v>43622</v>
      </c>
    </row>
    <row r="705" spans="1:10" ht="12.75" hidden="1" customHeight="1">
      <c r="A705">
        <v>422760100</v>
      </c>
      <c r="B705" t="s">
        <v>3173</v>
      </c>
      <c r="C705">
        <v>360</v>
      </c>
      <c r="D705" t="s">
        <v>3174</v>
      </c>
      <c r="E705">
        <v>26</v>
      </c>
      <c r="F705">
        <v>185696</v>
      </c>
      <c r="G705">
        <v>302000</v>
      </c>
      <c r="H705" t="s">
        <v>3175</v>
      </c>
      <c r="I705">
        <v>0</v>
      </c>
      <c r="J705">
        <v>43601</v>
      </c>
    </row>
    <row r="706" spans="1:10" ht="12.75" hidden="1" customHeight="1">
      <c r="A706">
        <v>422760100</v>
      </c>
      <c r="B706" t="s">
        <v>3173</v>
      </c>
      <c r="C706">
        <v>360</v>
      </c>
      <c r="D706" t="s">
        <v>3174</v>
      </c>
      <c r="E706">
        <v>26</v>
      </c>
      <c r="F706">
        <v>186119</v>
      </c>
      <c r="G706">
        <v>151000</v>
      </c>
      <c r="H706" t="s">
        <v>3176</v>
      </c>
      <c r="I706">
        <v>0</v>
      </c>
      <c r="J706">
        <v>43613</v>
      </c>
    </row>
    <row r="707" spans="1:10" ht="12.75" hidden="1" customHeight="1">
      <c r="A707">
        <v>422760100</v>
      </c>
      <c r="B707" t="s">
        <v>3173</v>
      </c>
      <c r="C707">
        <v>488</v>
      </c>
      <c r="D707" t="s">
        <v>3177</v>
      </c>
      <c r="E707">
        <v>26</v>
      </c>
      <c r="F707">
        <v>74685</v>
      </c>
      <c r="G707">
        <v>200000</v>
      </c>
      <c r="H707" t="s">
        <v>3178</v>
      </c>
      <c r="I707">
        <v>0</v>
      </c>
      <c r="J707">
        <v>43501</v>
      </c>
    </row>
    <row r="708" spans="1:10" ht="12.75" hidden="1" customHeight="1">
      <c r="A708">
        <v>422760100</v>
      </c>
      <c r="B708" t="s">
        <v>3173</v>
      </c>
      <c r="C708">
        <v>488</v>
      </c>
      <c r="D708" t="s">
        <v>3177</v>
      </c>
      <c r="E708">
        <v>26</v>
      </c>
      <c r="F708">
        <v>80677</v>
      </c>
      <c r="G708">
        <v>100000</v>
      </c>
      <c r="H708" t="s">
        <v>3179</v>
      </c>
      <c r="I708">
        <v>0</v>
      </c>
      <c r="J708">
        <v>43524</v>
      </c>
    </row>
    <row r="709" spans="1:10" ht="12.75" hidden="1" customHeight="1">
      <c r="A709">
        <v>422760100</v>
      </c>
      <c r="B709" t="s">
        <v>3173</v>
      </c>
      <c r="C709">
        <v>488</v>
      </c>
      <c r="D709" t="s">
        <v>3177</v>
      </c>
      <c r="E709">
        <v>26</v>
      </c>
      <c r="F709">
        <v>130319</v>
      </c>
      <c r="G709">
        <v>100000</v>
      </c>
      <c r="H709" t="s">
        <v>3178</v>
      </c>
      <c r="I709">
        <v>0</v>
      </c>
      <c r="J709">
        <v>43537</v>
      </c>
    </row>
    <row r="710" spans="1:10" ht="12.75" hidden="1" customHeight="1">
      <c r="A710">
        <v>422760100</v>
      </c>
      <c r="B710" t="s">
        <v>3173</v>
      </c>
      <c r="C710">
        <v>488</v>
      </c>
      <c r="D710" t="s">
        <v>3177</v>
      </c>
      <c r="E710">
        <v>26</v>
      </c>
      <c r="F710">
        <v>17052019</v>
      </c>
      <c r="G710">
        <v>250000</v>
      </c>
      <c r="H710" t="s">
        <v>3180</v>
      </c>
      <c r="I710">
        <v>0</v>
      </c>
      <c r="J710">
        <v>43602</v>
      </c>
    </row>
    <row r="711" spans="1:10" ht="12.75" hidden="1" customHeight="1">
      <c r="A711">
        <v>422760100</v>
      </c>
      <c r="B711" t="s">
        <v>3173</v>
      </c>
      <c r="C711">
        <v>488</v>
      </c>
      <c r="D711" t="s">
        <v>3177</v>
      </c>
      <c r="E711">
        <v>26</v>
      </c>
      <c r="F711">
        <v>256829</v>
      </c>
      <c r="G711">
        <v>2050000</v>
      </c>
      <c r="H711" t="s">
        <v>3181</v>
      </c>
      <c r="I711">
        <v>0</v>
      </c>
      <c r="J711">
        <v>43713</v>
      </c>
    </row>
    <row r="712" spans="1:10" ht="12.75" hidden="1" customHeight="1">
      <c r="A712">
        <v>422760100</v>
      </c>
      <c r="B712" t="s">
        <v>3173</v>
      </c>
      <c r="C712">
        <v>488</v>
      </c>
      <c r="D712" t="s">
        <v>3177</v>
      </c>
      <c r="E712">
        <v>26</v>
      </c>
      <c r="F712">
        <v>7012018</v>
      </c>
      <c r="G712">
        <v>100000</v>
      </c>
      <c r="H712" t="s">
        <v>3182</v>
      </c>
      <c r="I712">
        <v>0</v>
      </c>
      <c r="J712">
        <v>43472</v>
      </c>
    </row>
    <row r="713" spans="1:10" ht="12.75" hidden="1" customHeight="1">
      <c r="A713">
        <v>422760100</v>
      </c>
      <c r="B713" t="s">
        <v>3173</v>
      </c>
      <c r="C713">
        <v>488</v>
      </c>
      <c r="D713" t="s">
        <v>3177</v>
      </c>
      <c r="E713">
        <v>26</v>
      </c>
      <c r="F713">
        <v>13852</v>
      </c>
      <c r="G713">
        <v>100000</v>
      </c>
      <c r="H713" t="s">
        <v>3183</v>
      </c>
      <c r="I713">
        <v>0</v>
      </c>
      <c r="J713">
        <v>43482</v>
      </c>
    </row>
    <row r="714" spans="1:10" ht="12.75" hidden="1" customHeight="1">
      <c r="A714">
        <v>422760100</v>
      </c>
      <c r="B714" t="s">
        <v>3173</v>
      </c>
      <c r="C714">
        <v>488</v>
      </c>
      <c r="D714" t="s">
        <v>3177</v>
      </c>
      <c r="E714">
        <v>26</v>
      </c>
      <c r="F714">
        <v>2803</v>
      </c>
      <c r="G714">
        <v>700000</v>
      </c>
      <c r="H714" t="s">
        <v>3184</v>
      </c>
      <c r="I714">
        <v>0</v>
      </c>
      <c r="J714">
        <v>43552</v>
      </c>
    </row>
    <row r="715" spans="1:10" ht="12.75" hidden="1" customHeight="1">
      <c r="A715">
        <v>422760100</v>
      </c>
      <c r="B715" t="s">
        <v>3173</v>
      </c>
      <c r="C715">
        <v>488</v>
      </c>
      <c r="D715" t="s">
        <v>3177</v>
      </c>
      <c r="E715">
        <v>26</v>
      </c>
      <c r="F715">
        <v>16042019</v>
      </c>
      <c r="G715">
        <v>150000</v>
      </c>
      <c r="H715" t="s">
        <v>3185</v>
      </c>
      <c r="I715">
        <v>0</v>
      </c>
      <c r="J715">
        <v>43571</v>
      </c>
    </row>
    <row r="716" spans="1:10" ht="12.75" hidden="1" customHeight="1">
      <c r="A716">
        <v>422760100</v>
      </c>
      <c r="B716" t="s">
        <v>3173</v>
      </c>
      <c r="C716">
        <v>488</v>
      </c>
      <c r="D716" t="s">
        <v>3177</v>
      </c>
      <c r="E716">
        <v>26</v>
      </c>
      <c r="F716">
        <v>521654</v>
      </c>
      <c r="G716">
        <v>100000</v>
      </c>
      <c r="H716" t="s">
        <v>3186</v>
      </c>
      <c r="I716">
        <v>0</v>
      </c>
      <c r="J716">
        <v>43579</v>
      </c>
    </row>
    <row r="717" spans="1:10" ht="12.75" hidden="1" customHeight="1">
      <c r="A717">
        <v>422760100</v>
      </c>
      <c r="B717" t="s">
        <v>3173</v>
      </c>
      <c r="C717">
        <v>488</v>
      </c>
      <c r="D717" t="s">
        <v>3177</v>
      </c>
      <c r="E717">
        <v>26</v>
      </c>
      <c r="F717">
        <v>6052019</v>
      </c>
      <c r="G717">
        <v>100000</v>
      </c>
      <c r="H717" t="s">
        <v>3187</v>
      </c>
      <c r="I717">
        <v>0</v>
      </c>
      <c r="J717">
        <v>43591</v>
      </c>
    </row>
    <row r="718" spans="1:10" ht="12.75" hidden="1" customHeight="1">
      <c r="A718">
        <v>422760100</v>
      </c>
      <c r="B718" t="s">
        <v>3173</v>
      </c>
      <c r="C718">
        <v>488</v>
      </c>
      <c r="D718" t="s">
        <v>3177</v>
      </c>
      <c r="E718">
        <v>26</v>
      </c>
      <c r="F718">
        <v>200519</v>
      </c>
      <c r="G718">
        <v>50000</v>
      </c>
      <c r="H718" t="s">
        <v>3188</v>
      </c>
      <c r="I718">
        <v>0</v>
      </c>
      <c r="J718">
        <v>43605</v>
      </c>
    </row>
    <row r="719" spans="1:10" ht="12.75" hidden="1" customHeight="1">
      <c r="A719">
        <v>422760100</v>
      </c>
      <c r="B719" t="s">
        <v>3173</v>
      </c>
      <c r="C719">
        <v>488</v>
      </c>
      <c r="D719" t="s">
        <v>3177</v>
      </c>
      <c r="E719">
        <v>26</v>
      </c>
      <c r="F719">
        <v>9738997</v>
      </c>
      <c r="G719">
        <v>100000</v>
      </c>
      <c r="H719" t="s">
        <v>3189</v>
      </c>
      <c r="I719">
        <v>0</v>
      </c>
      <c r="J719">
        <v>43619</v>
      </c>
    </row>
    <row r="720" spans="1:10" ht="12.75" hidden="1" customHeight="1">
      <c r="A720">
        <v>422760100</v>
      </c>
      <c r="B720" t="s">
        <v>3173</v>
      </c>
      <c r="C720">
        <v>488</v>
      </c>
      <c r="D720" t="s">
        <v>3177</v>
      </c>
      <c r="E720">
        <v>26</v>
      </c>
      <c r="F720">
        <v>58928</v>
      </c>
      <c r="G720">
        <v>300000</v>
      </c>
      <c r="H720" t="s">
        <v>3183</v>
      </c>
      <c r="I720">
        <v>0</v>
      </c>
      <c r="J720">
        <v>43672</v>
      </c>
    </row>
    <row r="721" spans="1:10" ht="12.75" hidden="1" customHeight="1">
      <c r="A721">
        <v>422760100</v>
      </c>
      <c r="B721" t="s">
        <v>3173</v>
      </c>
      <c r="C721">
        <v>488</v>
      </c>
      <c r="D721" t="s">
        <v>3177</v>
      </c>
      <c r="E721">
        <v>26</v>
      </c>
      <c r="F721">
        <v>85647</v>
      </c>
      <c r="G721">
        <v>400000</v>
      </c>
      <c r="H721" t="s">
        <v>3190</v>
      </c>
      <c r="I721">
        <v>0</v>
      </c>
      <c r="J721">
        <v>43503</v>
      </c>
    </row>
    <row r="722" spans="1:10" ht="12.75" hidden="1" customHeight="1">
      <c r="A722">
        <v>422760100</v>
      </c>
      <c r="B722" t="s">
        <v>3173</v>
      </c>
      <c r="C722">
        <v>488</v>
      </c>
      <c r="D722" t="s">
        <v>3177</v>
      </c>
      <c r="E722">
        <v>26</v>
      </c>
      <c r="F722">
        <v>97009581602</v>
      </c>
      <c r="G722">
        <v>400000</v>
      </c>
      <c r="H722" t="s">
        <v>3191</v>
      </c>
      <c r="I722">
        <v>0</v>
      </c>
      <c r="J722">
        <v>43592</v>
      </c>
    </row>
    <row r="723" spans="1:10" ht="12.75" hidden="1" customHeight="1">
      <c r="A723">
        <v>422760100</v>
      </c>
      <c r="B723" t="s">
        <v>3173</v>
      </c>
      <c r="C723">
        <v>488</v>
      </c>
      <c r="D723" t="s">
        <v>3177</v>
      </c>
      <c r="E723">
        <v>26</v>
      </c>
      <c r="F723">
        <v>23052019</v>
      </c>
      <c r="G723">
        <v>50000</v>
      </c>
      <c r="H723" t="s">
        <v>3192</v>
      </c>
      <c r="I723">
        <v>0</v>
      </c>
      <c r="J723">
        <v>43608</v>
      </c>
    </row>
    <row r="724" spans="1:10" ht="12.75" hidden="1" customHeight="1">
      <c r="A724">
        <v>422760100</v>
      </c>
      <c r="B724" t="s">
        <v>3173</v>
      </c>
      <c r="C724">
        <v>488</v>
      </c>
      <c r="D724" t="s">
        <v>3177</v>
      </c>
      <c r="E724">
        <v>26</v>
      </c>
      <c r="F724">
        <v>168424</v>
      </c>
      <c r="G724">
        <v>50000</v>
      </c>
      <c r="H724" t="s">
        <v>3193</v>
      </c>
      <c r="I724">
        <v>0</v>
      </c>
      <c r="J724">
        <v>43696</v>
      </c>
    </row>
    <row r="725" spans="1:10" ht="12.75" hidden="1" customHeight="1">
      <c r="A725">
        <v>422760100</v>
      </c>
      <c r="B725" t="s">
        <v>3173</v>
      </c>
      <c r="C725">
        <v>488</v>
      </c>
      <c r="D725" t="s">
        <v>3177</v>
      </c>
      <c r="E725">
        <v>26</v>
      </c>
      <c r="F725">
        <v>178149</v>
      </c>
      <c r="G725">
        <v>812520</v>
      </c>
      <c r="H725" t="s">
        <v>3194</v>
      </c>
      <c r="I725">
        <v>0</v>
      </c>
      <c r="J725">
        <v>43554</v>
      </c>
    </row>
    <row r="726" spans="1:10" ht="12.75" hidden="1" customHeight="1">
      <c r="A726">
        <v>422760100</v>
      </c>
      <c r="B726" t="s">
        <v>3173</v>
      </c>
      <c r="C726">
        <v>488</v>
      </c>
      <c r="D726" t="s">
        <v>3177</v>
      </c>
      <c r="E726">
        <v>26</v>
      </c>
      <c r="F726">
        <v>26</v>
      </c>
      <c r="G726">
        <v>200000</v>
      </c>
      <c r="H726" t="s">
        <v>3195</v>
      </c>
      <c r="I726">
        <v>0</v>
      </c>
      <c r="J726">
        <v>43607</v>
      </c>
    </row>
    <row r="727" spans="1:10" ht="12.75" hidden="1" customHeight="1">
      <c r="A727">
        <v>422760100</v>
      </c>
      <c r="B727" t="s">
        <v>3173</v>
      </c>
      <c r="C727">
        <v>488</v>
      </c>
      <c r="D727" t="s">
        <v>3177</v>
      </c>
      <c r="E727">
        <v>26</v>
      </c>
      <c r="F727">
        <v>34</v>
      </c>
      <c r="G727">
        <v>75000</v>
      </c>
      <c r="H727" t="s">
        <v>3196</v>
      </c>
      <c r="I727">
        <v>0</v>
      </c>
      <c r="J727">
        <v>43661</v>
      </c>
    </row>
    <row r="728" spans="1:10">
      <c r="A728">
        <v>425050100</v>
      </c>
      <c r="B728" s="71" t="s">
        <v>2621</v>
      </c>
      <c r="C728">
        <v>492</v>
      </c>
      <c r="D728" t="s">
        <v>2621</v>
      </c>
      <c r="E728">
        <v>26</v>
      </c>
      <c r="F728">
        <v>10071329409</v>
      </c>
      <c r="G728" s="23">
        <v>18113</v>
      </c>
      <c r="H728" t="s">
        <v>2622</v>
      </c>
      <c r="I728">
        <v>0</v>
      </c>
      <c r="J728" s="54">
        <v>43710</v>
      </c>
    </row>
    <row r="729" spans="1:10">
      <c r="A729">
        <v>425050100</v>
      </c>
      <c r="B729" s="71" t="s">
        <v>2621</v>
      </c>
      <c r="C729">
        <v>492</v>
      </c>
      <c r="D729" t="s">
        <v>2621</v>
      </c>
      <c r="E729">
        <v>26</v>
      </c>
      <c r="F729">
        <v>10030157984</v>
      </c>
      <c r="G729" s="23">
        <v>200000</v>
      </c>
      <c r="H729" t="s">
        <v>2623</v>
      </c>
      <c r="I729">
        <v>0</v>
      </c>
      <c r="J729" s="54">
        <v>43556</v>
      </c>
    </row>
    <row r="730" spans="1:10" ht="12.75" hidden="1" customHeight="1">
      <c r="A730">
        <v>431050100</v>
      </c>
      <c r="B730" t="s">
        <v>3197</v>
      </c>
      <c r="C730">
        <v>436</v>
      </c>
      <c r="D730" t="s">
        <v>2666</v>
      </c>
      <c r="E730">
        <v>26</v>
      </c>
      <c r="F730">
        <v>16122019</v>
      </c>
      <c r="G730">
        <v>275000</v>
      </c>
      <c r="H730" t="s">
        <v>3198</v>
      </c>
      <c r="I730">
        <v>0</v>
      </c>
      <c r="J730">
        <v>43815</v>
      </c>
    </row>
    <row r="731" spans="1:10" ht="12.75" hidden="1" customHeight="1">
      <c r="A731">
        <v>431050100</v>
      </c>
      <c r="B731" t="s">
        <v>3197</v>
      </c>
      <c r="C731">
        <v>499</v>
      </c>
      <c r="D731" t="s">
        <v>3199</v>
      </c>
      <c r="E731">
        <v>26</v>
      </c>
      <c r="F731">
        <v>30102019</v>
      </c>
      <c r="G731">
        <v>8000000</v>
      </c>
      <c r="H731" t="s">
        <v>3200</v>
      </c>
      <c r="I731">
        <v>0</v>
      </c>
      <c r="J731">
        <v>43769</v>
      </c>
    </row>
    <row r="732" spans="1:10" ht="12.75" hidden="1" customHeight="1">
      <c r="A732">
        <v>431050100</v>
      </c>
      <c r="B732" t="s">
        <v>3197</v>
      </c>
      <c r="C732">
        <v>499</v>
      </c>
      <c r="D732" t="s">
        <v>3199</v>
      </c>
      <c r="E732">
        <v>26</v>
      </c>
      <c r="F732">
        <v>3004</v>
      </c>
      <c r="G732">
        <v>3925</v>
      </c>
      <c r="H732" t="s">
        <v>3201</v>
      </c>
      <c r="I732">
        <v>0</v>
      </c>
      <c r="J732">
        <v>43585</v>
      </c>
    </row>
    <row r="733" spans="1:10" ht="12.75" hidden="1" customHeight="1">
      <c r="A733">
        <v>431050100</v>
      </c>
      <c r="B733" t="s">
        <v>3197</v>
      </c>
      <c r="C733">
        <v>499</v>
      </c>
      <c r="D733" t="s">
        <v>3199</v>
      </c>
      <c r="E733">
        <v>26</v>
      </c>
      <c r="F733">
        <v>3006</v>
      </c>
      <c r="G733">
        <v>557</v>
      </c>
      <c r="H733" t="s">
        <v>3201</v>
      </c>
      <c r="I733">
        <v>0</v>
      </c>
      <c r="J733">
        <v>43646</v>
      </c>
    </row>
    <row r="734" spans="1:10" ht="12.75" hidden="1" customHeight="1">
      <c r="A734">
        <v>431050100</v>
      </c>
      <c r="B734" t="s">
        <v>3197</v>
      </c>
      <c r="C734">
        <v>499</v>
      </c>
      <c r="D734" t="s">
        <v>3199</v>
      </c>
      <c r="E734">
        <v>26</v>
      </c>
      <c r="F734">
        <v>10071329409</v>
      </c>
      <c r="G734">
        <v>1811</v>
      </c>
      <c r="H734" t="s">
        <v>2622</v>
      </c>
      <c r="I734">
        <v>0</v>
      </c>
      <c r="J734">
        <v>43710</v>
      </c>
    </row>
    <row r="735" spans="1:10" ht="12.75" hidden="1" customHeight="1">
      <c r="A735">
        <v>431050100</v>
      </c>
      <c r="B735" t="s">
        <v>3197</v>
      </c>
      <c r="C735">
        <v>499</v>
      </c>
      <c r="D735" t="s">
        <v>3199</v>
      </c>
      <c r="E735">
        <v>26</v>
      </c>
      <c r="F735">
        <v>16012019</v>
      </c>
      <c r="G735">
        <v>17424</v>
      </c>
      <c r="H735" t="s">
        <v>3202</v>
      </c>
      <c r="I735">
        <v>0</v>
      </c>
      <c r="J735">
        <v>43678</v>
      </c>
    </row>
    <row r="736" spans="1:10" ht="12.75" hidden="1" customHeight="1">
      <c r="A736">
        <v>431050100</v>
      </c>
      <c r="B736" t="s">
        <v>3197</v>
      </c>
      <c r="C736">
        <v>499</v>
      </c>
      <c r="D736" t="s">
        <v>3199</v>
      </c>
      <c r="E736">
        <v>26</v>
      </c>
      <c r="F736">
        <v>264088</v>
      </c>
      <c r="G736">
        <v>50000</v>
      </c>
      <c r="H736" t="s">
        <v>3203</v>
      </c>
      <c r="I736">
        <v>0</v>
      </c>
      <c r="J736">
        <v>43714</v>
      </c>
    </row>
    <row r="737" spans="1:10" ht="12.75" hidden="1" customHeight="1">
      <c r="A737">
        <v>431050100</v>
      </c>
      <c r="B737" t="s">
        <v>3197</v>
      </c>
      <c r="C737">
        <v>499</v>
      </c>
      <c r="D737" t="s">
        <v>3199</v>
      </c>
      <c r="E737">
        <v>26</v>
      </c>
      <c r="F737">
        <v>280219</v>
      </c>
      <c r="G737">
        <v>27808</v>
      </c>
      <c r="H737" t="s">
        <v>3204</v>
      </c>
      <c r="I737">
        <v>0</v>
      </c>
      <c r="J737">
        <v>43708</v>
      </c>
    </row>
    <row r="738" spans="1:10" ht="12.75" hidden="1" customHeight="1">
      <c r="A738">
        <v>431050100</v>
      </c>
      <c r="B738" t="s">
        <v>3197</v>
      </c>
      <c r="C738">
        <v>499</v>
      </c>
      <c r="D738" t="s">
        <v>3199</v>
      </c>
      <c r="E738">
        <v>26</v>
      </c>
      <c r="F738">
        <v>22072019</v>
      </c>
      <c r="G738">
        <v>20856</v>
      </c>
      <c r="H738" t="s">
        <v>3205</v>
      </c>
      <c r="I738">
        <v>0</v>
      </c>
      <c r="J738">
        <v>43708</v>
      </c>
    </row>
    <row r="739" spans="1:10" ht="12.75" hidden="1" customHeight="1">
      <c r="A739">
        <v>431050100</v>
      </c>
      <c r="B739" t="s">
        <v>3197</v>
      </c>
      <c r="C739">
        <v>499</v>
      </c>
      <c r="D739" t="s">
        <v>3199</v>
      </c>
      <c r="E739">
        <v>26</v>
      </c>
      <c r="F739">
        <v>14022019</v>
      </c>
      <c r="G739">
        <v>4400</v>
      </c>
      <c r="H739" t="s">
        <v>3206</v>
      </c>
      <c r="I739">
        <v>0</v>
      </c>
      <c r="J739">
        <v>43510</v>
      </c>
    </row>
    <row r="740" spans="1:10" ht="12.75" hidden="1" customHeight="1">
      <c r="A740">
        <v>431050100</v>
      </c>
      <c r="B740" t="s">
        <v>3197</v>
      </c>
      <c r="C740">
        <v>499</v>
      </c>
      <c r="D740" t="s">
        <v>3199</v>
      </c>
      <c r="E740">
        <v>26</v>
      </c>
      <c r="F740">
        <v>4052019</v>
      </c>
      <c r="G740">
        <v>1000000</v>
      </c>
      <c r="H740" t="s">
        <v>3207</v>
      </c>
      <c r="I740">
        <v>0</v>
      </c>
      <c r="J740">
        <v>43589</v>
      </c>
    </row>
    <row r="741" spans="1:10" ht="12.75" hidden="1" customHeight="1">
      <c r="A741">
        <v>431050100</v>
      </c>
      <c r="B741" t="s">
        <v>3197</v>
      </c>
      <c r="C741">
        <v>499</v>
      </c>
      <c r="D741" t="s">
        <v>3199</v>
      </c>
      <c r="E741">
        <v>26</v>
      </c>
      <c r="F741">
        <v>36345829</v>
      </c>
      <c r="G741">
        <v>92854</v>
      </c>
      <c r="H741" t="s">
        <v>3208</v>
      </c>
      <c r="I741">
        <v>0</v>
      </c>
      <c r="J741">
        <v>43634</v>
      </c>
    </row>
    <row r="742" spans="1:10" ht="12.75" hidden="1" customHeight="1">
      <c r="A742">
        <v>431050100</v>
      </c>
      <c r="B742" t="s">
        <v>3197</v>
      </c>
      <c r="C742">
        <v>499</v>
      </c>
      <c r="D742" t="s">
        <v>3199</v>
      </c>
      <c r="E742">
        <v>26</v>
      </c>
      <c r="F742">
        <v>311219</v>
      </c>
      <c r="G742">
        <v>25443</v>
      </c>
      <c r="H742" t="s">
        <v>3209</v>
      </c>
      <c r="I742">
        <v>0</v>
      </c>
      <c r="J742">
        <v>43830</v>
      </c>
    </row>
    <row r="743" spans="1:10" ht="12.75" hidden="1" customHeight="1">
      <c r="A743">
        <v>431050100</v>
      </c>
      <c r="B743" t="s">
        <v>3197</v>
      </c>
      <c r="C743">
        <v>499</v>
      </c>
      <c r="D743" t="s">
        <v>3199</v>
      </c>
      <c r="E743">
        <v>26</v>
      </c>
      <c r="F743">
        <v>311219</v>
      </c>
      <c r="G743">
        <v>25443</v>
      </c>
      <c r="H743" t="s">
        <v>3210</v>
      </c>
      <c r="I743">
        <v>0</v>
      </c>
      <c r="J743">
        <v>43830</v>
      </c>
    </row>
    <row r="744" spans="1:10" ht="12.75" hidden="1" customHeight="1">
      <c r="A744">
        <v>431050100</v>
      </c>
      <c r="B744" t="s">
        <v>3197</v>
      </c>
      <c r="C744">
        <v>499</v>
      </c>
      <c r="D744" t="s">
        <v>3199</v>
      </c>
      <c r="E744">
        <v>26</v>
      </c>
      <c r="F744">
        <v>2012019</v>
      </c>
      <c r="G744">
        <v>500000</v>
      </c>
      <c r="H744" t="s">
        <v>3211</v>
      </c>
      <c r="I744">
        <v>0</v>
      </c>
      <c r="J744">
        <v>43467</v>
      </c>
    </row>
    <row r="745" spans="1:10" ht="12.75" hidden="1" customHeight="1">
      <c r="A745">
        <v>431050100</v>
      </c>
      <c r="B745" t="s">
        <v>3197</v>
      </c>
      <c r="C745">
        <v>499</v>
      </c>
      <c r="D745" t="s">
        <v>3199</v>
      </c>
      <c r="E745">
        <v>26</v>
      </c>
      <c r="F745">
        <v>1315</v>
      </c>
      <c r="G745">
        <v>273988</v>
      </c>
      <c r="H745" t="s">
        <v>3212</v>
      </c>
      <c r="I745">
        <v>0</v>
      </c>
      <c r="J745">
        <v>43512</v>
      </c>
    </row>
    <row r="746" spans="1:10" ht="12.75" hidden="1" customHeight="1">
      <c r="A746">
        <v>431050100</v>
      </c>
      <c r="B746" t="s">
        <v>3197</v>
      </c>
      <c r="C746">
        <v>499</v>
      </c>
      <c r="D746" t="s">
        <v>3199</v>
      </c>
      <c r="E746">
        <v>26</v>
      </c>
      <c r="F746">
        <v>7247</v>
      </c>
      <c r="G746">
        <v>34145</v>
      </c>
      <c r="H746" t="s">
        <v>3213</v>
      </c>
      <c r="I746">
        <v>0</v>
      </c>
      <c r="J746">
        <v>43512</v>
      </c>
    </row>
    <row r="747" spans="1:10" ht="12.75" hidden="1" customHeight="1">
      <c r="A747">
        <v>431050100</v>
      </c>
      <c r="B747" t="s">
        <v>3197</v>
      </c>
      <c r="C747">
        <v>499</v>
      </c>
      <c r="D747" t="s">
        <v>3199</v>
      </c>
      <c r="E747">
        <v>26</v>
      </c>
      <c r="F747">
        <v>7315</v>
      </c>
      <c r="G747">
        <v>63473</v>
      </c>
      <c r="H747" t="s">
        <v>3214</v>
      </c>
      <c r="I747">
        <v>0</v>
      </c>
      <c r="J747">
        <v>43518</v>
      </c>
    </row>
    <row r="748" spans="1:10" ht="12.75" hidden="1" customHeight="1">
      <c r="A748">
        <v>431050100</v>
      </c>
      <c r="B748" t="s">
        <v>3197</v>
      </c>
      <c r="C748">
        <v>499</v>
      </c>
      <c r="D748" t="s">
        <v>3199</v>
      </c>
      <c r="E748">
        <v>26</v>
      </c>
      <c r="F748">
        <v>10010005338</v>
      </c>
      <c r="G748">
        <v>29201</v>
      </c>
      <c r="H748" t="s">
        <v>3215</v>
      </c>
      <c r="I748">
        <v>0</v>
      </c>
      <c r="J748">
        <v>43623</v>
      </c>
    </row>
    <row r="749" spans="1:10" ht="12.75" hidden="1" customHeight="1">
      <c r="A749">
        <v>431050100</v>
      </c>
      <c r="B749" t="s">
        <v>3197</v>
      </c>
      <c r="C749">
        <v>499</v>
      </c>
      <c r="D749" t="s">
        <v>3199</v>
      </c>
      <c r="E749">
        <v>26</v>
      </c>
      <c r="F749">
        <v>39104</v>
      </c>
      <c r="G749">
        <v>619</v>
      </c>
      <c r="H749" t="s">
        <v>3216</v>
      </c>
      <c r="I749">
        <v>0</v>
      </c>
      <c r="J749">
        <v>43663</v>
      </c>
    </row>
    <row r="750" spans="1:10" ht="12.75" hidden="1" customHeight="1">
      <c r="A750">
        <v>431050100</v>
      </c>
      <c r="B750" t="s">
        <v>3197</v>
      </c>
      <c r="C750">
        <v>499</v>
      </c>
      <c r="D750" t="s">
        <v>3199</v>
      </c>
      <c r="E750">
        <v>26</v>
      </c>
      <c r="F750">
        <v>5052019</v>
      </c>
      <c r="G750">
        <v>30000</v>
      </c>
      <c r="H750" t="s">
        <v>3217</v>
      </c>
      <c r="I750">
        <v>0</v>
      </c>
      <c r="J750">
        <v>43682</v>
      </c>
    </row>
    <row r="751" spans="1:10" ht="12.75" hidden="1" customHeight="1">
      <c r="A751">
        <v>431050100</v>
      </c>
      <c r="B751" t="s">
        <v>3197</v>
      </c>
      <c r="C751">
        <v>499</v>
      </c>
      <c r="D751" t="s">
        <v>3199</v>
      </c>
      <c r="E751">
        <v>26</v>
      </c>
      <c r="F751">
        <v>7092019</v>
      </c>
      <c r="G751">
        <v>250000</v>
      </c>
      <c r="H751" t="s">
        <v>3218</v>
      </c>
      <c r="I751">
        <v>0</v>
      </c>
      <c r="J751">
        <v>43717</v>
      </c>
    </row>
    <row r="752" spans="1:10" ht="12.75" hidden="1" customHeight="1">
      <c r="A752">
        <v>431050100</v>
      </c>
      <c r="B752" t="s">
        <v>3197</v>
      </c>
      <c r="C752">
        <v>499</v>
      </c>
      <c r="D752" t="s">
        <v>3199</v>
      </c>
      <c r="E752">
        <v>26</v>
      </c>
      <c r="F752">
        <v>3184092</v>
      </c>
      <c r="G752">
        <v>16000000</v>
      </c>
      <c r="H752" t="s">
        <v>3219</v>
      </c>
      <c r="I752">
        <v>0</v>
      </c>
      <c r="J752">
        <v>43739</v>
      </c>
    </row>
    <row r="753" spans="1:10" ht="12.75" hidden="1" customHeight="1">
      <c r="A753">
        <v>431050100</v>
      </c>
      <c r="B753" t="s">
        <v>3197</v>
      </c>
      <c r="C753">
        <v>499</v>
      </c>
      <c r="D753" t="s">
        <v>3199</v>
      </c>
      <c r="E753">
        <v>26</v>
      </c>
      <c r="F753">
        <v>5062019</v>
      </c>
      <c r="G753">
        <v>3000000</v>
      </c>
      <c r="H753" t="s">
        <v>3220</v>
      </c>
      <c r="I753">
        <v>0</v>
      </c>
      <c r="J753">
        <v>43739</v>
      </c>
    </row>
    <row r="754" spans="1:10" ht="12.75" hidden="1" customHeight="1">
      <c r="A754">
        <v>431050100</v>
      </c>
      <c r="B754" t="s">
        <v>3197</v>
      </c>
      <c r="C754">
        <v>499</v>
      </c>
      <c r="D754" t="s">
        <v>3199</v>
      </c>
      <c r="E754">
        <v>26</v>
      </c>
      <c r="F754">
        <v>20020008544</v>
      </c>
      <c r="G754">
        <v>545455</v>
      </c>
      <c r="H754" t="s">
        <v>3221</v>
      </c>
      <c r="I754">
        <v>0</v>
      </c>
      <c r="J754">
        <v>43739</v>
      </c>
    </row>
    <row r="755" spans="1:10" ht="12.75" hidden="1" customHeight="1">
      <c r="A755">
        <v>431050100</v>
      </c>
      <c r="B755" t="s">
        <v>3197</v>
      </c>
      <c r="C755">
        <v>499</v>
      </c>
      <c r="D755" t="s">
        <v>3199</v>
      </c>
      <c r="E755">
        <v>26</v>
      </c>
      <c r="F755">
        <v>131119</v>
      </c>
      <c r="G755">
        <v>707386</v>
      </c>
      <c r="H755" t="s">
        <v>3222</v>
      </c>
      <c r="I755">
        <v>0</v>
      </c>
      <c r="J755">
        <v>43782</v>
      </c>
    </row>
    <row r="756" spans="1:10" ht="12.75" hidden="1" customHeight="1">
      <c r="A756">
        <v>431050100</v>
      </c>
      <c r="B756" t="s">
        <v>3197</v>
      </c>
      <c r="C756">
        <v>499</v>
      </c>
      <c r="D756" t="s">
        <v>3199</v>
      </c>
      <c r="E756">
        <v>26</v>
      </c>
      <c r="F756">
        <v>2667</v>
      </c>
      <c r="G756">
        <v>5000</v>
      </c>
      <c r="H756" t="s">
        <v>3223</v>
      </c>
      <c r="I756">
        <v>0</v>
      </c>
      <c r="J756">
        <v>43801</v>
      </c>
    </row>
    <row r="757" spans="1:10" ht="12.75" hidden="1" customHeight="1">
      <c r="A757">
        <v>431050100</v>
      </c>
      <c r="B757" t="s">
        <v>3197</v>
      </c>
      <c r="C757">
        <v>499</v>
      </c>
      <c r="D757" t="s">
        <v>3199</v>
      </c>
      <c r="E757">
        <v>26</v>
      </c>
      <c r="F757">
        <v>2668</v>
      </c>
      <c r="G757">
        <v>2200</v>
      </c>
      <c r="H757" t="s">
        <v>3224</v>
      </c>
      <c r="I757">
        <v>0</v>
      </c>
      <c r="J757">
        <v>43801</v>
      </c>
    </row>
    <row r="758" spans="1:10" ht="12.75" hidden="1" customHeight="1">
      <c r="A758">
        <v>431050100</v>
      </c>
      <c r="B758" t="s">
        <v>3197</v>
      </c>
      <c r="C758">
        <v>499</v>
      </c>
      <c r="D758" t="s">
        <v>3199</v>
      </c>
      <c r="E758">
        <v>26</v>
      </c>
      <c r="F758">
        <v>20020009398</v>
      </c>
      <c r="G758">
        <v>45000</v>
      </c>
      <c r="H758" t="s">
        <v>3225</v>
      </c>
      <c r="I758">
        <v>0</v>
      </c>
      <c r="J758">
        <v>43801</v>
      </c>
    </row>
    <row r="759" spans="1:10" ht="12.75" hidden="1" customHeight="1">
      <c r="A759">
        <v>431050100</v>
      </c>
      <c r="B759" t="s">
        <v>3197</v>
      </c>
      <c r="C759">
        <v>499</v>
      </c>
      <c r="D759" t="s">
        <v>3199</v>
      </c>
      <c r="E759">
        <v>26</v>
      </c>
      <c r="F759">
        <v>960220023198</v>
      </c>
      <c r="G759">
        <v>40130</v>
      </c>
      <c r="H759" t="s">
        <v>3226</v>
      </c>
      <c r="I759">
        <v>0</v>
      </c>
      <c r="J759">
        <v>43801</v>
      </c>
    </row>
    <row r="760" spans="1:10" ht="12.75" hidden="1" customHeight="1">
      <c r="A760">
        <v>431050100</v>
      </c>
      <c r="B760" t="s">
        <v>3197</v>
      </c>
      <c r="C760">
        <v>499</v>
      </c>
      <c r="D760" t="s">
        <v>3199</v>
      </c>
      <c r="E760">
        <v>26</v>
      </c>
      <c r="F760">
        <v>20020009716</v>
      </c>
      <c r="G760">
        <v>40909</v>
      </c>
      <c r="H760" t="s">
        <v>3227</v>
      </c>
      <c r="I760">
        <v>0</v>
      </c>
      <c r="J760">
        <v>43804</v>
      </c>
    </row>
    <row r="761" spans="1:10" ht="12.75" hidden="1" customHeight="1">
      <c r="A761">
        <v>431050100</v>
      </c>
      <c r="B761" t="s">
        <v>3197</v>
      </c>
      <c r="C761">
        <v>499</v>
      </c>
      <c r="D761" t="s">
        <v>3199</v>
      </c>
      <c r="E761">
        <v>26</v>
      </c>
      <c r="F761">
        <v>16122019</v>
      </c>
      <c r="G761">
        <v>20000000</v>
      </c>
      <c r="H761" t="s">
        <v>3228</v>
      </c>
      <c r="I761">
        <v>0</v>
      </c>
      <c r="J761">
        <v>43815</v>
      </c>
    </row>
    <row r="762" spans="1:10" ht="12.75" hidden="1" customHeight="1">
      <c r="A762">
        <v>431050100</v>
      </c>
      <c r="B762" t="s">
        <v>3197</v>
      </c>
      <c r="C762">
        <v>499</v>
      </c>
      <c r="D762" t="s">
        <v>3199</v>
      </c>
      <c r="E762">
        <v>26</v>
      </c>
      <c r="F762">
        <v>92214</v>
      </c>
      <c r="G762">
        <v>65000</v>
      </c>
      <c r="H762" t="s">
        <v>3229</v>
      </c>
      <c r="I762">
        <v>0</v>
      </c>
      <c r="J762">
        <v>43830</v>
      </c>
    </row>
    <row r="763" spans="1:10" ht="12.75" hidden="1" customHeight="1">
      <c r="A763">
        <v>431050100</v>
      </c>
      <c r="B763" t="s">
        <v>3197</v>
      </c>
      <c r="C763">
        <v>499</v>
      </c>
      <c r="D763" t="s">
        <v>3199</v>
      </c>
      <c r="E763">
        <v>26</v>
      </c>
      <c r="F763">
        <v>20122019</v>
      </c>
      <c r="G763">
        <v>131306</v>
      </c>
      <c r="H763" t="s">
        <v>3230</v>
      </c>
      <c r="I763">
        <v>0</v>
      </c>
      <c r="J763">
        <v>43830</v>
      </c>
    </row>
    <row r="764" spans="1:10" ht="12.75" hidden="1" customHeight="1">
      <c r="A764">
        <v>431050100</v>
      </c>
      <c r="B764" t="s">
        <v>3197</v>
      </c>
      <c r="C764">
        <v>499</v>
      </c>
      <c r="D764" t="s">
        <v>3199</v>
      </c>
      <c r="E764">
        <v>26</v>
      </c>
      <c r="F764">
        <v>6052019</v>
      </c>
      <c r="G764">
        <v>69960</v>
      </c>
      <c r="H764" t="s">
        <v>3231</v>
      </c>
      <c r="I764">
        <v>0</v>
      </c>
      <c r="J764">
        <v>43591</v>
      </c>
    </row>
    <row r="765" spans="1:10" ht="12.75" hidden="1" customHeight="1">
      <c r="A765">
        <v>431050100</v>
      </c>
      <c r="B765" t="s">
        <v>3197</v>
      </c>
      <c r="C765">
        <v>499</v>
      </c>
      <c r="D765" t="s">
        <v>3199</v>
      </c>
      <c r="E765">
        <v>26</v>
      </c>
      <c r="F765">
        <v>310119</v>
      </c>
      <c r="G765">
        <v>298936</v>
      </c>
      <c r="H765" t="s">
        <v>3232</v>
      </c>
      <c r="I765">
        <v>0</v>
      </c>
      <c r="J765">
        <v>43708</v>
      </c>
    </row>
    <row r="766" spans="1:10" ht="12.75" hidden="1" customHeight="1">
      <c r="A766">
        <v>431050100</v>
      </c>
      <c r="B766" t="s">
        <v>3197</v>
      </c>
      <c r="C766">
        <v>499</v>
      </c>
      <c r="D766" t="s">
        <v>3199</v>
      </c>
      <c r="E766">
        <v>26</v>
      </c>
      <c r="F766">
        <v>50119</v>
      </c>
      <c r="G766">
        <v>80000</v>
      </c>
      <c r="H766" t="s">
        <v>3233</v>
      </c>
      <c r="I766">
        <v>0</v>
      </c>
      <c r="J766">
        <v>43473</v>
      </c>
    </row>
    <row r="767" spans="1:10" ht="12.75" hidden="1" customHeight="1">
      <c r="A767">
        <v>431050100</v>
      </c>
      <c r="B767" t="s">
        <v>3197</v>
      </c>
      <c r="C767">
        <v>499</v>
      </c>
      <c r="D767" t="s">
        <v>3199</v>
      </c>
      <c r="E767">
        <v>26</v>
      </c>
      <c r="F767">
        <v>110119</v>
      </c>
      <c r="G767">
        <v>20000</v>
      </c>
      <c r="H767" t="s">
        <v>3234</v>
      </c>
      <c r="I767">
        <v>0</v>
      </c>
      <c r="J767">
        <v>43476</v>
      </c>
    </row>
    <row r="768" spans="1:10" ht="12.75" hidden="1" customHeight="1">
      <c r="A768">
        <v>431050100</v>
      </c>
      <c r="B768" t="s">
        <v>3197</v>
      </c>
      <c r="C768">
        <v>499</v>
      </c>
      <c r="D768" t="s">
        <v>3199</v>
      </c>
      <c r="E768">
        <v>26</v>
      </c>
      <c r="F768">
        <v>290119</v>
      </c>
      <c r="G768">
        <v>100000</v>
      </c>
      <c r="H768" t="s">
        <v>3235</v>
      </c>
      <c r="I768">
        <v>0</v>
      </c>
      <c r="J768">
        <v>43494</v>
      </c>
    </row>
    <row r="769" spans="1:10" ht="12.75" hidden="1" customHeight="1">
      <c r="A769">
        <v>431050100</v>
      </c>
      <c r="B769" t="s">
        <v>3197</v>
      </c>
      <c r="C769">
        <v>499</v>
      </c>
      <c r="D769" t="s">
        <v>3199</v>
      </c>
      <c r="E769">
        <v>26</v>
      </c>
      <c r="F769">
        <v>10020304829</v>
      </c>
      <c r="G769">
        <v>20000</v>
      </c>
      <c r="H769" t="s">
        <v>3236</v>
      </c>
      <c r="I769">
        <v>0</v>
      </c>
      <c r="J769">
        <v>43496</v>
      </c>
    </row>
    <row r="770" spans="1:10" ht="12.75" hidden="1" customHeight="1">
      <c r="A770">
        <v>431050100</v>
      </c>
      <c r="B770" t="s">
        <v>3197</v>
      </c>
      <c r="C770">
        <v>499</v>
      </c>
      <c r="D770" t="s">
        <v>3199</v>
      </c>
      <c r="E770">
        <v>26</v>
      </c>
      <c r="F770">
        <v>20219</v>
      </c>
      <c r="G770">
        <v>80000</v>
      </c>
      <c r="H770" t="s">
        <v>3237</v>
      </c>
      <c r="I770">
        <v>0</v>
      </c>
      <c r="J770">
        <v>43501</v>
      </c>
    </row>
    <row r="771" spans="1:10" ht="12.75" hidden="1" customHeight="1">
      <c r="A771">
        <v>431050100</v>
      </c>
      <c r="B771" t="s">
        <v>3197</v>
      </c>
      <c r="C771">
        <v>499</v>
      </c>
      <c r="D771" t="s">
        <v>3199</v>
      </c>
      <c r="E771">
        <v>26</v>
      </c>
      <c r="F771">
        <v>110218</v>
      </c>
      <c r="G771">
        <v>25000</v>
      </c>
      <c r="H771" t="s">
        <v>3238</v>
      </c>
      <c r="I771">
        <v>0</v>
      </c>
      <c r="J771">
        <v>43507</v>
      </c>
    </row>
    <row r="772" spans="1:10" ht="12.75" hidden="1" customHeight="1">
      <c r="A772">
        <v>431050100</v>
      </c>
      <c r="B772" t="s">
        <v>3197</v>
      </c>
      <c r="C772">
        <v>499</v>
      </c>
      <c r="D772" t="s">
        <v>3199</v>
      </c>
      <c r="E772">
        <v>26</v>
      </c>
      <c r="F772">
        <v>1302</v>
      </c>
      <c r="G772">
        <v>498510</v>
      </c>
      <c r="H772" t="s">
        <v>3239</v>
      </c>
      <c r="I772">
        <v>0</v>
      </c>
      <c r="J772">
        <v>43509</v>
      </c>
    </row>
    <row r="773" spans="1:10" ht="12.75" hidden="1" customHeight="1">
      <c r="A773">
        <v>431050100</v>
      </c>
      <c r="B773" t="s">
        <v>3197</v>
      </c>
      <c r="C773">
        <v>499</v>
      </c>
      <c r="D773" t="s">
        <v>3199</v>
      </c>
      <c r="E773">
        <v>26</v>
      </c>
      <c r="F773">
        <v>1312</v>
      </c>
      <c r="G773">
        <v>18000</v>
      </c>
      <c r="H773" t="s">
        <v>3240</v>
      </c>
      <c r="I773">
        <v>0</v>
      </c>
      <c r="J773">
        <v>43515</v>
      </c>
    </row>
    <row r="774" spans="1:10" ht="12.75" hidden="1" customHeight="1">
      <c r="A774">
        <v>431050100</v>
      </c>
      <c r="B774" t="s">
        <v>3197</v>
      </c>
      <c r="C774">
        <v>499</v>
      </c>
      <c r="D774" t="s">
        <v>3199</v>
      </c>
      <c r="E774">
        <v>26</v>
      </c>
      <c r="F774">
        <v>10050011309</v>
      </c>
      <c r="G774">
        <v>547602</v>
      </c>
      <c r="H774" t="s">
        <v>3241</v>
      </c>
      <c r="I774">
        <v>0</v>
      </c>
      <c r="J774">
        <v>43516</v>
      </c>
    </row>
    <row r="775" spans="1:10" ht="12.75" hidden="1" customHeight="1">
      <c r="A775">
        <v>431050100</v>
      </c>
      <c r="B775" t="s">
        <v>3197</v>
      </c>
      <c r="C775">
        <v>499</v>
      </c>
      <c r="D775" t="s">
        <v>3199</v>
      </c>
      <c r="E775">
        <v>26</v>
      </c>
      <c r="F775">
        <v>250219</v>
      </c>
      <c r="G775">
        <v>60000</v>
      </c>
      <c r="H775" t="s">
        <v>3242</v>
      </c>
      <c r="I775">
        <v>0</v>
      </c>
      <c r="J775">
        <v>43521</v>
      </c>
    </row>
    <row r="776" spans="1:10" ht="12.75" hidden="1" customHeight="1">
      <c r="A776">
        <v>431050100</v>
      </c>
      <c r="B776" t="s">
        <v>3197</v>
      </c>
      <c r="C776">
        <v>499</v>
      </c>
      <c r="D776" t="s">
        <v>3199</v>
      </c>
      <c r="E776">
        <v>26</v>
      </c>
      <c r="F776">
        <v>1310</v>
      </c>
      <c r="G776">
        <v>50000</v>
      </c>
      <c r="H776" t="s">
        <v>3243</v>
      </c>
      <c r="I776">
        <v>0</v>
      </c>
      <c r="J776">
        <v>43522</v>
      </c>
    </row>
    <row r="777" spans="1:10" ht="12.75" hidden="1" customHeight="1">
      <c r="A777">
        <v>431050100</v>
      </c>
      <c r="B777" t="s">
        <v>3197</v>
      </c>
      <c r="C777">
        <v>499</v>
      </c>
      <c r="D777" t="s">
        <v>3199</v>
      </c>
      <c r="E777">
        <v>26</v>
      </c>
      <c r="F777">
        <v>40219</v>
      </c>
      <c r="G777">
        <v>100000</v>
      </c>
      <c r="H777" t="s">
        <v>3244</v>
      </c>
      <c r="I777">
        <v>0</v>
      </c>
      <c r="J777">
        <v>43522</v>
      </c>
    </row>
    <row r="778" spans="1:10" ht="12.75" hidden="1" customHeight="1">
      <c r="A778">
        <v>431050100</v>
      </c>
      <c r="B778" t="s">
        <v>3197</v>
      </c>
      <c r="C778">
        <v>499</v>
      </c>
      <c r="D778" t="s">
        <v>3199</v>
      </c>
      <c r="E778">
        <v>26</v>
      </c>
      <c r="F778">
        <v>20318</v>
      </c>
      <c r="G778">
        <v>80000</v>
      </c>
      <c r="H778" t="s">
        <v>3245</v>
      </c>
      <c r="I778">
        <v>0</v>
      </c>
      <c r="J778">
        <v>43529</v>
      </c>
    </row>
    <row r="779" spans="1:10" ht="12.75" hidden="1" customHeight="1">
      <c r="A779">
        <v>431050100</v>
      </c>
      <c r="B779" t="s">
        <v>3197</v>
      </c>
      <c r="C779">
        <v>499</v>
      </c>
      <c r="D779" t="s">
        <v>3199</v>
      </c>
      <c r="E779">
        <v>26</v>
      </c>
      <c r="F779">
        <v>19690</v>
      </c>
      <c r="G779">
        <v>175000</v>
      </c>
      <c r="H779" t="s">
        <v>3246</v>
      </c>
      <c r="I779">
        <v>0</v>
      </c>
      <c r="J779">
        <v>43537</v>
      </c>
    </row>
    <row r="780" spans="1:10" ht="12.75" hidden="1" customHeight="1">
      <c r="A780">
        <v>431050100</v>
      </c>
      <c r="B780" t="s">
        <v>3197</v>
      </c>
      <c r="C780">
        <v>499</v>
      </c>
      <c r="D780" t="s">
        <v>3199</v>
      </c>
      <c r="E780">
        <v>26</v>
      </c>
      <c r="F780">
        <v>40419</v>
      </c>
      <c r="G780">
        <v>80000</v>
      </c>
      <c r="H780" t="s">
        <v>3247</v>
      </c>
      <c r="I780">
        <v>0</v>
      </c>
      <c r="J780">
        <v>43559</v>
      </c>
    </row>
    <row r="781" spans="1:10" ht="12.75" hidden="1" customHeight="1">
      <c r="A781">
        <v>431050100</v>
      </c>
      <c r="B781" t="s">
        <v>3197</v>
      </c>
      <c r="C781">
        <v>499</v>
      </c>
      <c r="D781" t="s">
        <v>3199</v>
      </c>
      <c r="E781">
        <v>26</v>
      </c>
      <c r="F781">
        <v>1349</v>
      </c>
      <c r="G781">
        <v>300000</v>
      </c>
      <c r="H781" t="s">
        <v>3248</v>
      </c>
      <c r="I781">
        <v>0</v>
      </c>
      <c r="J781">
        <v>43571</v>
      </c>
    </row>
    <row r="782" spans="1:10" ht="12.75" hidden="1" customHeight="1">
      <c r="A782">
        <v>431050100</v>
      </c>
      <c r="B782" t="s">
        <v>3197</v>
      </c>
      <c r="C782">
        <v>499</v>
      </c>
      <c r="D782" t="s">
        <v>3199</v>
      </c>
      <c r="E782">
        <v>26</v>
      </c>
      <c r="F782">
        <v>300419</v>
      </c>
      <c r="G782">
        <v>80000</v>
      </c>
      <c r="H782" t="s">
        <v>3249</v>
      </c>
      <c r="I782">
        <v>0</v>
      </c>
      <c r="J782">
        <v>43585</v>
      </c>
    </row>
    <row r="783" spans="1:10" ht="12.75" hidden="1" customHeight="1">
      <c r="A783">
        <v>431050100</v>
      </c>
      <c r="B783" t="s">
        <v>3197</v>
      </c>
      <c r="C783">
        <v>499</v>
      </c>
      <c r="D783" t="s">
        <v>3199</v>
      </c>
      <c r="E783">
        <v>26</v>
      </c>
      <c r="F783">
        <v>60519</v>
      </c>
      <c r="G783">
        <v>40000</v>
      </c>
      <c r="H783" t="s">
        <v>3250</v>
      </c>
      <c r="I783">
        <v>0</v>
      </c>
      <c r="J783">
        <v>43593</v>
      </c>
    </row>
    <row r="784" spans="1:10" ht="12.75" hidden="1" customHeight="1">
      <c r="A784">
        <v>431050100</v>
      </c>
      <c r="B784" t="s">
        <v>3197</v>
      </c>
      <c r="C784">
        <v>499</v>
      </c>
      <c r="D784" t="s">
        <v>3199</v>
      </c>
      <c r="E784">
        <v>26</v>
      </c>
      <c r="F784">
        <v>270519</v>
      </c>
      <c r="G784">
        <v>38000</v>
      </c>
      <c r="H784" t="s">
        <v>3251</v>
      </c>
      <c r="I784">
        <v>0</v>
      </c>
      <c r="J784">
        <v>43612</v>
      </c>
    </row>
    <row r="785" spans="1:10" ht="12.75" hidden="1" customHeight="1">
      <c r="A785">
        <v>431050100</v>
      </c>
      <c r="B785" t="s">
        <v>3197</v>
      </c>
      <c r="C785">
        <v>499</v>
      </c>
      <c r="D785" t="s">
        <v>3199</v>
      </c>
      <c r="E785">
        <v>26</v>
      </c>
      <c r="F785">
        <v>240519</v>
      </c>
      <c r="G785">
        <v>40000</v>
      </c>
      <c r="H785" t="s">
        <v>3252</v>
      </c>
      <c r="I785">
        <v>0</v>
      </c>
      <c r="J785">
        <v>43613</v>
      </c>
    </row>
    <row r="786" spans="1:10" ht="12.75" hidden="1" customHeight="1">
      <c r="A786">
        <v>431050100</v>
      </c>
      <c r="B786" t="s">
        <v>3197</v>
      </c>
      <c r="C786">
        <v>499</v>
      </c>
      <c r="D786" t="s">
        <v>3199</v>
      </c>
      <c r="E786">
        <v>26</v>
      </c>
      <c r="F786">
        <v>2705019</v>
      </c>
      <c r="G786">
        <v>20000</v>
      </c>
      <c r="H786" t="s">
        <v>3253</v>
      </c>
      <c r="I786">
        <v>0</v>
      </c>
      <c r="J786">
        <v>43613</v>
      </c>
    </row>
    <row r="787" spans="1:10" ht="12.75" hidden="1" customHeight="1">
      <c r="A787">
        <v>431050100</v>
      </c>
      <c r="B787" t="s">
        <v>3197</v>
      </c>
      <c r="C787">
        <v>499</v>
      </c>
      <c r="D787" t="s">
        <v>3199</v>
      </c>
      <c r="E787">
        <v>26</v>
      </c>
      <c r="F787">
        <v>1364</v>
      </c>
      <c r="G787">
        <v>250000</v>
      </c>
      <c r="H787" t="s">
        <v>3254</v>
      </c>
      <c r="I787">
        <v>0</v>
      </c>
      <c r="J787">
        <v>43616</v>
      </c>
    </row>
    <row r="788" spans="1:10" ht="12.75" hidden="1" customHeight="1">
      <c r="A788">
        <v>431050100</v>
      </c>
      <c r="B788" t="s">
        <v>3197</v>
      </c>
      <c r="C788">
        <v>499</v>
      </c>
      <c r="D788" t="s">
        <v>3199</v>
      </c>
      <c r="E788">
        <v>26</v>
      </c>
      <c r="F788">
        <v>1062019</v>
      </c>
      <c r="G788">
        <v>80000</v>
      </c>
      <c r="H788" t="s">
        <v>3255</v>
      </c>
      <c r="I788">
        <v>0</v>
      </c>
      <c r="J788">
        <v>43617</v>
      </c>
    </row>
    <row r="789" spans="1:10" ht="12.75" hidden="1" customHeight="1">
      <c r="A789">
        <v>431050100</v>
      </c>
      <c r="B789" t="s">
        <v>3197</v>
      </c>
      <c r="C789">
        <v>499</v>
      </c>
      <c r="D789" t="s">
        <v>3199</v>
      </c>
      <c r="E789">
        <v>26</v>
      </c>
      <c r="F789">
        <v>10010180977</v>
      </c>
      <c r="G789">
        <v>100000</v>
      </c>
      <c r="H789" t="s">
        <v>3256</v>
      </c>
      <c r="I789">
        <v>0</v>
      </c>
      <c r="J789">
        <v>43621</v>
      </c>
    </row>
    <row r="790" spans="1:10" ht="12.75" hidden="1" customHeight="1">
      <c r="A790">
        <v>431050100</v>
      </c>
      <c r="B790" t="s">
        <v>3197</v>
      </c>
      <c r="C790">
        <v>499</v>
      </c>
      <c r="D790" t="s">
        <v>3199</v>
      </c>
      <c r="E790">
        <v>26</v>
      </c>
      <c r="F790">
        <v>10390145878</v>
      </c>
      <c r="G790">
        <v>20000</v>
      </c>
      <c r="H790" t="s">
        <v>3257</v>
      </c>
      <c r="I790">
        <v>0</v>
      </c>
      <c r="J790">
        <v>43624</v>
      </c>
    </row>
    <row r="791" spans="1:10" ht="12.75" hidden="1" customHeight="1">
      <c r="A791">
        <v>431050100</v>
      </c>
      <c r="B791" t="s">
        <v>3197</v>
      </c>
      <c r="C791">
        <v>499</v>
      </c>
      <c r="D791" t="s">
        <v>3199</v>
      </c>
      <c r="E791">
        <v>26</v>
      </c>
      <c r="F791">
        <v>10062019</v>
      </c>
      <c r="G791">
        <v>8400</v>
      </c>
      <c r="H791" t="s">
        <v>3258</v>
      </c>
      <c r="I791">
        <v>0</v>
      </c>
      <c r="J791">
        <v>43626</v>
      </c>
    </row>
    <row r="792" spans="1:10" ht="12.75" hidden="1" customHeight="1">
      <c r="A792">
        <v>431050100</v>
      </c>
      <c r="B792" t="s">
        <v>3197</v>
      </c>
      <c r="C792">
        <v>499</v>
      </c>
      <c r="D792" t="s">
        <v>3199</v>
      </c>
      <c r="E792">
        <v>26</v>
      </c>
      <c r="F792">
        <v>10010085475</v>
      </c>
      <c r="G792">
        <v>5500</v>
      </c>
      <c r="H792" t="s">
        <v>3259</v>
      </c>
      <c r="I792">
        <v>0</v>
      </c>
      <c r="J792">
        <v>43626</v>
      </c>
    </row>
    <row r="793" spans="1:10" ht="12.75" hidden="1" customHeight="1">
      <c r="A793">
        <v>431050100</v>
      </c>
      <c r="B793" t="s">
        <v>3197</v>
      </c>
      <c r="C793">
        <v>499</v>
      </c>
      <c r="D793" t="s">
        <v>3199</v>
      </c>
      <c r="E793">
        <v>26</v>
      </c>
      <c r="F793">
        <v>1035</v>
      </c>
      <c r="G793">
        <v>150000</v>
      </c>
      <c r="H793" t="s">
        <v>3260</v>
      </c>
      <c r="I793">
        <v>0</v>
      </c>
      <c r="J793">
        <v>43629</v>
      </c>
    </row>
    <row r="794" spans="1:10" ht="12.75" hidden="1" customHeight="1">
      <c r="A794">
        <v>431050100</v>
      </c>
      <c r="B794" t="s">
        <v>3197</v>
      </c>
      <c r="C794">
        <v>499</v>
      </c>
      <c r="D794" t="s">
        <v>3199</v>
      </c>
      <c r="E794">
        <v>26</v>
      </c>
      <c r="F794">
        <v>10010000717</v>
      </c>
      <c r="G794">
        <v>200000</v>
      </c>
      <c r="H794" t="s">
        <v>3261</v>
      </c>
      <c r="I794">
        <v>0</v>
      </c>
      <c r="J794">
        <v>43629</v>
      </c>
    </row>
    <row r="795" spans="1:10" ht="12.75" hidden="1" customHeight="1">
      <c r="A795">
        <v>431050100</v>
      </c>
      <c r="B795" t="s">
        <v>3197</v>
      </c>
      <c r="C795">
        <v>499</v>
      </c>
      <c r="D795" t="s">
        <v>3199</v>
      </c>
      <c r="E795">
        <v>26</v>
      </c>
      <c r="F795">
        <v>3708012</v>
      </c>
      <c r="G795">
        <v>1365000</v>
      </c>
      <c r="H795" t="s">
        <v>3262</v>
      </c>
      <c r="I795">
        <v>0</v>
      </c>
      <c r="J795">
        <v>43640</v>
      </c>
    </row>
    <row r="796" spans="1:10" ht="12.75" hidden="1" customHeight="1">
      <c r="A796">
        <v>431050100</v>
      </c>
      <c r="B796" t="s">
        <v>3197</v>
      </c>
      <c r="C796">
        <v>499</v>
      </c>
      <c r="D796" t="s">
        <v>3199</v>
      </c>
      <c r="E796">
        <v>26</v>
      </c>
      <c r="F796">
        <v>29062019</v>
      </c>
      <c r="G796">
        <v>80000</v>
      </c>
      <c r="H796" t="s">
        <v>3263</v>
      </c>
      <c r="I796">
        <v>0</v>
      </c>
      <c r="J796">
        <v>43645</v>
      </c>
    </row>
    <row r="797" spans="1:10" ht="12.75" hidden="1" customHeight="1">
      <c r="A797">
        <v>431050100</v>
      </c>
      <c r="B797" t="s">
        <v>3197</v>
      </c>
      <c r="C797">
        <v>499</v>
      </c>
      <c r="D797" t="s">
        <v>3199</v>
      </c>
      <c r="E797">
        <v>26</v>
      </c>
      <c r="F797">
        <v>1072019</v>
      </c>
      <c r="G797">
        <v>235000</v>
      </c>
      <c r="H797" t="s">
        <v>3264</v>
      </c>
      <c r="I797">
        <v>0</v>
      </c>
      <c r="J797">
        <v>43647</v>
      </c>
    </row>
    <row r="798" spans="1:10" ht="12.75" hidden="1" customHeight="1">
      <c r="A798">
        <v>431050100</v>
      </c>
      <c r="B798" t="s">
        <v>3197</v>
      </c>
      <c r="C798">
        <v>499</v>
      </c>
      <c r="D798" t="s">
        <v>3199</v>
      </c>
      <c r="E798">
        <v>26</v>
      </c>
      <c r="F798">
        <v>60719</v>
      </c>
      <c r="G798">
        <v>550000</v>
      </c>
      <c r="H798" t="s">
        <v>3265</v>
      </c>
      <c r="I798">
        <v>0</v>
      </c>
      <c r="J798">
        <v>43652</v>
      </c>
    </row>
    <row r="799" spans="1:10" ht="12.75" hidden="1" customHeight="1">
      <c r="A799">
        <v>431050100</v>
      </c>
      <c r="B799" t="s">
        <v>3197</v>
      </c>
      <c r="C799">
        <v>499</v>
      </c>
      <c r="D799" t="s">
        <v>3199</v>
      </c>
      <c r="E799">
        <v>26</v>
      </c>
      <c r="F799">
        <v>10390149319</v>
      </c>
      <c r="G799">
        <v>18182</v>
      </c>
      <c r="H799" t="s">
        <v>3266</v>
      </c>
      <c r="I799">
        <v>0</v>
      </c>
      <c r="J799">
        <v>43654</v>
      </c>
    </row>
    <row r="800" spans="1:10" ht="12.75" hidden="1" customHeight="1">
      <c r="A800">
        <v>431050100</v>
      </c>
      <c r="B800" t="s">
        <v>3197</v>
      </c>
      <c r="C800">
        <v>499</v>
      </c>
      <c r="D800" t="s">
        <v>3199</v>
      </c>
      <c r="E800">
        <v>26</v>
      </c>
      <c r="F800">
        <v>20020005247</v>
      </c>
      <c r="G800">
        <v>250000</v>
      </c>
      <c r="H800" t="s">
        <v>3267</v>
      </c>
      <c r="I800">
        <v>0</v>
      </c>
      <c r="J800">
        <v>43657</v>
      </c>
    </row>
    <row r="801" spans="1:10" ht="12.75" hidden="1" customHeight="1">
      <c r="A801">
        <v>431050100</v>
      </c>
      <c r="B801" t="s">
        <v>3197</v>
      </c>
      <c r="C801">
        <v>499</v>
      </c>
      <c r="D801" t="s">
        <v>3199</v>
      </c>
      <c r="E801">
        <v>26</v>
      </c>
      <c r="F801">
        <v>170719</v>
      </c>
      <c r="G801">
        <v>150000</v>
      </c>
      <c r="H801" t="s">
        <v>3268</v>
      </c>
      <c r="I801">
        <v>0</v>
      </c>
      <c r="J801">
        <v>43663</v>
      </c>
    </row>
    <row r="802" spans="1:10" ht="12.75" hidden="1" customHeight="1">
      <c r="A802">
        <v>431050100</v>
      </c>
      <c r="B802" t="s">
        <v>3197</v>
      </c>
      <c r="C802">
        <v>499</v>
      </c>
      <c r="D802" t="s">
        <v>3199</v>
      </c>
      <c r="E802">
        <v>26</v>
      </c>
      <c r="F802">
        <v>190719</v>
      </c>
      <c r="G802">
        <v>23822</v>
      </c>
      <c r="H802" t="s">
        <v>3269</v>
      </c>
      <c r="I802">
        <v>0</v>
      </c>
      <c r="J802">
        <v>43665</v>
      </c>
    </row>
    <row r="803" spans="1:10" ht="12.75" hidden="1" customHeight="1">
      <c r="A803">
        <v>431050100</v>
      </c>
      <c r="B803" t="s">
        <v>3197</v>
      </c>
      <c r="C803">
        <v>499</v>
      </c>
      <c r="D803" t="s">
        <v>3199</v>
      </c>
      <c r="E803">
        <v>26</v>
      </c>
      <c r="F803">
        <v>270719</v>
      </c>
      <c r="G803">
        <v>80000</v>
      </c>
      <c r="H803" t="s">
        <v>3270</v>
      </c>
      <c r="I803">
        <v>0</v>
      </c>
      <c r="J803">
        <v>43676</v>
      </c>
    </row>
    <row r="804" spans="1:10" ht="12.75" hidden="1" customHeight="1">
      <c r="A804">
        <v>431050100</v>
      </c>
      <c r="B804" t="s">
        <v>3197</v>
      </c>
      <c r="C804">
        <v>499</v>
      </c>
      <c r="D804" t="s">
        <v>3199</v>
      </c>
      <c r="E804">
        <v>26</v>
      </c>
      <c r="F804">
        <v>220819</v>
      </c>
      <c r="G804">
        <v>45000</v>
      </c>
      <c r="H804" t="s">
        <v>3271</v>
      </c>
      <c r="I804">
        <v>0</v>
      </c>
      <c r="J804">
        <v>43699</v>
      </c>
    </row>
    <row r="805" spans="1:10" ht="12.75" hidden="1" customHeight="1">
      <c r="A805">
        <v>431050100</v>
      </c>
      <c r="B805" t="s">
        <v>3197</v>
      </c>
      <c r="C805">
        <v>499</v>
      </c>
      <c r="D805" t="s">
        <v>3199</v>
      </c>
      <c r="E805">
        <v>26</v>
      </c>
      <c r="F805">
        <v>1421</v>
      </c>
      <c r="G805">
        <v>100000</v>
      </c>
      <c r="H805" t="s">
        <v>3272</v>
      </c>
      <c r="I805">
        <v>0</v>
      </c>
      <c r="J805">
        <v>43706</v>
      </c>
    </row>
    <row r="806" spans="1:10" ht="12.75" hidden="1" customHeight="1">
      <c r="A806">
        <v>431050100</v>
      </c>
      <c r="B806" t="s">
        <v>3197</v>
      </c>
      <c r="C806">
        <v>499</v>
      </c>
      <c r="D806" t="s">
        <v>3199</v>
      </c>
      <c r="E806">
        <v>26</v>
      </c>
      <c r="F806">
        <v>29082019</v>
      </c>
      <c r="G806">
        <v>300000</v>
      </c>
      <c r="H806" t="s">
        <v>3273</v>
      </c>
      <c r="I806">
        <v>0</v>
      </c>
      <c r="J806">
        <v>43706</v>
      </c>
    </row>
    <row r="807" spans="1:10" ht="12.75" hidden="1" customHeight="1">
      <c r="A807">
        <v>431050100</v>
      </c>
      <c r="B807" t="s">
        <v>3197</v>
      </c>
      <c r="C807">
        <v>499</v>
      </c>
      <c r="D807" t="s">
        <v>3199</v>
      </c>
      <c r="E807">
        <v>26</v>
      </c>
      <c r="F807">
        <v>310819</v>
      </c>
      <c r="G807">
        <v>80000</v>
      </c>
      <c r="H807" t="s">
        <v>3249</v>
      </c>
      <c r="I807">
        <v>0</v>
      </c>
      <c r="J807">
        <v>43708</v>
      </c>
    </row>
    <row r="808" spans="1:10" ht="12.75" hidden="1" customHeight="1">
      <c r="A808">
        <v>431050100</v>
      </c>
      <c r="B808" t="s">
        <v>3197</v>
      </c>
      <c r="C808">
        <v>499</v>
      </c>
      <c r="D808" t="s">
        <v>3199</v>
      </c>
      <c r="E808">
        <v>26</v>
      </c>
      <c r="F808">
        <v>30022955725</v>
      </c>
      <c r="G808">
        <v>35000</v>
      </c>
      <c r="H808" t="s">
        <v>3274</v>
      </c>
      <c r="I808">
        <v>0</v>
      </c>
      <c r="J808">
        <v>43708</v>
      </c>
    </row>
    <row r="809" spans="1:10" ht="12.75" hidden="1" customHeight="1">
      <c r="A809">
        <v>431050100</v>
      </c>
      <c r="B809" t="s">
        <v>3197</v>
      </c>
      <c r="C809">
        <v>499</v>
      </c>
      <c r="D809" t="s">
        <v>3199</v>
      </c>
      <c r="E809">
        <v>26</v>
      </c>
      <c r="F809">
        <v>90919</v>
      </c>
      <c r="G809">
        <v>40000</v>
      </c>
      <c r="H809" t="s">
        <v>3275</v>
      </c>
      <c r="I809">
        <v>0</v>
      </c>
      <c r="J809">
        <v>43717</v>
      </c>
    </row>
    <row r="810" spans="1:10" ht="12.75" hidden="1" customHeight="1">
      <c r="A810">
        <v>431050100</v>
      </c>
      <c r="B810" t="s">
        <v>3197</v>
      </c>
      <c r="C810">
        <v>499</v>
      </c>
      <c r="D810" t="s">
        <v>3199</v>
      </c>
      <c r="E810">
        <v>26</v>
      </c>
      <c r="F810">
        <v>280919</v>
      </c>
      <c r="G810">
        <v>80000</v>
      </c>
      <c r="H810" t="s">
        <v>3276</v>
      </c>
      <c r="I810">
        <v>0</v>
      </c>
      <c r="J810">
        <v>43738</v>
      </c>
    </row>
    <row r="811" spans="1:10" ht="12.75" hidden="1" customHeight="1">
      <c r="A811">
        <v>431050100</v>
      </c>
      <c r="B811" t="s">
        <v>3197</v>
      </c>
      <c r="C811">
        <v>499</v>
      </c>
      <c r="D811" t="s">
        <v>3199</v>
      </c>
      <c r="E811">
        <v>26</v>
      </c>
      <c r="F811">
        <v>21102019</v>
      </c>
      <c r="G811">
        <v>90000</v>
      </c>
      <c r="H811" t="s">
        <v>3277</v>
      </c>
      <c r="I811">
        <v>0</v>
      </c>
      <c r="J811">
        <v>43759</v>
      </c>
    </row>
    <row r="812" spans="1:10" ht="12.75" hidden="1" customHeight="1">
      <c r="A812">
        <v>431050100</v>
      </c>
      <c r="B812" t="s">
        <v>3197</v>
      </c>
      <c r="C812">
        <v>499</v>
      </c>
      <c r="D812" t="s">
        <v>3199</v>
      </c>
      <c r="E812">
        <v>26</v>
      </c>
      <c r="F812">
        <v>2422</v>
      </c>
      <c r="G812">
        <v>50000</v>
      </c>
      <c r="H812" t="s">
        <v>3278</v>
      </c>
      <c r="I812">
        <v>0</v>
      </c>
      <c r="J812">
        <v>43769</v>
      </c>
    </row>
    <row r="813" spans="1:10" ht="12.75" hidden="1" customHeight="1">
      <c r="A813">
        <v>431050100</v>
      </c>
      <c r="B813" t="s">
        <v>3197</v>
      </c>
      <c r="C813">
        <v>499</v>
      </c>
      <c r="D813" t="s">
        <v>3199</v>
      </c>
      <c r="E813">
        <v>26</v>
      </c>
      <c r="F813">
        <v>31102019</v>
      </c>
      <c r="G813">
        <v>80000</v>
      </c>
      <c r="H813" t="s">
        <v>3276</v>
      </c>
      <c r="I813">
        <v>0</v>
      </c>
      <c r="J813">
        <v>43769</v>
      </c>
    </row>
    <row r="814" spans="1:10" ht="12.75" hidden="1" customHeight="1">
      <c r="A814">
        <v>431050100</v>
      </c>
      <c r="B814" t="s">
        <v>3197</v>
      </c>
      <c r="C814">
        <v>499</v>
      </c>
      <c r="D814" t="s">
        <v>3199</v>
      </c>
      <c r="E814">
        <v>26</v>
      </c>
      <c r="F814">
        <v>1376</v>
      </c>
      <c r="G814">
        <v>75000</v>
      </c>
      <c r="H814" t="s">
        <v>3279</v>
      </c>
      <c r="I814">
        <v>0</v>
      </c>
      <c r="J814">
        <v>43770</v>
      </c>
    </row>
    <row r="815" spans="1:10" ht="12.75" hidden="1" customHeight="1">
      <c r="A815">
        <v>431050100</v>
      </c>
      <c r="B815" t="s">
        <v>3197</v>
      </c>
      <c r="C815">
        <v>499</v>
      </c>
      <c r="D815" t="s">
        <v>3199</v>
      </c>
      <c r="E815">
        <v>26</v>
      </c>
      <c r="F815">
        <v>911</v>
      </c>
      <c r="G815">
        <v>20000</v>
      </c>
      <c r="H815" t="s">
        <v>3280</v>
      </c>
      <c r="I815">
        <v>0</v>
      </c>
      <c r="J815">
        <v>43778</v>
      </c>
    </row>
    <row r="816" spans="1:10" ht="12.75" hidden="1" customHeight="1">
      <c r="A816">
        <v>431050100</v>
      </c>
      <c r="B816" t="s">
        <v>3197</v>
      </c>
      <c r="C816">
        <v>499</v>
      </c>
      <c r="D816" t="s">
        <v>3199</v>
      </c>
      <c r="E816">
        <v>26</v>
      </c>
      <c r="F816">
        <v>1811</v>
      </c>
      <c r="G816">
        <v>5000</v>
      </c>
      <c r="H816" t="s">
        <v>3281</v>
      </c>
      <c r="I816">
        <v>0</v>
      </c>
      <c r="J816">
        <v>43787</v>
      </c>
    </row>
    <row r="817" spans="1:10" ht="12.75" hidden="1" customHeight="1">
      <c r="A817">
        <v>431050100</v>
      </c>
      <c r="B817" t="s">
        <v>3197</v>
      </c>
      <c r="C817">
        <v>499</v>
      </c>
      <c r="D817" t="s">
        <v>3199</v>
      </c>
      <c r="E817">
        <v>26</v>
      </c>
      <c r="F817">
        <v>1430</v>
      </c>
      <c r="G817">
        <v>86250</v>
      </c>
      <c r="H817" t="s">
        <v>3282</v>
      </c>
      <c r="I817">
        <v>0</v>
      </c>
      <c r="J817">
        <v>43788</v>
      </c>
    </row>
    <row r="818" spans="1:10" ht="12.75" hidden="1" customHeight="1">
      <c r="A818">
        <v>431050100</v>
      </c>
      <c r="B818" t="s">
        <v>3197</v>
      </c>
      <c r="C818">
        <v>499</v>
      </c>
      <c r="D818" t="s">
        <v>3199</v>
      </c>
      <c r="E818">
        <v>26</v>
      </c>
      <c r="F818">
        <v>2655</v>
      </c>
      <c r="G818">
        <v>150000</v>
      </c>
      <c r="H818" t="s">
        <v>3283</v>
      </c>
      <c r="I818">
        <v>0</v>
      </c>
      <c r="J818">
        <v>43788</v>
      </c>
    </row>
    <row r="819" spans="1:10" ht="12.75" hidden="1" customHeight="1">
      <c r="A819">
        <v>431050100</v>
      </c>
      <c r="B819" t="s">
        <v>3197</v>
      </c>
      <c r="C819">
        <v>499</v>
      </c>
      <c r="D819" t="s">
        <v>3199</v>
      </c>
      <c r="E819">
        <v>26</v>
      </c>
      <c r="F819">
        <v>2656</v>
      </c>
      <c r="G819">
        <v>400000</v>
      </c>
      <c r="H819" t="s">
        <v>3284</v>
      </c>
      <c r="I819">
        <v>0</v>
      </c>
      <c r="J819">
        <v>43788</v>
      </c>
    </row>
    <row r="820" spans="1:10" ht="12.75" hidden="1" customHeight="1">
      <c r="A820">
        <v>431050100</v>
      </c>
      <c r="B820" t="s">
        <v>3197</v>
      </c>
      <c r="C820">
        <v>499</v>
      </c>
      <c r="D820" t="s">
        <v>3199</v>
      </c>
      <c r="E820">
        <v>26</v>
      </c>
      <c r="F820">
        <v>1435</v>
      </c>
      <c r="G820">
        <v>20000</v>
      </c>
      <c r="H820" t="s">
        <v>3285</v>
      </c>
      <c r="I820">
        <v>0</v>
      </c>
      <c r="J820">
        <v>43795</v>
      </c>
    </row>
    <row r="821" spans="1:10" ht="12.75" hidden="1" customHeight="1">
      <c r="A821">
        <v>431050100</v>
      </c>
      <c r="B821" t="s">
        <v>3197</v>
      </c>
      <c r="C821">
        <v>499</v>
      </c>
      <c r="D821" t="s">
        <v>3199</v>
      </c>
      <c r="E821">
        <v>26</v>
      </c>
      <c r="F821">
        <v>261119</v>
      </c>
      <c r="G821">
        <v>300000</v>
      </c>
      <c r="H821" t="s">
        <v>3286</v>
      </c>
      <c r="I821">
        <v>0</v>
      </c>
      <c r="J821">
        <v>43796</v>
      </c>
    </row>
    <row r="822" spans="1:10" ht="12.75" hidden="1" customHeight="1">
      <c r="A822">
        <v>431050100</v>
      </c>
      <c r="B822" t="s">
        <v>3197</v>
      </c>
      <c r="C822">
        <v>499</v>
      </c>
      <c r="D822" t="s">
        <v>3199</v>
      </c>
      <c r="E822">
        <v>26</v>
      </c>
      <c r="F822">
        <v>2664</v>
      </c>
      <c r="G822">
        <v>80000</v>
      </c>
      <c r="H822" t="s">
        <v>3287</v>
      </c>
      <c r="I822">
        <v>0</v>
      </c>
      <c r="J822">
        <v>43797</v>
      </c>
    </row>
    <row r="823" spans="1:10" ht="12.75" hidden="1" customHeight="1">
      <c r="A823">
        <v>431050100</v>
      </c>
      <c r="B823" t="s">
        <v>3197</v>
      </c>
      <c r="C823">
        <v>499</v>
      </c>
      <c r="D823" t="s">
        <v>3199</v>
      </c>
      <c r="E823">
        <v>26</v>
      </c>
      <c r="F823">
        <v>5875</v>
      </c>
      <c r="G823">
        <v>200000</v>
      </c>
      <c r="H823" t="s">
        <v>3288</v>
      </c>
      <c r="I823">
        <v>0</v>
      </c>
      <c r="J823">
        <v>43815</v>
      </c>
    </row>
    <row r="824" spans="1:10" ht="12.75" hidden="1" customHeight="1">
      <c r="A824">
        <v>431050100</v>
      </c>
      <c r="B824" t="s">
        <v>3197</v>
      </c>
      <c r="C824">
        <v>499</v>
      </c>
      <c r="D824" t="s">
        <v>3199</v>
      </c>
      <c r="E824">
        <v>26</v>
      </c>
      <c r="F824">
        <v>10050001074</v>
      </c>
      <c r="G824">
        <v>100000</v>
      </c>
      <c r="H824" t="s">
        <v>3289</v>
      </c>
      <c r="I824">
        <v>0</v>
      </c>
      <c r="J824">
        <v>43815</v>
      </c>
    </row>
    <row r="825" spans="1:10" ht="12.75" hidden="1" customHeight="1">
      <c r="A825">
        <v>431050100</v>
      </c>
      <c r="B825" t="s">
        <v>3197</v>
      </c>
      <c r="C825">
        <v>499</v>
      </c>
      <c r="D825" t="s">
        <v>3199</v>
      </c>
      <c r="E825">
        <v>26</v>
      </c>
      <c r="F825">
        <v>10060003761</v>
      </c>
      <c r="G825">
        <v>100000</v>
      </c>
      <c r="H825" t="s">
        <v>3290</v>
      </c>
      <c r="I825">
        <v>0</v>
      </c>
      <c r="J825">
        <v>43815</v>
      </c>
    </row>
    <row r="826" spans="1:10" ht="12.75" hidden="1" customHeight="1">
      <c r="A826">
        <v>431050100</v>
      </c>
      <c r="B826" t="s">
        <v>3197</v>
      </c>
      <c r="C826">
        <v>499</v>
      </c>
      <c r="D826" t="s">
        <v>3199</v>
      </c>
      <c r="E826">
        <v>26</v>
      </c>
      <c r="F826">
        <v>2696</v>
      </c>
      <c r="G826">
        <v>50000</v>
      </c>
      <c r="H826" t="s">
        <v>3291</v>
      </c>
      <c r="I826">
        <v>0</v>
      </c>
      <c r="J826">
        <v>43825</v>
      </c>
    </row>
    <row r="827" spans="1:10" ht="12.75" hidden="1" customHeight="1">
      <c r="A827">
        <v>431050100</v>
      </c>
      <c r="B827" t="s">
        <v>3197</v>
      </c>
      <c r="C827">
        <v>499</v>
      </c>
      <c r="D827" t="s">
        <v>3199</v>
      </c>
      <c r="E827">
        <v>26</v>
      </c>
      <c r="F827">
        <v>2698</v>
      </c>
      <c r="G827">
        <v>80000</v>
      </c>
      <c r="H827" t="s">
        <v>3292</v>
      </c>
      <c r="I827">
        <v>0</v>
      </c>
      <c r="J827">
        <v>43825</v>
      </c>
    </row>
    <row r="828" spans="1:10" ht="12.75" hidden="1" customHeight="1">
      <c r="A828">
        <v>431050100</v>
      </c>
      <c r="B828" t="s">
        <v>3197</v>
      </c>
      <c r="C828">
        <v>499</v>
      </c>
      <c r="D828" t="s">
        <v>3199</v>
      </c>
      <c r="E828">
        <v>26</v>
      </c>
      <c r="F828">
        <v>1442</v>
      </c>
      <c r="G828">
        <v>80000</v>
      </c>
      <c r="H828" t="s">
        <v>3293</v>
      </c>
      <c r="I828">
        <v>0</v>
      </c>
      <c r="J828">
        <v>43826</v>
      </c>
    </row>
    <row r="829" spans="1:10" ht="12.75" hidden="1" customHeight="1">
      <c r="A829">
        <v>431050100</v>
      </c>
      <c r="B829" t="s">
        <v>3197</v>
      </c>
      <c r="C829">
        <v>499</v>
      </c>
      <c r="D829" t="s">
        <v>3199</v>
      </c>
      <c r="E829">
        <v>26</v>
      </c>
      <c r="F829">
        <v>10390171795</v>
      </c>
      <c r="G829">
        <v>20000</v>
      </c>
      <c r="H829" t="s">
        <v>3294</v>
      </c>
      <c r="I829">
        <v>0</v>
      </c>
      <c r="J829">
        <v>43829</v>
      </c>
    </row>
    <row r="830" spans="1:10" ht="12.75" hidden="1" customHeight="1">
      <c r="A830">
        <v>431050100</v>
      </c>
      <c r="B830" t="s">
        <v>3197</v>
      </c>
      <c r="C830">
        <v>499</v>
      </c>
      <c r="D830" t="s">
        <v>3199</v>
      </c>
      <c r="E830">
        <v>26</v>
      </c>
      <c r="F830">
        <v>4012019</v>
      </c>
      <c r="G830">
        <v>873950</v>
      </c>
      <c r="H830" t="s">
        <v>3295</v>
      </c>
      <c r="I830">
        <v>0</v>
      </c>
      <c r="J830">
        <v>43469</v>
      </c>
    </row>
    <row r="831" spans="1:10" ht="12.75" hidden="1" customHeight="1">
      <c r="A831">
        <v>431050100</v>
      </c>
      <c r="B831" t="s">
        <v>3197</v>
      </c>
      <c r="C831">
        <v>499</v>
      </c>
      <c r="D831" t="s">
        <v>3199</v>
      </c>
      <c r="E831">
        <v>26</v>
      </c>
      <c r="F831">
        <v>4012019</v>
      </c>
      <c r="G831">
        <v>953050</v>
      </c>
      <c r="H831" t="s">
        <v>3296</v>
      </c>
      <c r="I831">
        <v>0</v>
      </c>
      <c r="J831">
        <v>43469</v>
      </c>
    </row>
    <row r="832" spans="1:10" ht="12.75" hidden="1" customHeight="1">
      <c r="A832">
        <v>431050100</v>
      </c>
      <c r="B832" t="s">
        <v>3197</v>
      </c>
      <c r="C832">
        <v>499</v>
      </c>
      <c r="D832" t="s">
        <v>3199</v>
      </c>
      <c r="E832">
        <v>26</v>
      </c>
      <c r="F832">
        <v>31012019</v>
      </c>
      <c r="G832">
        <v>3282100</v>
      </c>
      <c r="H832" t="s">
        <v>3297</v>
      </c>
      <c r="I832">
        <v>0</v>
      </c>
      <c r="J832">
        <v>43474</v>
      </c>
    </row>
    <row r="833" spans="1:10" ht="12.75" hidden="1" customHeight="1">
      <c r="A833">
        <v>431050100</v>
      </c>
      <c r="B833" t="s">
        <v>3197</v>
      </c>
      <c r="C833">
        <v>499</v>
      </c>
      <c r="D833" t="s">
        <v>3199</v>
      </c>
      <c r="E833">
        <v>26</v>
      </c>
      <c r="F833">
        <v>1269</v>
      </c>
      <c r="G833">
        <v>500000</v>
      </c>
      <c r="H833" t="s">
        <v>3298</v>
      </c>
      <c r="I833">
        <v>0</v>
      </c>
      <c r="J833">
        <v>43480</v>
      </c>
    </row>
    <row r="834" spans="1:10" ht="12.75" hidden="1" customHeight="1">
      <c r="A834">
        <v>431050100</v>
      </c>
      <c r="B834" t="s">
        <v>3197</v>
      </c>
      <c r="C834">
        <v>499</v>
      </c>
      <c r="D834" t="s">
        <v>3199</v>
      </c>
      <c r="E834">
        <v>26</v>
      </c>
      <c r="F834">
        <v>31012019</v>
      </c>
      <c r="G834">
        <v>2500000</v>
      </c>
      <c r="H834" t="s">
        <v>3299</v>
      </c>
      <c r="I834">
        <v>0</v>
      </c>
      <c r="J834">
        <v>43496</v>
      </c>
    </row>
    <row r="835" spans="1:10" ht="12.75" hidden="1" customHeight="1">
      <c r="A835">
        <v>431050100</v>
      </c>
      <c r="B835" t="s">
        <v>3197</v>
      </c>
      <c r="C835">
        <v>499</v>
      </c>
      <c r="D835" t="s">
        <v>3199</v>
      </c>
      <c r="E835">
        <v>26</v>
      </c>
      <c r="F835">
        <v>31012019</v>
      </c>
      <c r="G835">
        <v>2500000</v>
      </c>
      <c r="H835" t="s">
        <v>3300</v>
      </c>
      <c r="I835">
        <v>0</v>
      </c>
      <c r="J835">
        <v>43496</v>
      </c>
    </row>
    <row r="836" spans="1:10" ht="12.75" hidden="1" customHeight="1">
      <c r="A836">
        <v>431050100</v>
      </c>
      <c r="B836" t="s">
        <v>3197</v>
      </c>
      <c r="C836">
        <v>499</v>
      </c>
      <c r="D836" t="s">
        <v>3199</v>
      </c>
      <c r="E836">
        <v>26</v>
      </c>
      <c r="F836">
        <v>31012019</v>
      </c>
      <c r="G836">
        <v>2500000</v>
      </c>
      <c r="H836" t="s">
        <v>3301</v>
      </c>
      <c r="I836">
        <v>0</v>
      </c>
      <c r="J836">
        <v>43496</v>
      </c>
    </row>
    <row r="837" spans="1:10" ht="12.75" hidden="1" customHeight="1">
      <c r="A837">
        <v>431050100</v>
      </c>
      <c r="B837" t="s">
        <v>3197</v>
      </c>
      <c r="C837">
        <v>499</v>
      </c>
      <c r="D837" t="s">
        <v>3199</v>
      </c>
      <c r="E837">
        <v>26</v>
      </c>
      <c r="F837">
        <v>31012019</v>
      </c>
      <c r="G837">
        <v>2000000</v>
      </c>
      <c r="H837" t="s">
        <v>3302</v>
      </c>
      <c r="I837">
        <v>0</v>
      </c>
      <c r="J837">
        <v>43496</v>
      </c>
    </row>
    <row r="838" spans="1:10" ht="12.75" hidden="1" customHeight="1">
      <c r="A838">
        <v>431050100</v>
      </c>
      <c r="B838" t="s">
        <v>3197</v>
      </c>
      <c r="C838">
        <v>499</v>
      </c>
      <c r="D838" t="s">
        <v>3199</v>
      </c>
      <c r="E838">
        <v>26</v>
      </c>
      <c r="F838">
        <v>31012019</v>
      </c>
      <c r="G838">
        <v>916667</v>
      </c>
      <c r="H838" t="s">
        <v>3303</v>
      </c>
      <c r="I838">
        <v>0</v>
      </c>
      <c r="J838">
        <v>43496</v>
      </c>
    </row>
    <row r="839" spans="1:10" ht="12.75" hidden="1" customHeight="1">
      <c r="A839">
        <v>431050100</v>
      </c>
      <c r="B839" t="s">
        <v>3197</v>
      </c>
      <c r="C839">
        <v>499</v>
      </c>
      <c r="D839" t="s">
        <v>3199</v>
      </c>
      <c r="E839">
        <v>26</v>
      </c>
      <c r="F839">
        <v>31012019</v>
      </c>
      <c r="G839">
        <v>2000000</v>
      </c>
      <c r="H839" t="s">
        <v>3304</v>
      </c>
      <c r="I839">
        <v>0</v>
      </c>
      <c r="J839">
        <v>43496</v>
      </c>
    </row>
    <row r="840" spans="1:10" ht="12.75" hidden="1" customHeight="1">
      <c r="A840">
        <v>431050100</v>
      </c>
      <c r="B840" t="s">
        <v>3197</v>
      </c>
      <c r="C840">
        <v>499</v>
      </c>
      <c r="D840" t="s">
        <v>3199</v>
      </c>
      <c r="E840">
        <v>26</v>
      </c>
      <c r="F840">
        <v>31012019</v>
      </c>
      <c r="G840">
        <v>2305418</v>
      </c>
      <c r="H840" t="s">
        <v>3305</v>
      </c>
      <c r="I840">
        <v>0</v>
      </c>
      <c r="J840">
        <v>43496</v>
      </c>
    </row>
    <row r="841" spans="1:10" ht="12.75" hidden="1" customHeight="1">
      <c r="A841">
        <v>431050100</v>
      </c>
      <c r="B841" t="s">
        <v>3197</v>
      </c>
      <c r="C841">
        <v>499</v>
      </c>
      <c r="D841" t="s">
        <v>3199</v>
      </c>
      <c r="E841">
        <v>26</v>
      </c>
      <c r="F841">
        <v>31012019</v>
      </c>
      <c r="G841">
        <v>2250000</v>
      </c>
      <c r="H841" t="s">
        <v>3306</v>
      </c>
      <c r="I841">
        <v>0</v>
      </c>
      <c r="J841">
        <v>43496</v>
      </c>
    </row>
    <row r="842" spans="1:10" ht="12.75" hidden="1" customHeight="1">
      <c r="A842">
        <v>431050100</v>
      </c>
      <c r="B842" t="s">
        <v>3197</v>
      </c>
      <c r="C842">
        <v>499</v>
      </c>
      <c r="D842" t="s">
        <v>3199</v>
      </c>
      <c r="E842">
        <v>26</v>
      </c>
      <c r="F842">
        <v>31012019</v>
      </c>
      <c r="G842">
        <v>1250000</v>
      </c>
      <c r="H842" t="s">
        <v>3307</v>
      </c>
      <c r="I842">
        <v>0</v>
      </c>
      <c r="J842">
        <v>43496</v>
      </c>
    </row>
    <row r="843" spans="1:10" ht="12.75" hidden="1" customHeight="1">
      <c r="A843">
        <v>431050100</v>
      </c>
      <c r="B843" t="s">
        <v>3197</v>
      </c>
      <c r="C843">
        <v>499</v>
      </c>
      <c r="D843" t="s">
        <v>3199</v>
      </c>
      <c r="E843">
        <v>26</v>
      </c>
      <c r="F843">
        <v>1022019</v>
      </c>
      <c r="G843">
        <v>608285</v>
      </c>
      <c r="H843" t="s">
        <v>3308</v>
      </c>
      <c r="I843">
        <v>0</v>
      </c>
      <c r="J843">
        <v>43497</v>
      </c>
    </row>
    <row r="844" spans="1:10" ht="12.75" hidden="1" customHeight="1">
      <c r="A844">
        <v>431050100</v>
      </c>
      <c r="B844" t="s">
        <v>3197</v>
      </c>
      <c r="C844">
        <v>499</v>
      </c>
      <c r="D844" t="s">
        <v>3199</v>
      </c>
      <c r="E844">
        <v>26</v>
      </c>
      <c r="F844">
        <v>5022019</v>
      </c>
      <c r="G844">
        <v>1007300</v>
      </c>
      <c r="H844" t="s">
        <v>3309</v>
      </c>
      <c r="I844">
        <v>0</v>
      </c>
      <c r="J844">
        <v>43501</v>
      </c>
    </row>
    <row r="845" spans="1:10" ht="12.75" hidden="1" customHeight="1">
      <c r="A845">
        <v>431050100</v>
      </c>
      <c r="B845" t="s">
        <v>3197</v>
      </c>
      <c r="C845">
        <v>499</v>
      </c>
      <c r="D845" t="s">
        <v>3199</v>
      </c>
      <c r="E845">
        <v>26</v>
      </c>
      <c r="F845">
        <v>5022019</v>
      </c>
      <c r="G845">
        <v>1304380</v>
      </c>
      <c r="H845" t="s">
        <v>3310</v>
      </c>
      <c r="I845">
        <v>0</v>
      </c>
      <c r="J845">
        <v>43501</v>
      </c>
    </row>
    <row r="846" spans="1:10" ht="12.75" hidden="1" customHeight="1">
      <c r="A846">
        <v>431050100</v>
      </c>
      <c r="B846" t="s">
        <v>3197</v>
      </c>
      <c r="C846">
        <v>499</v>
      </c>
      <c r="D846" t="s">
        <v>3199</v>
      </c>
      <c r="E846">
        <v>26</v>
      </c>
      <c r="F846">
        <v>28022019</v>
      </c>
      <c r="G846">
        <v>2040000</v>
      </c>
      <c r="H846" t="s">
        <v>3311</v>
      </c>
      <c r="I846">
        <v>0</v>
      </c>
      <c r="J846">
        <v>43524</v>
      </c>
    </row>
    <row r="847" spans="1:10" ht="12.75" hidden="1" customHeight="1">
      <c r="A847">
        <v>431050100</v>
      </c>
      <c r="B847" t="s">
        <v>3197</v>
      </c>
      <c r="C847">
        <v>499</v>
      </c>
      <c r="D847" t="s">
        <v>3199</v>
      </c>
      <c r="E847">
        <v>26</v>
      </c>
      <c r="F847">
        <v>28022019</v>
      </c>
      <c r="G847">
        <v>1690050</v>
      </c>
      <c r="H847" t="s">
        <v>3312</v>
      </c>
      <c r="I847">
        <v>0</v>
      </c>
      <c r="J847">
        <v>43524</v>
      </c>
    </row>
    <row r="848" spans="1:10" ht="12.75" hidden="1" customHeight="1">
      <c r="A848">
        <v>431050100</v>
      </c>
      <c r="B848" t="s">
        <v>3197</v>
      </c>
      <c r="C848">
        <v>499</v>
      </c>
      <c r="D848" t="s">
        <v>3199</v>
      </c>
      <c r="E848">
        <v>26</v>
      </c>
      <c r="F848">
        <v>28022019</v>
      </c>
      <c r="G848">
        <v>774606</v>
      </c>
      <c r="H848" t="s">
        <v>3313</v>
      </c>
      <c r="I848">
        <v>0</v>
      </c>
      <c r="J848">
        <v>43524</v>
      </c>
    </row>
    <row r="849" spans="1:10" ht="12.75" hidden="1" customHeight="1">
      <c r="A849">
        <v>431050100</v>
      </c>
      <c r="B849" t="s">
        <v>3197</v>
      </c>
      <c r="C849">
        <v>499</v>
      </c>
      <c r="D849" t="s">
        <v>3199</v>
      </c>
      <c r="E849">
        <v>26</v>
      </c>
      <c r="F849">
        <v>28022019</v>
      </c>
      <c r="G849">
        <v>1056281</v>
      </c>
      <c r="H849" t="s">
        <v>3314</v>
      </c>
      <c r="I849">
        <v>0</v>
      </c>
      <c r="J849">
        <v>43524</v>
      </c>
    </row>
    <row r="850" spans="1:10" ht="12.75" hidden="1" customHeight="1">
      <c r="A850">
        <v>431050100</v>
      </c>
      <c r="B850" t="s">
        <v>3197</v>
      </c>
      <c r="C850">
        <v>499</v>
      </c>
      <c r="D850" t="s">
        <v>3199</v>
      </c>
      <c r="E850">
        <v>26</v>
      </c>
      <c r="F850">
        <v>28022019</v>
      </c>
      <c r="G850">
        <v>2500000</v>
      </c>
      <c r="H850" t="s">
        <v>3315</v>
      </c>
      <c r="I850">
        <v>0</v>
      </c>
      <c r="J850">
        <v>43524</v>
      </c>
    </row>
    <row r="851" spans="1:10" ht="12.75" hidden="1" customHeight="1">
      <c r="A851">
        <v>431050100</v>
      </c>
      <c r="B851" t="s">
        <v>3197</v>
      </c>
      <c r="C851">
        <v>499</v>
      </c>
      <c r="D851" t="s">
        <v>3199</v>
      </c>
      <c r="E851">
        <v>26</v>
      </c>
      <c r="F851">
        <v>28022019</v>
      </c>
      <c r="G851">
        <v>2500000</v>
      </c>
      <c r="H851" t="s">
        <v>3316</v>
      </c>
      <c r="I851">
        <v>0</v>
      </c>
      <c r="J851">
        <v>43524</v>
      </c>
    </row>
    <row r="852" spans="1:10" ht="12.75" hidden="1" customHeight="1">
      <c r="A852">
        <v>431050100</v>
      </c>
      <c r="B852" t="s">
        <v>3197</v>
      </c>
      <c r="C852">
        <v>499</v>
      </c>
      <c r="D852" t="s">
        <v>3199</v>
      </c>
      <c r="E852">
        <v>26</v>
      </c>
      <c r="F852">
        <v>28022019</v>
      </c>
      <c r="G852">
        <v>1119420</v>
      </c>
      <c r="H852" t="s">
        <v>3317</v>
      </c>
      <c r="I852">
        <v>0</v>
      </c>
      <c r="J852">
        <v>43524</v>
      </c>
    </row>
    <row r="853" spans="1:10" ht="12.75" hidden="1" customHeight="1">
      <c r="A853">
        <v>431050100</v>
      </c>
      <c r="B853" t="s">
        <v>3197</v>
      </c>
      <c r="C853">
        <v>499</v>
      </c>
      <c r="D853" t="s">
        <v>3199</v>
      </c>
      <c r="E853">
        <v>26</v>
      </c>
      <c r="F853">
        <v>28022019</v>
      </c>
      <c r="G853">
        <v>2500000</v>
      </c>
      <c r="H853" t="s">
        <v>3318</v>
      </c>
      <c r="I853">
        <v>0</v>
      </c>
      <c r="J853">
        <v>43524</v>
      </c>
    </row>
    <row r="854" spans="1:10" ht="12.75" hidden="1" customHeight="1">
      <c r="A854">
        <v>431050100</v>
      </c>
      <c r="B854" t="s">
        <v>3197</v>
      </c>
      <c r="C854">
        <v>499</v>
      </c>
      <c r="D854" t="s">
        <v>3199</v>
      </c>
      <c r="E854">
        <v>26</v>
      </c>
      <c r="F854">
        <v>5032019</v>
      </c>
      <c r="G854">
        <v>927150</v>
      </c>
      <c r="H854" t="s">
        <v>3319</v>
      </c>
      <c r="I854">
        <v>0</v>
      </c>
      <c r="J854">
        <v>43529</v>
      </c>
    </row>
    <row r="855" spans="1:10" ht="12.75" hidden="1" customHeight="1">
      <c r="A855">
        <v>431050100</v>
      </c>
      <c r="B855" t="s">
        <v>3197</v>
      </c>
      <c r="C855">
        <v>499</v>
      </c>
      <c r="D855" t="s">
        <v>3199</v>
      </c>
      <c r="E855">
        <v>26</v>
      </c>
      <c r="F855">
        <v>5032019</v>
      </c>
      <c r="G855">
        <v>1047900</v>
      </c>
      <c r="H855" t="s">
        <v>3320</v>
      </c>
      <c r="I855">
        <v>0</v>
      </c>
      <c r="J855">
        <v>43529</v>
      </c>
    </row>
    <row r="856" spans="1:10" ht="12.75" hidden="1" customHeight="1">
      <c r="A856">
        <v>431050100</v>
      </c>
      <c r="B856" t="s">
        <v>3197</v>
      </c>
      <c r="C856">
        <v>499</v>
      </c>
      <c r="D856" t="s">
        <v>3199</v>
      </c>
      <c r="E856">
        <v>26</v>
      </c>
      <c r="F856">
        <v>28032019</v>
      </c>
      <c r="G856">
        <v>2112562</v>
      </c>
      <c r="H856" t="s">
        <v>3321</v>
      </c>
      <c r="I856">
        <v>0</v>
      </c>
      <c r="J856">
        <v>43552</v>
      </c>
    </row>
    <row r="857" spans="1:10" ht="12.75" hidden="1" customHeight="1">
      <c r="A857">
        <v>431050100</v>
      </c>
      <c r="B857" t="s">
        <v>3197</v>
      </c>
      <c r="C857">
        <v>499</v>
      </c>
      <c r="D857" t="s">
        <v>3199</v>
      </c>
      <c r="E857">
        <v>26</v>
      </c>
      <c r="F857">
        <v>28032019</v>
      </c>
      <c r="G857">
        <v>2112562</v>
      </c>
      <c r="H857" t="s">
        <v>3322</v>
      </c>
      <c r="I857">
        <v>0</v>
      </c>
      <c r="J857">
        <v>43552</v>
      </c>
    </row>
    <row r="858" spans="1:10" ht="12.75" hidden="1" customHeight="1">
      <c r="A858">
        <v>431050100</v>
      </c>
      <c r="B858" t="s">
        <v>3197</v>
      </c>
      <c r="C858">
        <v>499</v>
      </c>
      <c r="D858" t="s">
        <v>3199</v>
      </c>
      <c r="E858">
        <v>26</v>
      </c>
      <c r="F858">
        <v>28032019</v>
      </c>
      <c r="G858">
        <v>2112562</v>
      </c>
      <c r="H858" t="s">
        <v>3323</v>
      </c>
      <c r="I858">
        <v>0</v>
      </c>
      <c r="J858">
        <v>43552</v>
      </c>
    </row>
    <row r="859" spans="1:10" ht="12.75" hidden="1" customHeight="1">
      <c r="A859">
        <v>431050100</v>
      </c>
      <c r="B859" t="s">
        <v>3197</v>
      </c>
      <c r="C859">
        <v>499</v>
      </c>
      <c r="D859" t="s">
        <v>3199</v>
      </c>
      <c r="E859">
        <v>26</v>
      </c>
      <c r="F859">
        <v>28032019</v>
      </c>
      <c r="G859">
        <v>2500000</v>
      </c>
      <c r="H859" t="s">
        <v>3324</v>
      </c>
      <c r="I859">
        <v>0</v>
      </c>
      <c r="J859">
        <v>43552</v>
      </c>
    </row>
    <row r="860" spans="1:10" ht="12.75" hidden="1" customHeight="1">
      <c r="A860">
        <v>431050100</v>
      </c>
      <c r="B860" t="s">
        <v>3197</v>
      </c>
      <c r="C860">
        <v>499</v>
      </c>
      <c r="D860" t="s">
        <v>3199</v>
      </c>
      <c r="E860">
        <v>26</v>
      </c>
      <c r="F860">
        <v>204208</v>
      </c>
      <c r="G860">
        <v>920000</v>
      </c>
      <c r="H860" t="s">
        <v>3325</v>
      </c>
      <c r="I860">
        <v>0</v>
      </c>
      <c r="J860">
        <v>43557</v>
      </c>
    </row>
    <row r="861" spans="1:10" ht="12.75" hidden="1" customHeight="1">
      <c r="A861">
        <v>431050100</v>
      </c>
      <c r="B861" t="s">
        <v>3197</v>
      </c>
      <c r="C861">
        <v>499</v>
      </c>
      <c r="D861" t="s">
        <v>3199</v>
      </c>
      <c r="E861">
        <v>26</v>
      </c>
      <c r="F861">
        <v>4040019</v>
      </c>
      <c r="G861">
        <v>707420</v>
      </c>
      <c r="H861" t="s">
        <v>3326</v>
      </c>
      <c r="I861">
        <v>0</v>
      </c>
      <c r="J861">
        <v>43559</v>
      </c>
    </row>
    <row r="862" spans="1:10" ht="12.75" hidden="1" customHeight="1">
      <c r="A862">
        <v>431050100</v>
      </c>
      <c r="B862" t="s">
        <v>3197</v>
      </c>
      <c r="C862">
        <v>499</v>
      </c>
      <c r="D862" t="s">
        <v>3199</v>
      </c>
      <c r="E862">
        <v>26</v>
      </c>
      <c r="F862">
        <v>4042019</v>
      </c>
      <c r="G862">
        <v>666400</v>
      </c>
      <c r="H862" t="s">
        <v>3327</v>
      </c>
      <c r="I862">
        <v>0</v>
      </c>
      <c r="J862">
        <v>43559</v>
      </c>
    </row>
    <row r="863" spans="1:10" ht="12.75" hidden="1" customHeight="1">
      <c r="A863">
        <v>431050100</v>
      </c>
      <c r="B863" t="s">
        <v>3197</v>
      </c>
      <c r="C863">
        <v>499</v>
      </c>
      <c r="D863" t="s">
        <v>3199</v>
      </c>
      <c r="E863">
        <v>26</v>
      </c>
      <c r="F863">
        <v>30042019</v>
      </c>
      <c r="G863">
        <v>2112562</v>
      </c>
      <c r="H863" t="s">
        <v>3328</v>
      </c>
      <c r="I863">
        <v>0</v>
      </c>
      <c r="J863">
        <v>43585</v>
      </c>
    </row>
    <row r="864" spans="1:10" ht="12.75" hidden="1" customHeight="1">
      <c r="A864">
        <v>431050100</v>
      </c>
      <c r="B864" t="s">
        <v>3197</v>
      </c>
      <c r="C864">
        <v>499</v>
      </c>
      <c r="D864" t="s">
        <v>3199</v>
      </c>
      <c r="E864">
        <v>26</v>
      </c>
      <c r="F864">
        <v>30042019</v>
      </c>
      <c r="G864">
        <v>2112562</v>
      </c>
      <c r="H864" t="s">
        <v>3329</v>
      </c>
      <c r="I864">
        <v>0</v>
      </c>
      <c r="J864">
        <v>43585</v>
      </c>
    </row>
    <row r="865" spans="1:10" ht="12.75" hidden="1" customHeight="1">
      <c r="A865">
        <v>431050100</v>
      </c>
      <c r="B865" t="s">
        <v>3197</v>
      </c>
      <c r="C865">
        <v>499</v>
      </c>
      <c r="D865" t="s">
        <v>3199</v>
      </c>
      <c r="E865">
        <v>26</v>
      </c>
      <c r="F865">
        <v>1052019</v>
      </c>
      <c r="G865">
        <v>5836363</v>
      </c>
      <c r="H865" t="s">
        <v>3330</v>
      </c>
      <c r="I865">
        <v>0</v>
      </c>
      <c r="J865">
        <v>43586</v>
      </c>
    </row>
    <row r="866" spans="1:10" ht="12.75" hidden="1" customHeight="1">
      <c r="A866">
        <v>431050100</v>
      </c>
      <c r="B866" t="s">
        <v>3197</v>
      </c>
      <c r="C866">
        <v>499</v>
      </c>
      <c r="D866" t="s">
        <v>3199</v>
      </c>
      <c r="E866">
        <v>26</v>
      </c>
      <c r="F866">
        <v>2052019</v>
      </c>
      <c r="G866">
        <v>960000</v>
      </c>
      <c r="H866" t="s">
        <v>3331</v>
      </c>
      <c r="I866">
        <v>0</v>
      </c>
      <c r="J866">
        <v>43587</v>
      </c>
    </row>
    <row r="867" spans="1:10" ht="12.75" hidden="1" customHeight="1">
      <c r="A867">
        <v>431050100</v>
      </c>
      <c r="B867" t="s">
        <v>3197</v>
      </c>
      <c r="C867">
        <v>499</v>
      </c>
      <c r="D867" t="s">
        <v>3199</v>
      </c>
      <c r="E867">
        <v>26</v>
      </c>
      <c r="F867">
        <v>6052019</v>
      </c>
      <c r="G867">
        <v>931700</v>
      </c>
      <c r="H867" t="s">
        <v>3332</v>
      </c>
      <c r="I867">
        <v>0</v>
      </c>
      <c r="J867">
        <v>43591</v>
      </c>
    </row>
    <row r="868" spans="1:10" ht="12.75" hidden="1" customHeight="1">
      <c r="A868">
        <v>431050100</v>
      </c>
      <c r="B868" t="s">
        <v>3197</v>
      </c>
      <c r="C868">
        <v>499</v>
      </c>
      <c r="D868" t="s">
        <v>3199</v>
      </c>
      <c r="E868">
        <v>26</v>
      </c>
      <c r="F868">
        <v>6052019</v>
      </c>
      <c r="G868">
        <v>655000</v>
      </c>
      <c r="H868" t="s">
        <v>3333</v>
      </c>
      <c r="I868">
        <v>0</v>
      </c>
      <c r="J868">
        <v>43591</v>
      </c>
    </row>
    <row r="869" spans="1:10" ht="12.75" hidden="1" customHeight="1">
      <c r="A869">
        <v>431050100</v>
      </c>
      <c r="B869" t="s">
        <v>3197</v>
      </c>
      <c r="C869">
        <v>499</v>
      </c>
      <c r="D869" t="s">
        <v>3199</v>
      </c>
      <c r="E869">
        <v>26</v>
      </c>
      <c r="F869">
        <v>31052019</v>
      </c>
      <c r="G869">
        <v>990000</v>
      </c>
      <c r="H869" t="s">
        <v>3334</v>
      </c>
      <c r="I869">
        <v>0</v>
      </c>
      <c r="J869">
        <v>43616</v>
      </c>
    </row>
    <row r="870" spans="1:10" ht="12.75" hidden="1" customHeight="1">
      <c r="A870">
        <v>431050100</v>
      </c>
      <c r="B870" t="s">
        <v>3197</v>
      </c>
      <c r="C870">
        <v>499</v>
      </c>
      <c r="D870" t="s">
        <v>3199</v>
      </c>
      <c r="E870">
        <v>26</v>
      </c>
      <c r="F870">
        <v>31052019</v>
      </c>
      <c r="G870">
        <v>1200000</v>
      </c>
      <c r="H870" t="s">
        <v>3335</v>
      </c>
      <c r="I870">
        <v>0</v>
      </c>
      <c r="J870">
        <v>43616</v>
      </c>
    </row>
    <row r="871" spans="1:10" ht="12.75" hidden="1" customHeight="1">
      <c r="A871">
        <v>431050100</v>
      </c>
      <c r="B871" t="s">
        <v>3197</v>
      </c>
      <c r="C871">
        <v>499</v>
      </c>
      <c r="D871" t="s">
        <v>3199</v>
      </c>
      <c r="E871">
        <v>26</v>
      </c>
      <c r="F871">
        <v>31052019</v>
      </c>
      <c r="G871">
        <v>305</v>
      </c>
      <c r="H871" t="s">
        <v>3336</v>
      </c>
      <c r="I871">
        <v>0</v>
      </c>
      <c r="J871">
        <v>43616</v>
      </c>
    </row>
    <row r="872" spans="1:10" ht="12.75" hidden="1" customHeight="1">
      <c r="A872">
        <v>431050100</v>
      </c>
      <c r="B872" t="s">
        <v>3197</v>
      </c>
      <c r="C872">
        <v>499</v>
      </c>
      <c r="D872" t="s">
        <v>3199</v>
      </c>
      <c r="E872">
        <v>26</v>
      </c>
      <c r="F872">
        <v>1638</v>
      </c>
      <c r="G872">
        <v>700000</v>
      </c>
      <c r="H872" t="s">
        <v>3337</v>
      </c>
      <c r="I872">
        <v>0</v>
      </c>
      <c r="J872">
        <v>43630</v>
      </c>
    </row>
    <row r="873" spans="1:10" ht="12.75" hidden="1" customHeight="1">
      <c r="A873">
        <v>431050100</v>
      </c>
      <c r="B873" t="s">
        <v>3197</v>
      </c>
      <c r="C873">
        <v>499</v>
      </c>
      <c r="D873" t="s">
        <v>3199</v>
      </c>
      <c r="E873">
        <v>26</v>
      </c>
      <c r="F873">
        <v>20062019</v>
      </c>
      <c r="G873">
        <v>4160000</v>
      </c>
      <c r="H873" t="s">
        <v>3338</v>
      </c>
      <c r="I873">
        <v>0</v>
      </c>
      <c r="J873">
        <v>43636</v>
      </c>
    </row>
    <row r="874" spans="1:10" ht="12.75" hidden="1" customHeight="1">
      <c r="A874">
        <v>431050100</v>
      </c>
      <c r="B874" t="s">
        <v>3197</v>
      </c>
      <c r="C874">
        <v>499</v>
      </c>
      <c r="D874" t="s">
        <v>3199</v>
      </c>
      <c r="E874">
        <v>26</v>
      </c>
      <c r="F874">
        <v>28062019</v>
      </c>
      <c r="G874">
        <v>2000000</v>
      </c>
      <c r="H874" t="s">
        <v>3339</v>
      </c>
      <c r="I874">
        <v>0</v>
      </c>
      <c r="J874">
        <v>43644</v>
      </c>
    </row>
    <row r="875" spans="1:10" ht="12.75" hidden="1" customHeight="1">
      <c r="A875">
        <v>431050100</v>
      </c>
      <c r="B875" t="s">
        <v>3197</v>
      </c>
      <c r="C875">
        <v>499</v>
      </c>
      <c r="D875" t="s">
        <v>3199</v>
      </c>
      <c r="E875">
        <v>26</v>
      </c>
      <c r="F875">
        <v>28062019</v>
      </c>
      <c r="G875">
        <v>915444</v>
      </c>
      <c r="H875" t="s">
        <v>3340</v>
      </c>
      <c r="I875">
        <v>0</v>
      </c>
      <c r="J875">
        <v>43644</v>
      </c>
    </row>
    <row r="876" spans="1:10" ht="12.75" hidden="1" customHeight="1">
      <c r="A876">
        <v>431050100</v>
      </c>
      <c r="B876" t="s">
        <v>3197</v>
      </c>
      <c r="C876">
        <v>499</v>
      </c>
      <c r="D876" t="s">
        <v>3199</v>
      </c>
      <c r="E876">
        <v>26</v>
      </c>
      <c r="F876">
        <v>2259</v>
      </c>
      <c r="G876">
        <v>900000</v>
      </c>
      <c r="H876" t="s">
        <v>3341</v>
      </c>
      <c r="I876">
        <v>0</v>
      </c>
      <c r="J876">
        <v>43661</v>
      </c>
    </row>
    <row r="877" spans="1:10" ht="12.75" hidden="1" customHeight="1">
      <c r="A877">
        <v>431050100</v>
      </c>
      <c r="B877" t="s">
        <v>3197</v>
      </c>
      <c r="C877">
        <v>499</v>
      </c>
      <c r="D877" t="s">
        <v>3199</v>
      </c>
      <c r="E877">
        <v>26</v>
      </c>
      <c r="F877">
        <v>2261</v>
      </c>
      <c r="G877">
        <v>400000</v>
      </c>
      <c r="H877" t="s">
        <v>3342</v>
      </c>
      <c r="I877">
        <v>0</v>
      </c>
      <c r="J877">
        <v>43661</v>
      </c>
    </row>
    <row r="878" spans="1:10" ht="12.75" hidden="1" customHeight="1">
      <c r="A878">
        <v>431050100</v>
      </c>
      <c r="B878" t="s">
        <v>3197</v>
      </c>
      <c r="C878">
        <v>499</v>
      </c>
      <c r="D878" t="s">
        <v>3199</v>
      </c>
      <c r="E878">
        <v>26</v>
      </c>
      <c r="F878">
        <v>31072019</v>
      </c>
      <c r="G878">
        <v>2700000</v>
      </c>
      <c r="H878" t="s">
        <v>3343</v>
      </c>
      <c r="I878">
        <v>0</v>
      </c>
      <c r="J878">
        <v>43677</v>
      </c>
    </row>
    <row r="879" spans="1:10" ht="12.75" hidden="1" customHeight="1">
      <c r="A879">
        <v>431050100</v>
      </c>
      <c r="B879" t="s">
        <v>3197</v>
      </c>
      <c r="C879">
        <v>499</v>
      </c>
      <c r="D879" t="s">
        <v>3199</v>
      </c>
      <c r="E879">
        <v>26</v>
      </c>
      <c r="F879">
        <v>31072019</v>
      </c>
      <c r="G879">
        <v>1792839</v>
      </c>
      <c r="H879" t="s">
        <v>3344</v>
      </c>
      <c r="I879">
        <v>0</v>
      </c>
      <c r="J879">
        <v>43677</v>
      </c>
    </row>
    <row r="880" spans="1:10" ht="12.75" hidden="1" customHeight="1">
      <c r="A880">
        <v>431050100</v>
      </c>
      <c r="B880" t="s">
        <v>3197</v>
      </c>
      <c r="C880">
        <v>499</v>
      </c>
      <c r="D880" t="s">
        <v>3199</v>
      </c>
      <c r="E880">
        <v>26</v>
      </c>
      <c r="F880">
        <v>2288</v>
      </c>
      <c r="G880">
        <v>200000</v>
      </c>
      <c r="H880" t="s">
        <v>3345</v>
      </c>
      <c r="I880">
        <v>0</v>
      </c>
      <c r="J880">
        <v>43691</v>
      </c>
    </row>
    <row r="881" spans="1:10" ht="12.75" hidden="1" customHeight="1">
      <c r="A881">
        <v>431050100</v>
      </c>
      <c r="B881" t="s">
        <v>3197</v>
      </c>
      <c r="C881">
        <v>499</v>
      </c>
      <c r="D881" t="s">
        <v>3199</v>
      </c>
      <c r="E881">
        <v>26</v>
      </c>
      <c r="F881">
        <v>31082019</v>
      </c>
      <c r="G881">
        <v>1516667</v>
      </c>
      <c r="H881" t="s">
        <v>3346</v>
      </c>
      <c r="I881">
        <v>0</v>
      </c>
      <c r="J881">
        <v>43708</v>
      </c>
    </row>
    <row r="882" spans="1:10" ht="12.75" hidden="1" customHeight="1">
      <c r="A882">
        <v>431050100</v>
      </c>
      <c r="B882" t="s">
        <v>3197</v>
      </c>
      <c r="C882">
        <v>499</v>
      </c>
      <c r="D882" t="s">
        <v>3199</v>
      </c>
      <c r="E882">
        <v>26</v>
      </c>
      <c r="F882">
        <v>31082019</v>
      </c>
      <c r="G882">
        <v>1992839</v>
      </c>
      <c r="H882" t="s">
        <v>3347</v>
      </c>
      <c r="I882">
        <v>0</v>
      </c>
      <c r="J882">
        <v>43708</v>
      </c>
    </row>
    <row r="883" spans="1:10" ht="12.75" hidden="1" customHeight="1">
      <c r="A883">
        <v>431050100</v>
      </c>
      <c r="B883" t="s">
        <v>3197</v>
      </c>
      <c r="C883">
        <v>499</v>
      </c>
      <c r="D883" t="s">
        <v>3199</v>
      </c>
      <c r="E883">
        <v>26</v>
      </c>
      <c r="F883">
        <v>30092019</v>
      </c>
      <c r="G883">
        <v>3500000</v>
      </c>
      <c r="H883" t="s">
        <v>3348</v>
      </c>
      <c r="I883">
        <v>0</v>
      </c>
      <c r="J883">
        <v>43738</v>
      </c>
    </row>
    <row r="884" spans="1:10" ht="12.75" hidden="1" customHeight="1">
      <c r="A884">
        <v>431050100</v>
      </c>
      <c r="B884" t="s">
        <v>3197</v>
      </c>
      <c r="C884">
        <v>499</v>
      </c>
      <c r="D884" t="s">
        <v>3199</v>
      </c>
      <c r="E884">
        <v>26</v>
      </c>
      <c r="F884">
        <v>31102019</v>
      </c>
      <c r="G884">
        <v>3500000</v>
      </c>
      <c r="H884" t="s">
        <v>3349</v>
      </c>
      <c r="I884">
        <v>0</v>
      </c>
      <c r="J884">
        <v>43769</v>
      </c>
    </row>
    <row r="885" spans="1:10" ht="12.75" hidden="1" customHeight="1">
      <c r="A885">
        <v>431050100</v>
      </c>
      <c r="B885" t="s">
        <v>3197</v>
      </c>
      <c r="C885">
        <v>499</v>
      </c>
      <c r="D885" t="s">
        <v>3199</v>
      </c>
      <c r="E885">
        <v>26</v>
      </c>
      <c r="F885">
        <v>29112019</v>
      </c>
      <c r="G885">
        <v>16666667</v>
      </c>
      <c r="H885" t="s">
        <v>3350</v>
      </c>
      <c r="I885">
        <v>0</v>
      </c>
      <c r="J885">
        <v>43798</v>
      </c>
    </row>
    <row r="886" spans="1:10" ht="12.75" hidden="1" customHeight="1">
      <c r="A886">
        <v>431050100</v>
      </c>
      <c r="B886" t="s">
        <v>3197</v>
      </c>
      <c r="C886">
        <v>499</v>
      </c>
      <c r="D886" t="s">
        <v>3199</v>
      </c>
      <c r="E886">
        <v>26</v>
      </c>
      <c r="F886">
        <v>30112019</v>
      </c>
      <c r="G886">
        <v>300000</v>
      </c>
      <c r="H886" t="s">
        <v>3351</v>
      </c>
      <c r="I886">
        <v>0</v>
      </c>
      <c r="J886">
        <v>43799</v>
      </c>
    </row>
    <row r="887" spans="1:10" ht="12.75" hidden="1" customHeight="1">
      <c r="A887">
        <v>431050100</v>
      </c>
      <c r="B887" t="s">
        <v>3197</v>
      </c>
      <c r="C887">
        <v>499</v>
      </c>
      <c r="D887" t="s">
        <v>3199</v>
      </c>
      <c r="E887">
        <v>26</v>
      </c>
      <c r="F887">
        <v>30112019</v>
      </c>
      <c r="G887">
        <v>10000000</v>
      </c>
      <c r="H887" t="s">
        <v>3352</v>
      </c>
      <c r="I887">
        <v>0</v>
      </c>
      <c r="J887">
        <v>43809</v>
      </c>
    </row>
    <row r="888" spans="1:10" ht="12.75" hidden="1" customHeight="1">
      <c r="A888">
        <v>431050100</v>
      </c>
      <c r="B888" t="s">
        <v>3197</v>
      </c>
      <c r="C888">
        <v>499</v>
      </c>
      <c r="D888" t="s">
        <v>3199</v>
      </c>
      <c r="E888">
        <v>26</v>
      </c>
      <c r="F888">
        <v>11122019</v>
      </c>
      <c r="G888">
        <v>64400</v>
      </c>
      <c r="H888" t="s">
        <v>3353</v>
      </c>
      <c r="I888">
        <v>0</v>
      </c>
      <c r="J888">
        <v>43810</v>
      </c>
    </row>
    <row r="889" spans="1:10" ht="12.75" hidden="1" customHeight="1">
      <c r="A889">
        <v>431050100</v>
      </c>
      <c r="B889" t="s">
        <v>3197</v>
      </c>
      <c r="C889">
        <v>499</v>
      </c>
      <c r="D889" t="s">
        <v>3199</v>
      </c>
      <c r="E889">
        <v>26</v>
      </c>
      <c r="F889">
        <v>16122019</v>
      </c>
      <c r="G889">
        <v>296078</v>
      </c>
      <c r="H889" t="s">
        <v>3354</v>
      </c>
      <c r="I889">
        <v>0</v>
      </c>
      <c r="J889">
        <v>43815</v>
      </c>
    </row>
    <row r="890" spans="1:10" ht="12.75" hidden="1" customHeight="1">
      <c r="A890">
        <v>431050100</v>
      </c>
      <c r="B890" t="s">
        <v>3197</v>
      </c>
      <c r="C890">
        <v>499</v>
      </c>
      <c r="D890" t="s">
        <v>3199</v>
      </c>
      <c r="E890">
        <v>26</v>
      </c>
      <c r="F890">
        <v>16122019</v>
      </c>
      <c r="G890">
        <v>307860</v>
      </c>
      <c r="H890" t="s">
        <v>3355</v>
      </c>
      <c r="I890">
        <v>0</v>
      </c>
      <c r="J890">
        <v>43815</v>
      </c>
    </row>
    <row r="891" spans="1:10" ht="12.75" hidden="1" customHeight="1">
      <c r="A891">
        <v>431050100</v>
      </c>
      <c r="B891" t="s">
        <v>3197</v>
      </c>
      <c r="C891">
        <v>499</v>
      </c>
      <c r="D891" t="s">
        <v>3199</v>
      </c>
      <c r="E891">
        <v>26</v>
      </c>
      <c r="F891">
        <v>16122019</v>
      </c>
      <c r="G891">
        <v>156667</v>
      </c>
      <c r="H891" t="s">
        <v>3356</v>
      </c>
      <c r="I891">
        <v>0</v>
      </c>
      <c r="J891">
        <v>43815</v>
      </c>
    </row>
    <row r="892" spans="1:10" ht="12.75" hidden="1" customHeight="1">
      <c r="A892">
        <v>431050100</v>
      </c>
      <c r="B892" t="s">
        <v>3197</v>
      </c>
      <c r="C892">
        <v>499</v>
      </c>
      <c r="D892" t="s">
        <v>3199</v>
      </c>
      <c r="E892">
        <v>26</v>
      </c>
      <c r="F892">
        <v>16122019</v>
      </c>
      <c r="G892">
        <v>2083333</v>
      </c>
      <c r="H892" t="s">
        <v>3357</v>
      </c>
      <c r="I892">
        <v>0</v>
      </c>
      <c r="J892">
        <v>43815</v>
      </c>
    </row>
    <row r="893" spans="1:10" ht="12.75" hidden="1" customHeight="1">
      <c r="A893">
        <v>431050100</v>
      </c>
      <c r="B893" t="s">
        <v>3197</v>
      </c>
      <c r="C893">
        <v>499</v>
      </c>
      <c r="D893" t="s">
        <v>3199</v>
      </c>
      <c r="E893">
        <v>26</v>
      </c>
      <c r="F893">
        <v>16122019</v>
      </c>
      <c r="G893">
        <v>3472222</v>
      </c>
      <c r="H893" t="s">
        <v>3357</v>
      </c>
      <c r="I893">
        <v>0</v>
      </c>
      <c r="J893">
        <v>43815</v>
      </c>
    </row>
    <row r="894" spans="1:10" ht="12.75" hidden="1" customHeight="1">
      <c r="A894">
        <v>431050100</v>
      </c>
      <c r="B894" t="s">
        <v>3197</v>
      </c>
      <c r="C894">
        <v>499</v>
      </c>
      <c r="D894" t="s">
        <v>3199</v>
      </c>
      <c r="E894">
        <v>26</v>
      </c>
      <c r="F894">
        <v>2532</v>
      </c>
      <c r="G894">
        <v>1000000</v>
      </c>
      <c r="H894" t="s">
        <v>3358</v>
      </c>
      <c r="I894">
        <v>0</v>
      </c>
      <c r="J894">
        <v>43823</v>
      </c>
    </row>
    <row r="895" spans="1:10" ht="12.75" hidden="1" customHeight="1">
      <c r="A895">
        <v>431050100</v>
      </c>
      <c r="B895" t="s">
        <v>3197</v>
      </c>
      <c r="C895">
        <v>499</v>
      </c>
      <c r="D895" t="s">
        <v>3199</v>
      </c>
      <c r="E895">
        <v>26</v>
      </c>
      <c r="F895">
        <v>241122019</v>
      </c>
      <c r="G895">
        <v>18500000</v>
      </c>
      <c r="H895" t="s">
        <v>3359</v>
      </c>
      <c r="I895">
        <v>0</v>
      </c>
      <c r="J895">
        <v>43823</v>
      </c>
    </row>
    <row r="896" spans="1:10" ht="12.75" hidden="1" customHeight="1">
      <c r="A896">
        <v>431050100</v>
      </c>
      <c r="B896" t="s">
        <v>3197</v>
      </c>
      <c r="C896">
        <v>499</v>
      </c>
      <c r="D896" t="s">
        <v>3199</v>
      </c>
      <c r="E896">
        <v>26</v>
      </c>
      <c r="F896">
        <v>30122019</v>
      </c>
      <c r="G896">
        <v>2000000</v>
      </c>
      <c r="H896" t="s">
        <v>3360</v>
      </c>
      <c r="I896">
        <v>0</v>
      </c>
      <c r="J896">
        <v>43829</v>
      </c>
    </row>
    <row r="897" spans="1:10" ht="12.75" hidden="1" customHeight="1">
      <c r="A897">
        <v>431050100</v>
      </c>
      <c r="B897" t="s">
        <v>3197</v>
      </c>
      <c r="C897">
        <v>499</v>
      </c>
      <c r="D897" t="s">
        <v>3199</v>
      </c>
      <c r="E897">
        <v>26</v>
      </c>
      <c r="F897">
        <v>301122019</v>
      </c>
      <c r="G897">
        <v>720000</v>
      </c>
      <c r="H897" t="s">
        <v>3361</v>
      </c>
      <c r="I897">
        <v>0</v>
      </c>
      <c r="J897">
        <v>43829</v>
      </c>
    </row>
    <row r="898" spans="1:10" ht="12.75" hidden="1" customHeight="1">
      <c r="A898">
        <v>431050100</v>
      </c>
      <c r="B898" t="s">
        <v>3197</v>
      </c>
      <c r="C898">
        <v>499</v>
      </c>
      <c r="D898" t="s">
        <v>3199</v>
      </c>
      <c r="E898">
        <v>26</v>
      </c>
      <c r="F898">
        <v>31122019</v>
      </c>
      <c r="G898">
        <v>34091</v>
      </c>
      <c r="H898" t="s">
        <v>3362</v>
      </c>
      <c r="I898">
        <v>0</v>
      </c>
      <c r="J898">
        <v>43830</v>
      </c>
    </row>
    <row r="899" spans="1:10" ht="12.75" hidden="1" customHeight="1">
      <c r="A899">
        <v>431050100</v>
      </c>
      <c r="B899" t="s">
        <v>3197</v>
      </c>
      <c r="C899">
        <v>499</v>
      </c>
      <c r="D899" t="s">
        <v>3199</v>
      </c>
      <c r="E899">
        <v>26</v>
      </c>
      <c r="F899">
        <v>311219</v>
      </c>
      <c r="G899">
        <v>214135</v>
      </c>
      <c r="H899" t="s">
        <v>3363</v>
      </c>
      <c r="I899">
        <v>0</v>
      </c>
      <c r="J899">
        <v>43830</v>
      </c>
    </row>
    <row r="900" spans="1:10" ht="12.75" hidden="1" customHeight="1">
      <c r="A900">
        <v>431050100</v>
      </c>
      <c r="B900" t="s">
        <v>3197</v>
      </c>
      <c r="C900">
        <v>499</v>
      </c>
      <c r="D900" t="s">
        <v>3199</v>
      </c>
      <c r="E900">
        <v>26</v>
      </c>
      <c r="F900">
        <v>20020008324</v>
      </c>
      <c r="G900">
        <v>1857000</v>
      </c>
      <c r="H900" t="s">
        <v>3364</v>
      </c>
      <c r="I900">
        <v>0</v>
      </c>
      <c r="J900">
        <v>43698</v>
      </c>
    </row>
    <row r="901" spans="1:10" ht="12.75" hidden="1" customHeight="1">
      <c r="A901">
        <v>431050100</v>
      </c>
      <c r="B901" t="s">
        <v>3197</v>
      </c>
      <c r="C901">
        <v>499</v>
      </c>
      <c r="D901" t="s">
        <v>3199</v>
      </c>
      <c r="E901">
        <v>26</v>
      </c>
      <c r="F901">
        <v>10030157984</v>
      </c>
      <c r="G901">
        <v>20000</v>
      </c>
      <c r="H901" t="s">
        <v>2623</v>
      </c>
      <c r="I901">
        <v>0</v>
      </c>
      <c r="J901">
        <v>43556</v>
      </c>
    </row>
    <row r="902" spans="1:10" ht="12.75" hidden="1" customHeight="1">
      <c r="A902">
        <v>431050100</v>
      </c>
      <c r="B902" t="s">
        <v>3197</v>
      </c>
      <c r="C902">
        <v>499</v>
      </c>
      <c r="D902" t="s">
        <v>3199</v>
      </c>
      <c r="E902">
        <v>26</v>
      </c>
      <c r="F902">
        <v>18032019</v>
      </c>
      <c r="G902">
        <v>40098</v>
      </c>
      <c r="H902" t="s">
        <v>3365</v>
      </c>
      <c r="I902">
        <v>0</v>
      </c>
      <c r="J902">
        <v>43617</v>
      </c>
    </row>
    <row r="903" spans="1:10" ht="12.75" hidden="1" customHeight="1">
      <c r="A903">
        <v>431050100</v>
      </c>
      <c r="B903" t="s">
        <v>3197</v>
      </c>
      <c r="C903">
        <v>499</v>
      </c>
      <c r="D903" t="s">
        <v>3199</v>
      </c>
      <c r="E903">
        <v>26</v>
      </c>
      <c r="F903">
        <v>126794</v>
      </c>
      <c r="G903">
        <v>20000</v>
      </c>
      <c r="H903" t="s">
        <v>3366</v>
      </c>
      <c r="I903">
        <v>0</v>
      </c>
      <c r="J903">
        <v>43665</v>
      </c>
    </row>
    <row r="904" spans="1:10" ht="12.75" hidden="1" customHeight="1">
      <c r="A904">
        <v>431050100</v>
      </c>
      <c r="B904" t="s">
        <v>3197</v>
      </c>
      <c r="C904">
        <v>499</v>
      </c>
      <c r="D904" t="s">
        <v>3199</v>
      </c>
      <c r="E904">
        <v>26</v>
      </c>
      <c r="F904">
        <v>9042019</v>
      </c>
      <c r="G904">
        <v>1350000</v>
      </c>
      <c r="H904" t="s">
        <v>3367</v>
      </c>
      <c r="I904">
        <v>0</v>
      </c>
      <c r="J904">
        <v>43564</v>
      </c>
    </row>
    <row r="905" spans="1:10" ht="12.75" hidden="1" customHeight="1">
      <c r="A905">
        <v>431050100</v>
      </c>
      <c r="B905" t="s">
        <v>3197</v>
      </c>
      <c r="C905">
        <v>499</v>
      </c>
      <c r="D905" t="s">
        <v>3199</v>
      </c>
      <c r="E905">
        <v>26</v>
      </c>
      <c r="F905">
        <v>9042019</v>
      </c>
      <c r="G905">
        <v>1500000</v>
      </c>
      <c r="H905" t="s">
        <v>3367</v>
      </c>
      <c r="I905">
        <v>0</v>
      </c>
      <c r="J905">
        <v>43564</v>
      </c>
    </row>
    <row r="906" spans="1:10" ht="12.75" hidden="1" customHeight="1">
      <c r="A906">
        <v>431050100</v>
      </c>
      <c r="B906" t="s">
        <v>3197</v>
      </c>
      <c r="C906">
        <v>499</v>
      </c>
      <c r="D906" t="s">
        <v>3199</v>
      </c>
      <c r="E906">
        <v>26</v>
      </c>
      <c r="F906">
        <v>140619</v>
      </c>
      <c r="G906">
        <v>1878000</v>
      </c>
      <c r="H906" t="s">
        <v>3368</v>
      </c>
      <c r="I906">
        <v>0</v>
      </c>
      <c r="J906">
        <v>43630</v>
      </c>
    </row>
    <row r="907" spans="1:10" ht="12.75" hidden="1" customHeight="1">
      <c r="A907">
        <v>431050100</v>
      </c>
      <c r="B907" t="s">
        <v>3197</v>
      </c>
      <c r="C907">
        <v>499</v>
      </c>
      <c r="D907" t="s">
        <v>3199</v>
      </c>
      <c r="E907">
        <v>26</v>
      </c>
      <c r="F907">
        <v>1369</v>
      </c>
      <c r="G907">
        <v>884660</v>
      </c>
      <c r="H907" t="s">
        <v>3369</v>
      </c>
      <c r="I907">
        <v>0</v>
      </c>
      <c r="J907">
        <v>43634</v>
      </c>
    </row>
    <row r="908" spans="1:10" ht="12.75" hidden="1" customHeight="1">
      <c r="A908">
        <v>431050100</v>
      </c>
      <c r="B908" t="s">
        <v>3197</v>
      </c>
      <c r="C908">
        <v>499</v>
      </c>
      <c r="D908" t="s">
        <v>3199</v>
      </c>
      <c r="E908">
        <v>26</v>
      </c>
      <c r="F908">
        <v>10092019</v>
      </c>
      <c r="G908">
        <v>1585000</v>
      </c>
      <c r="H908" t="s">
        <v>3370</v>
      </c>
      <c r="I908">
        <v>0</v>
      </c>
      <c r="J908">
        <v>43718</v>
      </c>
    </row>
    <row r="909" spans="1:10" ht="12.75" hidden="1" customHeight="1">
      <c r="A909">
        <v>431050100</v>
      </c>
      <c r="B909" t="s">
        <v>3197</v>
      </c>
      <c r="C909">
        <v>499</v>
      </c>
      <c r="D909" t="s">
        <v>3199</v>
      </c>
      <c r="E909">
        <v>26</v>
      </c>
      <c r="F909">
        <v>2344</v>
      </c>
      <c r="G909">
        <v>69520</v>
      </c>
      <c r="H909" t="s">
        <v>3371</v>
      </c>
      <c r="I909">
        <v>0</v>
      </c>
      <c r="J909">
        <v>43710</v>
      </c>
    </row>
    <row r="910" spans="1:10" ht="12.75" hidden="1" customHeight="1">
      <c r="A910">
        <v>431050100</v>
      </c>
      <c r="B910" t="s">
        <v>3197</v>
      </c>
      <c r="C910">
        <v>499</v>
      </c>
      <c r="D910" t="s">
        <v>3199</v>
      </c>
      <c r="E910">
        <v>26</v>
      </c>
      <c r="F910">
        <v>17012019</v>
      </c>
      <c r="G910">
        <v>75949</v>
      </c>
      <c r="H910" t="s">
        <v>3372</v>
      </c>
      <c r="I910">
        <v>0</v>
      </c>
      <c r="J910">
        <v>43482</v>
      </c>
    </row>
    <row r="911" spans="1:10" ht="12.75" hidden="1" customHeight="1">
      <c r="A911">
        <v>431050100</v>
      </c>
      <c r="B911" t="s">
        <v>3197</v>
      </c>
      <c r="C911">
        <v>499</v>
      </c>
      <c r="D911" t="s">
        <v>3199</v>
      </c>
      <c r="E911">
        <v>26</v>
      </c>
      <c r="F911">
        <v>311019</v>
      </c>
      <c r="G911">
        <v>113575</v>
      </c>
      <c r="H911" t="s">
        <v>3373</v>
      </c>
      <c r="I911">
        <v>0</v>
      </c>
      <c r="J911">
        <v>43769</v>
      </c>
    </row>
    <row r="912" spans="1:10" ht="12.75" hidden="1" customHeight="1">
      <c r="A912">
        <v>431050100</v>
      </c>
      <c r="B912" t="s">
        <v>3197</v>
      </c>
      <c r="C912">
        <v>499</v>
      </c>
      <c r="D912" t="s">
        <v>3199</v>
      </c>
      <c r="E912">
        <v>26</v>
      </c>
      <c r="F912">
        <v>1122019</v>
      </c>
      <c r="G912">
        <v>99777</v>
      </c>
      <c r="H912" t="s">
        <v>3374</v>
      </c>
      <c r="I912">
        <v>0</v>
      </c>
      <c r="J912">
        <v>43800</v>
      </c>
    </row>
    <row r="913" spans="1:10" ht="12.75" hidden="1" customHeight="1">
      <c r="A913">
        <v>431050100</v>
      </c>
      <c r="B913" t="s">
        <v>3197</v>
      </c>
      <c r="C913">
        <v>499</v>
      </c>
      <c r="D913" t="s">
        <v>3199</v>
      </c>
      <c r="E913">
        <v>26</v>
      </c>
      <c r="F913">
        <v>310519</v>
      </c>
      <c r="G913">
        <v>223311</v>
      </c>
      <c r="H913" t="s">
        <v>3375</v>
      </c>
      <c r="I913">
        <v>0</v>
      </c>
      <c r="J913">
        <v>43830</v>
      </c>
    </row>
    <row r="914" spans="1:10" ht="12.75" hidden="1" customHeight="1">
      <c r="A914">
        <v>431050100</v>
      </c>
      <c r="B914" t="s">
        <v>3197</v>
      </c>
      <c r="C914">
        <v>499</v>
      </c>
      <c r="D914" t="s">
        <v>3199</v>
      </c>
      <c r="E914">
        <v>26</v>
      </c>
      <c r="F914">
        <v>311019</v>
      </c>
      <c r="G914">
        <v>198000</v>
      </c>
      <c r="H914" t="s">
        <v>3376</v>
      </c>
      <c r="I914">
        <v>0</v>
      </c>
      <c r="J914">
        <v>43830</v>
      </c>
    </row>
    <row r="915" spans="1:10" ht="12.75" hidden="1" customHeight="1">
      <c r="A915">
        <v>431050100</v>
      </c>
      <c r="B915" t="s">
        <v>3197</v>
      </c>
      <c r="C915">
        <v>499</v>
      </c>
      <c r="D915" t="s">
        <v>3199</v>
      </c>
      <c r="E915">
        <v>26</v>
      </c>
      <c r="F915">
        <v>311219</v>
      </c>
      <c r="G915">
        <v>77420</v>
      </c>
      <c r="H915" t="s">
        <v>3377</v>
      </c>
      <c r="I915">
        <v>0</v>
      </c>
      <c r="J915">
        <v>43830</v>
      </c>
    </row>
    <row r="916" spans="1:10" ht="12.75" hidden="1" customHeight="1">
      <c r="A916">
        <v>431050200</v>
      </c>
      <c r="B916" t="s">
        <v>3378</v>
      </c>
      <c r="C916">
        <v>500</v>
      </c>
      <c r="D916" t="s">
        <v>3379</v>
      </c>
      <c r="E916">
        <v>26</v>
      </c>
      <c r="F916">
        <v>1022019</v>
      </c>
      <c r="G916">
        <v>280000</v>
      </c>
      <c r="H916" t="s">
        <v>3380</v>
      </c>
      <c r="I916">
        <v>0</v>
      </c>
      <c r="J916">
        <v>43497</v>
      </c>
    </row>
    <row r="917" spans="1:10" ht="12.75" hidden="1" customHeight="1">
      <c r="A917">
        <v>431050200</v>
      </c>
      <c r="B917" t="s">
        <v>3378</v>
      </c>
      <c r="C917">
        <v>500</v>
      </c>
      <c r="D917" t="s">
        <v>3379</v>
      </c>
      <c r="E917">
        <v>26</v>
      </c>
      <c r="F917">
        <v>0</v>
      </c>
      <c r="G917">
        <v>140000</v>
      </c>
      <c r="H917" t="s">
        <v>3381</v>
      </c>
      <c r="I917">
        <v>0</v>
      </c>
      <c r="J917">
        <v>43524</v>
      </c>
    </row>
    <row r="918" spans="1:10" ht="12.75" hidden="1" customHeight="1">
      <c r="A918">
        <v>431050200</v>
      </c>
      <c r="B918" t="s">
        <v>3378</v>
      </c>
      <c r="C918">
        <v>500</v>
      </c>
      <c r="D918" t="s">
        <v>3379</v>
      </c>
      <c r="E918">
        <v>26</v>
      </c>
      <c r="F918">
        <v>0</v>
      </c>
      <c r="G918">
        <v>140000</v>
      </c>
      <c r="H918" t="s">
        <v>3381</v>
      </c>
      <c r="I918">
        <v>0</v>
      </c>
      <c r="J918">
        <v>43555</v>
      </c>
    </row>
    <row r="919" spans="1:10" ht="12.75" hidden="1" customHeight="1">
      <c r="A919">
        <v>431050200</v>
      </c>
      <c r="B919" t="s">
        <v>3378</v>
      </c>
      <c r="C919">
        <v>500</v>
      </c>
      <c r="D919" t="s">
        <v>3379</v>
      </c>
      <c r="E919">
        <v>26</v>
      </c>
      <c r="F919">
        <v>0</v>
      </c>
      <c r="G919">
        <v>140000</v>
      </c>
      <c r="H919" t="s">
        <v>3382</v>
      </c>
      <c r="I919">
        <v>0</v>
      </c>
      <c r="J919">
        <v>43585</v>
      </c>
    </row>
    <row r="920" spans="1:10" ht="12.75" hidden="1" customHeight="1">
      <c r="A920">
        <v>431050200</v>
      </c>
      <c r="B920" t="s">
        <v>3378</v>
      </c>
      <c r="C920">
        <v>500</v>
      </c>
      <c r="D920" t="s">
        <v>3379</v>
      </c>
      <c r="E920">
        <v>26</v>
      </c>
      <c r="F920">
        <v>0</v>
      </c>
      <c r="G920">
        <v>100000</v>
      </c>
      <c r="H920" t="s">
        <v>3383</v>
      </c>
      <c r="I920">
        <v>0</v>
      </c>
      <c r="J920">
        <v>43476</v>
      </c>
    </row>
    <row r="921" spans="1:10" ht="12.75" hidden="1" customHeight="1">
      <c r="A921">
        <v>431050200</v>
      </c>
      <c r="B921" t="s">
        <v>3378</v>
      </c>
      <c r="C921">
        <v>500</v>
      </c>
      <c r="D921" t="s">
        <v>3379</v>
      </c>
      <c r="E921">
        <v>26</v>
      </c>
      <c r="F921">
        <v>0</v>
      </c>
      <c r="G921">
        <v>3000000</v>
      </c>
      <c r="H921" t="s">
        <v>3384</v>
      </c>
      <c r="I921">
        <v>0</v>
      </c>
      <c r="J921">
        <v>43585</v>
      </c>
    </row>
    <row r="922" spans="1:10" ht="12.75" hidden="1" customHeight="1">
      <c r="A922">
        <v>431050200</v>
      </c>
      <c r="B922" t="s">
        <v>3378</v>
      </c>
      <c r="C922">
        <v>500</v>
      </c>
      <c r="D922" t="s">
        <v>3379</v>
      </c>
      <c r="E922">
        <v>26</v>
      </c>
      <c r="F922">
        <v>0</v>
      </c>
      <c r="G922">
        <v>300000</v>
      </c>
      <c r="H922" t="s">
        <v>3385</v>
      </c>
      <c r="I922">
        <v>0</v>
      </c>
      <c r="J922">
        <v>43588</v>
      </c>
    </row>
    <row r="923" spans="1:10" ht="12.75" hidden="1" customHeight="1">
      <c r="A923">
        <v>431050200</v>
      </c>
      <c r="B923" t="s">
        <v>3378</v>
      </c>
      <c r="C923">
        <v>500</v>
      </c>
      <c r="D923" t="s">
        <v>3379</v>
      </c>
      <c r="E923">
        <v>26</v>
      </c>
      <c r="F923">
        <v>0</v>
      </c>
      <c r="G923">
        <v>100000</v>
      </c>
      <c r="H923" t="s">
        <v>3386</v>
      </c>
      <c r="I923">
        <v>0</v>
      </c>
      <c r="J923">
        <v>43613</v>
      </c>
    </row>
    <row r="924" spans="1:10" ht="12.75" hidden="1" customHeight="1">
      <c r="A924">
        <v>431050200</v>
      </c>
      <c r="B924" t="s">
        <v>3378</v>
      </c>
      <c r="C924">
        <v>500</v>
      </c>
      <c r="D924" t="s">
        <v>3379</v>
      </c>
      <c r="E924">
        <v>26</v>
      </c>
      <c r="F924">
        <v>0</v>
      </c>
      <c r="G924">
        <v>150000</v>
      </c>
      <c r="H924" t="s">
        <v>3387</v>
      </c>
      <c r="I924">
        <v>0</v>
      </c>
      <c r="J924">
        <v>43613</v>
      </c>
    </row>
    <row r="925" spans="1:10" ht="12.75" hidden="1" customHeight="1">
      <c r="A925">
        <v>431050200</v>
      </c>
      <c r="B925" t="s">
        <v>3378</v>
      </c>
      <c r="C925">
        <v>500</v>
      </c>
      <c r="D925" t="s">
        <v>3379</v>
      </c>
      <c r="E925">
        <v>26</v>
      </c>
      <c r="F925">
        <v>0</v>
      </c>
      <c r="G925">
        <v>2550000</v>
      </c>
      <c r="H925" t="s">
        <v>3388</v>
      </c>
      <c r="I925">
        <v>0</v>
      </c>
      <c r="J925">
        <v>43616</v>
      </c>
    </row>
    <row r="926" spans="1:10" ht="12.75" hidden="1" customHeight="1">
      <c r="A926">
        <v>431050200</v>
      </c>
      <c r="B926" t="s">
        <v>3378</v>
      </c>
      <c r="C926">
        <v>500</v>
      </c>
      <c r="D926" t="s">
        <v>3379</v>
      </c>
      <c r="E926">
        <v>26</v>
      </c>
      <c r="F926">
        <v>0</v>
      </c>
      <c r="G926">
        <v>20000</v>
      </c>
      <c r="H926" t="s">
        <v>3389</v>
      </c>
      <c r="I926">
        <v>0</v>
      </c>
      <c r="J926">
        <v>43617</v>
      </c>
    </row>
    <row r="927" spans="1:10" ht="12.75" hidden="1" customHeight="1">
      <c r="A927">
        <v>431050200</v>
      </c>
      <c r="B927" t="s">
        <v>3378</v>
      </c>
      <c r="C927">
        <v>500</v>
      </c>
      <c r="D927" t="s">
        <v>3379</v>
      </c>
      <c r="E927">
        <v>26</v>
      </c>
      <c r="F927">
        <v>0</v>
      </c>
      <c r="G927">
        <v>3000000</v>
      </c>
      <c r="H927" t="s">
        <v>3390</v>
      </c>
      <c r="I927">
        <v>0</v>
      </c>
      <c r="J927">
        <v>43644</v>
      </c>
    </row>
    <row r="928" spans="1:10" ht="12.75" hidden="1" customHeight="1">
      <c r="A928">
        <v>431050200</v>
      </c>
      <c r="B928" t="s">
        <v>3378</v>
      </c>
      <c r="C928">
        <v>500</v>
      </c>
      <c r="D928" t="s">
        <v>3379</v>
      </c>
      <c r="E928">
        <v>26</v>
      </c>
      <c r="F928">
        <v>0</v>
      </c>
      <c r="G928">
        <v>3000000</v>
      </c>
      <c r="H928" t="s">
        <v>3391</v>
      </c>
      <c r="I928">
        <v>0</v>
      </c>
      <c r="J928">
        <v>43676</v>
      </c>
    </row>
    <row r="929" spans="1:10" ht="12.75" hidden="1" customHeight="1">
      <c r="A929">
        <v>431050200</v>
      </c>
      <c r="B929" t="s">
        <v>3378</v>
      </c>
      <c r="C929">
        <v>500</v>
      </c>
      <c r="D929" t="s">
        <v>3379</v>
      </c>
      <c r="E929">
        <v>26</v>
      </c>
      <c r="F929">
        <v>0</v>
      </c>
      <c r="G929">
        <v>500000</v>
      </c>
      <c r="H929" t="s">
        <v>3392</v>
      </c>
      <c r="I929">
        <v>0</v>
      </c>
      <c r="J929">
        <v>43707</v>
      </c>
    </row>
    <row r="930" spans="1:10" ht="12.75" hidden="1" customHeight="1">
      <c r="A930">
        <v>431050200</v>
      </c>
      <c r="B930" t="s">
        <v>3378</v>
      </c>
      <c r="C930">
        <v>500</v>
      </c>
      <c r="D930" t="s">
        <v>3379</v>
      </c>
      <c r="E930">
        <v>26</v>
      </c>
      <c r="F930">
        <v>0</v>
      </c>
      <c r="G930">
        <v>3000000</v>
      </c>
      <c r="H930" t="s">
        <v>3393</v>
      </c>
      <c r="I930">
        <v>0</v>
      </c>
      <c r="J930">
        <v>43707</v>
      </c>
    </row>
    <row r="931" spans="1:10" ht="12.75" hidden="1" customHeight="1">
      <c r="A931">
        <v>431050200</v>
      </c>
      <c r="B931" t="s">
        <v>3378</v>
      </c>
      <c r="C931">
        <v>500</v>
      </c>
      <c r="D931" t="s">
        <v>3379</v>
      </c>
      <c r="E931">
        <v>26</v>
      </c>
      <c r="F931">
        <v>0</v>
      </c>
      <c r="G931">
        <v>200000</v>
      </c>
      <c r="H931" t="s">
        <v>3394</v>
      </c>
      <c r="I931">
        <v>0</v>
      </c>
      <c r="J931">
        <v>43721</v>
      </c>
    </row>
    <row r="932" spans="1:10" ht="12.75" hidden="1" customHeight="1">
      <c r="A932">
        <v>431050200</v>
      </c>
      <c r="B932" t="s">
        <v>3378</v>
      </c>
      <c r="C932">
        <v>500</v>
      </c>
      <c r="D932" t="s">
        <v>3379</v>
      </c>
      <c r="E932">
        <v>26</v>
      </c>
      <c r="F932">
        <v>0</v>
      </c>
      <c r="G932">
        <v>394000</v>
      </c>
      <c r="H932" t="s">
        <v>2640</v>
      </c>
      <c r="I932">
        <v>0</v>
      </c>
      <c r="J932">
        <v>43722</v>
      </c>
    </row>
    <row r="933" spans="1:10" ht="12.75" hidden="1" customHeight="1">
      <c r="A933">
        <v>431050200</v>
      </c>
      <c r="B933" t="s">
        <v>3378</v>
      </c>
      <c r="C933">
        <v>500</v>
      </c>
      <c r="D933" t="s">
        <v>3379</v>
      </c>
      <c r="E933">
        <v>26</v>
      </c>
      <c r="F933">
        <v>0</v>
      </c>
      <c r="G933">
        <v>210000</v>
      </c>
      <c r="H933" t="s">
        <v>3395</v>
      </c>
      <c r="I933">
        <v>0</v>
      </c>
      <c r="J933">
        <v>43728</v>
      </c>
    </row>
    <row r="934" spans="1:10" ht="12.75" hidden="1" customHeight="1">
      <c r="A934">
        <v>431050200</v>
      </c>
      <c r="B934" t="s">
        <v>3378</v>
      </c>
      <c r="C934">
        <v>500</v>
      </c>
      <c r="D934" t="s">
        <v>3379</v>
      </c>
      <c r="E934">
        <v>26</v>
      </c>
      <c r="F934">
        <v>0</v>
      </c>
      <c r="G934">
        <v>20000</v>
      </c>
      <c r="H934" t="s">
        <v>3396</v>
      </c>
      <c r="I934">
        <v>0</v>
      </c>
      <c r="J934">
        <v>43748</v>
      </c>
    </row>
    <row r="935" spans="1:10" ht="12.75" hidden="1" customHeight="1">
      <c r="A935">
        <v>431050200</v>
      </c>
      <c r="B935" t="s">
        <v>3378</v>
      </c>
      <c r="C935">
        <v>500</v>
      </c>
      <c r="D935" t="s">
        <v>3379</v>
      </c>
      <c r="E935">
        <v>26</v>
      </c>
      <c r="F935">
        <v>0</v>
      </c>
      <c r="G935">
        <v>500000</v>
      </c>
      <c r="H935" t="s">
        <v>3397</v>
      </c>
      <c r="I935">
        <v>0</v>
      </c>
      <c r="J935">
        <v>43826</v>
      </c>
    </row>
    <row r="936" spans="1:10" ht="12.75" hidden="1" customHeight="1">
      <c r="A936">
        <v>431050200</v>
      </c>
      <c r="B936" t="s">
        <v>3378</v>
      </c>
      <c r="C936">
        <v>500</v>
      </c>
      <c r="D936" t="s">
        <v>3379</v>
      </c>
      <c r="E936">
        <v>26</v>
      </c>
      <c r="F936">
        <v>0</v>
      </c>
      <c r="G936">
        <v>500000</v>
      </c>
      <c r="H936" t="s">
        <v>3398</v>
      </c>
      <c r="I936">
        <v>0</v>
      </c>
      <c r="J936">
        <v>43826</v>
      </c>
    </row>
    <row r="937" spans="1:10" ht="12.75" hidden="1" customHeight="1">
      <c r="A937">
        <v>431050200</v>
      </c>
      <c r="B937" t="s">
        <v>3378</v>
      </c>
      <c r="C937">
        <v>500</v>
      </c>
      <c r="D937" t="s">
        <v>3379</v>
      </c>
      <c r="E937">
        <v>26</v>
      </c>
      <c r="F937">
        <v>0</v>
      </c>
      <c r="G937">
        <v>500000</v>
      </c>
      <c r="H937" t="s">
        <v>3399</v>
      </c>
      <c r="I937">
        <v>0</v>
      </c>
      <c r="J937">
        <v>43826</v>
      </c>
    </row>
    <row r="938" spans="1:10" ht="12.75" hidden="1" customHeight="1">
      <c r="A938">
        <v>431050200</v>
      </c>
      <c r="B938" t="s">
        <v>3378</v>
      </c>
      <c r="C938">
        <v>500</v>
      </c>
      <c r="D938" t="s">
        <v>3379</v>
      </c>
      <c r="E938">
        <v>26</v>
      </c>
      <c r="F938">
        <v>0</v>
      </c>
      <c r="G938">
        <v>500000</v>
      </c>
      <c r="H938" t="s">
        <v>3400</v>
      </c>
      <c r="I938">
        <v>0</v>
      </c>
      <c r="J938">
        <v>43826</v>
      </c>
    </row>
    <row r="939" spans="1:10" ht="12.75" hidden="1" customHeight="1">
      <c r="A939">
        <v>431050200</v>
      </c>
      <c r="B939" t="s">
        <v>3378</v>
      </c>
      <c r="C939">
        <v>500</v>
      </c>
      <c r="D939" t="s">
        <v>3379</v>
      </c>
      <c r="E939">
        <v>26</v>
      </c>
      <c r="F939">
        <v>0</v>
      </c>
      <c r="G939">
        <v>500000</v>
      </c>
      <c r="H939" t="s">
        <v>3401</v>
      </c>
      <c r="I939">
        <v>0</v>
      </c>
      <c r="J939">
        <v>43826</v>
      </c>
    </row>
    <row r="940" spans="1:10" ht="12.75" hidden="1" customHeight="1">
      <c r="A940">
        <v>431050200</v>
      </c>
      <c r="B940" t="s">
        <v>3378</v>
      </c>
      <c r="C940">
        <v>616</v>
      </c>
      <c r="D940" t="s">
        <v>3402</v>
      </c>
      <c r="E940">
        <v>26</v>
      </c>
      <c r="F940">
        <v>0</v>
      </c>
      <c r="G940">
        <v>800000</v>
      </c>
      <c r="H940" t="s">
        <v>3403</v>
      </c>
      <c r="I940">
        <v>0</v>
      </c>
      <c r="J940">
        <v>43650</v>
      </c>
    </row>
    <row r="941" spans="1:10" ht="12.75" hidden="1" customHeight="1">
      <c r="A941">
        <v>431050200</v>
      </c>
      <c r="B941" t="s">
        <v>3378</v>
      </c>
      <c r="C941">
        <v>616</v>
      </c>
      <c r="D941" t="s">
        <v>3402</v>
      </c>
      <c r="E941">
        <v>26</v>
      </c>
      <c r="F941">
        <v>0</v>
      </c>
      <c r="G941">
        <v>105000</v>
      </c>
      <c r="H941" t="s">
        <v>3404</v>
      </c>
      <c r="I941">
        <v>0</v>
      </c>
      <c r="J941">
        <v>43748</v>
      </c>
    </row>
    <row r="942" spans="1:10" ht="12.75" hidden="1" customHeight="1">
      <c r="A942">
        <v>431050300</v>
      </c>
      <c r="B942" t="s">
        <v>3405</v>
      </c>
      <c r="C942">
        <v>499</v>
      </c>
      <c r="D942" t="s">
        <v>3199</v>
      </c>
      <c r="E942">
        <v>26</v>
      </c>
      <c r="F942">
        <v>20082019</v>
      </c>
      <c r="G942">
        <v>450000</v>
      </c>
      <c r="H942" t="s">
        <v>3406</v>
      </c>
      <c r="I942">
        <v>0</v>
      </c>
      <c r="J942">
        <v>43697</v>
      </c>
    </row>
    <row r="943" spans="1:10" ht="12.75" hidden="1" customHeight="1">
      <c r="A943">
        <v>431050300</v>
      </c>
      <c r="B943" t="s">
        <v>3405</v>
      </c>
      <c r="C943">
        <v>501</v>
      </c>
      <c r="D943" t="s">
        <v>3407</v>
      </c>
      <c r="E943">
        <v>26</v>
      </c>
      <c r="F943">
        <v>10219</v>
      </c>
      <c r="G943">
        <v>200000</v>
      </c>
      <c r="H943" t="s">
        <v>2587</v>
      </c>
      <c r="I943">
        <v>0</v>
      </c>
      <c r="J943">
        <v>43498</v>
      </c>
    </row>
    <row r="944" spans="1:10" ht="12.75" hidden="1" customHeight="1">
      <c r="A944">
        <v>431050300</v>
      </c>
      <c r="B944" t="s">
        <v>3405</v>
      </c>
      <c r="C944">
        <v>501</v>
      </c>
      <c r="D944" t="s">
        <v>3407</v>
      </c>
      <c r="E944">
        <v>26</v>
      </c>
      <c r="F944">
        <v>17092019</v>
      </c>
      <c r="G944">
        <v>200000</v>
      </c>
      <c r="H944" t="s">
        <v>3408</v>
      </c>
      <c r="I944">
        <v>0</v>
      </c>
      <c r="J944">
        <v>43725</v>
      </c>
    </row>
    <row r="945" spans="1:10" ht="12.75" hidden="1" customHeight="1">
      <c r="A945">
        <v>431050300</v>
      </c>
      <c r="B945" t="s">
        <v>3405</v>
      </c>
      <c r="C945">
        <v>501</v>
      </c>
      <c r="D945" t="s">
        <v>3407</v>
      </c>
      <c r="E945">
        <v>26</v>
      </c>
      <c r="F945">
        <v>31102019</v>
      </c>
      <c r="G945">
        <v>943000</v>
      </c>
      <c r="H945" t="s">
        <v>3409</v>
      </c>
      <c r="I945">
        <v>0</v>
      </c>
      <c r="J945">
        <v>43769</v>
      </c>
    </row>
    <row r="946" spans="1:10" ht="12.75" hidden="1" customHeight="1">
      <c r="A946">
        <v>431050300</v>
      </c>
      <c r="B946" t="s">
        <v>3405</v>
      </c>
      <c r="C946">
        <v>501</v>
      </c>
      <c r="D946" t="s">
        <v>3407</v>
      </c>
      <c r="E946">
        <v>26</v>
      </c>
      <c r="F946">
        <v>338031</v>
      </c>
      <c r="G946">
        <v>40000</v>
      </c>
      <c r="H946" t="s">
        <v>3410</v>
      </c>
      <c r="I946">
        <v>0</v>
      </c>
      <c r="J946">
        <v>43776</v>
      </c>
    </row>
    <row r="947" spans="1:10" ht="12.75" hidden="1" customHeight="1">
      <c r="A947">
        <v>431050300</v>
      </c>
      <c r="B947" t="s">
        <v>3405</v>
      </c>
      <c r="C947">
        <v>617</v>
      </c>
      <c r="D947" t="s">
        <v>3411</v>
      </c>
      <c r="E947">
        <v>26</v>
      </c>
      <c r="F947">
        <v>31072019</v>
      </c>
      <c r="G947">
        <v>1146000</v>
      </c>
      <c r="H947" t="s">
        <v>3412</v>
      </c>
      <c r="I947">
        <v>0</v>
      </c>
      <c r="J947">
        <v>43677</v>
      </c>
    </row>
    <row r="948" spans="1:10" ht="12.75" hidden="1" customHeight="1">
      <c r="A948">
        <v>431050300</v>
      </c>
      <c r="B948" t="s">
        <v>3405</v>
      </c>
      <c r="C948">
        <v>617</v>
      </c>
      <c r="D948" t="s">
        <v>3411</v>
      </c>
      <c r="E948">
        <v>26</v>
      </c>
      <c r="F948">
        <v>31082019</v>
      </c>
      <c r="G948">
        <v>1075000</v>
      </c>
      <c r="H948" t="s">
        <v>3413</v>
      </c>
      <c r="I948">
        <v>0</v>
      </c>
      <c r="J948">
        <v>43708</v>
      </c>
    </row>
    <row r="949" spans="1:10" ht="12.75" hidden="1" customHeight="1">
      <c r="A949">
        <v>431050300</v>
      </c>
      <c r="B949" t="s">
        <v>3405</v>
      </c>
      <c r="C949">
        <v>617</v>
      </c>
      <c r="D949" t="s">
        <v>3411</v>
      </c>
      <c r="E949">
        <v>26</v>
      </c>
      <c r="F949">
        <v>30092019</v>
      </c>
      <c r="G949">
        <v>1026000</v>
      </c>
      <c r="H949" t="s">
        <v>3414</v>
      </c>
      <c r="I949">
        <v>0</v>
      </c>
      <c r="J949">
        <v>43738</v>
      </c>
    </row>
    <row r="950" spans="1:10" ht="12.75" hidden="1" customHeight="1">
      <c r="A950">
        <v>431050300</v>
      </c>
      <c r="B950" t="s">
        <v>3405</v>
      </c>
      <c r="C950">
        <v>617</v>
      </c>
      <c r="D950" t="s">
        <v>3411</v>
      </c>
      <c r="E950">
        <v>26</v>
      </c>
      <c r="F950">
        <v>29112019</v>
      </c>
      <c r="G950">
        <v>1041000</v>
      </c>
      <c r="H950" t="s">
        <v>3415</v>
      </c>
      <c r="I950">
        <v>0</v>
      </c>
      <c r="J950">
        <v>43798</v>
      </c>
    </row>
    <row r="951" spans="1:10" ht="12.75" hidden="1" customHeight="1">
      <c r="A951">
        <v>431050300</v>
      </c>
      <c r="B951" t="s">
        <v>3405</v>
      </c>
      <c r="C951">
        <v>617</v>
      </c>
      <c r="D951" t="s">
        <v>3411</v>
      </c>
      <c r="E951">
        <v>26</v>
      </c>
      <c r="F951">
        <v>16122019</v>
      </c>
      <c r="G951">
        <v>523086</v>
      </c>
      <c r="H951" t="s">
        <v>3416</v>
      </c>
      <c r="I951">
        <v>0</v>
      </c>
      <c r="J951">
        <v>43815</v>
      </c>
    </row>
    <row r="952" spans="1:10" ht="12.75" hidden="1" customHeight="1">
      <c r="A952">
        <v>431050300</v>
      </c>
      <c r="B952" t="s">
        <v>3405</v>
      </c>
      <c r="C952">
        <v>617</v>
      </c>
      <c r="D952" t="s">
        <v>3411</v>
      </c>
      <c r="E952">
        <v>26</v>
      </c>
      <c r="F952">
        <v>27122019</v>
      </c>
      <c r="G952">
        <v>2000000</v>
      </c>
      <c r="H952" t="s">
        <v>3417</v>
      </c>
      <c r="I952">
        <v>0</v>
      </c>
      <c r="J952">
        <v>43826</v>
      </c>
    </row>
    <row r="953" spans="1:10" ht="12.75" hidden="1" customHeight="1">
      <c r="A953">
        <v>431050300</v>
      </c>
      <c r="B953" t="s">
        <v>3405</v>
      </c>
      <c r="C953">
        <v>617</v>
      </c>
      <c r="D953" t="s">
        <v>3411</v>
      </c>
      <c r="E953">
        <v>26</v>
      </c>
      <c r="F953">
        <v>31122019</v>
      </c>
      <c r="G953">
        <v>862000</v>
      </c>
      <c r="H953" t="s">
        <v>3418</v>
      </c>
      <c r="I953">
        <v>0</v>
      </c>
      <c r="J953">
        <v>43830</v>
      </c>
    </row>
    <row r="954" spans="1:10" ht="12.75" hidden="1" customHeight="1">
      <c r="A954">
        <v>431050400</v>
      </c>
      <c r="B954" t="s">
        <v>3419</v>
      </c>
      <c r="C954">
        <v>744</v>
      </c>
      <c r="D954" t="s">
        <v>3420</v>
      </c>
      <c r="E954">
        <v>26</v>
      </c>
      <c r="F954">
        <v>5217</v>
      </c>
      <c r="G954">
        <v>22355120</v>
      </c>
      <c r="H954" t="s">
        <v>3421</v>
      </c>
      <c r="I954">
        <v>0</v>
      </c>
      <c r="J954">
        <v>43532</v>
      </c>
    </row>
    <row r="955" spans="1:10" ht="12.75" hidden="1" customHeight="1">
      <c r="A955">
        <v>431050400</v>
      </c>
      <c r="B955" t="s">
        <v>3419</v>
      </c>
      <c r="C955">
        <v>744</v>
      </c>
      <c r="D955" t="s">
        <v>3420</v>
      </c>
      <c r="E955">
        <v>26</v>
      </c>
      <c r="F955">
        <v>0</v>
      </c>
      <c r="G955">
        <v>340000</v>
      </c>
      <c r="H955" t="s">
        <v>3422</v>
      </c>
      <c r="I955">
        <v>0</v>
      </c>
      <c r="J955">
        <v>43533</v>
      </c>
    </row>
    <row r="956" spans="1:10" ht="12.75" hidden="1" customHeight="1">
      <c r="A956">
        <v>431050400</v>
      </c>
      <c r="B956" t="s">
        <v>3419</v>
      </c>
      <c r="C956">
        <v>744</v>
      </c>
      <c r="D956" t="s">
        <v>3420</v>
      </c>
      <c r="E956">
        <v>26</v>
      </c>
      <c r="F956">
        <v>0</v>
      </c>
      <c r="G956">
        <v>50000</v>
      </c>
      <c r="H956" t="s">
        <v>3423</v>
      </c>
      <c r="I956">
        <v>0</v>
      </c>
      <c r="J956">
        <v>43533</v>
      </c>
    </row>
    <row r="957" spans="1:10" ht="12.75" hidden="1" customHeight="1">
      <c r="A957">
        <v>431050400</v>
      </c>
      <c r="B957" t="s">
        <v>3419</v>
      </c>
      <c r="C957">
        <v>744</v>
      </c>
      <c r="D957" t="s">
        <v>3420</v>
      </c>
      <c r="E957">
        <v>26</v>
      </c>
      <c r="F957">
        <v>0</v>
      </c>
      <c r="G957">
        <v>6800000</v>
      </c>
      <c r="H957" t="s">
        <v>3424</v>
      </c>
      <c r="I957">
        <v>0</v>
      </c>
      <c r="J957">
        <v>43608</v>
      </c>
    </row>
    <row r="958" spans="1:10" ht="12.75" hidden="1" customHeight="1">
      <c r="A958">
        <v>431050400</v>
      </c>
      <c r="B958" t="s">
        <v>3419</v>
      </c>
      <c r="C958">
        <v>744</v>
      </c>
      <c r="D958" t="s">
        <v>3420</v>
      </c>
      <c r="E958">
        <v>26</v>
      </c>
      <c r="F958">
        <v>0</v>
      </c>
      <c r="G958">
        <v>28731012</v>
      </c>
      <c r="H958" t="s">
        <v>3425</v>
      </c>
      <c r="I958">
        <v>0</v>
      </c>
      <c r="J958">
        <v>43810</v>
      </c>
    </row>
    <row r="959" spans="1:10" ht="12.75" hidden="1" customHeight="1">
      <c r="A959">
        <v>431050400</v>
      </c>
      <c r="B959" t="s">
        <v>3419</v>
      </c>
      <c r="C959">
        <v>744</v>
      </c>
      <c r="D959" t="s">
        <v>3420</v>
      </c>
      <c r="E959">
        <v>26</v>
      </c>
      <c r="F959">
        <v>0</v>
      </c>
      <c r="G959">
        <v>1750000</v>
      </c>
      <c r="H959" t="s">
        <v>3426</v>
      </c>
      <c r="I959">
        <v>0</v>
      </c>
      <c r="J959">
        <v>43556</v>
      </c>
    </row>
    <row r="960" spans="1:10" ht="12.75" hidden="1" customHeight="1">
      <c r="A960">
        <v>431050400</v>
      </c>
      <c r="B960" t="s">
        <v>3419</v>
      </c>
      <c r="C960">
        <v>744</v>
      </c>
      <c r="D960" t="s">
        <v>3420</v>
      </c>
      <c r="E960">
        <v>26</v>
      </c>
      <c r="F960">
        <v>0</v>
      </c>
      <c r="G960">
        <v>47250</v>
      </c>
      <c r="H960" t="s">
        <v>3427</v>
      </c>
      <c r="I960">
        <v>0</v>
      </c>
      <c r="J960">
        <v>43572</v>
      </c>
    </row>
    <row r="961" spans="1:10" ht="12.75" hidden="1" customHeight="1">
      <c r="A961">
        <v>431050400</v>
      </c>
      <c r="B961" t="s">
        <v>3419</v>
      </c>
      <c r="C961">
        <v>744</v>
      </c>
      <c r="D961" t="s">
        <v>3420</v>
      </c>
      <c r="E961">
        <v>26</v>
      </c>
      <c r="F961">
        <v>0</v>
      </c>
      <c r="G961">
        <v>3386000</v>
      </c>
      <c r="H961" t="s">
        <v>3428</v>
      </c>
      <c r="I961">
        <v>0</v>
      </c>
      <c r="J961">
        <v>43585</v>
      </c>
    </row>
    <row r="962" spans="1:10" ht="12.75" hidden="1" customHeight="1">
      <c r="A962">
        <v>431050400</v>
      </c>
      <c r="B962" t="s">
        <v>3419</v>
      </c>
      <c r="C962">
        <v>744</v>
      </c>
      <c r="D962" t="s">
        <v>3420</v>
      </c>
      <c r="E962">
        <v>26</v>
      </c>
      <c r="F962">
        <v>0</v>
      </c>
      <c r="G962">
        <v>351500</v>
      </c>
      <c r="H962" t="s">
        <v>3429</v>
      </c>
      <c r="I962">
        <v>0</v>
      </c>
      <c r="J962">
        <v>43596</v>
      </c>
    </row>
    <row r="963" spans="1:10" ht="12.75" hidden="1" customHeight="1">
      <c r="A963">
        <v>431050400</v>
      </c>
      <c r="B963" t="s">
        <v>3419</v>
      </c>
      <c r="C963">
        <v>744</v>
      </c>
      <c r="D963" t="s">
        <v>3420</v>
      </c>
      <c r="E963">
        <v>26</v>
      </c>
      <c r="F963">
        <v>0</v>
      </c>
      <c r="G963">
        <v>418000</v>
      </c>
      <c r="H963" t="s">
        <v>3430</v>
      </c>
      <c r="I963">
        <v>0</v>
      </c>
      <c r="J963">
        <v>43609</v>
      </c>
    </row>
    <row r="964" spans="1:10" ht="12.75" hidden="1" customHeight="1">
      <c r="A964">
        <v>431050400</v>
      </c>
      <c r="B964" t="s">
        <v>3419</v>
      </c>
      <c r="C964">
        <v>744</v>
      </c>
      <c r="D964" t="s">
        <v>3420</v>
      </c>
      <c r="E964">
        <v>26</v>
      </c>
      <c r="F964">
        <v>0</v>
      </c>
      <c r="G964">
        <v>3451666</v>
      </c>
      <c r="H964" t="s">
        <v>3431</v>
      </c>
      <c r="I964">
        <v>0</v>
      </c>
      <c r="J964">
        <v>43616</v>
      </c>
    </row>
    <row r="965" spans="1:10" ht="12.75" hidden="1" customHeight="1">
      <c r="A965">
        <v>431050400</v>
      </c>
      <c r="B965" t="s">
        <v>3419</v>
      </c>
      <c r="C965">
        <v>744</v>
      </c>
      <c r="D965" t="s">
        <v>3420</v>
      </c>
      <c r="E965">
        <v>26</v>
      </c>
      <c r="F965">
        <v>280020092489</v>
      </c>
      <c r="G965">
        <v>30550</v>
      </c>
      <c r="H965" t="s">
        <v>3432</v>
      </c>
      <c r="I965">
        <v>0</v>
      </c>
      <c r="J965">
        <v>43676</v>
      </c>
    </row>
    <row r="966" spans="1:10" ht="12.75" hidden="1" customHeight="1">
      <c r="A966">
        <v>431050400</v>
      </c>
      <c r="B966" t="s">
        <v>3419</v>
      </c>
      <c r="C966">
        <v>744</v>
      </c>
      <c r="D966" t="s">
        <v>3420</v>
      </c>
      <c r="E966">
        <v>26</v>
      </c>
      <c r="F966">
        <v>0</v>
      </c>
      <c r="G966">
        <v>600000</v>
      </c>
      <c r="H966" t="s">
        <v>3433</v>
      </c>
      <c r="I966">
        <v>0</v>
      </c>
      <c r="J966">
        <v>43472</v>
      </c>
    </row>
    <row r="967" spans="1:10" ht="12.75" hidden="1" customHeight="1">
      <c r="A967">
        <v>431050400</v>
      </c>
      <c r="B967" t="s">
        <v>3419</v>
      </c>
      <c r="C967">
        <v>744</v>
      </c>
      <c r="D967" t="s">
        <v>3420</v>
      </c>
      <c r="E967">
        <v>26</v>
      </c>
      <c r="F967">
        <v>0</v>
      </c>
      <c r="G967">
        <v>255000</v>
      </c>
      <c r="H967" t="s">
        <v>3434</v>
      </c>
      <c r="I967">
        <v>0</v>
      </c>
      <c r="J967">
        <v>43472</v>
      </c>
    </row>
    <row r="968" spans="1:10" ht="12.75" hidden="1" customHeight="1">
      <c r="A968">
        <v>431050400</v>
      </c>
      <c r="B968" t="s">
        <v>3419</v>
      </c>
      <c r="C968">
        <v>744</v>
      </c>
      <c r="D968" t="s">
        <v>3420</v>
      </c>
      <c r="E968">
        <v>26</v>
      </c>
      <c r="F968">
        <v>0</v>
      </c>
      <c r="G968">
        <v>450000</v>
      </c>
      <c r="H968" t="s">
        <v>3435</v>
      </c>
      <c r="I968">
        <v>0</v>
      </c>
      <c r="J968">
        <v>43476</v>
      </c>
    </row>
    <row r="969" spans="1:10" ht="12.75" hidden="1" customHeight="1">
      <c r="A969">
        <v>431050400</v>
      </c>
      <c r="B969" t="s">
        <v>3419</v>
      </c>
      <c r="C969">
        <v>744</v>
      </c>
      <c r="D969" t="s">
        <v>3420</v>
      </c>
      <c r="E969">
        <v>26</v>
      </c>
      <c r="F969">
        <v>0</v>
      </c>
      <c r="G969">
        <v>425000</v>
      </c>
      <c r="H969" t="s">
        <v>3434</v>
      </c>
      <c r="I969">
        <v>0</v>
      </c>
      <c r="J969">
        <v>43476</v>
      </c>
    </row>
    <row r="970" spans="1:10" ht="12.75" hidden="1" customHeight="1">
      <c r="A970">
        <v>431050400</v>
      </c>
      <c r="B970" t="s">
        <v>3419</v>
      </c>
      <c r="C970">
        <v>744</v>
      </c>
      <c r="D970" t="s">
        <v>3420</v>
      </c>
      <c r="E970">
        <v>26</v>
      </c>
      <c r="F970">
        <v>0</v>
      </c>
      <c r="G970">
        <v>60000</v>
      </c>
      <c r="H970" t="s">
        <v>3436</v>
      </c>
      <c r="I970">
        <v>0</v>
      </c>
      <c r="J970">
        <v>43482</v>
      </c>
    </row>
    <row r="971" spans="1:10" ht="12.75" hidden="1" customHeight="1">
      <c r="A971">
        <v>431050400</v>
      </c>
      <c r="B971" t="s">
        <v>3419</v>
      </c>
      <c r="C971">
        <v>744</v>
      </c>
      <c r="D971" t="s">
        <v>3420</v>
      </c>
      <c r="E971">
        <v>26</v>
      </c>
      <c r="F971">
        <v>0</v>
      </c>
      <c r="G971">
        <v>450000</v>
      </c>
      <c r="H971" t="s">
        <v>3437</v>
      </c>
      <c r="I971">
        <v>0</v>
      </c>
      <c r="J971">
        <v>43483</v>
      </c>
    </row>
    <row r="972" spans="1:10" ht="12.75" hidden="1" customHeight="1">
      <c r="A972">
        <v>431050400</v>
      </c>
      <c r="B972" t="s">
        <v>3419</v>
      </c>
      <c r="C972">
        <v>744</v>
      </c>
      <c r="D972" t="s">
        <v>3420</v>
      </c>
      <c r="E972">
        <v>26</v>
      </c>
      <c r="F972">
        <v>0</v>
      </c>
      <c r="G972">
        <v>50000</v>
      </c>
      <c r="H972" t="s">
        <v>3438</v>
      </c>
      <c r="I972">
        <v>0</v>
      </c>
      <c r="J972">
        <v>43484</v>
      </c>
    </row>
    <row r="973" spans="1:10" ht="12.75" hidden="1" customHeight="1">
      <c r="A973">
        <v>431050400</v>
      </c>
      <c r="B973" t="s">
        <v>3419</v>
      </c>
      <c r="C973">
        <v>744</v>
      </c>
      <c r="D973" t="s">
        <v>3420</v>
      </c>
      <c r="E973">
        <v>26</v>
      </c>
      <c r="F973">
        <v>0</v>
      </c>
      <c r="G973">
        <v>470000</v>
      </c>
      <c r="H973" t="s">
        <v>3439</v>
      </c>
      <c r="I973">
        <v>0</v>
      </c>
      <c r="J973">
        <v>43484</v>
      </c>
    </row>
    <row r="974" spans="1:10" ht="12.75" hidden="1" customHeight="1">
      <c r="A974">
        <v>431050400</v>
      </c>
      <c r="B974" t="s">
        <v>3419</v>
      </c>
      <c r="C974">
        <v>744</v>
      </c>
      <c r="D974" t="s">
        <v>3420</v>
      </c>
      <c r="E974">
        <v>26</v>
      </c>
      <c r="F974">
        <v>0</v>
      </c>
      <c r="G974">
        <v>405000</v>
      </c>
      <c r="H974" t="s">
        <v>3440</v>
      </c>
      <c r="I974">
        <v>0</v>
      </c>
      <c r="J974">
        <v>43490</v>
      </c>
    </row>
    <row r="975" spans="1:10" ht="12.75" hidden="1" customHeight="1">
      <c r="A975">
        <v>431050400</v>
      </c>
      <c r="B975" t="s">
        <v>3419</v>
      </c>
      <c r="C975">
        <v>744</v>
      </c>
      <c r="D975" t="s">
        <v>3420</v>
      </c>
      <c r="E975">
        <v>26</v>
      </c>
      <c r="F975">
        <v>0</v>
      </c>
      <c r="G975">
        <v>470000</v>
      </c>
      <c r="H975" t="s">
        <v>3434</v>
      </c>
      <c r="I975">
        <v>0</v>
      </c>
      <c r="J975">
        <v>43495</v>
      </c>
    </row>
    <row r="976" spans="1:10" ht="12.75" hidden="1" customHeight="1">
      <c r="A976">
        <v>431050400</v>
      </c>
      <c r="B976" t="s">
        <v>3419</v>
      </c>
      <c r="C976">
        <v>744</v>
      </c>
      <c r="D976" t="s">
        <v>3420</v>
      </c>
      <c r="E976">
        <v>26</v>
      </c>
      <c r="F976">
        <v>0</v>
      </c>
      <c r="G976">
        <v>45000</v>
      </c>
      <c r="H976" t="s">
        <v>3441</v>
      </c>
      <c r="I976">
        <v>0</v>
      </c>
      <c r="J976">
        <v>43495</v>
      </c>
    </row>
    <row r="977" spans="1:10" ht="12.75" hidden="1" customHeight="1">
      <c r="A977">
        <v>431050400</v>
      </c>
      <c r="B977" t="s">
        <v>3419</v>
      </c>
      <c r="C977">
        <v>744</v>
      </c>
      <c r="D977" t="s">
        <v>3420</v>
      </c>
      <c r="E977">
        <v>26</v>
      </c>
      <c r="F977">
        <v>0</v>
      </c>
      <c r="G977">
        <v>30000</v>
      </c>
      <c r="H977" t="s">
        <v>3442</v>
      </c>
      <c r="I977">
        <v>0</v>
      </c>
      <c r="J977">
        <v>43496</v>
      </c>
    </row>
    <row r="978" spans="1:10" ht="12.75" hidden="1" customHeight="1">
      <c r="A978">
        <v>431050400</v>
      </c>
      <c r="B978" t="s">
        <v>3419</v>
      </c>
      <c r="C978">
        <v>744</v>
      </c>
      <c r="D978" t="s">
        <v>3420</v>
      </c>
      <c r="E978">
        <v>26</v>
      </c>
      <c r="F978">
        <v>0</v>
      </c>
      <c r="G978">
        <v>470000</v>
      </c>
      <c r="H978" t="s">
        <v>3443</v>
      </c>
      <c r="I978">
        <v>0</v>
      </c>
      <c r="J978">
        <v>43497</v>
      </c>
    </row>
    <row r="979" spans="1:10" ht="12.75" hidden="1" customHeight="1">
      <c r="A979">
        <v>431050400</v>
      </c>
      <c r="B979" t="s">
        <v>3419</v>
      </c>
      <c r="C979">
        <v>744</v>
      </c>
      <c r="D979" t="s">
        <v>3420</v>
      </c>
      <c r="E979">
        <v>26</v>
      </c>
      <c r="F979">
        <v>0</v>
      </c>
      <c r="G979">
        <v>360000</v>
      </c>
      <c r="H979" t="s">
        <v>3444</v>
      </c>
      <c r="I979">
        <v>0</v>
      </c>
      <c r="J979">
        <v>43497</v>
      </c>
    </row>
    <row r="980" spans="1:10" ht="12.75" hidden="1" customHeight="1">
      <c r="A980">
        <v>431050400</v>
      </c>
      <c r="B980" t="s">
        <v>3419</v>
      </c>
      <c r="C980">
        <v>744</v>
      </c>
      <c r="D980" t="s">
        <v>3420</v>
      </c>
      <c r="E980">
        <v>26</v>
      </c>
      <c r="F980">
        <v>0</v>
      </c>
      <c r="G980">
        <v>50000</v>
      </c>
      <c r="H980" t="s">
        <v>3445</v>
      </c>
      <c r="I980">
        <v>0</v>
      </c>
      <c r="J980">
        <v>43498</v>
      </c>
    </row>
    <row r="981" spans="1:10" ht="12.75" hidden="1" customHeight="1">
      <c r="A981">
        <v>431050400</v>
      </c>
      <c r="B981" t="s">
        <v>3419</v>
      </c>
      <c r="C981">
        <v>744</v>
      </c>
      <c r="D981" t="s">
        <v>3420</v>
      </c>
      <c r="E981">
        <v>26</v>
      </c>
      <c r="F981">
        <v>0</v>
      </c>
      <c r="G981">
        <v>460000</v>
      </c>
      <c r="H981" t="s">
        <v>3444</v>
      </c>
      <c r="I981">
        <v>0</v>
      </c>
      <c r="J981">
        <v>43504</v>
      </c>
    </row>
    <row r="982" spans="1:10" ht="12.75" hidden="1" customHeight="1">
      <c r="A982">
        <v>431050400</v>
      </c>
      <c r="B982" t="s">
        <v>3419</v>
      </c>
      <c r="C982">
        <v>744</v>
      </c>
      <c r="D982" t="s">
        <v>3420</v>
      </c>
      <c r="E982">
        <v>26</v>
      </c>
      <c r="F982">
        <v>0</v>
      </c>
      <c r="G982">
        <v>470000</v>
      </c>
      <c r="H982" t="s">
        <v>3443</v>
      </c>
      <c r="I982">
        <v>0</v>
      </c>
      <c r="J982">
        <v>43505</v>
      </c>
    </row>
    <row r="983" spans="1:10" ht="12.75" hidden="1" customHeight="1">
      <c r="A983">
        <v>431050400</v>
      </c>
      <c r="B983" t="s">
        <v>3419</v>
      </c>
      <c r="C983">
        <v>744</v>
      </c>
      <c r="D983" t="s">
        <v>3420</v>
      </c>
      <c r="E983">
        <v>26</v>
      </c>
      <c r="F983">
        <v>0</v>
      </c>
      <c r="G983">
        <v>270000</v>
      </c>
      <c r="H983" t="s">
        <v>3446</v>
      </c>
      <c r="I983">
        <v>0</v>
      </c>
      <c r="J983">
        <v>43505</v>
      </c>
    </row>
    <row r="984" spans="1:10" ht="12.75" hidden="1" customHeight="1">
      <c r="A984">
        <v>431050400</v>
      </c>
      <c r="B984" t="s">
        <v>3419</v>
      </c>
      <c r="C984">
        <v>744</v>
      </c>
      <c r="D984" t="s">
        <v>3420</v>
      </c>
      <c r="E984">
        <v>26</v>
      </c>
      <c r="F984">
        <v>0</v>
      </c>
      <c r="G984">
        <v>50000</v>
      </c>
      <c r="H984" t="s">
        <v>3447</v>
      </c>
      <c r="I984">
        <v>0</v>
      </c>
      <c r="J984">
        <v>43512</v>
      </c>
    </row>
    <row r="985" spans="1:10" ht="12.75" hidden="1" customHeight="1">
      <c r="A985">
        <v>431050400</v>
      </c>
      <c r="B985" t="s">
        <v>3419</v>
      </c>
      <c r="C985">
        <v>744</v>
      </c>
      <c r="D985" t="s">
        <v>3420</v>
      </c>
      <c r="E985">
        <v>26</v>
      </c>
      <c r="F985">
        <v>0</v>
      </c>
      <c r="G985">
        <v>467500</v>
      </c>
      <c r="H985" t="s">
        <v>3443</v>
      </c>
      <c r="I985">
        <v>0</v>
      </c>
      <c r="J985">
        <v>43512</v>
      </c>
    </row>
    <row r="986" spans="1:10" ht="12.75" hidden="1" customHeight="1">
      <c r="A986">
        <v>431050400</v>
      </c>
      <c r="B986" t="s">
        <v>3419</v>
      </c>
      <c r="C986">
        <v>744</v>
      </c>
      <c r="D986" t="s">
        <v>3420</v>
      </c>
      <c r="E986">
        <v>26</v>
      </c>
      <c r="F986">
        <v>0</v>
      </c>
      <c r="G986">
        <v>370000</v>
      </c>
      <c r="H986" t="s">
        <v>3447</v>
      </c>
      <c r="I986">
        <v>0</v>
      </c>
      <c r="J986">
        <v>43512</v>
      </c>
    </row>
    <row r="987" spans="1:10" ht="12.75" hidden="1" customHeight="1">
      <c r="A987">
        <v>431050400</v>
      </c>
      <c r="B987" t="s">
        <v>3419</v>
      </c>
      <c r="C987">
        <v>744</v>
      </c>
      <c r="D987" t="s">
        <v>3420</v>
      </c>
      <c r="E987">
        <v>26</v>
      </c>
      <c r="F987">
        <v>0</v>
      </c>
      <c r="G987">
        <v>470000</v>
      </c>
      <c r="H987" t="s">
        <v>3443</v>
      </c>
      <c r="I987">
        <v>0</v>
      </c>
      <c r="J987">
        <v>43521</v>
      </c>
    </row>
    <row r="988" spans="1:10" ht="12.75" hidden="1" customHeight="1">
      <c r="A988">
        <v>431050400</v>
      </c>
      <c r="B988" t="s">
        <v>3419</v>
      </c>
      <c r="C988">
        <v>744</v>
      </c>
      <c r="D988" t="s">
        <v>3420</v>
      </c>
      <c r="E988">
        <v>26</v>
      </c>
      <c r="F988">
        <v>0</v>
      </c>
      <c r="G988">
        <v>50000</v>
      </c>
      <c r="H988" t="s">
        <v>3448</v>
      </c>
      <c r="I988">
        <v>0</v>
      </c>
      <c r="J988">
        <v>43521</v>
      </c>
    </row>
    <row r="989" spans="1:10" ht="12.75" hidden="1" customHeight="1">
      <c r="A989">
        <v>431050400</v>
      </c>
      <c r="B989" t="s">
        <v>3419</v>
      </c>
      <c r="C989">
        <v>744</v>
      </c>
      <c r="D989" t="s">
        <v>3420</v>
      </c>
      <c r="E989">
        <v>26</v>
      </c>
      <c r="F989">
        <v>0</v>
      </c>
      <c r="G989">
        <v>427500</v>
      </c>
      <c r="H989" t="s">
        <v>3447</v>
      </c>
      <c r="I989">
        <v>0</v>
      </c>
      <c r="J989">
        <v>43521</v>
      </c>
    </row>
    <row r="990" spans="1:10" ht="12.75" hidden="1" customHeight="1">
      <c r="A990">
        <v>431050400</v>
      </c>
      <c r="B990" t="s">
        <v>3419</v>
      </c>
      <c r="C990">
        <v>744</v>
      </c>
      <c r="D990" t="s">
        <v>3420</v>
      </c>
      <c r="E990">
        <v>26</v>
      </c>
      <c r="F990">
        <v>0</v>
      </c>
      <c r="G990">
        <v>380000</v>
      </c>
      <c r="H990" t="s">
        <v>3449</v>
      </c>
      <c r="I990">
        <v>0</v>
      </c>
      <c r="J990">
        <v>43525</v>
      </c>
    </row>
    <row r="991" spans="1:10" ht="12.75" hidden="1" customHeight="1">
      <c r="A991">
        <v>431050400</v>
      </c>
      <c r="B991" t="s">
        <v>3419</v>
      </c>
      <c r="C991">
        <v>744</v>
      </c>
      <c r="D991" t="s">
        <v>3420</v>
      </c>
      <c r="E991">
        <v>26</v>
      </c>
      <c r="F991">
        <v>0</v>
      </c>
      <c r="G991">
        <v>384750</v>
      </c>
      <c r="H991" t="s">
        <v>3450</v>
      </c>
      <c r="I991">
        <v>0</v>
      </c>
      <c r="J991">
        <v>43525</v>
      </c>
    </row>
    <row r="992" spans="1:10" ht="12.75" hidden="1" customHeight="1">
      <c r="A992">
        <v>431050400</v>
      </c>
      <c r="B992" t="s">
        <v>3419</v>
      </c>
      <c r="C992">
        <v>744</v>
      </c>
      <c r="D992" t="s">
        <v>3420</v>
      </c>
      <c r="E992">
        <v>26</v>
      </c>
      <c r="F992">
        <v>0</v>
      </c>
      <c r="G992">
        <v>256500</v>
      </c>
      <c r="H992" t="s">
        <v>3451</v>
      </c>
      <c r="I992">
        <v>0</v>
      </c>
      <c r="J992">
        <v>43532</v>
      </c>
    </row>
    <row r="993" spans="1:10" ht="12.75" hidden="1" customHeight="1">
      <c r="A993">
        <v>431050400</v>
      </c>
      <c r="B993" t="s">
        <v>3419</v>
      </c>
      <c r="C993">
        <v>744</v>
      </c>
      <c r="D993" t="s">
        <v>3420</v>
      </c>
      <c r="E993">
        <v>26</v>
      </c>
      <c r="F993">
        <v>0</v>
      </c>
      <c r="G993">
        <v>300000</v>
      </c>
      <c r="H993" t="s">
        <v>3452</v>
      </c>
      <c r="I993">
        <v>0</v>
      </c>
      <c r="J993">
        <v>43539</v>
      </c>
    </row>
    <row r="994" spans="1:10" ht="12.75" hidden="1" customHeight="1">
      <c r="A994">
        <v>431050400</v>
      </c>
      <c r="B994" t="s">
        <v>3419</v>
      </c>
      <c r="C994">
        <v>744</v>
      </c>
      <c r="D994" t="s">
        <v>3420</v>
      </c>
      <c r="E994">
        <v>26</v>
      </c>
      <c r="F994">
        <v>0</v>
      </c>
      <c r="G994">
        <v>342000</v>
      </c>
      <c r="H994" t="s">
        <v>3453</v>
      </c>
      <c r="I994">
        <v>0</v>
      </c>
      <c r="J994">
        <v>43539</v>
      </c>
    </row>
    <row r="995" spans="1:10" ht="12.75" hidden="1" customHeight="1">
      <c r="A995">
        <v>431050400</v>
      </c>
      <c r="B995" t="s">
        <v>3419</v>
      </c>
      <c r="C995">
        <v>744</v>
      </c>
      <c r="D995" t="s">
        <v>3420</v>
      </c>
      <c r="E995">
        <v>26</v>
      </c>
      <c r="F995">
        <v>0</v>
      </c>
      <c r="G995">
        <v>380000</v>
      </c>
      <c r="H995" t="s">
        <v>3454</v>
      </c>
      <c r="I995">
        <v>0</v>
      </c>
      <c r="J995">
        <v>43546</v>
      </c>
    </row>
    <row r="996" spans="1:10" ht="12.75" hidden="1" customHeight="1">
      <c r="A996">
        <v>431050400</v>
      </c>
      <c r="B996" t="s">
        <v>3419</v>
      </c>
      <c r="C996">
        <v>744</v>
      </c>
      <c r="D996" t="s">
        <v>3420</v>
      </c>
      <c r="E996">
        <v>26</v>
      </c>
      <c r="F996">
        <v>64517</v>
      </c>
      <c r="G996">
        <v>30000</v>
      </c>
      <c r="H996" t="s">
        <v>2636</v>
      </c>
      <c r="I996">
        <v>0</v>
      </c>
      <c r="J996">
        <v>43549</v>
      </c>
    </row>
    <row r="997" spans="1:10" ht="12.75" hidden="1" customHeight="1">
      <c r="A997">
        <v>431050400</v>
      </c>
      <c r="B997" t="s">
        <v>3419</v>
      </c>
      <c r="C997">
        <v>744</v>
      </c>
      <c r="D997" t="s">
        <v>3420</v>
      </c>
      <c r="E997">
        <v>26</v>
      </c>
      <c r="F997">
        <v>64544</v>
      </c>
      <c r="G997">
        <v>30000</v>
      </c>
      <c r="H997" t="s">
        <v>2636</v>
      </c>
      <c r="I997">
        <v>0</v>
      </c>
      <c r="J997">
        <v>43549</v>
      </c>
    </row>
    <row r="998" spans="1:10" ht="12.75" hidden="1" customHeight="1">
      <c r="A998">
        <v>431050400</v>
      </c>
      <c r="B998" t="s">
        <v>3419</v>
      </c>
      <c r="C998">
        <v>744</v>
      </c>
      <c r="D998" t="s">
        <v>3420</v>
      </c>
      <c r="E998">
        <v>26</v>
      </c>
      <c r="F998">
        <v>64545</v>
      </c>
      <c r="G998">
        <v>30000</v>
      </c>
      <c r="H998" t="s">
        <v>2636</v>
      </c>
      <c r="I998">
        <v>0</v>
      </c>
      <c r="J998">
        <v>43549</v>
      </c>
    </row>
    <row r="999" spans="1:10" ht="12.75" hidden="1" customHeight="1">
      <c r="A999">
        <v>431050400</v>
      </c>
      <c r="B999" t="s">
        <v>3419</v>
      </c>
      <c r="C999">
        <v>744</v>
      </c>
      <c r="D999" t="s">
        <v>3420</v>
      </c>
      <c r="E999">
        <v>26</v>
      </c>
      <c r="F999">
        <v>0</v>
      </c>
      <c r="G999">
        <v>600000</v>
      </c>
      <c r="H999" t="s">
        <v>3455</v>
      </c>
      <c r="I999">
        <v>0</v>
      </c>
      <c r="J999">
        <v>43553</v>
      </c>
    </row>
    <row r="1000" spans="1:10" ht="12.75" hidden="1" customHeight="1">
      <c r="A1000">
        <v>431050400</v>
      </c>
      <c r="B1000" t="s">
        <v>3419</v>
      </c>
      <c r="C1000">
        <v>744</v>
      </c>
      <c r="D1000" t="s">
        <v>3420</v>
      </c>
      <c r="E1000">
        <v>26</v>
      </c>
      <c r="F1000">
        <v>0</v>
      </c>
      <c r="G1000">
        <v>50000</v>
      </c>
      <c r="H1000" t="s">
        <v>3451</v>
      </c>
      <c r="I1000">
        <v>0</v>
      </c>
      <c r="J1000">
        <v>43554</v>
      </c>
    </row>
    <row r="1001" spans="1:10" ht="12.75" hidden="1" customHeight="1">
      <c r="A1001">
        <v>431050400</v>
      </c>
      <c r="B1001" t="s">
        <v>3419</v>
      </c>
      <c r="C1001">
        <v>744</v>
      </c>
      <c r="D1001" t="s">
        <v>3420</v>
      </c>
      <c r="E1001">
        <v>26</v>
      </c>
      <c r="F1001">
        <v>0</v>
      </c>
      <c r="G1001">
        <v>446500</v>
      </c>
      <c r="H1001" t="s">
        <v>3456</v>
      </c>
      <c r="I1001">
        <v>0</v>
      </c>
      <c r="J1001">
        <v>43560</v>
      </c>
    </row>
    <row r="1002" spans="1:10" ht="12.75" hidden="1" customHeight="1">
      <c r="A1002">
        <v>431050400</v>
      </c>
      <c r="B1002" t="s">
        <v>3419</v>
      </c>
      <c r="C1002">
        <v>744</v>
      </c>
      <c r="D1002" t="s">
        <v>3420</v>
      </c>
      <c r="E1002">
        <v>26</v>
      </c>
      <c r="F1002">
        <v>0</v>
      </c>
      <c r="G1002">
        <v>793000</v>
      </c>
      <c r="H1002" t="s">
        <v>3452</v>
      </c>
      <c r="I1002">
        <v>0</v>
      </c>
      <c r="J1002">
        <v>43561</v>
      </c>
    </row>
    <row r="1003" spans="1:10" ht="12.75" hidden="1" customHeight="1">
      <c r="A1003">
        <v>431050400</v>
      </c>
      <c r="B1003" t="s">
        <v>3419</v>
      </c>
      <c r="C1003">
        <v>744</v>
      </c>
      <c r="D1003" t="s">
        <v>3420</v>
      </c>
      <c r="E1003">
        <v>26</v>
      </c>
      <c r="F1003">
        <v>0</v>
      </c>
      <c r="G1003">
        <v>50000</v>
      </c>
      <c r="H1003" t="s">
        <v>3457</v>
      </c>
      <c r="I1003">
        <v>0</v>
      </c>
      <c r="J1003">
        <v>43561</v>
      </c>
    </row>
    <row r="1004" spans="1:10" ht="12.75" hidden="1" customHeight="1">
      <c r="A1004">
        <v>431050400</v>
      </c>
      <c r="B1004" t="s">
        <v>3419</v>
      </c>
      <c r="C1004">
        <v>744</v>
      </c>
      <c r="D1004" t="s">
        <v>3420</v>
      </c>
      <c r="E1004">
        <v>26</v>
      </c>
      <c r="F1004">
        <v>0</v>
      </c>
      <c r="G1004">
        <v>6500000</v>
      </c>
      <c r="H1004" t="s">
        <v>3458</v>
      </c>
      <c r="I1004">
        <v>0</v>
      </c>
      <c r="J1004">
        <v>43566</v>
      </c>
    </row>
    <row r="1005" spans="1:10" ht="12.75" hidden="1" customHeight="1">
      <c r="A1005">
        <v>431050400</v>
      </c>
      <c r="B1005" t="s">
        <v>3419</v>
      </c>
      <c r="C1005">
        <v>744</v>
      </c>
      <c r="D1005" t="s">
        <v>3420</v>
      </c>
      <c r="E1005">
        <v>26</v>
      </c>
      <c r="F1005">
        <v>0</v>
      </c>
      <c r="G1005">
        <v>299250</v>
      </c>
      <c r="H1005" t="s">
        <v>3453</v>
      </c>
      <c r="I1005">
        <v>0</v>
      </c>
      <c r="J1005">
        <v>43567</v>
      </c>
    </row>
    <row r="1006" spans="1:10" ht="12.75" hidden="1" customHeight="1">
      <c r="A1006">
        <v>431050400</v>
      </c>
      <c r="B1006" t="s">
        <v>3419</v>
      </c>
      <c r="C1006">
        <v>744</v>
      </c>
      <c r="D1006" t="s">
        <v>3420</v>
      </c>
      <c r="E1006">
        <v>26</v>
      </c>
      <c r="F1006">
        <v>0</v>
      </c>
      <c r="G1006">
        <v>470000</v>
      </c>
      <c r="H1006" t="s">
        <v>3459</v>
      </c>
      <c r="I1006">
        <v>0</v>
      </c>
      <c r="J1006">
        <v>43568</v>
      </c>
    </row>
    <row r="1007" spans="1:10" ht="12.75" hidden="1" customHeight="1">
      <c r="A1007">
        <v>431050400</v>
      </c>
      <c r="B1007" t="s">
        <v>3419</v>
      </c>
      <c r="C1007">
        <v>744</v>
      </c>
      <c r="D1007" t="s">
        <v>3420</v>
      </c>
      <c r="E1007">
        <v>26</v>
      </c>
      <c r="F1007">
        <v>0</v>
      </c>
      <c r="G1007">
        <v>50000</v>
      </c>
      <c r="H1007" t="s">
        <v>3460</v>
      </c>
      <c r="I1007">
        <v>0</v>
      </c>
      <c r="J1007">
        <v>43568</v>
      </c>
    </row>
    <row r="1008" spans="1:10" ht="12.75" hidden="1" customHeight="1">
      <c r="A1008">
        <v>431050400</v>
      </c>
      <c r="B1008" t="s">
        <v>3419</v>
      </c>
      <c r="C1008">
        <v>744</v>
      </c>
      <c r="D1008" t="s">
        <v>3420</v>
      </c>
      <c r="E1008">
        <v>26</v>
      </c>
      <c r="F1008">
        <v>0</v>
      </c>
      <c r="G1008">
        <v>256500</v>
      </c>
      <c r="H1008" t="s">
        <v>3461</v>
      </c>
      <c r="I1008">
        <v>0</v>
      </c>
      <c r="J1008">
        <v>43572</v>
      </c>
    </row>
    <row r="1009" spans="1:10" ht="12.75" hidden="1" customHeight="1">
      <c r="A1009">
        <v>431050400</v>
      </c>
      <c r="B1009" t="s">
        <v>3419</v>
      </c>
      <c r="C1009">
        <v>744</v>
      </c>
      <c r="D1009" t="s">
        <v>3420</v>
      </c>
      <c r="E1009">
        <v>26</v>
      </c>
      <c r="F1009">
        <v>0</v>
      </c>
      <c r="G1009">
        <v>255000</v>
      </c>
      <c r="H1009" t="s">
        <v>3452</v>
      </c>
      <c r="I1009">
        <v>0</v>
      </c>
      <c r="J1009">
        <v>43572</v>
      </c>
    </row>
    <row r="1010" spans="1:10" ht="12.75" hidden="1" customHeight="1">
      <c r="A1010">
        <v>431050400</v>
      </c>
      <c r="B1010" t="s">
        <v>3419</v>
      </c>
      <c r="C1010">
        <v>744</v>
      </c>
      <c r="D1010" t="s">
        <v>3420</v>
      </c>
      <c r="E1010">
        <v>26</v>
      </c>
      <c r="F1010">
        <v>0</v>
      </c>
      <c r="G1010">
        <v>380000</v>
      </c>
      <c r="H1010" t="s">
        <v>3462</v>
      </c>
      <c r="I1010">
        <v>0</v>
      </c>
      <c r="J1010">
        <v>43581</v>
      </c>
    </row>
    <row r="1011" spans="1:10" ht="12.75" hidden="1" customHeight="1">
      <c r="A1011">
        <v>431050400</v>
      </c>
      <c r="B1011" t="s">
        <v>3419</v>
      </c>
      <c r="C1011">
        <v>744</v>
      </c>
      <c r="D1011" t="s">
        <v>3420</v>
      </c>
      <c r="E1011">
        <v>26</v>
      </c>
      <c r="F1011">
        <v>0</v>
      </c>
      <c r="G1011">
        <v>50000</v>
      </c>
      <c r="H1011" t="s">
        <v>3463</v>
      </c>
      <c r="I1011">
        <v>0</v>
      </c>
      <c r="J1011">
        <v>43581</v>
      </c>
    </row>
    <row r="1012" spans="1:10" ht="12.75" hidden="1" customHeight="1">
      <c r="A1012">
        <v>431050400</v>
      </c>
      <c r="B1012" t="s">
        <v>3419</v>
      </c>
      <c r="C1012">
        <v>744</v>
      </c>
      <c r="D1012" t="s">
        <v>3420</v>
      </c>
      <c r="E1012">
        <v>26</v>
      </c>
      <c r="F1012">
        <v>0</v>
      </c>
      <c r="G1012">
        <v>50000</v>
      </c>
      <c r="H1012" t="s">
        <v>3461</v>
      </c>
      <c r="I1012">
        <v>0</v>
      </c>
      <c r="J1012">
        <v>43582</v>
      </c>
    </row>
    <row r="1013" spans="1:10" ht="12.75" hidden="1" customHeight="1">
      <c r="A1013">
        <v>431050400</v>
      </c>
      <c r="B1013" t="s">
        <v>3419</v>
      </c>
      <c r="C1013">
        <v>744</v>
      </c>
      <c r="D1013" t="s">
        <v>3420</v>
      </c>
      <c r="E1013">
        <v>26</v>
      </c>
      <c r="F1013">
        <v>0</v>
      </c>
      <c r="G1013">
        <v>350000</v>
      </c>
      <c r="H1013" t="s">
        <v>3463</v>
      </c>
      <c r="I1013">
        <v>0</v>
      </c>
      <c r="J1013">
        <v>43582</v>
      </c>
    </row>
    <row r="1014" spans="1:10" ht="12.75" hidden="1" customHeight="1">
      <c r="A1014">
        <v>431050400</v>
      </c>
      <c r="B1014" t="s">
        <v>3419</v>
      </c>
      <c r="C1014">
        <v>744</v>
      </c>
      <c r="D1014" t="s">
        <v>3420</v>
      </c>
      <c r="E1014">
        <v>26</v>
      </c>
      <c r="F1014">
        <v>0</v>
      </c>
      <c r="G1014">
        <v>446500</v>
      </c>
      <c r="H1014" t="s">
        <v>2534</v>
      </c>
      <c r="I1014">
        <v>0</v>
      </c>
      <c r="J1014">
        <v>43588</v>
      </c>
    </row>
    <row r="1015" spans="1:10" ht="12.75" hidden="1" customHeight="1">
      <c r="A1015">
        <v>431050400</v>
      </c>
      <c r="B1015" t="s">
        <v>3419</v>
      </c>
      <c r="C1015">
        <v>744</v>
      </c>
      <c r="D1015" t="s">
        <v>3420</v>
      </c>
      <c r="E1015">
        <v>26</v>
      </c>
      <c r="F1015">
        <v>0</v>
      </c>
      <c r="G1015">
        <v>300000</v>
      </c>
      <c r="H1015" t="s">
        <v>3464</v>
      </c>
      <c r="I1015">
        <v>0</v>
      </c>
      <c r="J1015">
        <v>43592</v>
      </c>
    </row>
    <row r="1016" spans="1:10" ht="12.75" hidden="1" customHeight="1">
      <c r="A1016">
        <v>431050400</v>
      </c>
      <c r="B1016" t="s">
        <v>3419</v>
      </c>
      <c r="C1016">
        <v>744</v>
      </c>
      <c r="D1016" t="s">
        <v>3420</v>
      </c>
      <c r="E1016">
        <v>26</v>
      </c>
      <c r="F1016">
        <v>0</v>
      </c>
      <c r="G1016">
        <v>133000</v>
      </c>
      <c r="H1016" t="s">
        <v>3465</v>
      </c>
      <c r="I1016">
        <v>0</v>
      </c>
      <c r="J1016">
        <v>43598</v>
      </c>
    </row>
    <row r="1017" spans="1:10" ht="12.75" hidden="1" customHeight="1">
      <c r="A1017">
        <v>431050400</v>
      </c>
      <c r="B1017" t="s">
        <v>3419</v>
      </c>
      <c r="C1017">
        <v>744</v>
      </c>
      <c r="D1017" t="s">
        <v>3420</v>
      </c>
      <c r="E1017">
        <v>26</v>
      </c>
      <c r="F1017">
        <v>0</v>
      </c>
      <c r="G1017">
        <v>4000000</v>
      </c>
      <c r="H1017" t="s">
        <v>3466</v>
      </c>
      <c r="I1017">
        <v>0</v>
      </c>
      <c r="J1017">
        <v>43608</v>
      </c>
    </row>
    <row r="1018" spans="1:10" ht="12.75" hidden="1" customHeight="1">
      <c r="A1018">
        <v>431050400</v>
      </c>
      <c r="B1018" t="s">
        <v>3419</v>
      </c>
      <c r="C1018">
        <v>744</v>
      </c>
      <c r="D1018" t="s">
        <v>3420</v>
      </c>
      <c r="E1018">
        <v>26</v>
      </c>
      <c r="F1018">
        <v>0</v>
      </c>
      <c r="G1018">
        <v>422750</v>
      </c>
      <c r="H1018" t="s">
        <v>3429</v>
      </c>
      <c r="I1018">
        <v>0</v>
      </c>
      <c r="J1018">
        <v>43617</v>
      </c>
    </row>
    <row r="1019" spans="1:10" ht="12.75" hidden="1" customHeight="1">
      <c r="A1019">
        <v>431050400</v>
      </c>
      <c r="B1019" t="s">
        <v>3419</v>
      </c>
      <c r="C1019">
        <v>744</v>
      </c>
      <c r="D1019" t="s">
        <v>3420</v>
      </c>
      <c r="E1019">
        <v>26</v>
      </c>
      <c r="F1019">
        <v>0</v>
      </c>
      <c r="G1019">
        <v>160000</v>
      </c>
      <c r="H1019" t="s">
        <v>3467</v>
      </c>
      <c r="I1019">
        <v>0</v>
      </c>
      <c r="J1019">
        <v>43623</v>
      </c>
    </row>
    <row r="1020" spans="1:10" ht="12.75" hidden="1" customHeight="1">
      <c r="A1020">
        <v>431050400</v>
      </c>
      <c r="B1020" t="s">
        <v>3419</v>
      </c>
      <c r="C1020">
        <v>744</v>
      </c>
      <c r="D1020" t="s">
        <v>3420</v>
      </c>
      <c r="E1020">
        <v>26</v>
      </c>
      <c r="F1020">
        <v>0</v>
      </c>
      <c r="G1020">
        <v>482125</v>
      </c>
      <c r="H1020" t="s">
        <v>3468</v>
      </c>
      <c r="I1020">
        <v>0</v>
      </c>
      <c r="J1020">
        <v>43624</v>
      </c>
    </row>
    <row r="1021" spans="1:10" ht="12.75" hidden="1" customHeight="1">
      <c r="A1021">
        <v>431050400</v>
      </c>
      <c r="B1021" t="s">
        <v>3419</v>
      </c>
      <c r="C1021">
        <v>744</v>
      </c>
      <c r="D1021" t="s">
        <v>3420</v>
      </c>
      <c r="E1021">
        <v>26</v>
      </c>
      <c r="F1021">
        <v>0</v>
      </c>
      <c r="G1021">
        <v>482125</v>
      </c>
      <c r="H1021" t="s">
        <v>3469</v>
      </c>
      <c r="I1021">
        <v>0</v>
      </c>
      <c r="J1021">
        <v>43624</v>
      </c>
    </row>
    <row r="1022" spans="1:10" ht="12.75" hidden="1" customHeight="1">
      <c r="A1022">
        <v>431050400</v>
      </c>
      <c r="B1022" t="s">
        <v>3419</v>
      </c>
      <c r="C1022">
        <v>744</v>
      </c>
      <c r="D1022" t="s">
        <v>3420</v>
      </c>
      <c r="E1022">
        <v>26</v>
      </c>
      <c r="F1022">
        <v>0</v>
      </c>
      <c r="G1022">
        <v>4816667</v>
      </c>
      <c r="H1022" t="s">
        <v>3470</v>
      </c>
      <c r="I1022">
        <v>0</v>
      </c>
      <c r="J1022">
        <v>43644</v>
      </c>
    </row>
    <row r="1023" spans="1:10" ht="12.75" hidden="1" customHeight="1">
      <c r="A1023">
        <v>431050400</v>
      </c>
      <c r="B1023" t="s">
        <v>3419</v>
      </c>
      <c r="C1023">
        <v>744</v>
      </c>
      <c r="D1023" t="s">
        <v>3420</v>
      </c>
      <c r="E1023">
        <v>26</v>
      </c>
      <c r="F1023">
        <v>0</v>
      </c>
      <c r="G1023">
        <v>160000</v>
      </c>
      <c r="H1023" t="s">
        <v>3471</v>
      </c>
      <c r="I1023">
        <v>0</v>
      </c>
      <c r="J1023">
        <v>43652</v>
      </c>
    </row>
    <row r="1024" spans="1:10" ht="12.75" hidden="1" customHeight="1">
      <c r="A1024">
        <v>431050400</v>
      </c>
      <c r="B1024" t="s">
        <v>3419</v>
      </c>
      <c r="C1024">
        <v>744</v>
      </c>
      <c r="D1024" t="s">
        <v>3420</v>
      </c>
      <c r="E1024">
        <v>26</v>
      </c>
      <c r="F1024">
        <v>0</v>
      </c>
      <c r="G1024">
        <v>966625</v>
      </c>
      <c r="H1024" t="s">
        <v>3472</v>
      </c>
      <c r="I1024">
        <v>0</v>
      </c>
      <c r="J1024">
        <v>43652</v>
      </c>
    </row>
    <row r="1025" spans="1:10" ht="12.75" hidden="1" customHeight="1">
      <c r="A1025">
        <v>431050400</v>
      </c>
      <c r="B1025" t="s">
        <v>3419</v>
      </c>
      <c r="C1025">
        <v>744</v>
      </c>
      <c r="D1025" t="s">
        <v>3420</v>
      </c>
      <c r="E1025">
        <v>26</v>
      </c>
      <c r="F1025">
        <v>0</v>
      </c>
      <c r="G1025">
        <v>403750</v>
      </c>
      <c r="H1025" t="s">
        <v>3473</v>
      </c>
      <c r="I1025">
        <v>0</v>
      </c>
      <c r="J1025">
        <v>43652</v>
      </c>
    </row>
    <row r="1026" spans="1:10" ht="12.75" hidden="1" customHeight="1">
      <c r="A1026">
        <v>431050400</v>
      </c>
      <c r="B1026" t="s">
        <v>3419</v>
      </c>
      <c r="C1026">
        <v>744</v>
      </c>
      <c r="D1026" t="s">
        <v>3420</v>
      </c>
      <c r="E1026">
        <v>26</v>
      </c>
      <c r="F1026">
        <v>0</v>
      </c>
      <c r="G1026">
        <v>300000</v>
      </c>
      <c r="H1026" t="s">
        <v>3429</v>
      </c>
      <c r="I1026">
        <v>0</v>
      </c>
      <c r="J1026">
        <v>43652</v>
      </c>
    </row>
    <row r="1027" spans="1:10" ht="12.75" hidden="1" customHeight="1">
      <c r="A1027">
        <v>431050400</v>
      </c>
      <c r="B1027" t="s">
        <v>3419</v>
      </c>
      <c r="C1027">
        <v>744</v>
      </c>
      <c r="D1027" t="s">
        <v>3420</v>
      </c>
      <c r="E1027">
        <v>26</v>
      </c>
      <c r="F1027">
        <v>0</v>
      </c>
      <c r="G1027">
        <v>453000</v>
      </c>
      <c r="H1027" t="s">
        <v>3474</v>
      </c>
      <c r="I1027">
        <v>0</v>
      </c>
      <c r="J1027">
        <v>43666</v>
      </c>
    </row>
    <row r="1028" spans="1:10" ht="12.75" hidden="1" customHeight="1">
      <c r="A1028">
        <v>431050400</v>
      </c>
      <c r="B1028" t="s">
        <v>3419</v>
      </c>
      <c r="C1028">
        <v>744</v>
      </c>
      <c r="D1028" t="s">
        <v>3420</v>
      </c>
      <c r="E1028">
        <v>26</v>
      </c>
      <c r="F1028">
        <v>0</v>
      </c>
      <c r="G1028">
        <v>519000</v>
      </c>
      <c r="H1028" t="s">
        <v>3475</v>
      </c>
      <c r="I1028">
        <v>0</v>
      </c>
      <c r="J1028">
        <v>43666</v>
      </c>
    </row>
    <row r="1029" spans="1:10" ht="12.75" hidden="1" customHeight="1">
      <c r="A1029">
        <v>431050400</v>
      </c>
      <c r="B1029" t="s">
        <v>3419</v>
      </c>
      <c r="C1029">
        <v>744</v>
      </c>
      <c r="D1029" t="s">
        <v>3420</v>
      </c>
      <c r="E1029">
        <v>26</v>
      </c>
      <c r="F1029">
        <v>0</v>
      </c>
      <c r="G1029">
        <v>500650</v>
      </c>
      <c r="H1029" t="s">
        <v>3475</v>
      </c>
      <c r="I1029">
        <v>0</v>
      </c>
      <c r="J1029">
        <v>43673</v>
      </c>
    </row>
    <row r="1030" spans="1:10" ht="12.75" hidden="1" customHeight="1">
      <c r="A1030">
        <v>431050400</v>
      </c>
      <c r="B1030" t="s">
        <v>3419</v>
      </c>
      <c r="C1030">
        <v>744</v>
      </c>
      <c r="D1030" t="s">
        <v>3420</v>
      </c>
      <c r="E1030">
        <v>26</v>
      </c>
      <c r="F1030">
        <v>0</v>
      </c>
      <c r="G1030">
        <v>472000</v>
      </c>
      <c r="H1030" t="s">
        <v>3474</v>
      </c>
      <c r="I1030">
        <v>0</v>
      </c>
      <c r="J1030">
        <v>43673</v>
      </c>
    </row>
    <row r="1031" spans="1:10" ht="12.75" hidden="1" customHeight="1">
      <c r="A1031">
        <v>431050400</v>
      </c>
      <c r="B1031" t="s">
        <v>3419</v>
      </c>
      <c r="C1031">
        <v>744</v>
      </c>
      <c r="D1031" t="s">
        <v>3420</v>
      </c>
      <c r="E1031">
        <v>26</v>
      </c>
      <c r="F1031">
        <v>0</v>
      </c>
      <c r="G1031">
        <v>242250</v>
      </c>
      <c r="H1031" t="s">
        <v>3476</v>
      </c>
      <c r="I1031">
        <v>0</v>
      </c>
      <c r="J1031">
        <v>43677</v>
      </c>
    </row>
    <row r="1032" spans="1:10" ht="12.75" hidden="1" customHeight="1">
      <c r="A1032">
        <v>431050400</v>
      </c>
      <c r="B1032" t="s">
        <v>3419</v>
      </c>
      <c r="C1032">
        <v>744</v>
      </c>
      <c r="D1032" t="s">
        <v>3420</v>
      </c>
      <c r="E1032">
        <v>26</v>
      </c>
      <c r="F1032">
        <v>0</v>
      </c>
      <c r="G1032">
        <v>453000</v>
      </c>
      <c r="H1032" t="s">
        <v>3474</v>
      </c>
      <c r="I1032">
        <v>0</v>
      </c>
      <c r="J1032">
        <v>43680</v>
      </c>
    </row>
    <row r="1033" spans="1:10" ht="12.75" hidden="1" customHeight="1">
      <c r="A1033">
        <v>431050400</v>
      </c>
      <c r="B1033" t="s">
        <v>3419</v>
      </c>
      <c r="C1033">
        <v>744</v>
      </c>
      <c r="D1033" t="s">
        <v>3420</v>
      </c>
      <c r="E1033">
        <v>26</v>
      </c>
      <c r="F1033">
        <v>0</v>
      </c>
      <c r="G1033">
        <v>443650</v>
      </c>
      <c r="H1033" t="s">
        <v>3477</v>
      </c>
      <c r="I1033">
        <v>0</v>
      </c>
      <c r="J1033">
        <v>43687</v>
      </c>
    </row>
    <row r="1034" spans="1:10" ht="12.75" hidden="1" customHeight="1">
      <c r="A1034">
        <v>431050400</v>
      </c>
      <c r="B1034" t="s">
        <v>3419</v>
      </c>
      <c r="C1034">
        <v>744</v>
      </c>
      <c r="D1034" t="s">
        <v>3420</v>
      </c>
      <c r="E1034">
        <v>26</v>
      </c>
      <c r="F1034">
        <v>0</v>
      </c>
      <c r="G1034">
        <v>2261000</v>
      </c>
      <c r="H1034" t="s">
        <v>3478</v>
      </c>
      <c r="I1034">
        <v>0</v>
      </c>
      <c r="J1034">
        <v>43707</v>
      </c>
    </row>
    <row r="1035" spans="1:10" ht="12.75" hidden="1" customHeight="1">
      <c r="A1035">
        <v>431050400</v>
      </c>
      <c r="B1035" t="s">
        <v>3419</v>
      </c>
      <c r="C1035">
        <v>744</v>
      </c>
      <c r="D1035" t="s">
        <v>3420</v>
      </c>
      <c r="E1035">
        <v>26</v>
      </c>
      <c r="F1035">
        <v>9473</v>
      </c>
      <c r="G1035">
        <v>25000</v>
      </c>
      <c r="H1035" t="s">
        <v>3479</v>
      </c>
      <c r="I1035">
        <v>0</v>
      </c>
      <c r="J1035">
        <v>43719</v>
      </c>
    </row>
    <row r="1036" spans="1:10" ht="12.75" hidden="1" customHeight="1">
      <c r="A1036">
        <v>431050400</v>
      </c>
      <c r="B1036" t="s">
        <v>3419</v>
      </c>
      <c r="C1036">
        <v>744</v>
      </c>
      <c r="D1036" t="s">
        <v>3420</v>
      </c>
      <c r="E1036">
        <v>26</v>
      </c>
      <c r="F1036">
        <v>9480</v>
      </c>
      <c r="G1036">
        <v>25000</v>
      </c>
      <c r="H1036" t="s">
        <v>3479</v>
      </c>
      <c r="I1036">
        <v>0</v>
      </c>
      <c r="J1036">
        <v>43720</v>
      </c>
    </row>
    <row r="1037" spans="1:10" ht="12.75" hidden="1" customHeight="1">
      <c r="A1037">
        <v>431050400</v>
      </c>
      <c r="B1037" t="s">
        <v>3419</v>
      </c>
      <c r="C1037">
        <v>744</v>
      </c>
      <c r="D1037" t="s">
        <v>3420</v>
      </c>
      <c r="E1037">
        <v>26</v>
      </c>
      <c r="F1037">
        <v>9482</v>
      </c>
      <c r="G1037">
        <v>25000</v>
      </c>
      <c r="H1037" t="s">
        <v>3479</v>
      </c>
      <c r="I1037">
        <v>0</v>
      </c>
      <c r="J1037">
        <v>43721</v>
      </c>
    </row>
    <row r="1038" spans="1:10" ht="12.75" hidden="1" customHeight="1">
      <c r="A1038">
        <v>431050400</v>
      </c>
      <c r="B1038" t="s">
        <v>3419</v>
      </c>
      <c r="C1038">
        <v>744</v>
      </c>
      <c r="D1038" t="s">
        <v>3420</v>
      </c>
      <c r="E1038">
        <v>26</v>
      </c>
      <c r="F1038">
        <v>0</v>
      </c>
      <c r="G1038">
        <v>1824000</v>
      </c>
      <c r="H1038" t="s">
        <v>3474</v>
      </c>
      <c r="I1038">
        <v>0</v>
      </c>
      <c r="J1038">
        <v>43738</v>
      </c>
    </row>
    <row r="1039" spans="1:10" ht="12.75" hidden="1" customHeight="1">
      <c r="A1039">
        <v>431050400</v>
      </c>
      <c r="B1039" t="s">
        <v>3419</v>
      </c>
      <c r="C1039">
        <v>744</v>
      </c>
      <c r="D1039" t="s">
        <v>3420</v>
      </c>
      <c r="E1039">
        <v>26</v>
      </c>
      <c r="F1039">
        <v>0</v>
      </c>
      <c r="G1039">
        <v>2299000</v>
      </c>
      <c r="H1039" t="s">
        <v>3480</v>
      </c>
      <c r="I1039">
        <v>0</v>
      </c>
      <c r="J1039">
        <v>43738</v>
      </c>
    </row>
    <row r="1040" spans="1:10" ht="12.75" hidden="1" customHeight="1">
      <c r="A1040">
        <v>431050400</v>
      </c>
      <c r="B1040" t="s">
        <v>3419</v>
      </c>
      <c r="C1040">
        <v>744</v>
      </c>
      <c r="D1040" t="s">
        <v>3420</v>
      </c>
      <c r="E1040">
        <v>26</v>
      </c>
      <c r="F1040">
        <v>0</v>
      </c>
      <c r="G1040">
        <v>1741000</v>
      </c>
      <c r="H1040" t="s">
        <v>3481</v>
      </c>
      <c r="I1040">
        <v>0</v>
      </c>
      <c r="J1040">
        <v>43769</v>
      </c>
    </row>
    <row r="1041" spans="1:10" ht="12.75" hidden="1" customHeight="1">
      <c r="A1041">
        <v>431050400</v>
      </c>
      <c r="B1041" t="s">
        <v>3419</v>
      </c>
      <c r="C1041">
        <v>744</v>
      </c>
      <c r="D1041" t="s">
        <v>3420</v>
      </c>
      <c r="E1041">
        <v>26</v>
      </c>
      <c r="F1041">
        <v>0</v>
      </c>
      <c r="G1041">
        <v>443650</v>
      </c>
      <c r="H1041" t="s">
        <v>3474</v>
      </c>
      <c r="I1041">
        <v>0</v>
      </c>
      <c r="J1041">
        <v>43771</v>
      </c>
    </row>
    <row r="1042" spans="1:10" ht="12.75" hidden="1" customHeight="1">
      <c r="A1042">
        <v>431050400</v>
      </c>
      <c r="B1042" t="s">
        <v>3419</v>
      </c>
      <c r="C1042">
        <v>744</v>
      </c>
      <c r="D1042" t="s">
        <v>3420</v>
      </c>
      <c r="E1042">
        <v>26</v>
      </c>
      <c r="F1042">
        <v>0</v>
      </c>
      <c r="G1042">
        <v>443650</v>
      </c>
      <c r="H1042" t="s">
        <v>3482</v>
      </c>
      <c r="I1042">
        <v>0</v>
      </c>
      <c r="J1042">
        <v>43778</v>
      </c>
    </row>
    <row r="1043" spans="1:10" ht="12.75" hidden="1" customHeight="1">
      <c r="A1043">
        <v>431050400</v>
      </c>
      <c r="B1043" t="s">
        <v>3419</v>
      </c>
      <c r="C1043">
        <v>744</v>
      </c>
      <c r="D1043" t="s">
        <v>3420</v>
      </c>
      <c r="E1043">
        <v>26</v>
      </c>
      <c r="F1043">
        <v>0</v>
      </c>
      <c r="G1043">
        <v>443650</v>
      </c>
      <c r="H1043" t="s">
        <v>3482</v>
      </c>
      <c r="I1043">
        <v>0</v>
      </c>
      <c r="J1043">
        <v>43785</v>
      </c>
    </row>
    <row r="1044" spans="1:10" ht="12.75" hidden="1" customHeight="1">
      <c r="A1044">
        <v>431050400</v>
      </c>
      <c r="B1044" t="s">
        <v>3419</v>
      </c>
      <c r="C1044">
        <v>744</v>
      </c>
      <c r="D1044" t="s">
        <v>3420</v>
      </c>
      <c r="E1044">
        <v>26</v>
      </c>
      <c r="F1044">
        <v>0</v>
      </c>
      <c r="G1044">
        <v>403750</v>
      </c>
      <c r="H1044" t="s">
        <v>3474</v>
      </c>
      <c r="I1044">
        <v>0</v>
      </c>
      <c r="J1044">
        <v>43792</v>
      </c>
    </row>
    <row r="1045" spans="1:10" ht="12.75" hidden="1" customHeight="1">
      <c r="A1045">
        <v>431050400</v>
      </c>
      <c r="B1045" t="s">
        <v>3419</v>
      </c>
      <c r="C1045">
        <v>744</v>
      </c>
      <c r="D1045" t="s">
        <v>3420</v>
      </c>
      <c r="E1045">
        <v>26</v>
      </c>
      <c r="F1045">
        <v>0</v>
      </c>
      <c r="G1045">
        <v>2318000</v>
      </c>
      <c r="H1045" t="s">
        <v>3483</v>
      </c>
      <c r="I1045">
        <v>0</v>
      </c>
      <c r="J1045">
        <v>43799</v>
      </c>
    </row>
    <row r="1046" spans="1:10" ht="12.75" hidden="1" customHeight="1">
      <c r="A1046">
        <v>431050400</v>
      </c>
      <c r="B1046" t="s">
        <v>3419</v>
      </c>
      <c r="C1046">
        <v>744</v>
      </c>
      <c r="D1046" t="s">
        <v>3420</v>
      </c>
      <c r="E1046">
        <v>26</v>
      </c>
      <c r="F1046">
        <v>0</v>
      </c>
      <c r="G1046">
        <v>755833</v>
      </c>
      <c r="H1046" t="s">
        <v>3474</v>
      </c>
      <c r="I1046">
        <v>0</v>
      </c>
      <c r="J1046">
        <v>43815</v>
      </c>
    </row>
    <row r="1047" spans="1:10" ht="12.75" hidden="1" customHeight="1">
      <c r="A1047">
        <v>431050400</v>
      </c>
      <c r="B1047" t="s">
        <v>3419</v>
      </c>
      <c r="C1047">
        <v>744</v>
      </c>
      <c r="D1047" t="s">
        <v>3420</v>
      </c>
      <c r="E1047">
        <v>26</v>
      </c>
      <c r="F1047">
        <v>0</v>
      </c>
      <c r="G1047">
        <v>1123000</v>
      </c>
      <c r="H1047" t="s">
        <v>3484</v>
      </c>
      <c r="I1047">
        <v>0</v>
      </c>
      <c r="J1047">
        <v>43815</v>
      </c>
    </row>
    <row r="1048" spans="1:10" ht="12.75" hidden="1" customHeight="1">
      <c r="A1048">
        <v>431050400</v>
      </c>
      <c r="B1048" t="s">
        <v>3419</v>
      </c>
      <c r="C1048">
        <v>744</v>
      </c>
      <c r="D1048" t="s">
        <v>3420</v>
      </c>
      <c r="E1048">
        <v>26</v>
      </c>
      <c r="F1048">
        <v>0</v>
      </c>
      <c r="G1048">
        <v>202000</v>
      </c>
      <c r="H1048" t="s">
        <v>3474</v>
      </c>
      <c r="I1048">
        <v>0</v>
      </c>
      <c r="J1048">
        <v>43820</v>
      </c>
    </row>
    <row r="1049" spans="1:10" ht="12.75" hidden="1" customHeight="1">
      <c r="A1049">
        <v>431050400</v>
      </c>
      <c r="B1049" t="s">
        <v>3419</v>
      </c>
      <c r="C1049">
        <v>744</v>
      </c>
      <c r="D1049" t="s">
        <v>3420</v>
      </c>
      <c r="E1049">
        <v>26</v>
      </c>
      <c r="F1049">
        <v>0</v>
      </c>
      <c r="G1049">
        <v>1947500</v>
      </c>
      <c r="H1049" t="s">
        <v>3475</v>
      </c>
      <c r="I1049">
        <v>0</v>
      </c>
      <c r="J1049">
        <v>43820</v>
      </c>
    </row>
    <row r="1050" spans="1:10" ht="12.75" hidden="1" customHeight="1">
      <c r="A1050">
        <v>431050400</v>
      </c>
      <c r="B1050" t="s">
        <v>3419</v>
      </c>
      <c r="C1050">
        <v>744</v>
      </c>
      <c r="D1050" t="s">
        <v>3420</v>
      </c>
      <c r="E1050">
        <v>26</v>
      </c>
      <c r="F1050">
        <v>0</v>
      </c>
      <c r="G1050">
        <v>5500000</v>
      </c>
      <c r="H1050" t="s">
        <v>3485</v>
      </c>
      <c r="I1050">
        <v>0</v>
      </c>
      <c r="J1050">
        <v>43826</v>
      </c>
    </row>
    <row r="1051" spans="1:10" ht="12.75" hidden="1" customHeight="1">
      <c r="A1051">
        <v>431050400</v>
      </c>
      <c r="B1051" t="s">
        <v>3419</v>
      </c>
      <c r="C1051">
        <v>744</v>
      </c>
      <c r="D1051" t="s">
        <v>3420</v>
      </c>
      <c r="E1051">
        <v>26</v>
      </c>
      <c r="F1051">
        <v>0</v>
      </c>
      <c r="G1051">
        <v>1600000</v>
      </c>
      <c r="H1051" t="s">
        <v>3486</v>
      </c>
      <c r="I1051">
        <v>0</v>
      </c>
      <c r="J1051">
        <v>43830</v>
      </c>
    </row>
    <row r="1052" spans="1:10" ht="12.75" hidden="1" customHeight="1">
      <c r="A1052">
        <v>431050400</v>
      </c>
      <c r="B1052" t="s">
        <v>3419</v>
      </c>
      <c r="C1052">
        <v>744</v>
      </c>
      <c r="D1052" t="s">
        <v>3420</v>
      </c>
      <c r="E1052">
        <v>26</v>
      </c>
      <c r="F1052">
        <v>0</v>
      </c>
      <c r="G1052">
        <v>280250</v>
      </c>
      <c r="H1052" t="s">
        <v>3487</v>
      </c>
      <c r="I1052">
        <v>0</v>
      </c>
      <c r="J1052">
        <v>43830</v>
      </c>
    </row>
    <row r="1053" spans="1:10" ht="12.75" hidden="1" customHeight="1">
      <c r="A1053">
        <v>431050400</v>
      </c>
      <c r="B1053" t="s">
        <v>3419</v>
      </c>
      <c r="C1053">
        <v>744</v>
      </c>
      <c r="D1053" t="s">
        <v>3420</v>
      </c>
      <c r="E1053">
        <v>26</v>
      </c>
      <c r="F1053">
        <v>0</v>
      </c>
      <c r="G1053">
        <v>1600000</v>
      </c>
      <c r="H1053" t="s">
        <v>3488</v>
      </c>
      <c r="I1053">
        <v>0</v>
      </c>
      <c r="J1053">
        <v>43830</v>
      </c>
    </row>
    <row r="1054" spans="1:10" ht="12.75" hidden="1" customHeight="1">
      <c r="A1054">
        <v>431050400</v>
      </c>
      <c r="B1054" t="s">
        <v>3419</v>
      </c>
      <c r="C1054">
        <v>744</v>
      </c>
      <c r="D1054" t="s">
        <v>3420</v>
      </c>
      <c r="E1054">
        <v>26</v>
      </c>
      <c r="F1054">
        <v>1580</v>
      </c>
      <c r="G1054">
        <v>30000</v>
      </c>
      <c r="H1054" t="s">
        <v>3489</v>
      </c>
      <c r="I1054">
        <v>0</v>
      </c>
      <c r="J1054">
        <v>43469</v>
      </c>
    </row>
    <row r="1055" spans="1:10" ht="12.75" hidden="1" customHeight="1">
      <c r="A1055">
        <v>431050400</v>
      </c>
      <c r="B1055" t="s">
        <v>3419</v>
      </c>
      <c r="C1055">
        <v>744</v>
      </c>
      <c r="D1055" t="s">
        <v>3420</v>
      </c>
      <c r="E1055">
        <v>26</v>
      </c>
      <c r="F1055">
        <v>1592</v>
      </c>
      <c r="G1055">
        <v>37000</v>
      </c>
      <c r="H1055" t="s">
        <v>3490</v>
      </c>
      <c r="I1055">
        <v>0</v>
      </c>
      <c r="J1055">
        <v>43511</v>
      </c>
    </row>
    <row r="1056" spans="1:10" ht="12.75" hidden="1" customHeight="1">
      <c r="A1056">
        <v>431050400</v>
      </c>
      <c r="B1056" t="s">
        <v>3419</v>
      </c>
      <c r="C1056">
        <v>744</v>
      </c>
      <c r="D1056" t="s">
        <v>3420</v>
      </c>
      <c r="E1056">
        <v>26</v>
      </c>
      <c r="F1056">
        <v>1170</v>
      </c>
      <c r="G1056">
        <v>180000</v>
      </c>
      <c r="H1056" t="s">
        <v>3491</v>
      </c>
      <c r="I1056">
        <v>0</v>
      </c>
      <c r="J1056">
        <v>43524</v>
      </c>
    </row>
    <row r="1057" spans="1:10" ht="12.75" hidden="1" customHeight="1">
      <c r="A1057">
        <v>431050400</v>
      </c>
      <c r="B1057" t="s">
        <v>3419</v>
      </c>
      <c r="C1057">
        <v>744</v>
      </c>
      <c r="D1057" t="s">
        <v>3420</v>
      </c>
      <c r="E1057">
        <v>26</v>
      </c>
      <c r="F1057">
        <v>1598</v>
      </c>
      <c r="G1057">
        <v>400000</v>
      </c>
      <c r="H1057" t="s">
        <v>3492</v>
      </c>
      <c r="I1057">
        <v>0</v>
      </c>
      <c r="J1057">
        <v>43635</v>
      </c>
    </row>
    <row r="1058" spans="1:10" ht="12.75" hidden="1" customHeight="1">
      <c r="A1058">
        <v>431050500</v>
      </c>
      <c r="B1058" t="s">
        <v>3493</v>
      </c>
      <c r="C1058">
        <v>160</v>
      </c>
      <c r="D1058" t="s">
        <v>3494</v>
      </c>
      <c r="E1058">
        <v>26</v>
      </c>
      <c r="F1058">
        <v>24122019</v>
      </c>
      <c r="G1058">
        <v>5000000</v>
      </c>
      <c r="H1058" t="s">
        <v>3495</v>
      </c>
      <c r="I1058">
        <v>0</v>
      </c>
      <c r="J1058">
        <v>43823</v>
      </c>
    </row>
    <row r="1059" spans="1:10" ht="12.75" hidden="1" customHeight="1">
      <c r="A1059">
        <v>431050500</v>
      </c>
      <c r="B1059" t="s">
        <v>3493</v>
      </c>
      <c r="C1059">
        <v>160</v>
      </c>
      <c r="D1059" t="s">
        <v>3494</v>
      </c>
      <c r="E1059">
        <v>26</v>
      </c>
      <c r="F1059">
        <v>1589</v>
      </c>
      <c r="G1059">
        <v>50000</v>
      </c>
      <c r="H1059" t="s">
        <v>3496</v>
      </c>
      <c r="I1059">
        <v>0</v>
      </c>
      <c r="J1059">
        <v>43502</v>
      </c>
    </row>
    <row r="1060" spans="1:10" ht="12.75" hidden="1" customHeight="1">
      <c r="A1060">
        <v>431050500</v>
      </c>
      <c r="B1060" t="s">
        <v>3493</v>
      </c>
      <c r="C1060">
        <v>160</v>
      </c>
      <c r="D1060" t="s">
        <v>3494</v>
      </c>
      <c r="E1060">
        <v>26</v>
      </c>
      <c r="F1060">
        <v>645549</v>
      </c>
      <c r="G1060">
        <v>20000</v>
      </c>
      <c r="H1060" t="s">
        <v>3497</v>
      </c>
      <c r="I1060">
        <v>0</v>
      </c>
      <c r="J1060">
        <v>43507</v>
      </c>
    </row>
    <row r="1061" spans="1:10" ht="12.75" hidden="1" customHeight="1">
      <c r="A1061">
        <v>431050500</v>
      </c>
      <c r="B1061" t="s">
        <v>3493</v>
      </c>
      <c r="C1061">
        <v>160</v>
      </c>
      <c r="D1061" t="s">
        <v>3494</v>
      </c>
      <c r="E1061">
        <v>26</v>
      </c>
      <c r="F1061">
        <v>6</v>
      </c>
      <c r="G1061">
        <v>50000</v>
      </c>
      <c r="H1061" t="s">
        <v>3498</v>
      </c>
      <c r="I1061">
        <v>0</v>
      </c>
      <c r="J1061">
        <v>43537</v>
      </c>
    </row>
    <row r="1062" spans="1:10" ht="12.75" hidden="1" customHeight="1">
      <c r="A1062">
        <v>431050500</v>
      </c>
      <c r="B1062" t="s">
        <v>3493</v>
      </c>
      <c r="C1062">
        <v>160</v>
      </c>
      <c r="D1062" t="s">
        <v>3494</v>
      </c>
      <c r="E1062">
        <v>26</v>
      </c>
      <c r="F1062">
        <v>10170021248</v>
      </c>
      <c r="G1062">
        <v>25000</v>
      </c>
      <c r="H1062" t="s">
        <v>3499</v>
      </c>
      <c r="I1062">
        <v>0</v>
      </c>
      <c r="J1062">
        <v>43550</v>
      </c>
    </row>
    <row r="1063" spans="1:10" ht="12.75" hidden="1" customHeight="1">
      <c r="A1063">
        <v>431050500</v>
      </c>
      <c r="B1063" t="s">
        <v>3493</v>
      </c>
      <c r="C1063">
        <v>160</v>
      </c>
      <c r="D1063" t="s">
        <v>3494</v>
      </c>
      <c r="E1063">
        <v>26</v>
      </c>
      <c r="F1063">
        <v>19</v>
      </c>
      <c r="G1063">
        <v>60000</v>
      </c>
      <c r="H1063" t="s">
        <v>2606</v>
      </c>
      <c r="I1063">
        <v>0</v>
      </c>
      <c r="J1063">
        <v>43579</v>
      </c>
    </row>
    <row r="1064" spans="1:10" ht="12.75" hidden="1" customHeight="1">
      <c r="A1064">
        <v>431050500</v>
      </c>
      <c r="B1064" t="s">
        <v>3493</v>
      </c>
      <c r="C1064">
        <v>160</v>
      </c>
      <c r="D1064" t="s">
        <v>3494</v>
      </c>
      <c r="E1064">
        <v>26</v>
      </c>
      <c r="F1064">
        <v>70140012734</v>
      </c>
      <c r="G1064">
        <v>10000</v>
      </c>
      <c r="H1064" t="s">
        <v>2578</v>
      </c>
      <c r="I1064">
        <v>0</v>
      </c>
      <c r="J1064">
        <v>43645</v>
      </c>
    </row>
    <row r="1065" spans="1:10" ht="12.75" hidden="1" customHeight="1">
      <c r="A1065">
        <v>431050500</v>
      </c>
      <c r="B1065" t="s">
        <v>3493</v>
      </c>
      <c r="C1065">
        <v>160</v>
      </c>
      <c r="D1065" t="s">
        <v>3494</v>
      </c>
      <c r="E1065">
        <v>26</v>
      </c>
      <c r="F1065">
        <v>36</v>
      </c>
      <c r="G1065">
        <v>100000</v>
      </c>
      <c r="H1065" t="s">
        <v>3500</v>
      </c>
      <c r="I1065">
        <v>0</v>
      </c>
      <c r="J1065">
        <v>43683</v>
      </c>
    </row>
    <row r="1067" spans="1:10">
      <c r="G1067" s="23">
        <f>SUBTOTAL(9,G3:G1066)</f>
        <v>51919255</v>
      </c>
    </row>
  </sheetData>
  <autoFilter ref="A2:J1065" xr:uid="{00000000-0009-0000-0000-000023000000}">
    <filterColumn colId="3">
      <colorFilter dxfId="0"/>
    </filterColumn>
  </autoFilter>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G46"/>
  <sheetViews>
    <sheetView view="pageBreakPreview" topLeftCell="A19" zoomScaleNormal="100" zoomScaleSheetLayoutView="100" workbookViewId="0">
      <selection activeCell="C26" sqref="C26"/>
    </sheetView>
  </sheetViews>
  <sheetFormatPr baseColWidth="10" defaultColWidth="11.5" defaultRowHeight="14"/>
  <cols>
    <col min="1" max="1" width="11.5" style="69"/>
    <col min="2" max="2" width="53.5" style="69" customWidth="1"/>
    <col min="3" max="4" width="21.33203125" style="69" customWidth="1"/>
    <col min="5" max="5" width="16.6640625" style="69" bestFit="1" customWidth="1"/>
    <col min="6" max="16384" width="11.5" style="69"/>
  </cols>
  <sheetData>
    <row r="1" spans="1:4">
      <c r="A1" s="421"/>
      <c r="B1" s="421"/>
      <c r="C1" s="421"/>
      <c r="D1" s="421"/>
    </row>
    <row r="3" spans="1:4" s="29" customFormat="1">
      <c r="A3" s="29" t="s">
        <v>3501</v>
      </c>
    </row>
    <row r="4" spans="1:4" s="29" customFormat="1">
      <c r="A4" s="29" t="s">
        <v>3502</v>
      </c>
    </row>
    <row r="5" spans="1:4" s="29" customFormat="1">
      <c r="A5" s="29" t="s">
        <v>3503</v>
      </c>
    </row>
    <row r="6" spans="1:4" s="29" customFormat="1">
      <c r="A6" s="29" t="s">
        <v>3504</v>
      </c>
    </row>
    <row r="7" spans="1:4" s="29" customFormat="1"/>
    <row r="8" spans="1:4" s="29" customFormat="1">
      <c r="A8" s="29" t="s">
        <v>723</v>
      </c>
    </row>
    <row r="9" spans="1:4" s="29" customFormat="1">
      <c r="A9" s="29" t="s">
        <v>3534</v>
      </c>
    </row>
    <row r="11" spans="1:4" s="29" customFormat="1">
      <c r="A11" s="29" t="s">
        <v>3505</v>
      </c>
      <c r="B11" s="29" t="s">
        <v>3506</v>
      </c>
      <c r="C11" s="29" t="s">
        <v>3507</v>
      </c>
      <c r="D11" s="29" t="s">
        <v>3508</v>
      </c>
    </row>
    <row r="12" spans="1:4">
      <c r="A12" s="69" t="s">
        <v>3509</v>
      </c>
      <c r="B12" s="69" t="s">
        <v>3510</v>
      </c>
      <c r="C12" s="70"/>
      <c r="D12" s="70">
        <f>+COMPARATIVO!AP404+COMPARATIVO!AP396+COMPARATIVO!AP377</f>
        <v>503449595</v>
      </c>
    </row>
    <row r="13" spans="1:4">
      <c r="C13" s="70"/>
      <c r="D13" s="70"/>
    </row>
    <row r="14" spans="1:4">
      <c r="A14" s="69" t="s">
        <v>3511</v>
      </c>
      <c r="B14" s="69" t="s">
        <v>3512</v>
      </c>
      <c r="C14" s="70"/>
      <c r="D14" s="70">
        <f>SUM(D15:D18)</f>
        <v>836263890</v>
      </c>
    </row>
    <row r="15" spans="1:4">
      <c r="B15" s="69" t="s">
        <v>3535</v>
      </c>
      <c r="C15" s="70"/>
      <c r="D15" s="70">
        <f>+COMPARATIVO!AP397</f>
        <v>584304115</v>
      </c>
    </row>
    <row r="16" spans="1:4">
      <c r="B16" s="69" t="s">
        <v>3536</v>
      </c>
      <c r="C16" s="70"/>
      <c r="D16" s="70">
        <f>+COMPARATIVO!AP374</f>
        <v>7240520</v>
      </c>
    </row>
    <row r="17" spans="1:4">
      <c r="B17" s="69" t="s">
        <v>3537</v>
      </c>
      <c r="C17" s="70"/>
      <c r="D17" s="70">
        <v>51919255</v>
      </c>
    </row>
    <row r="18" spans="1:4">
      <c r="B18" s="69" t="s">
        <v>3538</v>
      </c>
      <c r="C18" s="70"/>
      <c r="D18" s="70">
        <f>30000000+127800000+35000000</f>
        <v>192800000</v>
      </c>
    </row>
    <row r="19" spans="1:4">
      <c r="C19" s="70"/>
      <c r="D19" s="70"/>
    </row>
    <row r="20" spans="1:4">
      <c r="C20" s="70"/>
      <c r="D20" s="70"/>
    </row>
    <row r="21" spans="1:4">
      <c r="A21" s="69" t="s">
        <v>3513</v>
      </c>
      <c r="B21" s="69" t="s">
        <v>3539</v>
      </c>
      <c r="C21" s="70"/>
      <c r="D21" s="70">
        <f>+'CREDITOS INCOBRABLES'!K126</f>
        <v>787877632.00999999</v>
      </c>
    </row>
    <row r="22" spans="1:4">
      <c r="C22" s="70"/>
      <c r="D22" s="70"/>
    </row>
    <row r="23" spans="1:4">
      <c r="A23" s="69" t="s">
        <v>3514</v>
      </c>
      <c r="B23" s="69" t="s">
        <v>3515</v>
      </c>
      <c r="C23" s="70"/>
      <c r="D23" s="70">
        <f>D12+D14-D21</f>
        <v>551835852.99000001</v>
      </c>
    </row>
    <row r="24" spans="1:4">
      <c r="C24" s="70"/>
      <c r="D24" s="70"/>
    </row>
    <row r="25" spans="1:4">
      <c r="A25" s="69" t="s">
        <v>3516</v>
      </c>
      <c r="B25" s="69" t="s">
        <v>3517</v>
      </c>
      <c r="C25" s="70"/>
      <c r="D25" s="70">
        <f>+D23*0.1</f>
        <v>55183585.299000002</v>
      </c>
    </row>
    <row r="26" spans="1:4">
      <c r="B26" s="69" t="s">
        <v>3518</v>
      </c>
      <c r="C26" s="70">
        <v>8430464</v>
      </c>
      <c r="D26" s="70"/>
    </row>
    <row r="27" spans="1:4">
      <c r="B27" s="69" t="s">
        <v>3519</v>
      </c>
      <c r="C27" s="70">
        <v>184025808</v>
      </c>
      <c r="D27" s="70"/>
    </row>
    <row r="28" spans="1:4">
      <c r="B28" s="69" t="s">
        <v>3520</v>
      </c>
      <c r="C28" s="70"/>
      <c r="D28" s="70">
        <f>+D25-C26-C27</f>
        <v>-137272686.70100001</v>
      </c>
    </row>
    <row r="30" spans="1:4" hidden="1">
      <c r="B30" s="69" t="s">
        <v>3521</v>
      </c>
      <c r="C30" s="69" t="s">
        <v>3522</v>
      </c>
    </row>
    <row r="31" spans="1:4" hidden="1">
      <c r="B31" s="69" t="s">
        <v>3523</v>
      </c>
      <c r="C31" s="69" t="s">
        <v>3524</v>
      </c>
    </row>
    <row r="32" spans="1:4" hidden="1">
      <c r="B32" s="69" t="s">
        <v>3525</v>
      </c>
      <c r="C32" s="69" t="s">
        <v>3526</v>
      </c>
    </row>
    <row r="34" spans="2:7">
      <c r="B34" s="69" t="s">
        <v>4015</v>
      </c>
      <c r="C34" s="70">
        <v>29858781</v>
      </c>
    </row>
    <row r="35" spans="2:7">
      <c r="B35" s="69" t="s">
        <v>4016</v>
      </c>
      <c r="C35" s="70">
        <v>8597720</v>
      </c>
    </row>
    <row r="36" spans="2:7" ht="15" thickBot="1">
      <c r="B36" s="70">
        <v>20807</v>
      </c>
      <c r="C36" s="70"/>
      <c r="D36" s="70"/>
      <c r="E36" s="70"/>
      <c r="F36" s="70"/>
    </row>
    <row r="37" spans="2:7">
      <c r="B37" s="73" t="s">
        <v>3527</v>
      </c>
      <c r="C37" s="70"/>
      <c r="D37" s="70"/>
      <c r="E37" s="82"/>
      <c r="F37" s="82"/>
      <c r="G37" s="83"/>
    </row>
    <row r="38" spans="2:7">
      <c r="B38" s="70" t="s">
        <v>3502</v>
      </c>
      <c r="C38" s="70">
        <f>+D25-C34</f>
        <v>25324804.299000002</v>
      </c>
      <c r="D38" s="70"/>
      <c r="E38" s="82">
        <v>219022538</v>
      </c>
      <c r="F38" s="82"/>
      <c r="G38" s="83"/>
    </row>
    <row r="39" spans="2:7">
      <c r="B39" s="70" t="s">
        <v>3528</v>
      </c>
      <c r="C39" s="70">
        <f>+C34</f>
        <v>29858781</v>
      </c>
      <c r="D39" s="70"/>
      <c r="E39" s="82"/>
      <c r="F39" s="82"/>
      <c r="G39" s="83"/>
    </row>
    <row r="40" spans="2:7">
      <c r="B40" s="70" t="s">
        <v>3529</v>
      </c>
      <c r="C40" s="70"/>
      <c r="D40" s="70">
        <f>+D25-D41</f>
        <v>46753121.299000002</v>
      </c>
      <c r="E40" s="82"/>
      <c r="F40" s="82"/>
      <c r="G40" s="83"/>
    </row>
    <row r="41" spans="2:7" ht="15" thickBot="1">
      <c r="B41" s="70" t="s">
        <v>3530</v>
      </c>
      <c r="C41" s="70"/>
      <c r="D41" s="70">
        <f>+C26</f>
        <v>8430464</v>
      </c>
      <c r="E41" s="82"/>
      <c r="F41" s="82"/>
      <c r="G41" s="83"/>
    </row>
    <row r="42" spans="2:7">
      <c r="B42" s="70"/>
      <c r="C42" s="70"/>
      <c r="D42" s="70"/>
      <c r="E42" s="82"/>
      <c r="F42" s="82"/>
      <c r="G42" s="83"/>
    </row>
    <row r="43" spans="2:7" ht="15" thickBot="1">
      <c r="B43" s="70">
        <v>20807</v>
      </c>
      <c r="C43" s="70"/>
      <c r="D43" s="70"/>
      <c r="E43" s="82"/>
      <c r="F43" s="82"/>
      <c r="G43" s="83"/>
    </row>
    <row r="44" spans="2:7">
      <c r="B44" s="70" t="s">
        <v>3531</v>
      </c>
      <c r="C44" s="70">
        <f>+E45-C35</f>
        <v>13815580.48505</v>
      </c>
      <c r="D44" s="70"/>
      <c r="E44" s="82">
        <f>+D12-D25</f>
        <v>448266009.70099998</v>
      </c>
      <c r="F44" s="82" t="s">
        <v>3532</v>
      </c>
      <c r="G44" s="83"/>
    </row>
    <row r="45" spans="2:7">
      <c r="B45" s="70" t="s">
        <v>3533</v>
      </c>
      <c r="C45" s="70"/>
      <c r="D45" s="70">
        <f>+C44</f>
        <v>13815580.48505</v>
      </c>
      <c r="E45" s="82">
        <f>+E44*0.05</f>
        <v>22413300.48505</v>
      </c>
      <c r="F45" s="82"/>
      <c r="G45" s="83"/>
    </row>
    <row r="46" spans="2:7" ht="15" thickBot="1">
      <c r="E46" s="83"/>
      <c r="F46" s="83"/>
      <c r="G46" s="83"/>
    </row>
  </sheetData>
  <mergeCells count="1">
    <mergeCell ref="A1:D1"/>
  </mergeCells>
  <pageMargins left="0.7" right="0.7" top="0.75" bottom="0.75" header="0.3" footer="0.3"/>
  <pageSetup paperSize="9" scale="71"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filterMode="1">
    <tabColor rgb="FFFFFF00"/>
  </sheetPr>
  <dimension ref="B8:IV130"/>
  <sheetViews>
    <sheetView workbookViewId="0">
      <pane xSplit="4" ySplit="9" topLeftCell="E10" activePane="bottomRight" state="frozen"/>
      <selection pane="topRight" activeCell="E1" sqref="E1"/>
      <selection pane="bottomLeft" activeCell="A10" sqref="A10"/>
      <selection pane="bottomRight" activeCell="K129" sqref="K129"/>
    </sheetView>
  </sheetViews>
  <sheetFormatPr baseColWidth="10" defaultRowHeight="13"/>
  <cols>
    <col min="1" max="1" width="3.5" customWidth="1"/>
    <col min="2" max="2" width="4.5" customWidth="1"/>
    <col min="3" max="3" width="9.1640625" customWidth="1"/>
    <col min="4" max="4" width="36.1640625" customWidth="1"/>
    <col min="5" max="5" width="14.6640625" customWidth="1"/>
    <col min="6" max="6" width="10.6640625" customWidth="1"/>
    <col min="7" max="7" width="15.83203125" customWidth="1"/>
    <col min="8" max="8" width="15.6640625" customWidth="1"/>
    <col min="9" max="9" width="17.33203125" customWidth="1"/>
    <col min="10" max="10" width="19" customWidth="1"/>
    <col min="11" max="11" width="15.6640625" customWidth="1"/>
    <col min="12" max="12" width="15.83203125" customWidth="1"/>
    <col min="13" max="14" width="24.33203125" customWidth="1"/>
    <col min="15" max="15" width="28.6640625" customWidth="1"/>
    <col min="16" max="16" width="28.1640625" hidden="1" customWidth="1"/>
    <col min="17" max="17" width="18.33203125" hidden="1" customWidth="1"/>
    <col min="18" max="18" width="27.1640625" style="54" customWidth="1"/>
    <col min="20" max="20" width="19" customWidth="1"/>
    <col min="21" max="21" width="4.5" customWidth="1"/>
  </cols>
  <sheetData>
    <row r="8" spans="2:18">
      <c r="H8" s="426" t="s">
        <v>3540</v>
      </c>
      <c r="I8" s="426"/>
      <c r="K8" s="426" t="s">
        <v>3541</v>
      </c>
      <c r="L8" s="426"/>
    </row>
    <row r="9" spans="2:18">
      <c r="B9" t="s">
        <v>3542</v>
      </c>
      <c r="C9" t="s">
        <v>3543</v>
      </c>
      <c r="D9" t="s">
        <v>3544</v>
      </c>
      <c r="E9" t="s">
        <v>3545</v>
      </c>
      <c r="F9" t="s">
        <v>3546</v>
      </c>
      <c r="G9" t="s">
        <v>3547</v>
      </c>
      <c r="H9" t="s">
        <v>3548</v>
      </c>
      <c r="I9" t="s">
        <v>3549</v>
      </c>
      <c r="J9" t="s">
        <v>3550</v>
      </c>
      <c r="K9" t="s">
        <v>3548</v>
      </c>
      <c r="L9" t="s">
        <v>3549</v>
      </c>
      <c r="M9" t="s">
        <v>3551</v>
      </c>
      <c r="N9" t="s">
        <v>3552</v>
      </c>
      <c r="O9" t="s">
        <v>3553</v>
      </c>
      <c r="P9" t="s">
        <v>3554</v>
      </c>
      <c r="Q9" t="s">
        <v>3555</v>
      </c>
    </row>
    <row r="10" spans="2:18">
      <c r="B10">
        <v>1</v>
      </c>
      <c r="C10">
        <v>2884</v>
      </c>
      <c r="D10" t="s">
        <v>3556</v>
      </c>
      <c r="E10" t="s">
        <v>3557</v>
      </c>
      <c r="F10">
        <v>4323568</v>
      </c>
      <c r="G10" t="s">
        <v>3558</v>
      </c>
      <c r="H10">
        <v>7759</v>
      </c>
      <c r="J10" t="s">
        <v>3559</v>
      </c>
      <c r="K10" s="23">
        <v>7759</v>
      </c>
      <c r="L10" s="23"/>
      <c r="M10" t="s">
        <v>3560</v>
      </c>
      <c r="N10" t="s">
        <v>3561</v>
      </c>
      <c r="O10" t="s">
        <v>3562</v>
      </c>
      <c r="P10" t="s">
        <v>3563</v>
      </c>
      <c r="Q10" t="s">
        <v>3564</v>
      </c>
      <c r="R10" s="54">
        <v>43818</v>
      </c>
    </row>
    <row r="11" spans="2:18" hidden="1">
      <c r="B11">
        <v>2</v>
      </c>
      <c r="C11">
        <v>4152</v>
      </c>
      <c r="D11" t="s">
        <v>3565</v>
      </c>
      <c r="E11" t="s">
        <v>3557</v>
      </c>
      <c r="F11">
        <v>6102717</v>
      </c>
      <c r="G11" t="s">
        <v>3566</v>
      </c>
      <c r="H11">
        <v>10000</v>
      </c>
      <c r="J11" t="s">
        <v>3567</v>
      </c>
      <c r="K11" s="23">
        <v>11425</v>
      </c>
      <c r="L11" s="23"/>
      <c r="M11" t="s">
        <v>3568</v>
      </c>
      <c r="N11" t="s">
        <v>3561</v>
      </c>
      <c r="O11" t="s">
        <v>3569</v>
      </c>
      <c r="P11" t="s">
        <v>3570</v>
      </c>
      <c r="Q11" t="s">
        <v>3571</v>
      </c>
    </row>
    <row r="12" spans="2:18" hidden="1">
      <c r="B12">
        <v>3</v>
      </c>
      <c r="C12">
        <v>4846</v>
      </c>
      <c r="D12" t="s">
        <v>3572</v>
      </c>
      <c r="E12" t="s">
        <v>3573</v>
      </c>
      <c r="F12" t="s">
        <v>3574</v>
      </c>
      <c r="G12" t="s">
        <v>3575</v>
      </c>
      <c r="H12">
        <v>18000</v>
      </c>
      <c r="J12" t="s">
        <v>3576</v>
      </c>
      <c r="K12" s="23">
        <v>15000</v>
      </c>
      <c r="L12" s="23"/>
      <c r="M12" t="s">
        <v>3577</v>
      </c>
      <c r="N12" t="s">
        <v>3578</v>
      </c>
      <c r="O12" t="s">
        <v>3579</v>
      </c>
      <c r="Q12" t="s">
        <v>3580</v>
      </c>
    </row>
    <row r="13" spans="2:18" hidden="1">
      <c r="B13">
        <v>4</v>
      </c>
      <c r="C13">
        <v>101019</v>
      </c>
      <c r="D13" t="s">
        <v>3581</v>
      </c>
      <c r="E13" t="s">
        <v>3557</v>
      </c>
      <c r="F13">
        <v>6290283</v>
      </c>
      <c r="G13" t="s">
        <v>3582</v>
      </c>
      <c r="I13">
        <v>17500000</v>
      </c>
      <c r="J13" t="s">
        <v>3583</v>
      </c>
      <c r="K13" s="23"/>
      <c r="L13" s="23">
        <v>13100000</v>
      </c>
      <c r="M13" t="s">
        <v>3584</v>
      </c>
      <c r="N13" t="s">
        <v>3585</v>
      </c>
      <c r="O13" t="s">
        <v>3586</v>
      </c>
    </row>
    <row r="14" spans="2:18">
      <c r="B14">
        <v>5</v>
      </c>
      <c r="C14">
        <v>5973</v>
      </c>
      <c r="D14" t="s">
        <v>3587</v>
      </c>
      <c r="E14" t="s">
        <v>3557</v>
      </c>
      <c r="F14">
        <v>2548818</v>
      </c>
      <c r="G14" t="s">
        <v>3588</v>
      </c>
      <c r="H14">
        <v>32250</v>
      </c>
      <c r="J14" t="s">
        <v>3589</v>
      </c>
      <c r="K14" s="23">
        <v>26979</v>
      </c>
      <c r="L14" s="23"/>
      <c r="M14" t="s">
        <v>3590</v>
      </c>
      <c r="N14" t="s">
        <v>3561</v>
      </c>
      <c r="O14" t="s">
        <v>3591</v>
      </c>
      <c r="P14" t="s">
        <v>3592</v>
      </c>
      <c r="Q14" t="s">
        <v>3580</v>
      </c>
      <c r="R14" s="54">
        <v>43656</v>
      </c>
    </row>
    <row r="15" spans="2:18" hidden="1">
      <c r="B15">
        <v>6</v>
      </c>
      <c r="C15">
        <v>3866</v>
      </c>
      <c r="D15" t="s">
        <v>3593</v>
      </c>
      <c r="E15" t="s">
        <v>3557</v>
      </c>
      <c r="F15">
        <v>1590588</v>
      </c>
      <c r="G15" t="s">
        <v>3594</v>
      </c>
      <c r="H15">
        <v>2520</v>
      </c>
      <c r="K15" s="23">
        <v>3597</v>
      </c>
      <c r="L15" s="23"/>
      <c r="N15" t="s">
        <v>3585</v>
      </c>
      <c r="O15" t="s">
        <v>3595</v>
      </c>
      <c r="P15" t="s">
        <v>3592</v>
      </c>
      <c r="Q15" t="s">
        <v>3571</v>
      </c>
    </row>
    <row r="16" spans="2:18" hidden="1">
      <c r="B16">
        <v>7</v>
      </c>
      <c r="C16">
        <v>4679</v>
      </c>
      <c r="D16" t="s">
        <v>3596</v>
      </c>
      <c r="E16" t="s">
        <v>3573</v>
      </c>
      <c r="F16">
        <v>4232723</v>
      </c>
      <c r="G16" t="s">
        <v>3597</v>
      </c>
      <c r="H16">
        <v>1819</v>
      </c>
      <c r="J16" t="s">
        <v>3598</v>
      </c>
      <c r="K16" s="23">
        <v>1819</v>
      </c>
      <c r="L16" s="23"/>
      <c r="M16" t="s">
        <v>3568</v>
      </c>
      <c r="N16" t="s">
        <v>3578</v>
      </c>
      <c r="O16" t="s">
        <v>3599</v>
      </c>
      <c r="P16" t="s">
        <v>3600</v>
      </c>
      <c r="Q16" t="s">
        <v>3571</v>
      </c>
    </row>
    <row r="17" spans="2:17" hidden="1">
      <c r="B17">
        <v>8</v>
      </c>
      <c r="C17">
        <v>100868</v>
      </c>
      <c r="D17" t="s">
        <v>3601</v>
      </c>
      <c r="E17" t="s">
        <v>3557</v>
      </c>
      <c r="F17" t="s">
        <v>3602</v>
      </c>
      <c r="G17" t="s">
        <v>3603</v>
      </c>
      <c r="I17">
        <v>183232000</v>
      </c>
      <c r="J17" t="s">
        <v>3604</v>
      </c>
      <c r="K17" s="23"/>
      <c r="L17" s="23">
        <v>183232000</v>
      </c>
      <c r="N17" t="s">
        <v>3605</v>
      </c>
      <c r="O17" t="s">
        <v>3606</v>
      </c>
    </row>
    <row r="18" spans="2:17" hidden="1">
      <c r="B18">
        <v>9</v>
      </c>
      <c r="C18">
        <v>50770</v>
      </c>
      <c r="D18" t="s">
        <v>3607</v>
      </c>
      <c r="E18" t="s">
        <v>3557</v>
      </c>
      <c r="F18">
        <v>3225665</v>
      </c>
      <c r="G18" t="s">
        <v>3608</v>
      </c>
      <c r="I18">
        <v>50980000</v>
      </c>
      <c r="K18" s="23"/>
      <c r="L18" s="23">
        <v>50980000</v>
      </c>
      <c r="M18" t="s">
        <v>3609</v>
      </c>
      <c r="N18" t="s">
        <v>3578</v>
      </c>
      <c r="O18" t="s">
        <v>3610</v>
      </c>
    </row>
    <row r="19" spans="2:17" hidden="1">
      <c r="B19">
        <v>10</v>
      </c>
      <c r="C19">
        <v>23193</v>
      </c>
      <c r="D19" t="s">
        <v>3611</v>
      </c>
      <c r="E19" t="s">
        <v>3557</v>
      </c>
      <c r="F19">
        <v>2117448</v>
      </c>
      <c r="H19">
        <v>2132</v>
      </c>
      <c r="J19" t="s">
        <v>3612</v>
      </c>
      <c r="K19" s="23">
        <v>1066</v>
      </c>
      <c r="L19" s="23"/>
      <c r="N19" t="s">
        <v>3613</v>
      </c>
      <c r="O19" t="s">
        <v>3614</v>
      </c>
    </row>
    <row r="20" spans="2:17" hidden="1">
      <c r="B20">
        <v>11</v>
      </c>
      <c r="C20">
        <v>23193</v>
      </c>
      <c r="D20" t="s">
        <v>3611</v>
      </c>
      <c r="E20" t="s">
        <v>3557</v>
      </c>
      <c r="F20">
        <v>2117448</v>
      </c>
      <c r="G20" t="s">
        <v>3615</v>
      </c>
      <c r="I20">
        <v>159903000</v>
      </c>
      <c r="J20" t="s">
        <v>3604</v>
      </c>
      <c r="K20" s="23"/>
      <c r="L20" s="23">
        <v>232703610</v>
      </c>
      <c r="M20" t="s">
        <v>3616</v>
      </c>
      <c r="N20" t="s">
        <v>3617</v>
      </c>
      <c r="O20" t="s">
        <v>3618</v>
      </c>
    </row>
    <row r="21" spans="2:17" hidden="1">
      <c r="B21">
        <v>12</v>
      </c>
      <c r="C21">
        <v>6873</v>
      </c>
      <c r="D21" t="s">
        <v>3619</v>
      </c>
      <c r="E21" t="s">
        <v>3557</v>
      </c>
      <c r="F21">
        <v>3513220</v>
      </c>
      <c r="G21" t="s">
        <v>3615</v>
      </c>
      <c r="I21">
        <v>85000000</v>
      </c>
      <c r="J21" t="s">
        <v>3604</v>
      </c>
      <c r="K21" s="23"/>
      <c r="L21" s="23">
        <v>85000000</v>
      </c>
      <c r="M21" t="s">
        <v>3620</v>
      </c>
      <c r="N21" t="s">
        <v>3617</v>
      </c>
      <c r="O21" t="s">
        <v>3621</v>
      </c>
    </row>
    <row r="22" spans="2:17" hidden="1">
      <c r="B22">
        <v>13</v>
      </c>
      <c r="C22">
        <v>4778</v>
      </c>
      <c r="D22" t="s">
        <v>3622</v>
      </c>
      <c r="E22" t="s">
        <v>3557</v>
      </c>
      <c r="F22" t="s">
        <v>3623</v>
      </c>
      <c r="G22" t="s">
        <v>3624</v>
      </c>
      <c r="H22">
        <v>9579</v>
      </c>
      <c r="J22" t="s">
        <v>3625</v>
      </c>
      <c r="K22" s="23">
        <v>9576</v>
      </c>
      <c r="L22" s="23"/>
      <c r="N22" t="s">
        <v>3578</v>
      </c>
      <c r="O22" t="s">
        <v>3626</v>
      </c>
      <c r="P22" t="s">
        <v>3563</v>
      </c>
      <c r="Q22" t="s">
        <v>3627</v>
      </c>
    </row>
    <row r="23" spans="2:17" hidden="1">
      <c r="B23">
        <v>14</v>
      </c>
      <c r="C23">
        <v>50257</v>
      </c>
      <c r="D23" t="s">
        <v>3628</v>
      </c>
      <c r="E23" t="s">
        <v>3557</v>
      </c>
      <c r="F23">
        <v>1903057</v>
      </c>
      <c r="G23" t="s">
        <v>3629</v>
      </c>
      <c r="I23">
        <v>6000000</v>
      </c>
      <c r="J23" t="s">
        <v>3630</v>
      </c>
      <c r="K23" s="23"/>
      <c r="L23" s="23">
        <v>0</v>
      </c>
      <c r="M23" t="s">
        <v>3631</v>
      </c>
      <c r="N23" t="s">
        <v>3613</v>
      </c>
      <c r="O23" t="s">
        <v>3632</v>
      </c>
      <c r="P23" t="s">
        <v>3563</v>
      </c>
      <c r="Q23" t="s">
        <v>3580</v>
      </c>
    </row>
    <row r="24" spans="2:17" hidden="1">
      <c r="B24">
        <v>15</v>
      </c>
      <c r="C24">
        <v>2779</v>
      </c>
      <c r="D24" t="s">
        <v>3633</v>
      </c>
      <c r="E24" t="s">
        <v>3557</v>
      </c>
      <c r="F24">
        <v>2548893</v>
      </c>
      <c r="G24" t="s">
        <v>3634</v>
      </c>
      <c r="I24">
        <v>44819422</v>
      </c>
      <c r="J24" t="s">
        <v>3635</v>
      </c>
      <c r="K24" s="23"/>
      <c r="L24" s="23">
        <v>44819422</v>
      </c>
      <c r="N24" t="s">
        <v>3636</v>
      </c>
      <c r="O24" t="s">
        <v>3637</v>
      </c>
      <c r="P24" t="s">
        <v>3563</v>
      </c>
      <c r="Q24" t="s">
        <v>3627</v>
      </c>
    </row>
    <row r="25" spans="2:17" hidden="1">
      <c r="B25">
        <v>16</v>
      </c>
      <c r="C25">
        <v>100784</v>
      </c>
      <c r="D25" t="s">
        <v>3638</v>
      </c>
      <c r="E25" t="s">
        <v>3557</v>
      </c>
      <c r="F25">
        <v>3769073</v>
      </c>
      <c r="G25" t="s">
        <v>3639</v>
      </c>
      <c r="I25">
        <v>41800000</v>
      </c>
      <c r="J25" t="s">
        <v>3604</v>
      </c>
      <c r="K25" s="23"/>
      <c r="L25" s="23">
        <v>41800000</v>
      </c>
      <c r="M25" t="s">
        <v>3640</v>
      </c>
      <c r="N25" t="s">
        <v>3605</v>
      </c>
      <c r="O25" t="s">
        <v>3641</v>
      </c>
    </row>
    <row r="26" spans="2:17" hidden="1">
      <c r="B26">
        <v>17</v>
      </c>
      <c r="C26">
        <v>6580</v>
      </c>
      <c r="D26" t="s">
        <v>3642</v>
      </c>
      <c r="E26" t="s">
        <v>3557</v>
      </c>
      <c r="F26">
        <v>406798</v>
      </c>
      <c r="G26" t="s">
        <v>3643</v>
      </c>
      <c r="H26">
        <v>17400</v>
      </c>
      <c r="K26" s="23">
        <v>17241</v>
      </c>
      <c r="L26" s="23"/>
      <c r="M26" t="s">
        <v>3643</v>
      </c>
      <c r="N26" t="s">
        <v>3585</v>
      </c>
      <c r="O26" t="s">
        <v>3644</v>
      </c>
      <c r="P26" t="s">
        <v>3563</v>
      </c>
      <c r="Q26" t="s">
        <v>3564</v>
      </c>
    </row>
    <row r="27" spans="2:17" hidden="1">
      <c r="B27">
        <v>18</v>
      </c>
      <c r="C27">
        <v>100860</v>
      </c>
      <c r="D27" t="s">
        <v>3645</v>
      </c>
      <c r="E27" t="s">
        <v>3557</v>
      </c>
      <c r="F27">
        <v>1527224</v>
      </c>
      <c r="G27" t="s">
        <v>3646</v>
      </c>
      <c r="I27">
        <f>97708000-30000000</f>
        <v>67708000</v>
      </c>
      <c r="K27" s="23"/>
      <c r="L27" s="23">
        <v>102952000</v>
      </c>
      <c r="M27" t="s">
        <v>3647</v>
      </c>
      <c r="N27" t="s">
        <v>3648</v>
      </c>
      <c r="O27" t="s">
        <v>3649</v>
      </c>
      <c r="Q27" t="s">
        <v>3564</v>
      </c>
    </row>
    <row r="28" spans="2:17" hidden="1">
      <c r="B28">
        <v>19</v>
      </c>
      <c r="C28">
        <v>4631</v>
      </c>
      <c r="D28" t="s">
        <v>3650</v>
      </c>
      <c r="E28" t="s">
        <v>3557</v>
      </c>
      <c r="F28">
        <v>817589</v>
      </c>
      <c r="G28" t="s">
        <v>3651</v>
      </c>
      <c r="H28">
        <v>4875</v>
      </c>
      <c r="J28" t="s">
        <v>3652</v>
      </c>
      <c r="K28" s="23">
        <v>4875</v>
      </c>
      <c r="L28" s="23"/>
      <c r="M28" t="s">
        <v>3568</v>
      </c>
      <c r="N28" t="s">
        <v>3585</v>
      </c>
      <c r="O28" t="s">
        <v>3653</v>
      </c>
      <c r="P28" t="s">
        <v>3600</v>
      </c>
      <c r="Q28" t="s">
        <v>3580</v>
      </c>
    </row>
    <row r="29" spans="2:17" hidden="1">
      <c r="B29">
        <v>20</v>
      </c>
      <c r="C29">
        <v>3684</v>
      </c>
      <c r="D29" t="s">
        <v>3654</v>
      </c>
      <c r="E29" t="s">
        <v>3573</v>
      </c>
      <c r="F29">
        <v>2601122</v>
      </c>
      <c r="G29" t="s">
        <v>3655</v>
      </c>
      <c r="H29">
        <v>18102</v>
      </c>
      <c r="K29" s="23">
        <v>18102</v>
      </c>
      <c r="L29" s="23"/>
      <c r="M29" t="s">
        <v>3656</v>
      </c>
      <c r="N29" t="s">
        <v>3648</v>
      </c>
      <c r="O29" t="s">
        <v>3657</v>
      </c>
      <c r="P29" t="s">
        <v>3563</v>
      </c>
    </row>
    <row r="30" spans="2:17" hidden="1">
      <c r="B30">
        <v>21</v>
      </c>
      <c r="C30">
        <v>50926</v>
      </c>
      <c r="D30" t="s">
        <v>3658</v>
      </c>
      <c r="E30" t="s">
        <v>3557</v>
      </c>
      <c r="F30">
        <v>2225247</v>
      </c>
      <c r="G30" t="s">
        <v>3659</v>
      </c>
      <c r="I30">
        <v>50610000</v>
      </c>
      <c r="J30" t="s">
        <v>3604</v>
      </c>
      <c r="K30" s="23"/>
      <c r="L30" s="23">
        <v>50610000</v>
      </c>
      <c r="M30" t="s">
        <v>3640</v>
      </c>
      <c r="N30" t="s">
        <v>3578</v>
      </c>
      <c r="O30" t="s">
        <v>3660</v>
      </c>
    </row>
    <row r="31" spans="2:17" hidden="1">
      <c r="B31">
        <v>22</v>
      </c>
      <c r="C31">
        <v>3813</v>
      </c>
      <c r="D31" t="s">
        <v>3661</v>
      </c>
      <c r="E31" t="s">
        <v>3557</v>
      </c>
      <c r="F31">
        <v>2869730</v>
      </c>
      <c r="G31" t="s">
        <v>3662</v>
      </c>
      <c r="H31">
        <v>3800</v>
      </c>
      <c r="J31" t="s">
        <v>3625</v>
      </c>
      <c r="K31" s="23">
        <v>3651</v>
      </c>
      <c r="L31" s="23"/>
      <c r="M31" t="s">
        <v>3663</v>
      </c>
      <c r="N31" t="s">
        <v>3664</v>
      </c>
      <c r="O31" t="s">
        <v>3665</v>
      </c>
      <c r="P31" t="s">
        <v>3563</v>
      </c>
      <c r="Q31" t="s">
        <v>3580</v>
      </c>
    </row>
    <row r="32" spans="2:17" hidden="1">
      <c r="B32">
        <v>23</v>
      </c>
      <c r="C32">
        <v>6096</v>
      </c>
      <c r="D32" t="s">
        <v>3666</v>
      </c>
      <c r="E32" t="s">
        <v>3667</v>
      </c>
      <c r="F32">
        <v>2061423</v>
      </c>
      <c r="G32" t="s">
        <v>3668</v>
      </c>
      <c r="H32">
        <v>28417</v>
      </c>
      <c r="K32" s="23">
        <v>25935</v>
      </c>
      <c r="L32" s="23"/>
      <c r="M32" t="s">
        <v>3669</v>
      </c>
      <c r="N32" t="s">
        <v>3585</v>
      </c>
      <c r="O32" t="s">
        <v>3670</v>
      </c>
      <c r="Q32" t="s">
        <v>3580</v>
      </c>
    </row>
    <row r="33" spans="2:256" ht="141.75" hidden="1" customHeight="1">
      <c r="B33">
        <v>24</v>
      </c>
      <c r="C33">
        <v>100831</v>
      </c>
      <c r="D33" t="s">
        <v>3671</v>
      </c>
      <c r="E33" t="s">
        <v>3557</v>
      </c>
      <c r="F33">
        <v>3891000</v>
      </c>
      <c r="G33" t="s">
        <v>3672</v>
      </c>
      <c r="I33">
        <v>103178000</v>
      </c>
      <c r="K33" s="23"/>
      <c r="L33" s="23">
        <v>103178000</v>
      </c>
      <c r="M33" t="s">
        <v>3673</v>
      </c>
      <c r="N33" t="s">
        <v>3585</v>
      </c>
      <c r="O33" t="s">
        <v>3674</v>
      </c>
    </row>
    <row r="34" spans="2:256" ht="80.25" hidden="1" customHeight="1">
      <c r="B34">
        <v>25</v>
      </c>
      <c r="C34">
        <v>100834</v>
      </c>
      <c r="D34" t="s">
        <v>3675</v>
      </c>
      <c r="E34" t="s">
        <v>3557</v>
      </c>
      <c r="F34" t="s">
        <v>3676</v>
      </c>
      <c r="I34">
        <v>17000000</v>
      </c>
      <c r="J34" t="s">
        <v>3677</v>
      </c>
      <c r="K34" s="23"/>
      <c r="L34" s="23">
        <v>17000000</v>
      </c>
      <c r="M34" t="s">
        <v>3640</v>
      </c>
      <c r="N34" t="s">
        <v>3648</v>
      </c>
      <c r="O34" t="s">
        <v>3678</v>
      </c>
    </row>
    <row r="35" spans="2:256" ht="78.75" hidden="1" customHeight="1">
      <c r="B35">
        <v>26</v>
      </c>
      <c r="C35">
        <v>100756</v>
      </c>
      <c r="D35" t="s">
        <v>3679</v>
      </c>
      <c r="E35" t="s">
        <v>3557</v>
      </c>
      <c r="F35">
        <v>4479620</v>
      </c>
      <c r="G35" t="s">
        <v>3680</v>
      </c>
      <c r="I35">
        <v>36000000</v>
      </c>
      <c r="J35" t="s">
        <v>3681</v>
      </c>
      <c r="K35" s="23"/>
      <c r="L35" s="23">
        <v>36000000</v>
      </c>
      <c r="M35" t="s">
        <v>3682</v>
      </c>
      <c r="N35" t="s">
        <v>3648</v>
      </c>
      <c r="O35" t="s">
        <v>3683</v>
      </c>
      <c r="P35" t="s">
        <v>3679</v>
      </c>
      <c r="Q35" t="s">
        <v>3679</v>
      </c>
      <c r="BD35" t="s">
        <v>3679</v>
      </c>
      <c r="BE35" t="s">
        <v>3679</v>
      </c>
      <c r="BF35" t="s">
        <v>3679</v>
      </c>
      <c r="BG35" t="s">
        <v>3679</v>
      </c>
      <c r="BH35" t="s">
        <v>3679</v>
      </c>
      <c r="BI35" t="s">
        <v>3679</v>
      </c>
      <c r="BJ35" t="s">
        <v>3679</v>
      </c>
      <c r="BK35" t="s">
        <v>3679</v>
      </c>
      <c r="BL35" t="s">
        <v>3679</v>
      </c>
      <c r="BM35" t="s">
        <v>3679</v>
      </c>
      <c r="BN35" t="s">
        <v>3679</v>
      </c>
      <c r="BO35" t="s">
        <v>3679</v>
      </c>
      <c r="BP35" t="s">
        <v>3679</v>
      </c>
      <c r="BQ35" t="s">
        <v>3679</v>
      </c>
      <c r="BR35" t="s">
        <v>3679</v>
      </c>
      <c r="BS35" t="s">
        <v>3679</v>
      </c>
      <c r="BT35" t="s">
        <v>3679</v>
      </c>
      <c r="BU35" t="s">
        <v>3679</v>
      </c>
      <c r="BV35" t="s">
        <v>3679</v>
      </c>
      <c r="BW35" t="s">
        <v>3679</v>
      </c>
      <c r="BX35" t="s">
        <v>3679</v>
      </c>
      <c r="BY35" t="s">
        <v>3679</v>
      </c>
      <c r="BZ35" t="s">
        <v>3679</v>
      </c>
      <c r="CA35" t="s">
        <v>3679</v>
      </c>
      <c r="CB35" t="s">
        <v>3679</v>
      </c>
      <c r="CC35" t="s">
        <v>3679</v>
      </c>
      <c r="CD35" t="s">
        <v>3679</v>
      </c>
      <c r="CE35" t="s">
        <v>3679</v>
      </c>
      <c r="CF35" t="s">
        <v>3679</v>
      </c>
      <c r="CG35" t="s">
        <v>3679</v>
      </c>
      <c r="CH35" t="s">
        <v>3679</v>
      </c>
      <c r="CI35" t="s">
        <v>3679</v>
      </c>
      <c r="CJ35" t="s">
        <v>3679</v>
      </c>
      <c r="CK35" t="s">
        <v>3679</v>
      </c>
      <c r="CL35" t="s">
        <v>3679</v>
      </c>
      <c r="CM35" t="s">
        <v>3679</v>
      </c>
      <c r="CN35" t="s">
        <v>3679</v>
      </c>
      <c r="CO35" t="s">
        <v>3679</v>
      </c>
      <c r="CP35" t="s">
        <v>3679</v>
      </c>
      <c r="CQ35" t="s">
        <v>3679</v>
      </c>
      <c r="CR35" t="s">
        <v>3679</v>
      </c>
      <c r="CS35" t="s">
        <v>3679</v>
      </c>
      <c r="CT35" t="s">
        <v>3679</v>
      </c>
      <c r="CU35" t="s">
        <v>3679</v>
      </c>
      <c r="CV35" t="s">
        <v>3679</v>
      </c>
      <c r="CW35" t="s">
        <v>3679</v>
      </c>
      <c r="CX35" t="s">
        <v>3679</v>
      </c>
      <c r="CY35" t="s">
        <v>3679</v>
      </c>
      <c r="CZ35" t="s">
        <v>3679</v>
      </c>
      <c r="DA35" t="s">
        <v>3679</v>
      </c>
      <c r="DB35" t="s">
        <v>3679</v>
      </c>
      <c r="DC35" t="s">
        <v>3679</v>
      </c>
      <c r="DD35" t="s">
        <v>3679</v>
      </c>
      <c r="DE35" t="s">
        <v>3679</v>
      </c>
      <c r="DF35" t="s">
        <v>3679</v>
      </c>
      <c r="DG35" t="s">
        <v>3679</v>
      </c>
      <c r="DH35" t="s">
        <v>3679</v>
      </c>
      <c r="DI35" t="s">
        <v>3679</v>
      </c>
      <c r="DJ35" t="s">
        <v>3679</v>
      </c>
      <c r="DK35" t="s">
        <v>3679</v>
      </c>
      <c r="DL35" t="s">
        <v>3679</v>
      </c>
      <c r="DM35" t="s">
        <v>3679</v>
      </c>
      <c r="DN35" t="s">
        <v>3679</v>
      </c>
      <c r="DO35" t="s">
        <v>3679</v>
      </c>
      <c r="DP35" t="s">
        <v>3679</v>
      </c>
      <c r="DQ35" t="s">
        <v>3679</v>
      </c>
      <c r="DR35" t="s">
        <v>3679</v>
      </c>
      <c r="DS35" t="s">
        <v>3679</v>
      </c>
      <c r="DT35" t="s">
        <v>3679</v>
      </c>
      <c r="DU35" t="s">
        <v>3679</v>
      </c>
      <c r="DV35" t="s">
        <v>3679</v>
      </c>
      <c r="DW35" t="s">
        <v>3679</v>
      </c>
      <c r="DX35" t="s">
        <v>3679</v>
      </c>
      <c r="DY35" t="s">
        <v>3679</v>
      </c>
      <c r="DZ35" t="s">
        <v>3679</v>
      </c>
      <c r="EA35" t="s">
        <v>3679</v>
      </c>
      <c r="EB35" t="s">
        <v>3679</v>
      </c>
      <c r="EC35" t="s">
        <v>3679</v>
      </c>
      <c r="ED35" t="s">
        <v>3679</v>
      </c>
      <c r="EE35" t="s">
        <v>3679</v>
      </c>
      <c r="EF35" t="s">
        <v>3679</v>
      </c>
      <c r="EG35" t="s">
        <v>3679</v>
      </c>
      <c r="EH35" t="s">
        <v>3679</v>
      </c>
      <c r="EI35" t="s">
        <v>3679</v>
      </c>
      <c r="EJ35" t="s">
        <v>3679</v>
      </c>
      <c r="EK35" t="s">
        <v>3679</v>
      </c>
      <c r="EL35" t="s">
        <v>3679</v>
      </c>
      <c r="EM35" t="s">
        <v>3679</v>
      </c>
      <c r="EN35" t="s">
        <v>3679</v>
      </c>
      <c r="EO35" t="s">
        <v>3679</v>
      </c>
      <c r="EP35" t="s">
        <v>3679</v>
      </c>
      <c r="EQ35" t="s">
        <v>3679</v>
      </c>
      <c r="ER35" t="s">
        <v>3679</v>
      </c>
      <c r="ES35" t="s">
        <v>3679</v>
      </c>
      <c r="ET35" t="s">
        <v>3679</v>
      </c>
      <c r="EU35" t="s">
        <v>3679</v>
      </c>
      <c r="EV35" t="s">
        <v>3679</v>
      </c>
      <c r="EW35" t="s">
        <v>3679</v>
      </c>
      <c r="EX35" t="s">
        <v>3679</v>
      </c>
      <c r="EY35" t="s">
        <v>3679</v>
      </c>
      <c r="EZ35" t="s">
        <v>3679</v>
      </c>
      <c r="FA35" t="s">
        <v>3679</v>
      </c>
      <c r="FB35" t="s">
        <v>3679</v>
      </c>
      <c r="FC35" t="s">
        <v>3679</v>
      </c>
      <c r="FD35" t="s">
        <v>3679</v>
      </c>
      <c r="FE35" t="s">
        <v>3679</v>
      </c>
      <c r="FF35" t="s">
        <v>3679</v>
      </c>
      <c r="FG35" t="s">
        <v>3679</v>
      </c>
      <c r="FH35" t="s">
        <v>3679</v>
      </c>
      <c r="FI35" t="s">
        <v>3679</v>
      </c>
      <c r="FJ35" t="s">
        <v>3679</v>
      </c>
      <c r="FK35" t="s">
        <v>3679</v>
      </c>
      <c r="FL35" t="s">
        <v>3679</v>
      </c>
      <c r="FM35" t="s">
        <v>3679</v>
      </c>
      <c r="FN35" t="s">
        <v>3679</v>
      </c>
      <c r="FO35" t="s">
        <v>3679</v>
      </c>
      <c r="FP35" t="s">
        <v>3679</v>
      </c>
      <c r="FQ35" t="s">
        <v>3679</v>
      </c>
      <c r="FR35" t="s">
        <v>3679</v>
      </c>
      <c r="FS35" t="s">
        <v>3679</v>
      </c>
      <c r="FT35" t="s">
        <v>3679</v>
      </c>
      <c r="FU35" t="s">
        <v>3679</v>
      </c>
      <c r="FV35" t="s">
        <v>3679</v>
      </c>
      <c r="FW35" t="s">
        <v>3679</v>
      </c>
      <c r="FX35" t="s">
        <v>3679</v>
      </c>
      <c r="FY35" t="s">
        <v>3679</v>
      </c>
      <c r="FZ35" t="s">
        <v>3679</v>
      </c>
      <c r="GA35" t="s">
        <v>3679</v>
      </c>
      <c r="GB35" t="s">
        <v>3679</v>
      </c>
      <c r="GC35" t="s">
        <v>3679</v>
      </c>
      <c r="GD35" t="s">
        <v>3679</v>
      </c>
      <c r="GE35" t="s">
        <v>3679</v>
      </c>
      <c r="GF35" t="s">
        <v>3679</v>
      </c>
      <c r="GG35" t="s">
        <v>3679</v>
      </c>
      <c r="GH35" t="s">
        <v>3679</v>
      </c>
      <c r="GI35" t="s">
        <v>3679</v>
      </c>
      <c r="GJ35" t="s">
        <v>3679</v>
      </c>
      <c r="GK35" t="s">
        <v>3679</v>
      </c>
      <c r="GL35" t="s">
        <v>3679</v>
      </c>
      <c r="GM35" t="s">
        <v>3679</v>
      </c>
      <c r="GN35" t="s">
        <v>3679</v>
      </c>
      <c r="GO35" t="s">
        <v>3679</v>
      </c>
      <c r="GP35" t="s">
        <v>3679</v>
      </c>
      <c r="GQ35" t="s">
        <v>3679</v>
      </c>
      <c r="GR35" t="s">
        <v>3679</v>
      </c>
      <c r="GS35" t="s">
        <v>3679</v>
      </c>
      <c r="GT35" t="s">
        <v>3679</v>
      </c>
      <c r="GU35" t="s">
        <v>3679</v>
      </c>
      <c r="GV35" t="s">
        <v>3679</v>
      </c>
      <c r="GW35" t="s">
        <v>3679</v>
      </c>
      <c r="GX35" t="s">
        <v>3679</v>
      </c>
      <c r="GY35" t="s">
        <v>3679</v>
      </c>
      <c r="GZ35" t="s">
        <v>3679</v>
      </c>
      <c r="HA35" t="s">
        <v>3679</v>
      </c>
      <c r="HB35" t="s">
        <v>3679</v>
      </c>
      <c r="HC35" t="s">
        <v>3679</v>
      </c>
      <c r="HD35" t="s">
        <v>3679</v>
      </c>
      <c r="HE35" t="s">
        <v>3679</v>
      </c>
      <c r="HF35" t="s">
        <v>3679</v>
      </c>
      <c r="HG35" t="s">
        <v>3679</v>
      </c>
      <c r="HH35" t="s">
        <v>3679</v>
      </c>
      <c r="HI35" t="s">
        <v>3679</v>
      </c>
      <c r="HJ35" t="s">
        <v>3679</v>
      </c>
      <c r="HK35" t="s">
        <v>3679</v>
      </c>
      <c r="HL35" t="s">
        <v>3679</v>
      </c>
      <c r="HM35" t="s">
        <v>3679</v>
      </c>
      <c r="HN35" t="s">
        <v>3679</v>
      </c>
      <c r="HO35" t="s">
        <v>3679</v>
      </c>
      <c r="HP35" t="s">
        <v>3679</v>
      </c>
      <c r="HQ35" t="s">
        <v>3679</v>
      </c>
      <c r="HR35" t="s">
        <v>3679</v>
      </c>
      <c r="HS35" t="s">
        <v>3679</v>
      </c>
      <c r="HT35" t="s">
        <v>3679</v>
      </c>
      <c r="HU35" t="s">
        <v>3679</v>
      </c>
      <c r="HV35" t="s">
        <v>3679</v>
      </c>
      <c r="HW35" t="s">
        <v>3679</v>
      </c>
      <c r="HX35" t="s">
        <v>3679</v>
      </c>
      <c r="HY35" t="s">
        <v>3679</v>
      </c>
      <c r="HZ35" t="s">
        <v>3679</v>
      </c>
      <c r="IA35" t="s">
        <v>3679</v>
      </c>
      <c r="IB35" t="s">
        <v>3679</v>
      </c>
      <c r="IC35" t="s">
        <v>3679</v>
      </c>
      <c r="ID35" t="s">
        <v>3679</v>
      </c>
      <c r="IE35" t="s">
        <v>3679</v>
      </c>
      <c r="IF35" t="s">
        <v>3679</v>
      </c>
      <c r="IG35" t="s">
        <v>3679</v>
      </c>
      <c r="IH35" t="s">
        <v>3679</v>
      </c>
      <c r="II35" t="s">
        <v>3679</v>
      </c>
      <c r="IJ35" t="s">
        <v>3679</v>
      </c>
      <c r="IK35" t="s">
        <v>3679</v>
      </c>
      <c r="IL35" t="s">
        <v>3679</v>
      </c>
      <c r="IM35" t="s">
        <v>3679</v>
      </c>
      <c r="IN35" t="s">
        <v>3679</v>
      </c>
      <c r="IO35" t="s">
        <v>3679</v>
      </c>
      <c r="IP35" t="s">
        <v>3679</v>
      </c>
      <c r="IQ35" t="s">
        <v>3679</v>
      </c>
      <c r="IR35" t="s">
        <v>3679</v>
      </c>
      <c r="IS35" t="s">
        <v>3679</v>
      </c>
      <c r="IT35" t="s">
        <v>3679</v>
      </c>
      <c r="IU35" t="s">
        <v>3679</v>
      </c>
      <c r="IV35" t="s">
        <v>3679</v>
      </c>
    </row>
    <row r="36" spans="2:256" ht="78.75" hidden="1" customHeight="1">
      <c r="B36">
        <v>27</v>
      </c>
      <c r="C36">
        <v>6932</v>
      </c>
      <c r="D36" t="s">
        <v>3684</v>
      </c>
      <c r="E36" t="s">
        <v>3557</v>
      </c>
      <c r="F36">
        <v>5902522</v>
      </c>
      <c r="G36" t="s">
        <v>3685</v>
      </c>
      <c r="H36">
        <v>4546</v>
      </c>
      <c r="K36" s="23">
        <v>6796</v>
      </c>
      <c r="L36" s="23"/>
      <c r="M36" t="s">
        <v>3686</v>
      </c>
      <c r="N36" t="s">
        <v>3585</v>
      </c>
      <c r="O36" t="s">
        <v>3687</v>
      </c>
    </row>
    <row r="37" spans="2:256" ht="90" hidden="1" customHeight="1">
      <c r="B37">
        <v>28</v>
      </c>
      <c r="C37">
        <v>100983</v>
      </c>
      <c r="D37" t="s">
        <v>3688</v>
      </c>
      <c r="E37" t="s">
        <v>3557</v>
      </c>
      <c r="F37">
        <v>4436810</v>
      </c>
      <c r="G37" t="s">
        <v>3689</v>
      </c>
      <c r="I37">
        <v>61434000</v>
      </c>
      <c r="J37" t="s">
        <v>3604</v>
      </c>
      <c r="K37" s="23"/>
      <c r="L37" s="23">
        <v>61434000</v>
      </c>
      <c r="M37" t="s">
        <v>3690</v>
      </c>
      <c r="N37" t="s">
        <v>3691</v>
      </c>
      <c r="O37" t="s">
        <v>3692</v>
      </c>
    </row>
    <row r="38" spans="2:256" ht="21" hidden="1" customHeight="1">
      <c r="B38">
        <v>29</v>
      </c>
      <c r="C38">
        <v>4400</v>
      </c>
      <c r="D38" t="s">
        <v>3693</v>
      </c>
      <c r="E38" t="s">
        <v>3557</v>
      </c>
      <c r="F38">
        <v>3345655</v>
      </c>
      <c r="G38" t="s">
        <v>3694</v>
      </c>
      <c r="H38">
        <v>9680</v>
      </c>
      <c r="K38" s="23">
        <v>9680</v>
      </c>
      <c r="L38" s="23"/>
      <c r="M38" t="s">
        <v>3694</v>
      </c>
      <c r="N38" t="s">
        <v>3561</v>
      </c>
      <c r="O38" t="s">
        <v>3695</v>
      </c>
      <c r="P38" t="s">
        <v>3563</v>
      </c>
    </row>
    <row r="39" spans="2:256" ht="178.5" hidden="1" customHeight="1">
      <c r="B39">
        <v>30</v>
      </c>
      <c r="C39">
        <v>4876</v>
      </c>
      <c r="D39" t="s">
        <v>3696</v>
      </c>
      <c r="E39" t="s">
        <v>3557</v>
      </c>
      <c r="F39">
        <v>4651813</v>
      </c>
      <c r="G39" t="s">
        <v>3697</v>
      </c>
      <c r="H39">
        <v>18980</v>
      </c>
      <c r="K39" s="23">
        <v>19230</v>
      </c>
      <c r="L39" s="23"/>
      <c r="M39" t="s">
        <v>3698</v>
      </c>
      <c r="N39" t="s">
        <v>3578</v>
      </c>
      <c r="O39" t="s">
        <v>3699</v>
      </c>
      <c r="Q39" t="s">
        <v>3580</v>
      </c>
    </row>
    <row r="40" spans="2:256" ht="91.5" hidden="1" customHeight="1">
      <c r="B40">
        <v>31</v>
      </c>
      <c r="C40">
        <v>2842</v>
      </c>
      <c r="D40" t="s">
        <v>3700</v>
      </c>
      <c r="E40" t="s">
        <v>3557</v>
      </c>
      <c r="F40">
        <v>2041545</v>
      </c>
      <c r="G40" t="s">
        <v>3701</v>
      </c>
      <c r="I40">
        <v>5050000</v>
      </c>
      <c r="J40" t="s">
        <v>3630</v>
      </c>
      <c r="K40" s="23"/>
      <c r="L40" s="23">
        <v>5727111</v>
      </c>
      <c r="M40" t="s">
        <v>3702</v>
      </c>
      <c r="N40" t="s">
        <v>3648</v>
      </c>
      <c r="O40" t="s">
        <v>3703</v>
      </c>
      <c r="P40" t="s">
        <v>3563</v>
      </c>
      <c r="Q40" t="s">
        <v>3580</v>
      </c>
    </row>
    <row r="41" spans="2:256" ht="91.5" hidden="1" customHeight="1">
      <c r="B41">
        <v>32</v>
      </c>
      <c r="C41">
        <v>6990</v>
      </c>
      <c r="D41" t="s">
        <v>3704</v>
      </c>
      <c r="E41" t="s">
        <v>3557</v>
      </c>
      <c r="F41" t="s">
        <v>3705</v>
      </c>
      <c r="G41" t="s">
        <v>3706</v>
      </c>
      <c r="I41">
        <v>69080000</v>
      </c>
      <c r="K41" s="23"/>
      <c r="L41" s="23">
        <v>69080000</v>
      </c>
      <c r="N41" t="s">
        <v>3648</v>
      </c>
      <c r="O41" t="s">
        <v>3707</v>
      </c>
    </row>
    <row r="42" spans="2:256" ht="91.5" hidden="1" customHeight="1">
      <c r="B42">
        <v>33</v>
      </c>
      <c r="C42">
        <v>2110</v>
      </c>
      <c r="D42" t="s">
        <v>3708</v>
      </c>
      <c r="E42" t="s">
        <v>3557</v>
      </c>
      <c r="F42">
        <v>1124475</v>
      </c>
      <c r="G42" t="s">
        <v>3709</v>
      </c>
      <c r="H42">
        <v>5816</v>
      </c>
      <c r="K42" s="23">
        <v>3816</v>
      </c>
      <c r="L42" s="23"/>
      <c r="M42" t="s">
        <v>3710</v>
      </c>
      <c r="N42" t="s">
        <v>3711</v>
      </c>
      <c r="O42" t="s">
        <v>3712</v>
      </c>
      <c r="P42" t="s">
        <v>3600</v>
      </c>
      <c r="Q42" t="s">
        <v>3580</v>
      </c>
    </row>
    <row r="43" spans="2:256" ht="171.75" hidden="1" customHeight="1">
      <c r="B43">
        <v>34</v>
      </c>
      <c r="C43">
        <v>4103</v>
      </c>
      <c r="D43" t="s">
        <v>3713</v>
      </c>
      <c r="E43" t="s">
        <v>3557</v>
      </c>
      <c r="F43">
        <v>2236667</v>
      </c>
      <c r="G43" t="s">
        <v>3714</v>
      </c>
      <c r="H43">
        <v>10721</v>
      </c>
      <c r="K43" s="23">
        <v>10721</v>
      </c>
      <c r="L43" s="23"/>
      <c r="M43" t="s">
        <v>3714</v>
      </c>
      <c r="N43" t="s">
        <v>3691</v>
      </c>
      <c r="O43" t="s">
        <v>3715</v>
      </c>
      <c r="P43" t="s">
        <v>3563</v>
      </c>
    </row>
    <row r="44" spans="2:256" ht="172.5" hidden="1" customHeight="1">
      <c r="B44">
        <v>35</v>
      </c>
      <c r="C44">
        <v>101009</v>
      </c>
      <c r="D44" t="s">
        <v>3716</v>
      </c>
      <c r="E44" t="s">
        <v>3557</v>
      </c>
      <c r="F44">
        <v>6065801</v>
      </c>
      <c r="G44" t="s">
        <v>3717</v>
      </c>
      <c r="I44">
        <v>100600000</v>
      </c>
      <c r="K44" s="23"/>
      <c r="L44" s="23">
        <v>110660000</v>
      </c>
      <c r="M44" t="s">
        <v>3718</v>
      </c>
      <c r="N44" t="s">
        <v>3648</v>
      </c>
      <c r="O44" t="s">
        <v>3719</v>
      </c>
    </row>
    <row r="45" spans="2:256" ht="15.75" hidden="1" customHeight="1">
      <c r="B45">
        <v>36</v>
      </c>
      <c r="C45">
        <v>4009</v>
      </c>
      <c r="D45" t="s">
        <v>3720</v>
      </c>
      <c r="E45" t="s">
        <v>3557</v>
      </c>
      <c r="F45">
        <v>4369442</v>
      </c>
      <c r="G45" t="s">
        <v>3721</v>
      </c>
      <c r="H45">
        <v>16300</v>
      </c>
      <c r="J45" t="s">
        <v>3722</v>
      </c>
      <c r="K45" s="23">
        <v>15015</v>
      </c>
      <c r="L45" s="23"/>
      <c r="M45" t="s">
        <v>3723</v>
      </c>
      <c r="N45" t="s">
        <v>3561</v>
      </c>
      <c r="O45" t="s">
        <v>3724</v>
      </c>
      <c r="P45" t="s">
        <v>3600</v>
      </c>
      <c r="Q45" t="s">
        <v>3564</v>
      </c>
    </row>
    <row r="46" spans="2:256" ht="79.5" hidden="1" customHeight="1">
      <c r="B46">
        <v>37</v>
      </c>
      <c r="C46">
        <v>4374</v>
      </c>
      <c r="D46" t="s">
        <v>3725</v>
      </c>
      <c r="E46" t="s">
        <v>3557</v>
      </c>
      <c r="F46" t="s">
        <v>3726</v>
      </c>
      <c r="G46" t="s">
        <v>3727</v>
      </c>
      <c r="H46">
        <v>6934</v>
      </c>
      <c r="K46" s="23">
        <v>6128</v>
      </c>
      <c r="L46" s="23"/>
      <c r="N46" t="s">
        <v>3636</v>
      </c>
      <c r="O46" t="s">
        <v>3728</v>
      </c>
      <c r="P46" t="s">
        <v>3563</v>
      </c>
      <c r="Q46" t="s">
        <v>3627</v>
      </c>
    </row>
    <row r="47" spans="2:256" hidden="1">
      <c r="B47">
        <v>38</v>
      </c>
      <c r="C47">
        <v>2357</v>
      </c>
      <c r="D47" t="s">
        <v>3729</v>
      </c>
      <c r="E47" t="s">
        <v>3557</v>
      </c>
      <c r="F47">
        <v>743278</v>
      </c>
      <c r="G47" t="s">
        <v>3730</v>
      </c>
      <c r="H47">
        <v>16388</v>
      </c>
      <c r="J47" t="s">
        <v>3731</v>
      </c>
      <c r="K47" s="23">
        <v>16200</v>
      </c>
      <c r="L47" s="23"/>
      <c r="M47" t="s">
        <v>3732</v>
      </c>
      <c r="N47" t="s">
        <v>3664</v>
      </c>
      <c r="O47" t="s">
        <v>3733</v>
      </c>
      <c r="Q47" t="s">
        <v>3580</v>
      </c>
    </row>
    <row r="48" spans="2:256">
      <c r="B48">
        <v>39</v>
      </c>
      <c r="C48">
        <v>2908</v>
      </c>
      <c r="D48" t="s">
        <v>3734</v>
      </c>
      <c r="E48" t="s">
        <v>3557</v>
      </c>
      <c r="F48">
        <v>956316</v>
      </c>
      <c r="G48" t="s">
        <v>3735</v>
      </c>
      <c r="H48">
        <v>11496</v>
      </c>
      <c r="J48" t="s">
        <v>3736</v>
      </c>
      <c r="K48" s="23">
        <v>14059</v>
      </c>
      <c r="L48" s="23"/>
      <c r="M48" t="s">
        <v>3568</v>
      </c>
      <c r="N48" t="s">
        <v>3561</v>
      </c>
      <c r="O48" t="s">
        <v>3737</v>
      </c>
      <c r="P48" t="s">
        <v>3600</v>
      </c>
      <c r="Q48" t="s">
        <v>3571</v>
      </c>
      <c r="R48" s="54">
        <v>43516</v>
      </c>
    </row>
    <row r="49" spans="2:18">
      <c r="B49">
        <v>40</v>
      </c>
      <c r="C49">
        <v>4091</v>
      </c>
      <c r="D49" t="s">
        <v>3738</v>
      </c>
      <c r="E49" t="s">
        <v>3557</v>
      </c>
      <c r="F49" t="s">
        <v>3739</v>
      </c>
      <c r="G49" t="s">
        <v>3740</v>
      </c>
      <c r="H49">
        <v>71500</v>
      </c>
      <c r="J49" t="s">
        <v>3741</v>
      </c>
      <c r="K49" s="23">
        <v>67500</v>
      </c>
      <c r="L49" s="23"/>
      <c r="M49" t="s">
        <v>3742</v>
      </c>
      <c r="N49" t="s">
        <v>3561</v>
      </c>
      <c r="O49" t="s">
        <v>3743</v>
      </c>
      <c r="P49" t="s">
        <v>3563</v>
      </c>
      <c r="Q49" t="s">
        <v>3571</v>
      </c>
      <c r="R49" s="54">
        <v>43675</v>
      </c>
    </row>
    <row r="50" spans="2:18" hidden="1">
      <c r="B50">
        <v>41</v>
      </c>
      <c r="C50">
        <v>4091</v>
      </c>
      <c r="D50" t="s">
        <v>3738</v>
      </c>
      <c r="E50" t="s">
        <v>3557</v>
      </c>
      <c r="F50" t="s">
        <v>3739</v>
      </c>
      <c r="G50" t="s">
        <v>3744</v>
      </c>
      <c r="I50">
        <v>19581800</v>
      </c>
      <c r="J50" t="s">
        <v>3745</v>
      </c>
      <c r="K50" s="23"/>
      <c r="L50" s="23">
        <v>19581800</v>
      </c>
      <c r="M50" t="s">
        <v>3742</v>
      </c>
      <c r="N50" t="s">
        <v>3561</v>
      </c>
      <c r="O50" t="s">
        <v>3746</v>
      </c>
      <c r="P50" t="s">
        <v>3563</v>
      </c>
      <c r="Q50" t="s">
        <v>3571</v>
      </c>
    </row>
    <row r="51" spans="2:18" hidden="1">
      <c r="B51">
        <v>42</v>
      </c>
      <c r="C51">
        <v>4216</v>
      </c>
      <c r="D51" t="s">
        <v>3747</v>
      </c>
      <c r="E51" t="s">
        <v>3557</v>
      </c>
      <c r="F51">
        <v>6184944</v>
      </c>
      <c r="G51" t="s">
        <v>3748</v>
      </c>
      <c r="H51">
        <v>11856</v>
      </c>
      <c r="J51" t="s">
        <v>3625</v>
      </c>
      <c r="K51" s="23">
        <v>11858</v>
      </c>
      <c r="L51" s="23"/>
      <c r="M51" t="s">
        <v>3749</v>
      </c>
      <c r="N51" t="s">
        <v>3664</v>
      </c>
      <c r="O51" t="s">
        <v>3750</v>
      </c>
      <c r="P51" t="s">
        <v>3563</v>
      </c>
      <c r="Q51" t="s">
        <v>3564</v>
      </c>
    </row>
    <row r="52" spans="2:18" hidden="1">
      <c r="B52">
        <v>43</v>
      </c>
      <c r="C52">
        <v>50902</v>
      </c>
      <c r="D52" t="s">
        <v>3751</v>
      </c>
      <c r="E52" t="s">
        <v>3557</v>
      </c>
      <c r="F52">
        <v>6881596</v>
      </c>
      <c r="G52" t="s">
        <v>3752</v>
      </c>
      <c r="I52">
        <v>41725000</v>
      </c>
      <c r="J52" t="s">
        <v>3753</v>
      </c>
      <c r="K52" s="23"/>
      <c r="L52" s="23">
        <v>41725000</v>
      </c>
      <c r="M52" t="s">
        <v>3754</v>
      </c>
      <c r="N52" t="s">
        <v>3648</v>
      </c>
      <c r="O52" t="s">
        <v>3755</v>
      </c>
    </row>
    <row r="53" spans="2:18" hidden="1">
      <c r="B53">
        <v>44</v>
      </c>
      <c r="C53">
        <v>100850</v>
      </c>
      <c r="D53" t="s">
        <v>3756</v>
      </c>
      <c r="E53" t="s">
        <v>3557</v>
      </c>
      <c r="F53">
        <v>4545891</v>
      </c>
      <c r="G53" t="s">
        <v>3757</v>
      </c>
      <c r="I53">
        <v>34460000</v>
      </c>
      <c r="J53" t="s">
        <v>3604</v>
      </c>
      <c r="K53" s="23"/>
      <c r="L53" s="23">
        <v>25130727</v>
      </c>
      <c r="M53" t="s">
        <v>3758</v>
      </c>
      <c r="N53" t="s">
        <v>3585</v>
      </c>
      <c r="O53" t="s">
        <v>3759</v>
      </c>
    </row>
    <row r="54" spans="2:18" hidden="1">
      <c r="B54">
        <v>45</v>
      </c>
      <c r="C54">
        <v>101007</v>
      </c>
      <c r="D54" t="s">
        <v>3760</v>
      </c>
      <c r="E54" t="s">
        <v>3557</v>
      </c>
      <c r="F54">
        <v>2330782</v>
      </c>
      <c r="G54" t="s">
        <v>3761</v>
      </c>
      <c r="I54">
        <v>92092000</v>
      </c>
      <c r="J54" t="s">
        <v>3762</v>
      </c>
      <c r="K54" s="23"/>
      <c r="L54" s="23">
        <v>77407235</v>
      </c>
      <c r="M54" t="s">
        <v>3620</v>
      </c>
      <c r="N54" t="s">
        <v>3617</v>
      </c>
      <c r="O54" t="s">
        <v>3763</v>
      </c>
    </row>
    <row r="55" spans="2:18" hidden="1">
      <c r="B55">
        <v>46</v>
      </c>
      <c r="C55">
        <v>50896</v>
      </c>
      <c r="D55" t="s">
        <v>3764</v>
      </c>
      <c r="E55" t="s">
        <v>3557</v>
      </c>
      <c r="F55" t="s">
        <v>3765</v>
      </c>
      <c r="G55" t="s">
        <v>3766</v>
      </c>
      <c r="I55">
        <v>31537000</v>
      </c>
      <c r="J55" t="s">
        <v>3762</v>
      </c>
      <c r="K55" s="23"/>
      <c r="L55" s="23">
        <v>31497000</v>
      </c>
      <c r="M55" t="s">
        <v>3620</v>
      </c>
      <c r="N55" t="s">
        <v>3617</v>
      </c>
      <c r="O55" t="s">
        <v>3767</v>
      </c>
    </row>
    <row r="56" spans="2:18" hidden="1">
      <c r="B56">
        <v>47</v>
      </c>
      <c r="C56">
        <v>50896</v>
      </c>
      <c r="D56" t="s">
        <v>3768</v>
      </c>
      <c r="E56" t="s">
        <v>3557</v>
      </c>
      <c r="F56" t="s">
        <v>3769</v>
      </c>
      <c r="G56" t="s">
        <v>3770</v>
      </c>
      <c r="I56">
        <v>33092000</v>
      </c>
      <c r="J56" t="s">
        <v>3762</v>
      </c>
      <c r="K56" s="23"/>
      <c r="L56" s="23">
        <v>31626000</v>
      </c>
      <c r="M56" t="s">
        <v>3771</v>
      </c>
      <c r="N56" t="s">
        <v>3617</v>
      </c>
      <c r="O56" t="s">
        <v>3621</v>
      </c>
    </row>
    <row r="57" spans="2:18" hidden="1">
      <c r="B57">
        <v>48</v>
      </c>
      <c r="C57">
        <v>4064</v>
      </c>
      <c r="D57" t="s">
        <v>3772</v>
      </c>
      <c r="E57" t="s">
        <v>3557</v>
      </c>
      <c r="F57">
        <v>3352476</v>
      </c>
      <c r="G57" t="s">
        <v>3773</v>
      </c>
      <c r="H57">
        <v>7450</v>
      </c>
      <c r="J57" t="s">
        <v>3774</v>
      </c>
      <c r="K57" s="23">
        <v>7359</v>
      </c>
      <c r="L57" s="23"/>
      <c r="M57" t="s">
        <v>3775</v>
      </c>
      <c r="N57" t="s">
        <v>3561</v>
      </c>
      <c r="O57" t="s">
        <v>3776</v>
      </c>
      <c r="P57" t="s">
        <v>3600</v>
      </c>
      <c r="Q57" t="s">
        <v>3580</v>
      </c>
    </row>
    <row r="58" spans="2:18" hidden="1">
      <c r="B58">
        <v>49</v>
      </c>
      <c r="C58">
        <v>4048</v>
      </c>
      <c r="D58" t="s">
        <v>3777</v>
      </c>
      <c r="E58" t="s">
        <v>3557</v>
      </c>
      <c r="F58">
        <v>5217930</v>
      </c>
      <c r="G58" t="s">
        <v>3778</v>
      </c>
      <c r="H58">
        <v>10930</v>
      </c>
      <c r="J58" t="s">
        <v>3779</v>
      </c>
      <c r="K58" s="23">
        <v>10930</v>
      </c>
      <c r="L58" s="23"/>
      <c r="M58" t="s">
        <v>3780</v>
      </c>
      <c r="N58" t="s">
        <v>3664</v>
      </c>
      <c r="O58" t="s">
        <v>3781</v>
      </c>
      <c r="P58" t="s">
        <v>3600</v>
      </c>
      <c r="Q58" t="s">
        <v>3580</v>
      </c>
    </row>
    <row r="59" spans="2:18">
      <c r="B59">
        <v>50</v>
      </c>
      <c r="C59">
        <v>4347</v>
      </c>
      <c r="D59" t="s">
        <v>3782</v>
      </c>
      <c r="E59" t="s">
        <v>3557</v>
      </c>
      <c r="F59">
        <v>4386831</v>
      </c>
      <c r="G59" t="s">
        <v>3783</v>
      </c>
      <c r="H59">
        <v>6000</v>
      </c>
      <c r="J59" t="s">
        <v>3779</v>
      </c>
      <c r="K59" s="23">
        <v>6000</v>
      </c>
      <c r="L59" s="23"/>
      <c r="M59" t="s">
        <v>3784</v>
      </c>
      <c r="N59" t="s">
        <v>3561</v>
      </c>
      <c r="O59" t="s">
        <v>3785</v>
      </c>
      <c r="P59" t="s">
        <v>3563</v>
      </c>
      <c r="Q59" t="s">
        <v>3580</v>
      </c>
      <c r="R59" s="54">
        <v>43752</v>
      </c>
    </row>
    <row r="60" spans="2:18" hidden="1">
      <c r="B60">
        <v>51</v>
      </c>
      <c r="C60">
        <v>101044</v>
      </c>
      <c r="D60" t="s">
        <v>3786</v>
      </c>
      <c r="E60" t="s">
        <v>3557</v>
      </c>
      <c r="F60">
        <v>2680082</v>
      </c>
      <c r="G60" t="s">
        <v>3787</v>
      </c>
      <c r="I60">
        <v>139500000</v>
      </c>
      <c r="J60" t="s">
        <v>3604</v>
      </c>
      <c r="K60" s="23"/>
      <c r="L60" s="23">
        <v>139500000</v>
      </c>
      <c r="M60" t="s">
        <v>3617</v>
      </c>
      <c r="N60" t="s">
        <v>3605</v>
      </c>
      <c r="O60" t="s">
        <v>3788</v>
      </c>
    </row>
    <row r="61" spans="2:18" hidden="1">
      <c r="B61">
        <v>52</v>
      </c>
      <c r="C61">
        <v>101081</v>
      </c>
      <c r="D61" t="s">
        <v>3789</v>
      </c>
      <c r="E61" t="s">
        <v>3557</v>
      </c>
      <c r="F61">
        <v>5409550</v>
      </c>
      <c r="G61" t="s">
        <v>3603</v>
      </c>
      <c r="I61">
        <v>33724000</v>
      </c>
      <c r="J61" t="s">
        <v>3604</v>
      </c>
      <c r="K61" s="23"/>
      <c r="L61" s="23">
        <v>33724000</v>
      </c>
      <c r="N61" t="s">
        <v>3578</v>
      </c>
      <c r="O61" t="s">
        <v>3790</v>
      </c>
    </row>
    <row r="62" spans="2:18" hidden="1">
      <c r="B62">
        <v>53</v>
      </c>
      <c r="C62">
        <v>4550</v>
      </c>
      <c r="D62" t="s">
        <v>3791</v>
      </c>
      <c r="E62" t="s">
        <v>3573</v>
      </c>
      <c r="F62">
        <v>3569261</v>
      </c>
      <c r="G62" t="s">
        <v>3792</v>
      </c>
      <c r="H62">
        <v>16598</v>
      </c>
      <c r="J62" t="s">
        <v>3793</v>
      </c>
      <c r="K62" s="23">
        <v>16598</v>
      </c>
      <c r="L62" s="23"/>
      <c r="M62" t="s">
        <v>3794</v>
      </c>
      <c r="N62" t="s">
        <v>3795</v>
      </c>
      <c r="O62" t="s">
        <v>3796</v>
      </c>
      <c r="P62" t="s">
        <v>3600</v>
      </c>
      <c r="Q62" t="s">
        <v>3580</v>
      </c>
    </row>
    <row r="63" spans="2:18" hidden="1">
      <c r="B63">
        <v>54</v>
      </c>
      <c r="C63">
        <v>5942</v>
      </c>
      <c r="D63" t="s">
        <v>3797</v>
      </c>
      <c r="E63" t="s">
        <v>3667</v>
      </c>
      <c r="F63">
        <v>3546838</v>
      </c>
      <c r="G63" t="s">
        <v>3798</v>
      </c>
      <c r="H63">
        <v>10965</v>
      </c>
      <c r="J63" t="s">
        <v>3799</v>
      </c>
      <c r="K63" s="23">
        <v>10965</v>
      </c>
      <c r="L63" s="23"/>
      <c r="M63" t="s">
        <v>3800</v>
      </c>
      <c r="N63" t="s">
        <v>3585</v>
      </c>
      <c r="O63" t="s">
        <v>3801</v>
      </c>
      <c r="Q63" t="s">
        <v>3564</v>
      </c>
    </row>
    <row r="64" spans="2:18" hidden="1">
      <c r="B64">
        <v>55</v>
      </c>
      <c r="C64">
        <v>4381</v>
      </c>
      <c r="D64" t="s">
        <v>3802</v>
      </c>
      <c r="E64" t="s">
        <v>3557</v>
      </c>
      <c r="F64">
        <v>373972</v>
      </c>
      <c r="G64" t="s">
        <v>3803</v>
      </c>
      <c r="H64">
        <v>22500</v>
      </c>
      <c r="J64" t="s">
        <v>3804</v>
      </c>
      <c r="K64" s="23">
        <v>22500</v>
      </c>
      <c r="L64" s="23"/>
      <c r="M64" t="s">
        <v>3805</v>
      </c>
      <c r="N64" t="s">
        <v>3664</v>
      </c>
      <c r="O64" t="s">
        <v>3806</v>
      </c>
      <c r="P64" t="s">
        <v>3563</v>
      </c>
      <c r="Q64" t="s">
        <v>3580</v>
      </c>
    </row>
    <row r="65" spans="2:17" hidden="1">
      <c r="B65">
        <v>56</v>
      </c>
      <c r="C65">
        <v>100811</v>
      </c>
      <c r="D65" t="s">
        <v>3807</v>
      </c>
      <c r="E65" t="s">
        <v>3557</v>
      </c>
      <c r="F65">
        <v>4513954</v>
      </c>
      <c r="G65" t="s">
        <v>3808</v>
      </c>
      <c r="I65">
        <v>54000000</v>
      </c>
      <c r="J65" t="s">
        <v>3809</v>
      </c>
      <c r="K65" s="23"/>
      <c r="L65" s="23">
        <v>51000000</v>
      </c>
      <c r="M65" t="s">
        <v>3810</v>
      </c>
      <c r="N65" t="s">
        <v>3711</v>
      </c>
      <c r="O65" t="s">
        <v>3811</v>
      </c>
    </row>
    <row r="66" spans="2:17" hidden="1">
      <c r="B66">
        <v>57</v>
      </c>
      <c r="C66">
        <v>4761</v>
      </c>
      <c r="D66" t="s">
        <v>3812</v>
      </c>
      <c r="E66" t="s">
        <v>3573</v>
      </c>
      <c r="F66">
        <v>2383281</v>
      </c>
      <c r="G66" t="s">
        <v>3813</v>
      </c>
      <c r="H66">
        <v>5715</v>
      </c>
      <c r="J66" t="s">
        <v>3814</v>
      </c>
      <c r="K66" s="23">
        <v>5715</v>
      </c>
      <c r="L66" s="23"/>
      <c r="M66" t="s">
        <v>3794</v>
      </c>
      <c r="N66" t="s">
        <v>3578</v>
      </c>
      <c r="O66" t="s">
        <v>3815</v>
      </c>
      <c r="P66" t="s">
        <v>3600</v>
      </c>
      <c r="Q66" t="s">
        <v>3580</v>
      </c>
    </row>
    <row r="67" spans="2:17" hidden="1">
      <c r="B67">
        <v>58</v>
      </c>
      <c r="C67">
        <v>6909</v>
      </c>
      <c r="D67" t="s">
        <v>3816</v>
      </c>
      <c r="E67" t="s">
        <v>3557</v>
      </c>
      <c r="F67">
        <v>4700772</v>
      </c>
      <c r="G67" t="s">
        <v>3817</v>
      </c>
      <c r="I67">
        <v>59200000</v>
      </c>
      <c r="J67" t="s">
        <v>3762</v>
      </c>
      <c r="K67" s="23"/>
      <c r="L67" s="23">
        <v>65464359</v>
      </c>
      <c r="M67" t="s">
        <v>3818</v>
      </c>
      <c r="N67" t="s">
        <v>3617</v>
      </c>
      <c r="O67" t="s">
        <v>3819</v>
      </c>
    </row>
    <row r="68" spans="2:17" hidden="1">
      <c r="B68">
        <v>59</v>
      </c>
      <c r="C68">
        <v>4447</v>
      </c>
      <c r="D68" t="s">
        <v>3820</v>
      </c>
      <c r="E68" t="s">
        <v>3557</v>
      </c>
      <c r="F68">
        <v>6793168</v>
      </c>
      <c r="G68" t="s">
        <v>3821</v>
      </c>
      <c r="H68">
        <v>3666</v>
      </c>
      <c r="J68" t="s">
        <v>3822</v>
      </c>
      <c r="K68" s="23">
        <v>7333</v>
      </c>
      <c r="L68" s="23"/>
      <c r="M68" t="s">
        <v>3568</v>
      </c>
      <c r="N68" t="s">
        <v>3578</v>
      </c>
      <c r="O68" t="s">
        <v>3823</v>
      </c>
      <c r="P68" t="s">
        <v>3600</v>
      </c>
      <c r="Q68" t="s">
        <v>3571</v>
      </c>
    </row>
    <row r="69" spans="2:17" hidden="1">
      <c r="B69">
        <v>60</v>
      </c>
      <c r="C69">
        <v>7477</v>
      </c>
      <c r="D69" t="s">
        <v>3824</v>
      </c>
      <c r="E69" t="s">
        <v>3557</v>
      </c>
      <c r="F69">
        <v>7692959</v>
      </c>
      <c r="G69" t="s">
        <v>3825</v>
      </c>
      <c r="H69">
        <v>1640</v>
      </c>
      <c r="J69" t="s">
        <v>3826</v>
      </c>
      <c r="K69" s="23">
        <v>0</v>
      </c>
      <c r="L69" s="23"/>
      <c r="M69" t="s">
        <v>3568</v>
      </c>
      <c r="N69" t="s">
        <v>3648</v>
      </c>
      <c r="O69" t="s">
        <v>3827</v>
      </c>
    </row>
    <row r="70" spans="2:17" hidden="1">
      <c r="B70">
        <v>61</v>
      </c>
      <c r="C70">
        <v>101010</v>
      </c>
      <c r="D70" t="s">
        <v>3828</v>
      </c>
      <c r="E70" t="s">
        <v>3557</v>
      </c>
      <c r="F70">
        <v>6351027</v>
      </c>
      <c r="G70" t="s">
        <v>3829</v>
      </c>
      <c r="I70">
        <v>121200000</v>
      </c>
      <c r="K70" s="23"/>
      <c r="L70" s="23">
        <v>129240000</v>
      </c>
      <c r="M70" t="s">
        <v>3620</v>
      </c>
      <c r="N70" t="s">
        <v>3617</v>
      </c>
      <c r="O70" t="s">
        <v>3830</v>
      </c>
    </row>
    <row r="71" spans="2:17" hidden="1">
      <c r="B71">
        <v>62</v>
      </c>
      <c r="C71">
        <v>100683</v>
      </c>
      <c r="D71" t="s">
        <v>3831</v>
      </c>
      <c r="E71" t="s">
        <v>3557</v>
      </c>
      <c r="F71" t="s">
        <v>3832</v>
      </c>
      <c r="G71" t="s">
        <v>3833</v>
      </c>
      <c r="I71">
        <v>80934000</v>
      </c>
      <c r="J71" t="s">
        <v>3762</v>
      </c>
      <c r="K71" s="23"/>
      <c r="L71" s="23">
        <v>80934000</v>
      </c>
      <c r="M71" t="s">
        <v>3834</v>
      </c>
      <c r="N71" t="s">
        <v>3691</v>
      </c>
      <c r="O71" t="s">
        <v>3835</v>
      </c>
    </row>
    <row r="72" spans="2:17" hidden="1">
      <c r="B72">
        <v>63</v>
      </c>
      <c r="C72">
        <v>100289</v>
      </c>
      <c r="D72" t="s">
        <v>3836</v>
      </c>
      <c r="E72" t="s">
        <v>3837</v>
      </c>
      <c r="F72" t="s">
        <v>3838</v>
      </c>
      <c r="G72" t="s">
        <v>3839</v>
      </c>
      <c r="I72">
        <v>245399000</v>
      </c>
      <c r="J72" t="s">
        <v>3762</v>
      </c>
      <c r="K72" s="23"/>
      <c r="L72" s="23">
        <v>238328000</v>
      </c>
      <c r="M72" t="s">
        <v>3840</v>
      </c>
      <c r="N72" t="s">
        <v>3691</v>
      </c>
      <c r="O72" t="s">
        <v>3841</v>
      </c>
    </row>
    <row r="73" spans="2:17" hidden="1">
      <c r="B73">
        <v>64</v>
      </c>
      <c r="C73">
        <v>6539</v>
      </c>
      <c r="D73" t="s">
        <v>3842</v>
      </c>
      <c r="E73" t="s">
        <v>3557</v>
      </c>
      <c r="F73">
        <v>2510918</v>
      </c>
      <c r="G73" t="s">
        <v>3843</v>
      </c>
      <c r="H73">
        <v>3172</v>
      </c>
      <c r="K73" s="23">
        <v>0</v>
      </c>
      <c r="L73" s="23"/>
      <c r="M73" t="s">
        <v>3620</v>
      </c>
      <c r="N73" t="s">
        <v>3613</v>
      </c>
      <c r="O73" t="s">
        <v>3844</v>
      </c>
      <c r="P73" t="s">
        <v>3563</v>
      </c>
    </row>
    <row r="74" spans="2:17" hidden="1">
      <c r="B74">
        <v>65</v>
      </c>
      <c r="C74">
        <v>4041</v>
      </c>
      <c r="D74" t="s">
        <v>3845</v>
      </c>
      <c r="E74" t="s">
        <v>3557</v>
      </c>
      <c r="F74">
        <v>3457095</v>
      </c>
      <c r="G74" t="s">
        <v>3846</v>
      </c>
      <c r="H74">
        <v>3001</v>
      </c>
      <c r="J74" t="s">
        <v>3804</v>
      </c>
      <c r="K74" s="23">
        <v>3534</v>
      </c>
      <c r="L74" s="23"/>
      <c r="M74" t="s">
        <v>3847</v>
      </c>
      <c r="N74" t="s">
        <v>3691</v>
      </c>
      <c r="O74" t="s">
        <v>3848</v>
      </c>
      <c r="Q74" t="s">
        <v>3580</v>
      </c>
    </row>
    <row r="75" spans="2:17" hidden="1">
      <c r="B75">
        <v>66</v>
      </c>
      <c r="C75">
        <v>101051</v>
      </c>
      <c r="D75" t="s">
        <v>3849</v>
      </c>
      <c r="E75" t="s">
        <v>3557</v>
      </c>
      <c r="F75">
        <v>3720888</v>
      </c>
      <c r="G75" t="s">
        <v>3850</v>
      </c>
      <c r="I75">
        <v>128935000</v>
      </c>
      <c r="J75" t="s">
        <v>3762</v>
      </c>
      <c r="K75" s="23"/>
      <c r="L75" s="23">
        <v>128935000</v>
      </c>
      <c r="M75" t="s">
        <v>3851</v>
      </c>
      <c r="N75" t="s">
        <v>3711</v>
      </c>
      <c r="O75" t="s">
        <v>3852</v>
      </c>
    </row>
    <row r="76" spans="2:17" hidden="1">
      <c r="B76">
        <v>67</v>
      </c>
      <c r="C76">
        <v>6189</v>
      </c>
      <c r="D76" t="s">
        <v>3853</v>
      </c>
      <c r="E76" t="s">
        <v>3557</v>
      </c>
      <c r="F76">
        <v>3689904</v>
      </c>
      <c r="G76" t="s">
        <v>3854</v>
      </c>
      <c r="H76">
        <v>18597</v>
      </c>
      <c r="K76" s="23">
        <v>18597</v>
      </c>
      <c r="L76" s="23"/>
      <c r="M76" t="s">
        <v>3854</v>
      </c>
      <c r="N76" t="s">
        <v>3578</v>
      </c>
      <c r="O76" t="s">
        <v>3855</v>
      </c>
      <c r="P76" t="s">
        <v>3563</v>
      </c>
    </row>
    <row r="77" spans="2:17" hidden="1">
      <c r="B77">
        <v>68</v>
      </c>
      <c r="C77">
        <v>100616</v>
      </c>
      <c r="D77" t="s">
        <v>3856</v>
      </c>
      <c r="E77" t="s">
        <v>3557</v>
      </c>
      <c r="F77">
        <v>2978716</v>
      </c>
      <c r="G77" t="s">
        <v>3857</v>
      </c>
      <c r="I77">
        <v>67937000</v>
      </c>
      <c r="J77" t="s">
        <v>3604</v>
      </c>
      <c r="K77" s="23"/>
      <c r="L77" s="23">
        <v>29805903</v>
      </c>
      <c r="M77" t="s">
        <v>3858</v>
      </c>
      <c r="N77" t="s">
        <v>3617</v>
      </c>
      <c r="O77" t="s">
        <v>3859</v>
      </c>
    </row>
    <row r="78" spans="2:17" hidden="1">
      <c r="B78">
        <v>69</v>
      </c>
      <c r="C78">
        <v>50943</v>
      </c>
      <c r="D78" t="s">
        <v>3860</v>
      </c>
      <c r="E78" t="s">
        <v>3557</v>
      </c>
      <c r="F78">
        <v>3632496</v>
      </c>
      <c r="G78" t="s">
        <v>3861</v>
      </c>
      <c r="I78">
        <v>20100000</v>
      </c>
      <c r="J78" t="s">
        <v>3612</v>
      </c>
      <c r="K78" s="23"/>
      <c r="L78" s="23">
        <v>20100660</v>
      </c>
      <c r="M78" t="s">
        <v>3862</v>
      </c>
      <c r="N78" t="s">
        <v>3617</v>
      </c>
      <c r="O78" t="s">
        <v>3863</v>
      </c>
    </row>
    <row r="79" spans="2:17" hidden="1">
      <c r="B79">
        <v>70</v>
      </c>
      <c r="C79">
        <v>4816</v>
      </c>
      <c r="D79" t="s">
        <v>3864</v>
      </c>
      <c r="E79" t="s">
        <v>3557</v>
      </c>
      <c r="F79">
        <v>3201226</v>
      </c>
      <c r="G79" t="s">
        <v>3865</v>
      </c>
      <c r="H79">
        <v>4125</v>
      </c>
      <c r="J79" t="s">
        <v>3804</v>
      </c>
      <c r="K79" s="23">
        <v>4125</v>
      </c>
      <c r="L79" s="23"/>
      <c r="M79" t="s">
        <v>3866</v>
      </c>
      <c r="N79" t="s">
        <v>3691</v>
      </c>
      <c r="O79" t="s">
        <v>3867</v>
      </c>
      <c r="P79" t="s">
        <v>3563</v>
      </c>
      <c r="Q79" t="s">
        <v>3571</v>
      </c>
    </row>
    <row r="80" spans="2:17" hidden="1">
      <c r="B80">
        <v>71</v>
      </c>
      <c r="C80">
        <v>4502</v>
      </c>
      <c r="D80" t="s">
        <v>3868</v>
      </c>
      <c r="E80" t="s">
        <v>3557</v>
      </c>
      <c r="F80">
        <v>656002</v>
      </c>
      <c r="G80" t="s">
        <v>3869</v>
      </c>
      <c r="H80">
        <v>23590</v>
      </c>
      <c r="K80" s="23">
        <v>23590</v>
      </c>
      <c r="L80" s="23"/>
      <c r="M80" t="s">
        <v>3870</v>
      </c>
      <c r="N80" t="s">
        <v>3585</v>
      </c>
      <c r="O80" t="s">
        <v>3871</v>
      </c>
      <c r="Q80" t="s">
        <v>3580</v>
      </c>
    </row>
    <row r="81" spans="2:17" hidden="1">
      <c r="B81">
        <v>72</v>
      </c>
      <c r="C81">
        <v>4452</v>
      </c>
      <c r="D81" t="s">
        <v>3872</v>
      </c>
      <c r="E81" t="s">
        <v>3557</v>
      </c>
      <c r="F81">
        <v>2034970</v>
      </c>
      <c r="G81" t="s">
        <v>3873</v>
      </c>
      <c r="H81">
        <v>1946</v>
      </c>
      <c r="K81" s="23">
        <v>1946</v>
      </c>
      <c r="L81" s="23"/>
      <c r="M81" t="s">
        <v>3874</v>
      </c>
      <c r="N81" t="s">
        <v>3691</v>
      </c>
      <c r="O81" t="s">
        <v>3875</v>
      </c>
      <c r="P81" t="s">
        <v>3600</v>
      </c>
      <c r="Q81" t="s">
        <v>3580</v>
      </c>
    </row>
    <row r="82" spans="2:17" hidden="1">
      <c r="B82">
        <v>73</v>
      </c>
      <c r="C82">
        <v>6449</v>
      </c>
      <c r="D82" t="s">
        <v>3876</v>
      </c>
      <c r="E82" t="s">
        <v>3557</v>
      </c>
      <c r="F82">
        <v>1879479</v>
      </c>
      <c r="G82" t="s">
        <v>3877</v>
      </c>
      <c r="H82">
        <v>11901</v>
      </c>
      <c r="J82" t="s">
        <v>3741</v>
      </c>
      <c r="K82" s="23">
        <v>14413</v>
      </c>
      <c r="L82" s="23"/>
      <c r="M82" t="s">
        <v>3878</v>
      </c>
      <c r="N82" t="s">
        <v>3691</v>
      </c>
      <c r="O82" t="s">
        <v>3879</v>
      </c>
      <c r="P82" t="s">
        <v>3563</v>
      </c>
      <c r="Q82" t="s">
        <v>3580</v>
      </c>
    </row>
    <row r="83" spans="2:17" hidden="1">
      <c r="B83">
        <v>74</v>
      </c>
      <c r="C83">
        <v>100769</v>
      </c>
      <c r="D83" t="s">
        <v>3880</v>
      </c>
      <c r="E83" t="s">
        <v>3557</v>
      </c>
      <c r="F83">
        <v>4756980</v>
      </c>
      <c r="G83" t="s">
        <v>3881</v>
      </c>
      <c r="I83">
        <v>19844999</v>
      </c>
      <c r="J83" t="s">
        <v>3677</v>
      </c>
      <c r="K83" s="23"/>
      <c r="L83" s="23">
        <v>19844999</v>
      </c>
      <c r="N83" t="s">
        <v>3648</v>
      </c>
      <c r="O83" t="s">
        <v>3882</v>
      </c>
    </row>
    <row r="84" spans="2:17" hidden="1">
      <c r="B84">
        <v>75</v>
      </c>
      <c r="C84">
        <v>4884</v>
      </c>
      <c r="D84" t="s">
        <v>3883</v>
      </c>
      <c r="E84" t="s">
        <v>3557</v>
      </c>
      <c r="F84">
        <v>4015237</v>
      </c>
      <c r="G84" t="s">
        <v>3884</v>
      </c>
      <c r="H84">
        <v>11050</v>
      </c>
      <c r="J84" t="s">
        <v>3885</v>
      </c>
      <c r="K84" s="23">
        <v>7050</v>
      </c>
      <c r="L84" s="23"/>
      <c r="M84" t="s">
        <v>3886</v>
      </c>
      <c r="N84" t="s">
        <v>3887</v>
      </c>
      <c r="O84" t="s">
        <v>3888</v>
      </c>
      <c r="P84" t="s">
        <v>3563</v>
      </c>
      <c r="Q84" t="s">
        <v>3564</v>
      </c>
    </row>
    <row r="85" spans="2:17" hidden="1">
      <c r="B85">
        <v>76</v>
      </c>
      <c r="C85">
        <v>4892</v>
      </c>
      <c r="D85" t="s">
        <v>3889</v>
      </c>
      <c r="E85" t="s">
        <v>3557</v>
      </c>
      <c r="F85">
        <v>1250539</v>
      </c>
      <c r="G85" t="s">
        <v>3890</v>
      </c>
      <c r="H85">
        <v>13802</v>
      </c>
      <c r="K85" s="23">
        <v>11552</v>
      </c>
      <c r="L85" s="23"/>
      <c r="M85" t="s">
        <v>3891</v>
      </c>
      <c r="N85" t="s">
        <v>3578</v>
      </c>
      <c r="O85" t="s">
        <v>3892</v>
      </c>
    </row>
    <row r="86" spans="2:17" hidden="1">
      <c r="B86">
        <v>77</v>
      </c>
      <c r="C86">
        <v>4501</v>
      </c>
      <c r="D86" t="s">
        <v>3893</v>
      </c>
      <c r="E86" t="s">
        <v>3557</v>
      </c>
      <c r="F86">
        <v>692651</v>
      </c>
      <c r="H86">
        <v>44240</v>
      </c>
      <c r="J86" t="s">
        <v>3894</v>
      </c>
      <c r="K86" s="23">
        <v>44240</v>
      </c>
      <c r="L86" s="23"/>
      <c r="M86" t="s">
        <v>3895</v>
      </c>
      <c r="N86" t="s">
        <v>3896</v>
      </c>
      <c r="O86" t="s">
        <v>3897</v>
      </c>
    </row>
    <row r="87" spans="2:17" hidden="1">
      <c r="B87">
        <v>78</v>
      </c>
      <c r="C87">
        <v>2759</v>
      </c>
      <c r="D87" t="s">
        <v>3898</v>
      </c>
      <c r="E87" t="s">
        <v>3557</v>
      </c>
      <c r="F87">
        <v>1237380</v>
      </c>
      <c r="G87" t="s">
        <v>3899</v>
      </c>
      <c r="I87">
        <v>44484000</v>
      </c>
      <c r="J87" t="s">
        <v>3900</v>
      </c>
      <c r="K87" s="23"/>
      <c r="L87" s="23">
        <v>19250</v>
      </c>
      <c r="M87" t="s">
        <v>3901</v>
      </c>
      <c r="N87" t="s">
        <v>3613</v>
      </c>
      <c r="O87" t="s">
        <v>3902</v>
      </c>
      <c r="P87" t="s">
        <v>3563</v>
      </c>
      <c r="Q87" t="s">
        <v>3580</v>
      </c>
    </row>
    <row r="88" spans="2:17" hidden="1">
      <c r="B88">
        <v>79</v>
      </c>
      <c r="C88">
        <v>100927</v>
      </c>
      <c r="D88" t="s">
        <v>3903</v>
      </c>
      <c r="E88" t="s">
        <v>3557</v>
      </c>
      <c r="F88">
        <v>5621569</v>
      </c>
      <c r="G88" t="s">
        <v>3904</v>
      </c>
      <c r="I88">
        <v>28200000</v>
      </c>
      <c r="J88" t="s">
        <v>3604</v>
      </c>
      <c r="K88" s="23"/>
      <c r="L88" s="23">
        <v>18000000</v>
      </c>
      <c r="M88" t="s">
        <v>3905</v>
      </c>
      <c r="N88" t="s">
        <v>3617</v>
      </c>
      <c r="O88" t="s">
        <v>3906</v>
      </c>
    </row>
    <row r="89" spans="2:17" hidden="1">
      <c r="B89">
        <v>80</v>
      </c>
      <c r="C89">
        <v>6739</v>
      </c>
      <c r="D89" t="s">
        <v>3907</v>
      </c>
      <c r="E89" t="s">
        <v>3557</v>
      </c>
      <c r="F89">
        <v>3767273</v>
      </c>
      <c r="G89" t="s">
        <v>3908</v>
      </c>
      <c r="H89">
        <v>8053</v>
      </c>
      <c r="J89" t="s">
        <v>3909</v>
      </c>
      <c r="K89" s="23">
        <v>10059</v>
      </c>
      <c r="L89" s="23"/>
      <c r="M89" t="s">
        <v>3905</v>
      </c>
      <c r="N89" t="s">
        <v>3617</v>
      </c>
      <c r="O89" t="s">
        <v>3910</v>
      </c>
    </row>
    <row r="90" spans="2:17" hidden="1">
      <c r="B90">
        <v>81</v>
      </c>
      <c r="C90">
        <v>101014</v>
      </c>
      <c r="D90" t="s">
        <v>3911</v>
      </c>
      <c r="E90" t="s">
        <v>3557</v>
      </c>
      <c r="F90">
        <v>5651749</v>
      </c>
      <c r="G90" t="s">
        <v>3912</v>
      </c>
      <c r="I90">
        <v>53307500</v>
      </c>
      <c r="J90" t="s">
        <v>3604</v>
      </c>
      <c r="K90" s="23"/>
      <c r="L90" s="23">
        <v>53307500</v>
      </c>
      <c r="M90" t="s">
        <v>3913</v>
      </c>
      <c r="N90" t="s">
        <v>3585</v>
      </c>
      <c r="O90" t="s">
        <v>3914</v>
      </c>
    </row>
    <row r="91" spans="2:17" hidden="1">
      <c r="B91">
        <v>82</v>
      </c>
      <c r="C91">
        <v>50602</v>
      </c>
      <c r="D91" t="s">
        <v>3915</v>
      </c>
      <c r="E91" t="s">
        <v>3557</v>
      </c>
      <c r="F91">
        <v>2523614</v>
      </c>
      <c r="G91" t="s">
        <v>3916</v>
      </c>
      <c r="I91">
        <v>199788000</v>
      </c>
      <c r="J91" t="s">
        <v>3917</v>
      </c>
      <c r="K91" s="23"/>
      <c r="L91" s="23">
        <v>199788000</v>
      </c>
      <c r="M91" t="s">
        <v>3918</v>
      </c>
      <c r="N91" t="s">
        <v>3648</v>
      </c>
      <c r="O91" t="s">
        <v>3919</v>
      </c>
    </row>
    <row r="92" spans="2:17" hidden="1">
      <c r="B92">
        <v>83</v>
      </c>
      <c r="C92">
        <v>50946</v>
      </c>
      <c r="D92" t="s">
        <v>3920</v>
      </c>
      <c r="E92" t="s">
        <v>3557</v>
      </c>
      <c r="F92">
        <v>4876846</v>
      </c>
      <c r="G92" t="s">
        <v>3639</v>
      </c>
      <c r="I92">
        <v>13500000</v>
      </c>
      <c r="J92" t="s">
        <v>3612</v>
      </c>
      <c r="K92" s="23"/>
      <c r="L92" s="23">
        <v>15335000</v>
      </c>
      <c r="M92" t="s">
        <v>3640</v>
      </c>
      <c r="N92" t="s">
        <v>3578</v>
      </c>
      <c r="O92" t="s">
        <v>3921</v>
      </c>
    </row>
    <row r="93" spans="2:17" hidden="1">
      <c r="B93">
        <v>84</v>
      </c>
      <c r="C93">
        <v>22539</v>
      </c>
      <c r="D93" t="s">
        <v>3922</v>
      </c>
      <c r="E93" t="s">
        <v>3636</v>
      </c>
      <c r="F93">
        <v>1396500</v>
      </c>
      <c r="G93" t="s">
        <v>3923</v>
      </c>
      <c r="H93">
        <v>14000</v>
      </c>
      <c r="K93" s="23"/>
      <c r="L93" s="23">
        <v>0</v>
      </c>
      <c r="N93" t="s">
        <v>3636</v>
      </c>
      <c r="O93" t="s">
        <v>3924</v>
      </c>
    </row>
    <row r="94" spans="2:17" hidden="1">
      <c r="B94">
        <v>85</v>
      </c>
      <c r="C94">
        <v>2922</v>
      </c>
      <c r="D94" t="s">
        <v>3925</v>
      </c>
      <c r="E94" t="s">
        <v>3557</v>
      </c>
      <c r="F94">
        <v>1266172</v>
      </c>
      <c r="G94" t="s">
        <v>3926</v>
      </c>
      <c r="I94">
        <v>6050000</v>
      </c>
      <c r="J94" t="s">
        <v>3927</v>
      </c>
      <c r="K94" s="23"/>
      <c r="L94" s="23">
        <v>7577111</v>
      </c>
      <c r="M94" t="s">
        <v>3928</v>
      </c>
      <c r="N94" t="s">
        <v>3664</v>
      </c>
      <c r="O94" t="s">
        <v>3929</v>
      </c>
      <c r="P94" t="s">
        <v>3563</v>
      </c>
      <c r="Q94" t="s">
        <v>3571</v>
      </c>
    </row>
    <row r="95" spans="2:17" hidden="1">
      <c r="B95">
        <v>86</v>
      </c>
      <c r="C95">
        <v>7476</v>
      </c>
      <c r="D95" t="s">
        <v>3930</v>
      </c>
      <c r="E95" t="s">
        <v>3557</v>
      </c>
      <c r="F95">
        <v>609039</v>
      </c>
      <c r="G95" t="s">
        <v>3931</v>
      </c>
      <c r="H95">
        <v>12568</v>
      </c>
      <c r="J95" t="s">
        <v>3932</v>
      </c>
      <c r="K95" s="23">
        <v>12568</v>
      </c>
      <c r="L95" s="23"/>
      <c r="M95" t="s">
        <v>3933</v>
      </c>
      <c r="N95" t="s">
        <v>3648</v>
      </c>
      <c r="O95" t="s">
        <v>3934</v>
      </c>
    </row>
    <row r="96" spans="2:17" hidden="1">
      <c r="B96">
        <v>87</v>
      </c>
      <c r="C96">
        <v>24419</v>
      </c>
      <c r="D96" t="s">
        <v>3935</v>
      </c>
      <c r="E96" t="s">
        <v>3557</v>
      </c>
      <c r="F96">
        <v>1172895</v>
      </c>
      <c r="G96" t="s">
        <v>3936</v>
      </c>
      <c r="I96">
        <v>22488000</v>
      </c>
      <c r="J96" t="s">
        <v>3583</v>
      </c>
      <c r="K96" s="23"/>
      <c r="L96" s="23">
        <v>22488000</v>
      </c>
      <c r="M96" t="s">
        <v>3568</v>
      </c>
      <c r="N96" t="s">
        <v>3691</v>
      </c>
      <c r="O96" t="s">
        <v>3937</v>
      </c>
      <c r="Q96" t="s">
        <v>3571</v>
      </c>
    </row>
    <row r="97" spans="2:18" hidden="1">
      <c r="B97">
        <v>88</v>
      </c>
      <c r="C97">
        <v>50917</v>
      </c>
      <c r="D97" t="s">
        <v>3938</v>
      </c>
      <c r="E97" t="s">
        <v>3557</v>
      </c>
      <c r="F97">
        <v>3966744</v>
      </c>
      <c r="G97" t="s">
        <v>3939</v>
      </c>
      <c r="I97">
        <v>146392000</v>
      </c>
      <c r="K97" s="23"/>
      <c r="L97" s="23">
        <v>146392000</v>
      </c>
      <c r="M97" t="s">
        <v>3940</v>
      </c>
      <c r="N97" t="s">
        <v>3585</v>
      </c>
      <c r="O97" t="s">
        <v>3941</v>
      </c>
      <c r="Q97" t="s">
        <v>3564</v>
      </c>
    </row>
    <row r="98" spans="2:18" hidden="1">
      <c r="B98">
        <v>89</v>
      </c>
      <c r="C98">
        <v>50917</v>
      </c>
      <c r="D98" t="s">
        <v>3942</v>
      </c>
      <c r="E98" t="s">
        <v>3557</v>
      </c>
      <c r="F98" t="s">
        <v>3943</v>
      </c>
      <c r="G98" t="s">
        <v>3939</v>
      </c>
      <c r="I98">
        <v>53778000</v>
      </c>
      <c r="K98" s="23"/>
      <c r="L98" s="23">
        <v>53778000</v>
      </c>
      <c r="O98" t="s">
        <v>3944</v>
      </c>
    </row>
    <row r="99" spans="2:18" hidden="1">
      <c r="B99">
        <v>90</v>
      </c>
      <c r="C99">
        <v>4313</v>
      </c>
      <c r="D99" t="s">
        <v>3945</v>
      </c>
      <c r="E99" t="s">
        <v>3557</v>
      </c>
      <c r="F99">
        <v>2988254</v>
      </c>
      <c r="G99" t="s">
        <v>3946</v>
      </c>
      <c r="H99">
        <v>9954</v>
      </c>
      <c r="K99" s="23">
        <v>10008</v>
      </c>
      <c r="L99" s="23"/>
      <c r="M99" t="s">
        <v>3946</v>
      </c>
      <c r="N99" t="s">
        <v>3578</v>
      </c>
      <c r="O99" t="s">
        <v>3947</v>
      </c>
      <c r="P99" t="s">
        <v>3563</v>
      </c>
      <c r="Q99" t="s">
        <v>3564</v>
      </c>
    </row>
    <row r="100" spans="2:18" hidden="1">
      <c r="B100">
        <v>91</v>
      </c>
      <c r="C100">
        <v>100814</v>
      </c>
      <c r="D100" t="s">
        <v>3948</v>
      </c>
      <c r="E100" t="s">
        <v>3557</v>
      </c>
      <c r="F100">
        <v>5370686</v>
      </c>
      <c r="G100" t="s">
        <v>3949</v>
      </c>
      <c r="I100">
        <v>8100000</v>
      </c>
      <c r="J100" t="s">
        <v>3677</v>
      </c>
      <c r="K100" s="23"/>
      <c r="L100" s="23">
        <v>8100000</v>
      </c>
      <c r="M100" t="s">
        <v>3620</v>
      </c>
      <c r="N100" t="s">
        <v>3617</v>
      </c>
      <c r="O100" t="s">
        <v>3950</v>
      </c>
    </row>
    <row r="101" spans="2:18" hidden="1">
      <c r="B101">
        <v>92</v>
      </c>
      <c r="C101">
        <v>3578</v>
      </c>
      <c r="D101" t="s">
        <v>3951</v>
      </c>
      <c r="E101" t="s">
        <v>3952</v>
      </c>
      <c r="F101">
        <v>2127680</v>
      </c>
      <c r="G101" t="s">
        <v>3953</v>
      </c>
      <c r="I101">
        <v>166946000</v>
      </c>
      <c r="J101" t="s">
        <v>3604</v>
      </c>
      <c r="K101" s="23"/>
      <c r="L101" s="23">
        <v>166946000</v>
      </c>
      <c r="M101" t="s">
        <v>3954</v>
      </c>
      <c r="N101" t="s">
        <v>3585</v>
      </c>
      <c r="O101" t="s">
        <v>3955</v>
      </c>
    </row>
    <row r="102" spans="2:18" hidden="1">
      <c r="B102">
        <v>93</v>
      </c>
      <c r="C102">
        <v>3578</v>
      </c>
      <c r="D102" t="s">
        <v>3951</v>
      </c>
      <c r="E102" t="s">
        <v>3952</v>
      </c>
      <c r="F102">
        <v>2127680</v>
      </c>
      <c r="I102">
        <v>103000000</v>
      </c>
      <c r="J102" t="s">
        <v>3604</v>
      </c>
      <c r="K102" s="23"/>
      <c r="L102" s="23">
        <v>103600000</v>
      </c>
      <c r="M102" t="s">
        <v>3954</v>
      </c>
      <c r="N102" t="s">
        <v>3648</v>
      </c>
      <c r="O102" t="s">
        <v>3956</v>
      </c>
    </row>
    <row r="103" spans="2:18" hidden="1">
      <c r="B103">
        <v>94</v>
      </c>
      <c r="C103">
        <v>4409</v>
      </c>
      <c r="D103" t="s">
        <v>3957</v>
      </c>
      <c r="E103" t="s">
        <v>3557</v>
      </c>
      <c r="F103">
        <v>1725476</v>
      </c>
      <c r="G103" t="s">
        <v>3958</v>
      </c>
      <c r="I103">
        <v>6196000</v>
      </c>
      <c r="J103" t="s">
        <v>3959</v>
      </c>
      <c r="K103" s="23"/>
      <c r="L103" s="23">
        <v>6196000</v>
      </c>
      <c r="M103" t="s">
        <v>3640</v>
      </c>
      <c r="N103" t="s">
        <v>3578</v>
      </c>
      <c r="O103" t="s">
        <v>3960</v>
      </c>
    </row>
    <row r="104" spans="2:18" hidden="1">
      <c r="B104">
        <v>95</v>
      </c>
      <c r="C104">
        <v>100809</v>
      </c>
      <c r="D104" t="s">
        <v>3961</v>
      </c>
      <c r="E104" t="s">
        <v>3962</v>
      </c>
      <c r="F104">
        <v>1354845</v>
      </c>
      <c r="G104" t="s">
        <v>3963</v>
      </c>
      <c r="I104">
        <v>73000000</v>
      </c>
      <c r="J104" t="s">
        <v>3604</v>
      </c>
      <c r="K104" s="23"/>
      <c r="L104" s="23">
        <v>73000000</v>
      </c>
      <c r="M104" t="s">
        <v>3640</v>
      </c>
      <c r="N104" t="s">
        <v>3648</v>
      </c>
      <c r="O104" t="s">
        <v>3964</v>
      </c>
    </row>
    <row r="105" spans="2:18">
      <c r="B105">
        <v>96</v>
      </c>
      <c r="C105">
        <v>24518</v>
      </c>
      <c r="D105" t="s">
        <v>3965</v>
      </c>
      <c r="E105" t="s">
        <v>3557</v>
      </c>
      <c r="F105">
        <v>1485387</v>
      </c>
      <c r="G105" t="s">
        <v>3966</v>
      </c>
      <c r="I105">
        <v>20477000</v>
      </c>
      <c r="J105" t="s">
        <v>3589</v>
      </c>
      <c r="K105" s="23"/>
      <c r="L105" s="23">
        <v>0</v>
      </c>
      <c r="M105" t="s">
        <v>3967</v>
      </c>
      <c r="N105" t="s">
        <v>3561</v>
      </c>
      <c r="O105" t="s">
        <v>3743</v>
      </c>
      <c r="Q105" t="s">
        <v>3580</v>
      </c>
      <c r="R105" s="54">
        <v>43650</v>
      </c>
    </row>
    <row r="106" spans="2:18" hidden="1">
      <c r="B106">
        <v>97</v>
      </c>
      <c r="C106">
        <v>100965</v>
      </c>
      <c r="D106" t="s">
        <v>3968</v>
      </c>
      <c r="E106" t="s">
        <v>3557</v>
      </c>
      <c r="F106">
        <v>1455700</v>
      </c>
      <c r="G106" t="s">
        <v>3969</v>
      </c>
      <c r="I106">
        <v>17600000</v>
      </c>
      <c r="J106" t="s">
        <v>3959</v>
      </c>
      <c r="K106" s="23"/>
      <c r="L106" s="23">
        <v>17266000</v>
      </c>
      <c r="M106" t="s">
        <v>3970</v>
      </c>
      <c r="N106" t="s">
        <v>3578</v>
      </c>
      <c r="O106" t="s">
        <v>3971</v>
      </c>
    </row>
    <row r="107" spans="2:18" hidden="1">
      <c r="B107">
        <v>98</v>
      </c>
      <c r="C107">
        <v>7400</v>
      </c>
      <c r="D107" t="s">
        <v>3972</v>
      </c>
      <c r="E107" t="s">
        <v>3557</v>
      </c>
      <c r="F107">
        <v>6294091</v>
      </c>
      <c r="G107" t="s">
        <v>3973</v>
      </c>
      <c r="I107">
        <v>30000000</v>
      </c>
      <c r="J107" t="s">
        <v>3604</v>
      </c>
      <c r="K107" s="23"/>
      <c r="L107" s="23">
        <v>30000000</v>
      </c>
      <c r="N107" t="s">
        <v>3648</v>
      </c>
      <c r="O107" t="s">
        <v>3974</v>
      </c>
    </row>
    <row r="108" spans="2:18" hidden="1">
      <c r="B108">
        <v>99</v>
      </c>
      <c r="C108">
        <v>100808</v>
      </c>
      <c r="D108" t="s">
        <v>3975</v>
      </c>
      <c r="E108" t="s">
        <v>3557</v>
      </c>
      <c r="F108">
        <v>6058551</v>
      </c>
      <c r="G108" t="s">
        <v>3976</v>
      </c>
      <c r="I108">
        <v>74400000</v>
      </c>
      <c r="J108" t="s">
        <v>3604</v>
      </c>
      <c r="K108" s="23"/>
      <c r="L108" s="23">
        <v>74400000</v>
      </c>
      <c r="N108" t="s">
        <v>3648</v>
      </c>
      <c r="O108" t="s">
        <v>3974</v>
      </c>
    </row>
    <row r="109" spans="2:18" hidden="1">
      <c r="B109">
        <v>100</v>
      </c>
      <c r="C109">
        <v>100910</v>
      </c>
      <c r="D109" t="s">
        <v>3977</v>
      </c>
      <c r="E109" t="s">
        <v>3557</v>
      </c>
      <c r="F109">
        <v>4971788</v>
      </c>
      <c r="G109" t="s">
        <v>3978</v>
      </c>
      <c r="I109">
        <v>73000000</v>
      </c>
      <c r="J109" t="s">
        <v>3604</v>
      </c>
      <c r="K109" s="23"/>
      <c r="L109" s="23">
        <v>73000000</v>
      </c>
      <c r="N109" t="s">
        <v>3648</v>
      </c>
      <c r="O109" t="s">
        <v>3979</v>
      </c>
    </row>
    <row r="110" spans="2:18" hidden="1">
      <c r="B110">
        <v>101</v>
      </c>
      <c r="C110">
        <v>50582</v>
      </c>
      <c r="D110" t="s">
        <v>3980</v>
      </c>
      <c r="E110" t="s">
        <v>3557</v>
      </c>
      <c r="F110">
        <v>3510845</v>
      </c>
      <c r="G110" t="s">
        <v>3981</v>
      </c>
      <c r="I110">
        <v>48000000</v>
      </c>
      <c r="J110" t="s">
        <v>3604</v>
      </c>
      <c r="K110" s="23"/>
      <c r="L110" s="23">
        <v>48000000</v>
      </c>
      <c r="N110" t="s">
        <v>3648</v>
      </c>
      <c r="O110" t="s">
        <v>3982</v>
      </c>
    </row>
    <row r="111" spans="2:18" hidden="1">
      <c r="B111">
        <v>102</v>
      </c>
      <c r="C111">
        <v>100862</v>
      </c>
      <c r="D111" t="s">
        <v>3983</v>
      </c>
      <c r="E111" t="s">
        <v>3557</v>
      </c>
      <c r="F111">
        <v>5674290</v>
      </c>
      <c r="G111" t="s">
        <v>3984</v>
      </c>
      <c r="I111">
        <v>46620000</v>
      </c>
      <c r="J111" t="s">
        <v>3604</v>
      </c>
      <c r="K111" s="23"/>
      <c r="L111" s="23">
        <v>46620000</v>
      </c>
      <c r="N111" t="s">
        <v>3648</v>
      </c>
      <c r="O111" t="s">
        <v>3985</v>
      </c>
    </row>
    <row r="112" spans="2:18" hidden="1">
      <c r="B112">
        <v>103</v>
      </c>
      <c r="C112">
        <v>100815</v>
      </c>
      <c r="D112" t="s">
        <v>3986</v>
      </c>
      <c r="E112" t="s">
        <v>3557</v>
      </c>
      <c r="F112">
        <v>5046970</v>
      </c>
      <c r="G112" t="s">
        <v>3987</v>
      </c>
      <c r="I112">
        <v>46090000</v>
      </c>
      <c r="K112" s="23"/>
      <c r="L112" s="23">
        <v>46090000</v>
      </c>
      <c r="N112" t="s">
        <v>3988</v>
      </c>
      <c r="O112" t="s">
        <v>3989</v>
      </c>
    </row>
    <row r="113" spans="2:15" hidden="1">
      <c r="B113">
        <v>104</v>
      </c>
      <c r="C113">
        <v>100839</v>
      </c>
      <c r="D113" t="s">
        <v>3990</v>
      </c>
      <c r="E113" t="s">
        <v>3557</v>
      </c>
      <c r="F113">
        <v>4182129</v>
      </c>
      <c r="G113" t="s">
        <v>3991</v>
      </c>
      <c r="I113">
        <v>164800000</v>
      </c>
      <c r="J113" t="s">
        <v>3604</v>
      </c>
      <c r="K113" s="23"/>
      <c r="L113" s="23">
        <v>164800000</v>
      </c>
      <c r="N113" t="s">
        <v>3578</v>
      </c>
      <c r="O113" t="s">
        <v>3767</v>
      </c>
    </row>
    <row r="114" spans="2:15" hidden="1">
      <c r="B114">
        <v>105</v>
      </c>
      <c r="C114">
        <v>100774</v>
      </c>
      <c r="D114" t="s">
        <v>3992</v>
      </c>
      <c r="E114" t="s">
        <v>3557</v>
      </c>
      <c r="F114">
        <v>4973118</v>
      </c>
      <c r="G114" t="s">
        <v>3993</v>
      </c>
      <c r="I114">
        <v>41661000</v>
      </c>
      <c r="K114" s="23"/>
      <c r="L114" s="23">
        <v>41661000</v>
      </c>
      <c r="N114" t="s">
        <v>3988</v>
      </c>
      <c r="O114" t="s">
        <v>3994</v>
      </c>
    </row>
    <row r="115" spans="2:15" hidden="1">
      <c r="B115">
        <v>106</v>
      </c>
      <c r="C115">
        <v>6911</v>
      </c>
      <c r="D115" t="s">
        <v>3995</v>
      </c>
      <c r="E115" t="s">
        <v>3557</v>
      </c>
      <c r="F115">
        <v>5526083</v>
      </c>
      <c r="G115" t="s">
        <v>3996</v>
      </c>
      <c r="I115">
        <v>98762000</v>
      </c>
      <c r="J115" t="s">
        <v>3604</v>
      </c>
      <c r="K115" s="23"/>
      <c r="L115" s="23">
        <v>98762000</v>
      </c>
      <c r="M115" t="s">
        <v>3996</v>
      </c>
      <c r="N115" t="s">
        <v>3997</v>
      </c>
      <c r="O115" t="s">
        <v>3998</v>
      </c>
    </row>
    <row r="116" spans="2:15" hidden="1">
      <c r="B116">
        <v>107</v>
      </c>
      <c r="C116">
        <v>7060</v>
      </c>
      <c r="D116" t="s">
        <v>3999</v>
      </c>
      <c r="E116" t="s">
        <v>3557</v>
      </c>
      <c r="F116">
        <v>3480553</v>
      </c>
      <c r="G116" t="s">
        <v>4000</v>
      </c>
      <c r="I116">
        <v>91340000</v>
      </c>
      <c r="J116" t="s">
        <v>3604</v>
      </c>
      <c r="K116" s="23"/>
      <c r="L116" s="23">
        <v>91340000</v>
      </c>
      <c r="N116" t="s">
        <v>3648</v>
      </c>
      <c r="O116" t="s">
        <v>4001</v>
      </c>
    </row>
    <row r="117" spans="2:15" hidden="1">
      <c r="B117">
        <v>108</v>
      </c>
      <c r="C117">
        <v>100876</v>
      </c>
      <c r="D117" t="s">
        <v>4002</v>
      </c>
      <c r="E117" t="s">
        <v>3557</v>
      </c>
      <c r="F117">
        <v>5988970</v>
      </c>
      <c r="G117" t="s">
        <v>4003</v>
      </c>
      <c r="I117">
        <v>16930000</v>
      </c>
      <c r="J117" t="s">
        <v>3677</v>
      </c>
      <c r="K117" s="23"/>
      <c r="L117" s="23">
        <v>13930000</v>
      </c>
      <c r="N117" t="s">
        <v>3648</v>
      </c>
      <c r="O117" t="s">
        <v>4004</v>
      </c>
    </row>
    <row r="118" spans="2:15" hidden="1">
      <c r="B118">
        <v>109</v>
      </c>
      <c r="C118">
        <v>100791</v>
      </c>
      <c r="D118" t="s">
        <v>4005</v>
      </c>
      <c r="E118" t="s">
        <v>3557</v>
      </c>
      <c r="F118">
        <v>3796919</v>
      </c>
      <c r="G118" t="s">
        <v>4006</v>
      </c>
      <c r="I118">
        <v>89290909</v>
      </c>
      <c r="J118" t="s">
        <v>3604</v>
      </c>
      <c r="K118" s="23"/>
      <c r="L118" s="23">
        <v>89290909</v>
      </c>
      <c r="N118" t="s">
        <v>3613</v>
      </c>
      <c r="O118" t="s">
        <v>4007</v>
      </c>
    </row>
    <row r="119" spans="2:15" hidden="1">
      <c r="B119">
        <v>110</v>
      </c>
      <c r="C119">
        <v>100791</v>
      </c>
      <c r="D119" t="s">
        <v>4008</v>
      </c>
      <c r="E119" t="s">
        <v>3557</v>
      </c>
      <c r="F119">
        <v>3796919</v>
      </c>
      <c r="G119" t="s">
        <v>4006</v>
      </c>
      <c r="I119">
        <v>39010000</v>
      </c>
      <c r="J119" t="s">
        <v>3604</v>
      </c>
      <c r="K119" s="23"/>
      <c r="L119" s="23">
        <v>36130000</v>
      </c>
      <c r="N119" t="s">
        <v>3613</v>
      </c>
      <c r="O119" t="s">
        <v>4009</v>
      </c>
    </row>
    <row r="120" spans="2:15" hidden="1">
      <c r="B120">
        <v>111</v>
      </c>
      <c r="C120">
        <v>7532</v>
      </c>
      <c r="D120" t="s">
        <v>4010</v>
      </c>
      <c r="E120" t="s">
        <v>3557</v>
      </c>
      <c r="F120">
        <v>4014957</v>
      </c>
      <c r="G120" t="s">
        <v>4011</v>
      </c>
      <c r="I120">
        <v>161589040</v>
      </c>
      <c r="K120" s="23">
        <v>25780</v>
      </c>
      <c r="L120" s="23"/>
      <c r="N120" t="s">
        <v>3605</v>
      </c>
      <c r="O120" t="s">
        <v>4012</v>
      </c>
    </row>
    <row r="121" spans="2:15" hidden="1">
      <c r="B121">
        <v>112</v>
      </c>
      <c r="C121">
        <v>7532</v>
      </c>
      <c r="D121" t="s">
        <v>4013</v>
      </c>
      <c r="E121" t="s">
        <v>3557</v>
      </c>
      <c r="F121">
        <v>4014957</v>
      </c>
      <c r="G121" t="s">
        <v>4014</v>
      </c>
      <c r="I121">
        <v>121094055</v>
      </c>
      <c r="K121" s="23">
        <v>19449</v>
      </c>
      <c r="L121" s="23"/>
      <c r="N121" t="s">
        <v>3605</v>
      </c>
      <c r="O121" t="s">
        <v>4012</v>
      </c>
    </row>
    <row r="122" spans="2:15" hidden="1">
      <c r="C122" s="426" t="s">
        <v>257</v>
      </c>
      <c r="D122" s="426"/>
      <c r="E122" s="426"/>
      <c r="F122" s="426"/>
      <c r="G122" s="426"/>
      <c r="H122">
        <f>SUM(H10:H121)</f>
        <v>606333</v>
      </c>
      <c r="I122">
        <f>SUM(I10:I121)</f>
        <v>4429049725</v>
      </c>
      <c r="K122" s="23">
        <f>SUM(K10:K121)</f>
        <v>622339</v>
      </c>
      <c r="L122" s="23">
        <f>SUM(L10:L121)</f>
        <v>4117937596</v>
      </c>
    </row>
    <row r="123" spans="2:15" hidden="1">
      <c r="K123" s="481">
        <f>+H122*6290+I122</f>
        <v>8242884295</v>
      </c>
      <c r="L123" s="481"/>
      <c r="M123" s="426">
        <f>+K122*6442.33+L122</f>
        <v>8127250805.8699999</v>
      </c>
      <c r="N123" s="426"/>
    </row>
    <row r="124" spans="2:15" hidden="1">
      <c r="E124" s="426"/>
      <c r="F124" s="426"/>
      <c r="K124" s="23">
        <f>SUBTOTAL(9,K10:K105)</f>
        <v>122297</v>
      </c>
      <c r="L124" s="23">
        <f>SUBTOTAL(9,L10:L105)</f>
        <v>0</v>
      </c>
    </row>
    <row r="125" spans="2:15" hidden="1">
      <c r="K125" s="23">
        <v>6442.33</v>
      </c>
      <c r="L125" s="23"/>
    </row>
    <row r="126" spans="2:15" hidden="1">
      <c r="K126" s="23">
        <f>+K124*K125</f>
        <v>787877632.00999999</v>
      </c>
      <c r="L126" s="23"/>
    </row>
    <row r="128" spans="2:15">
      <c r="K128" s="75">
        <f>SUBTOTAL(9,K10:K105)</f>
        <v>122297</v>
      </c>
      <c r="L128" s="64">
        <f>SUBTOTAL(9,L10:L105)</f>
        <v>0</v>
      </c>
    </row>
    <row r="129" spans="11:11">
      <c r="K129" s="75">
        <f>+K128*6442.33</f>
        <v>787877632.00999999</v>
      </c>
    </row>
    <row r="130" spans="11:11">
      <c r="K130" s="75">
        <f>+K129+L128</f>
        <v>787877632.00999999</v>
      </c>
    </row>
  </sheetData>
  <autoFilter ref="B9:IV126" xr:uid="{00000000-0009-0000-0000-000025000000}">
    <filterColumn colId="16">
      <customFilters>
        <customFilter operator="notEqual" val=" "/>
      </customFilters>
    </filterColumn>
  </autoFilter>
  <mergeCells count="6">
    <mergeCell ref="M123:N123"/>
    <mergeCell ref="E124:F124"/>
    <mergeCell ref="H8:I8"/>
    <mergeCell ref="K8:L8"/>
    <mergeCell ref="C122:G122"/>
    <mergeCell ref="K123:L123"/>
  </mergeCells>
  <pageMargins left="0.7" right="0.7" top="0.75" bottom="0.75" header="0.3" footer="0.3"/>
  <drawing r:id="rId1"/>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2:L1015"/>
  <sheetViews>
    <sheetView topLeftCell="A990" workbookViewId="0">
      <selection activeCell="E1004" sqref="E1004"/>
    </sheetView>
  </sheetViews>
  <sheetFormatPr baseColWidth="10" defaultRowHeight="13"/>
  <cols>
    <col min="2" max="2" width="31.6640625" customWidth="1"/>
    <col min="3" max="3" width="7.33203125" customWidth="1"/>
    <col min="4" max="4" width="19.5" customWidth="1"/>
    <col min="5" max="5" width="6" customWidth="1"/>
    <col min="8" max="8" width="41" customWidth="1"/>
    <col min="11" max="11" width="7" customWidth="1"/>
    <col min="12" max="12" width="26.33203125" customWidth="1"/>
  </cols>
  <sheetData>
    <row r="2" spans="1:12" s="68" customFormat="1">
      <c r="A2" s="68">
        <v>421020100</v>
      </c>
      <c r="B2" s="68" t="s">
        <v>2549</v>
      </c>
      <c r="C2" s="68">
        <v>422</v>
      </c>
      <c r="D2" s="68" t="s">
        <v>2550</v>
      </c>
      <c r="E2" s="68">
        <v>1</v>
      </c>
      <c r="F2" s="77">
        <v>10040018830</v>
      </c>
      <c r="G2" s="78">
        <v>288182</v>
      </c>
      <c r="H2" s="68" t="s">
        <v>4061</v>
      </c>
      <c r="I2" s="68">
        <v>0</v>
      </c>
      <c r="J2" s="54">
        <v>43535</v>
      </c>
      <c r="K2" s="68">
        <v>3</v>
      </c>
      <c r="L2" s="68" t="s">
        <v>2099</v>
      </c>
    </row>
    <row r="3" spans="1:12" s="68" customFormat="1">
      <c r="A3" s="68">
        <v>421020100</v>
      </c>
      <c r="B3" s="68" t="s">
        <v>2549</v>
      </c>
      <c r="C3" s="68">
        <v>422</v>
      </c>
      <c r="D3" s="68" t="s">
        <v>2550</v>
      </c>
      <c r="E3" s="68">
        <v>1</v>
      </c>
      <c r="F3" s="77">
        <v>10040018831</v>
      </c>
      <c r="G3" s="78">
        <v>452727</v>
      </c>
      <c r="H3" s="68" t="s">
        <v>4062</v>
      </c>
      <c r="I3" s="68">
        <v>0</v>
      </c>
      <c r="J3" s="54">
        <v>43535</v>
      </c>
      <c r="K3" s="68">
        <v>3</v>
      </c>
      <c r="L3" s="68" t="s">
        <v>2099</v>
      </c>
    </row>
    <row r="4" spans="1:12" s="68" customFormat="1">
      <c r="A4" s="68">
        <v>421020100</v>
      </c>
      <c r="B4" s="68" t="s">
        <v>2549</v>
      </c>
      <c r="C4" s="68">
        <v>422</v>
      </c>
      <c r="D4" s="68" t="s">
        <v>2550</v>
      </c>
      <c r="E4" s="68">
        <v>1</v>
      </c>
      <c r="F4" s="77">
        <v>240010006556</v>
      </c>
      <c r="G4" s="78">
        <v>221068</v>
      </c>
      <c r="H4" s="68" t="s">
        <v>4063</v>
      </c>
      <c r="I4" s="68">
        <v>0</v>
      </c>
      <c r="J4" s="54">
        <v>43536</v>
      </c>
      <c r="K4" s="68">
        <v>3</v>
      </c>
      <c r="L4" s="68" t="s">
        <v>2099</v>
      </c>
    </row>
    <row r="5" spans="1:12" s="68" customFormat="1">
      <c r="A5" s="68">
        <v>421020100</v>
      </c>
      <c r="B5" s="68" t="s">
        <v>2549</v>
      </c>
      <c r="C5" s="68">
        <v>422</v>
      </c>
      <c r="D5" s="68" t="s">
        <v>2550</v>
      </c>
      <c r="E5" s="68">
        <v>1</v>
      </c>
      <c r="F5" s="77">
        <v>270020076398</v>
      </c>
      <c r="G5" s="78">
        <v>82036</v>
      </c>
      <c r="H5" s="68" t="s">
        <v>4064</v>
      </c>
      <c r="I5" s="68">
        <v>0</v>
      </c>
      <c r="J5" s="54">
        <v>43567</v>
      </c>
      <c r="K5" s="68">
        <v>3</v>
      </c>
      <c r="L5" s="68" t="s">
        <v>2099</v>
      </c>
    </row>
    <row r="6" spans="1:12" s="68" customFormat="1">
      <c r="A6" s="68">
        <v>421020100</v>
      </c>
      <c r="B6" s="68" t="s">
        <v>2549</v>
      </c>
      <c r="C6" s="68">
        <v>422</v>
      </c>
      <c r="D6" s="68" t="s">
        <v>2550</v>
      </c>
      <c r="E6" s="68">
        <v>1</v>
      </c>
      <c r="F6" s="77">
        <v>270050079258</v>
      </c>
      <c r="G6" s="78">
        <v>59904</v>
      </c>
      <c r="H6" s="68" t="s">
        <v>4065</v>
      </c>
      <c r="I6" s="68">
        <v>0</v>
      </c>
      <c r="J6" s="54">
        <v>43590</v>
      </c>
      <c r="K6" s="68">
        <v>3</v>
      </c>
      <c r="L6" s="68" t="s">
        <v>2099</v>
      </c>
    </row>
    <row r="7" spans="1:12" s="68" customFormat="1">
      <c r="A7" s="68">
        <v>421020100</v>
      </c>
      <c r="B7" s="68" t="s">
        <v>2549</v>
      </c>
      <c r="C7" s="68">
        <v>422</v>
      </c>
      <c r="D7" s="68" t="s">
        <v>2550</v>
      </c>
      <c r="E7" s="68">
        <v>1</v>
      </c>
      <c r="F7" s="77">
        <v>270050079258</v>
      </c>
      <c r="G7" s="78">
        <v>4190</v>
      </c>
      <c r="H7" s="68" t="s">
        <v>4065</v>
      </c>
      <c r="I7" s="68">
        <v>0</v>
      </c>
      <c r="J7" s="54">
        <v>43590</v>
      </c>
      <c r="K7" s="68">
        <v>3</v>
      </c>
      <c r="L7" s="68" t="s">
        <v>2099</v>
      </c>
    </row>
    <row r="8" spans="1:12" s="68" customFormat="1">
      <c r="A8" s="68">
        <v>421020100</v>
      </c>
      <c r="B8" s="68" t="s">
        <v>2549</v>
      </c>
      <c r="C8" s="68">
        <v>422</v>
      </c>
      <c r="D8" s="68" t="s">
        <v>2550</v>
      </c>
      <c r="E8" s="68">
        <v>1</v>
      </c>
      <c r="F8" s="77">
        <v>270020094877</v>
      </c>
      <c r="G8" s="78">
        <v>6324</v>
      </c>
      <c r="H8" s="68" t="s">
        <v>4066</v>
      </c>
      <c r="I8" s="68">
        <v>0</v>
      </c>
      <c r="J8" s="54">
        <v>43607</v>
      </c>
      <c r="K8" s="68">
        <v>3</v>
      </c>
      <c r="L8" s="68" t="s">
        <v>2099</v>
      </c>
    </row>
    <row r="9" spans="1:12" s="68" customFormat="1">
      <c r="A9" s="68">
        <v>421020100</v>
      </c>
      <c r="B9" s="68" t="s">
        <v>2549</v>
      </c>
      <c r="C9" s="68">
        <v>422</v>
      </c>
      <c r="D9" s="68" t="s">
        <v>2550</v>
      </c>
      <c r="E9" s="68">
        <v>1</v>
      </c>
      <c r="F9" s="77">
        <v>270020095233</v>
      </c>
      <c r="G9" s="78">
        <v>245205</v>
      </c>
      <c r="H9" s="68" t="s">
        <v>4067</v>
      </c>
      <c r="I9" s="68">
        <v>0</v>
      </c>
      <c r="J9" s="54">
        <v>43608</v>
      </c>
      <c r="K9" s="68">
        <v>3</v>
      </c>
      <c r="L9" s="68" t="s">
        <v>2099</v>
      </c>
    </row>
    <row r="10" spans="1:12" s="68" customFormat="1">
      <c r="A10" s="68">
        <v>421020100</v>
      </c>
      <c r="B10" s="68" t="s">
        <v>2549</v>
      </c>
      <c r="C10" s="68">
        <v>422</v>
      </c>
      <c r="D10" s="68" t="s">
        <v>2550</v>
      </c>
      <c r="E10" s="68">
        <v>1</v>
      </c>
      <c r="F10" s="77">
        <v>270020097458</v>
      </c>
      <c r="G10" s="78">
        <v>49564</v>
      </c>
      <c r="H10" s="68" t="s">
        <v>4068</v>
      </c>
      <c r="I10" s="68">
        <v>0</v>
      </c>
      <c r="J10" s="54">
        <v>43613</v>
      </c>
      <c r="K10" s="68">
        <v>3</v>
      </c>
      <c r="L10" s="68" t="s">
        <v>2099</v>
      </c>
    </row>
    <row r="11" spans="1:12" s="68" customFormat="1">
      <c r="A11" s="68">
        <v>421020100</v>
      </c>
      <c r="B11" s="68" t="s">
        <v>2549</v>
      </c>
      <c r="C11" s="68">
        <v>422</v>
      </c>
      <c r="D11" s="68" t="s">
        <v>2550</v>
      </c>
      <c r="E11" s="68">
        <v>1</v>
      </c>
      <c r="F11" s="77">
        <v>240010010030</v>
      </c>
      <c r="G11" s="78">
        <v>320659</v>
      </c>
      <c r="H11" s="68" t="s">
        <v>4069</v>
      </c>
      <c r="I11" s="68">
        <v>0</v>
      </c>
      <c r="J11" s="54">
        <v>43615</v>
      </c>
      <c r="K11" s="68">
        <v>3</v>
      </c>
      <c r="L11" s="68" t="s">
        <v>2099</v>
      </c>
    </row>
    <row r="12" spans="1:12" s="68" customFormat="1">
      <c r="A12" s="68">
        <v>421020100</v>
      </c>
      <c r="B12" s="68" t="s">
        <v>2549</v>
      </c>
      <c r="C12" s="68">
        <v>422</v>
      </c>
      <c r="D12" s="68" t="s">
        <v>2550</v>
      </c>
      <c r="E12" s="68">
        <v>1</v>
      </c>
      <c r="F12" s="77">
        <v>270020108790</v>
      </c>
      <c r="G12" s="78">
        <v>378711</v>
      </c>
      <c r="H12" s="68" t="s">
        <v>4070</v>
      </c>
      <c r="I12" s="68">
        <v>0</v>
      </c>
      <c r="J12" s="54">
        <v>43637</v>
      </c>
      <c r="K12" s="68">
        <v>3</v>
      </c>
      <c r="L12" s="68" t="s">
        <v>2099</v>
      </c>
    </row>
    <row r="13" spans="1:12" s="68" customFormat="1">
      <c r="A13" s="68">
        <v>421020100</v>
      </c>
      <c r="B13" s="68" t="s">
        <v>2549</v>
      </c>
      <c r="C13" s="68">
        <v>422</v>
      </c>
      <c r="D13" s="68" t="s">
        <v>2550</v>
      </c>
      <c r="E13" s="68">
        <v>1</v>
      </c>
      <c r="F13" s="77">
        <v>270020109135</v>
      </c>
      <c r="G13" s="78">
        <v>474812</v>
      </c>
      <c r="H13" s="68" t="s">
        <v>4071</v>
      </c>
      <c r="I13" s="68">
        <v>0</v>
      </c>
      <c r="J13" s="54">
        <v>43637</v>
      </c>
      <c r="K13" s="68">
        <v>3</v>
      </c>
      <c r="L13" s="68" t="s">
        <v>2099</v>
      </c>
    </row>
    <row r="14" spans="1:12" s="68" customFormat="1">
      <c r="A14" s="68">
        <v>421020100</v>
      </c>
      <c r="B14" s="68" t="s">
        <v>2549</v>
      </c>
      <c r="C14" s="68">
        <v>422</v>
      </c>
      <c r="D14" s="68" t="s">
        <v>2550</v>
      </c>
      <c r="E14" s="68">
        <v>1</v>
      </c>
      <c r="F14" s="77">
        <v>10040024214</v>
      </c>
      <c r="G14" s="78">
        <v>265909</v>
      </c>
      <c r="H14" s="68" t="s">
        <v>4072</v>
      </c>
      <c r="I14" s="68">
        <v>0</v>
      </c>
      <c r="J14" s="54">
        <v>43644</v>
      </c>
      <c r="K14" s="68">
        <v>3</v>
      </c>
      <c r="L14" s="68" t="s">
        <v>2099</v>
      </c>
    </row>
    <row r="15" spans="1:12" s="68" customFormat="1">
      <c r="A15" s="68">
        <v>421020100</v>
      </c>
      <c r="B15" s="68" t="s">
        <v>2549</v>
      </c>
      <c r="C15" s="68">
        <v>422</v>
      </c>
      <c r="D15" s="68" t="s">
        <v>2550</v>
      </c>
      <c r="E15" s="68">
        <v>1</v>
      </c>
      <c r="F15" s="77">
        <v>140060065944</v>
      </c>
      <c r="G15" s="78">
        <v>23415</v>
      </c>
      <c r="H15" s="68" t="s">
        <v>4073</v>
      </c>
      <c r="I15" s="68">
        <v>0</v>
      </c>
      <c r="J15" s="54">
        <v>43694</v>
      </c>
      <c r="K15" s="68">
        <v>3</v>
      </c>
      <c r="L15" s="68" t="s">
        <v>2099</v>
      </c>
    </row>
    <row r="16" spans="1:12" s="68" customFormat="1">
      <c r="A16" s="68">
        <v>421020100</v>
      </c>
      <c r="B16" s="68" t="s">
        <v>2549</v>
      </c>
      <c r="C16" s="68">
        <v>422</v>
      </c>
      <c r="D16" s="68" t="s">
        <v>2550</v>
      </c>
      <c r="E16" s="68">
        <v>1</v>
      </c>
      <c r="F16" s="77">
        <v>10020031119</v>
      </c>
      <c r="G16" s="78">
        <v>530524</v>
      </c>
      <c r="H16" s="68" t="s">
        <v>4074</v>
      </c>
      <c r="I16" s="68">
        <v>0</v>
      </c>
      <c r="J16" s="54">
        <v>43738</v>
      </c>
      <c r="K16" s="68">
        <v>3</v>
      </c>
      <c r="L16" s="68" t="s">
        <v>2099</v>
      </c>
    </row>
    <row r="17" spans="1:12" s="68" customFormat="1">
      <c r="A17" s="68">
        <v>421020100</v>
      </c>
      <c r="B17" s="68" t="s">
        <v>2549</v>
      </c>
      <c r="C17" s="68">
        <v>422</v>
      </c>
      <c r="D17" s="68" t="s">
        <v>2550</v>
      </c>
      <c r="E17" s="68">
        <v>1</v>
      </c>
      <c r="F17" s="77">
        <v>10040029341</v>
      </c>
      <c r="G17" s="78">
        <v>618182</v>
      </c>
      <c r="H17" s="68" t="s">
        <v>4075</v>
      </c>
      <c r="I17" s="68">
        <v>0</v>
      </c>
      <c r="J17" s="54">
        <v>43738</v>
      </c>
      <c r="K17" s="68">
        <v>3</v>
      </c>
      <c r="L17" s="68" t="s">
        <v>2099</v>
      </c>
    </row>
    <row r="18" spans="1:12" s="68" customFormat="1">
      <c r="A18" s="68">
        <v>421020100</v>
      </c>
      <c r="B18" s="68" t="s">
        <v>2549</v>
      </c>
      <c r="C18" s="68">
        <v>422</v>
      </c>
      <c r="D18" s="68" t="s">
        <v>2550</v>
      </c>
      <c r="E18" s="68">
        <v>1</v>
      </c>
      <c r="F18" s="77">
        <v>240020000922</v>
      </c>
      <c r="G18" s="78">
        <v>3640818</v>
      </c>
      <c r="H18" s="68" t="s">
        <v>4076</v>
      </c>
      <c r="I18" s="68">
        <v>0</v>
      </c>
      <c r="J18" s="54">
        <v>43810</v>
      </c>
      <c r="K18" s="68">
        <v>3</v>
      </c>
      <c r="L18" s="68" t="s">
        <v>2099</v>
      </c>
    </row>
    <row r="19" spans="1:12" s="68" customFormat="1">
      <c r="A19" s="68">
        <v>421020100</v>
      </c>
      <c r="B19" s="68" t="s">
        <v>2549</v>
      </c>
      <c r="C19" s="68">
        <v>422</v>
      </c>
      <c r="D19" s="68" t="s">
        <v>2550</v>
      </c>
      <c r="E19" s="68">
        <v>1</v>
      </c>
      <c r="F19" s="77">
        <v>240010000948</v>
      </c>
      <c r="G19" s="78">
        <v>112727</v>
      </c>
      <c r="H19" s="68" t="s">
        <v>4077</v>
      </c>
      <c r="I19" s="68">
        <v>0</v>
      </c>
      <c r="J19" s="54">
        <v>43817</v>
      </c>
      <c r="K19" s="68">
        <v>3</v>
      </c>
      <c r="L19" s="68" t="s">
        <v>2099</v>
      </c>
    </row>
    <row r="20" spans="1:12" s="68" customFormat="1">
      <c r="A20" s="68">
        <v>421020100</v>
      </c>
      <c r="B20" s="68" t="s">
        <v>2549</v>
      </c>
      <c r="C20" s="68">
        <v>422</v>
      </c>
      <c r="D20" s="68" t="s">
        <v>2550</v>
      </c>
      <c r="E20" s="68">
        <v>1</v>
      </c>
      <c r="F20" s="77">
        <v>50010002943</v>
      </c>
      <c r="G20" s="78">
        <v>527273</v>
      </c>
      <c r="H20" s="68" t="s">
        <v>4078</v>
      </c>
      <c r="I20" s="68">
        <v>0</v>
      </c>
      <c r="J20" s="54">
        <v>43595</v>
      </c>
      <c r="K20" s="68">
        <v>6</v>
      </c>
      <c r="L20" s="68" t="s">
        <v>2210</v>
      </c>
    </row>
    <row r="21" spans="1:12" s="68" customFormat="1">
      <c r="A21" s="68">
        <v>421020100</v>
      </c>
      <c r="B21" s="68" t="s">
        <v>2549</v>
      </c>
      <c r="C21" s="68">
        <v>422</v>
      </c>
      <c r="D21" s="68" t="s">
        <v>2550</v>
      </c>
      <c r="E21" s="68">
        <v>1</v>
      </c>
      <c r="F21" s="77">
        <v>30020003763</v>
      </c>
      <c r="G21" s="78">
        <v>43636</v>
      </c>
      <c r="H21" s="68" t="s">
        <v>4079</v>
      </c>
      <c r="I21" s="68">
        <v>0</v>
      </c>
      <c r="J21" s="54">
        <v>43612</v>
      </c>
      <c r="K21" s="68">
        <v>6</v>
      </c>
      <c r="L21" s="68" t="s">
        <v>2210</v>
      </c>
    </row>
    <row r="22" spans="1:12" s="68" customFormat="1">
      <c r="A22" s="68">
        <v>421020100</v>
      </c>
      <c r="B22" s="68" t="s">
        <v>2549</v>
      </c>
      <c r="C22" s="68">
        <v>422</v>
      </c>
      <c r="D22" s="68" t="s">
        <v>2550</v>
      </c>
      <c r="E22" s="68">
        <v>1</v>
      </c>
      <c r="F22" s="77">
        <v>30020003765</v>
      </c>
      <c r="G22" s="78">
        <v>11818</v>
      </c>
      <c r="H22" s="68" t="s">
        <v>4080</v>
      </c>
      <c r="I22" s="68">
        <v>0</v>
      </c>
      <c r="J22" s="54">
        <v>43612</v>
      </c>
      <c r="K22" s="68">
        <v>6</v>
      </c>
      <c r="L22" s="68" t="s">
        <v>2210</v>
      </c>
    </row>
    <row r="23" spans="1:12" s="68" customFormat="1">
      <c r="A23" s="68">
        <v>421020100</v>
      </c>
      <c r="B23" s="68" t="s">
        <v>2549</v>
      </c>
      <c r="C23" s="68">
        <v>422</v>
      </c>
      <c r="D23" s="68" t="s">
        <v>2550</v>
      </c>
      <c r="E23" s="68">
        <v>1</v>
      </c>
      <c r="F23" s="77">
        <v>30020003772</v>
      </c>
      <c r="G23" s="78">
        <v>41818</v>
      </c>
      <c r="H23" s="68" t="s">
        <v>4081</v>
      </c>
      <c r="I23" s="68">
        <v>0</v>
      </c>
      <c r="J23" s="54">
        <v>43613</v>
      </c>
      <c r="K23" s="68">
        <v>6</v>
      </c>
      <c r="L23" s="68" t="s">
        <v>2210</v>
      </c>
    </row>
    <row r="24" spans="1:12" s="68" customFormat="1">
      <c r="A24" s="68">
        <v>421020100</v>
      </c>
      <c r="B24" s="68" t="s">
        <v>2549</v>
      </c>
      <c r="C24" s="68">
        <v>422</v>
      </c>
      <c r="D24" s="68" t="s">
        <v>2550</v>
      </c>
      <c r="E24" s="68">
        <v>1</v>
      </c>
      <c r="F24" s="77">
        <v>30020003776</v>
      </c>
      <c r="G24" s="78">
        <v>77273</v>
      </c>
      <c r="H24" s="68" t="s">
        <v>4082</v>
      </c>
      <c r="I24" s="68">
        <v>0</v>
      </c>
      <c r="J24" s="54">
        <v>43613</v>
      </c>
      <c r="K24" s="68">
        <v>6</v>
      </c>
      <c r="L24" s="68" t="s">
        <v>2210</v>
      </c>
    </row>
    <row r="25" spans="1:12" s="68" customFormat="1">
      <c r="A25" s="68">
        <v>421020100</v>
      </c>
      <c r="B25" s="68" t="s">
        <v>2549</v>
      </c>
      <c r="C25" s="68">
        <v>422</v>
      </c>
      <c r="D25" s="68" t="s">
        <v>2550</v>
      </c>
      <c r="E25" s="68">
        <v>1</v>
      </c>
      <c r="F25" s="77">
        <v>10040022655</v>
      </c>
      <c r="G25" s="78">
        <v>48182</v>
      </c>
      <c r="H25" s="68" t="s">
        <v>4083</v>
      </c>
      <c r="I25" s="68">
        <v>0</v>
      </c>
      <c r="J25" s="54">
        <v>43614</v>
      </c>
      <c r="K25" s="68">
        <v>6</v>
      </c>
      <c r="L25" s="68" t="s">
        <v>2210</v>
      </c>
    </row>
    <row r="26" spans="1:12" s="68" customFormat="1">
      <c r="A26" s="68">
        <v>421020100</v>
      </c>
      <c r="B26" s="68" t="s">
        <v>2549</v>
      </c>
      <c r="C26" s="68">
        <v>422</v>
      </c>
      <c r="D26" s="68" t="s">
        <v>2550</v>
      </c>
      <c r="E26" s="68">
        <v>1</v>
      </c>
      <c r="F26" s="77">
        <v>141190034912</v>
      </c>
      <c r="G26" s="78">
        <v>89295</v>
      </c>
      <c r="H26" s="68" t="s">
        <v>4084</v>
      </c>
      <c r="I26" s="68">
        <v>0</v>
      </c>
      <c r="J26" s="54">
        <v>43614</v>
      </c>
      <c r="K26" s="68">
        <v>6</v>
      </c>
      <c r="L26" s="68" t="s">
        <v>2210</v>
      </c>
    </row>
    <row r="27" spans="1:12" s="68" customFormat="1">
      <c r="A27" s="68">
        <v>421020100</v>
      </c>
      <c r="B27" s="68" t="s">
        <v>2549</v>
      </c>
      <c r="C27" s="68">
        <v>422</v>
      </c>
      <c r="D27" s="68" t="s">
        <v>2550</v>
      </c>
      <c r="E27" s="68">
        <v>1</v>
      </c>
      <c r="F27" s="77">
        <v>160050022185</v>
      </c>
      <c r="G27" s="78">
        <v>36680</v>
      </c>
      <c r="H27" s="68" t="s">
        <v>4085</v>
      </c>
      <c r="I27" s="68">
        <v>0</v>
      </c>
      <c r="J27" s="54">
        <v>43614</v>
      </c>
      <c r="K27" s="68">
        <v>6</v>
      </c>
      <c r="L27" s="68" t="s">
        <v>2210</v>
      </c>
    </row>
    <row r="28" spans="1:12" s="68" customFormat="1">
      <c r="A28" s="68">
        <v>421020100</v>
      </c>
      <c r="B28" s="68" t="s">
        <v>2549</v>
      </c>
      <c r="C28" s="68">
        <v>422</v>
      </c>
      <c r="D28" s="68" t="s">
        <v>2550</v>
      </c>
      <c r="E28" s="68">
        <v>1</v>
      </c>
      <c r="F28" s="77">
        <v>160050022185</v>
      </c>
      <c r="G28" s="78">
        <v>87657</v>
      </c>
      <c r="H28" s="68" t="s">
        <v>4085</v>
      </c>
      <c r="I28" s="68">
        <v>0</v>
      </c>
      <c r="J28" s="54">
        <v>43614</v>
      </c>
      <c r="K28" s="68">
        <v>6</v>
      </c>
      <c r="L28" s="68" t="s">
        <v>2210</v>
      </c>
    </row>
    <row r="29" spans="1:12" s="68" customFormat="1">
      <c r="A29" s="68">
        <v>421020100</v>
      </c>
      <c r="B29" s="68" t="s">
        <v>2549</v>
      </c>
      <c r="C29" s="68">
        <v>422</v>
      </c>
      <c r="D29" s="68" t="s">
        <v>2550</v>
      </c>
      <c r="E29" s="68">
        <v>1</v>
      </c>
      <c r="F29" s="77">
        <v>10020006121</v>
      </c>
      <c r="G29" s="78">
        <v>92455</v>
      </c>
      <c r="H29" s="68" t="s">
        <v>4086</v>
      </c>
      <c r="I29" s="68">
        <v>0</v>
      </c>
      <c r="J29" s="54">
        <v>43616</v>
      </c>
      <c r="K29" s="68">
        <v>6</v>
      </c>
      <c r="L29" s="68" t="s">
        <v>2210</v>
      </c>
    </row>
    <row r="30" spans="1:12" s="68" customFormat="1">
      <c r="A30" s="68">
        <v>421020100</v>
      </c>
      <c r="B30" s="68" t="s">
        <v>2549</v>
      </c>
      <c r="C30" s="68">
        <v>422</v>
      </c>
      <c r="D30" s="68" t="s">
        <v>2550</v>
      </c>
      <c r="E30" s="68">
        <v>1</v>
      </c>
      <c r="F30" s="77">
        <v>50010003326</v>
      </c>
      <c r="G30" s="78">
        <v>836364</v>
      </c>
      <c r="H30" s="68" t="s">
        <v>4087</v>
      </c>
      <c r="I30" s="68">
        <v>0</v>
      </c>
      <c r="J30" s="54">
        <v>43630</v>
      </c>
      <c r="K30" s="68">
        <v>6</v>
      </c>
      <c r="L30" s="68" t="s">
        <v>2210</v>
      </c>
    </row>
    <row r="31" spans="1:12" s="68" customFormat="1">
      <c r="A31" s="68">
        <v>421020100</v>
      </c>
      <c r="B31" s="68" t="s">
        <v>2549</v>
      </c>
      <c r="C31" s="68">
        <v>422</v>
      </c>
      <c r="D31" s="68" t="s">
        <v>2550</v>
      </c>
      <c r="E31" s="68">
        <v>1</v>
      </c>
      <c r="F31" s="77">
        <v>50010004754</v>
      </c>
      <c r="G31" s="78">
        <v>509091</v>
      </c>
      <c r="H31" s="68" t="s">
        <v>4088</v>
      </c>
      <c r="I31" s="68">
        <v>0</v>
      </c>
      <c r="J31" s="54">
        <v>43748</v>
      </c>
      <c r="K31" s="68">
        <v>6</v>
      </c>
      <c r="L31" s="68" t="s">
        <v>2210</v>
      </c>
    </row>
    <row r="32" spans="1:12" s="68" customFormat="1">
      <c r="A32" s="68">
        <v>421020100</v>
      </c>
      <c r="B32" s="68" t="s">
        <v>2549</v>
      </c>
      <c r="C32" s="68">
        <v>422</v>
      </c>
      <c r="D32" s="68" t="s">
        <v>2550</v>
      </c>
      <c r="E32" s="68">
        <v>1</v>
      </c>
      <c r="F32" s="77">
        <v>10010008484</v>
      </c>
      <c r="G32" s="78">
        <v>65455</v>
      </c>
      <c r="H32" s="68" t="s">
        <v>4089</v>
      </c>
      <c r="I32" s="68">
        <v>0</v>
      </c>
      <c r="J32" s="54">
        <v>43774</v>
      </c>
      <c r="K32" s="68">
        <v>6</v>
      </c>
      <c r="L32" s="68" t="s">
        <v>2210</v>
      </c>
    </row>
    <row r="33" spans="1:12" s="68" customFormat="1">
      <c r="A33" s="68">
        <v>421020100</v>
      </c>
      <c r="B33" s="68" t="s">
        <v>2549</v>
      </c>
      <c r="C33" s="68">
        <v>422</v>
      </c>
      <c r="D33" s="68" t="s">
        <v>2550</v>
      </c>
      <c r="E33" s="68">
        <v>1</v>
      </c>
      <c r="F33" s="77">
        <v>160710035682</v>
      </c>
      <c r="G33" s="78">
        <v>105300</v>
      </c>
      <c r="H33" s="68" t="s">
        <v>4090</v>
      </c>
      <c r="I33" s="68">
        <v>0</v>
      </c>
      <c r="J33" s="54">
        <v>43774</v>
      </c>
      <c r="K33" s="68">
        <v>6</v>
      </c>
      <c r="L33" s="68" t="s">
        <v>2210</v>
      </c>
    </row>
    <row r="34" spans="1:12" s="68" customFormat="1">
      <c r="A34" s="68">
        <v>421020100</v>
      </c>
      <c r="B34" s="68" t="s">
        <v>2549</v>
      </c>
      <c r="C34" s="68">
        <v>422</v>
      </c>
      <c r="D34" s="68" t="s">
        <v>2550</v>
      </c>
      <c r="E34" s="68">
        <v>1</v>
      </c>
      <c r="F34" s="77">
        <v>50010005148</v>
      </c>
      <c r="G34" s="78">
        <v>954545</v>
      </c>
      <c r="H34" s="68" t="s">
        <v>4091</v>
      </c>
      <c r="I34" s="68">
        <v>0</v>
      </c>
      <c r="J34" s="54">
        <v>43776</v>
      </c>
      <c r="K34" s="68">
        <v>6</v>
      </c>
      <c r="L34" s="68" t="s">
        <v>2210</v>
      </c>
    </row>
    <row r="35" spans="1:12" s="68" customFormat="1">
      <c r="A35" s="68">
        <v>421020100</v>
      </c>
      <c r="B35" s="68" t="s">
        <v>2549</v>
      </c>
      <c r="C35" s="68">
        <v>422</v>
      </c>
      <c r="D35" s="68" t="s">
        <v>2550</v>
      </c>
      <c r="E35" s="68">
        <v>1</v>
      </c>
      <c r="F35" s="77">
        <v>240020031557</v>
      </c>
      <c r="G35" s="78">
        <v>718182</v>
      </c>
      <c r="H35" s="68" t="s">
        <v>4092</v>
      </c>
      <c r="I35" s="68">
        <v>0</v>
      </c>
      <c r="J35" s="54">
        <v>43776</v>
      </c>
      <c r="K35" s="68">
        <v>6</v>
      </c>
      <c r="L35" s="68" t="s">
        <v>2210</v>
      </c>
    </row>
    <row r="36" spans="1:12" s="68" customFormat="1">
      <c r="A36" s="68">
        <v>421020100</v>
      </c>
      <c r="B36" s="68" t="s">
        <v>2549</v>
      </c>
      <c r="C36" s="68">
        <v>422</v>
      </c>
      <c r="D36" s="68" t="s">
        <v>2550</v>
      </c>
      <c r="E36" s="68">
        <v>1</v>
      </c>
      <c r="F36" s="77">
        <v>10010008827</v>
      </c>
      <c r="G36" s="78">
        <v>76364</v>
      </c>
      <c r="H36" s="68" t="s">
        <v>4093</v>
      </c>
      <c r="I36" s="68">
        <v>0</v>
      </c>
      <c r="J36" s="54">
        <v>43817</v>
      </c>
      <c r="K36" s="68">
        <v>6</v>
      </c>
      <c r="L36" s="68" t="s">
        <v>2210</v>
      </c>
    </row>
    <row r="37" spans="1:12" s="68" customFormat="1">
      <c r="A37" s="68">
        <v>421020100</v>
      </c>
      <c r="B37" s="68" t="s">
        <v>2549</v>
      </c>
      <c r="C37" s="68">
        <v>422</v>
      </c>
      <c r="D37" s="68" t="s">
        <v>2550</v>
      </c>
      <c r="E37" s="68">
        <v>1</v>
      </c>
      <c r="F37" s="77">
        <v>270020099439</v>
      </c>
      <c r="G37" s="78">
        <v>244890</v>
      </c>
      <c r="H37" s="68" t="s">
        <v>4094</v>
      </c>
      <c r="I37" s="68">
        <v>0</v>
      </c>
      <c r="J37" s="54">
        <v>43617</v>
      </c>
      <c r="K37" s="68">
        <v>31</v>
      </c>
      <c r="L37" s="68" t="s">
        <v>2348</v>
      </c>
    </row>
    <row r="38" spans="1:12" s="68" customFormat="1">
      <c r="A38" s="68">
        <v>421020100</v>
      </c>
      <c r="B38" s="68" t="s">
        <v>2549</v>
      </c>
      <c r="C38" s="68">
        <v>422</v>
      </c>
      <c r="D38" s="68" t="s">
        <v>2550</v>
      </c>
      <c r="E38" s="68">
        <v>1</v>
      </c>
      <c r="F38" s="77">
        <v>20010000175</v>
      </c>
      <c r="G38" s="78">
        <v>1138182</v>
      </c>
      <c r="H38" s="68" t="s">
        <v>4095</v>
      </c>
      <c r="I38" s="68">
        <v>0</v>
      </c>
      <c r="J38" s="54">
        <v>43512</v>
      </c>
      <c r="K38" s="68">
        <v>37</v>
      </c>
      <c r="L38" s="68" t="s">
        <v>2017</v>
      </c>
    </row>
    <row r="39" spans="1:12" s="68" customFormat="1">
      <c r="A39" s="68">
        <v>421020100</v>
      </c>
      <c r="B39" s="68" t="s">
        <v>2549</v>
      </c>
      <c r="C39" s="68">
        <v>422</v>
      </c>
      <c r="D39" s="68" t="s">
        <v>2550</v>
      </c>
      <c r="E39" s="68">
        <v>1</v>
      </c>
      <c r="F39" s="77">
        <v>10010011456</v>
      </c>
      <c r="G39" s="78">
        <v>250000</v>
      </c>
      <c r="H39" s="68" t="s">
        <v>4096</v>
      </c>
      <c r="I39" s="68">
        <v>0</v>
      </c>
      <c r="J39" s="54">
        <v>43549</v>
      </c>
      <c r="K39" s="68">
        <v>37</v>
      </c>
      <c r="L39" s="68" t="s">
        <v>2017</v>
      </c>
    </row>
    <row r="40" spans="1:12" s="68" customFormat="1">
      <c r="A40" s="68">
        <v>421020100</v>
      </c>
      <c r="B40" s="68" t="s">
        <v>2549</v>
      </c>
      <c r="C40" s="68">
        <v>422</v>
      </c>
      <c r="D40" s="68" t="s">
        <v>2550</v>
      </c>
      <c r="E40" s="68">
        <v>1</v>
      </c>
      <c r="F40" s="77">
        <v>10010027601</v>
      </c>
      <c r="G40" s="78">
        <v>63636</v>
      </c>
      <c r="H40" s="68" t="s">
        <v>4097</v>
      </c>
      <c r="I40" s="68">
        <v>0</v>
      </c>
      <c r="J40" s="54">
        <v>43572</v>
      </c>
      <c r="K40" s="68">
        <v>37</v>
      </c>
      <c r="L40" s="68" t="s">
        <v>2017</v>
      </c>
    </row>
    <row r="41" spans="1:12" s="68" customFormat="1">
      <c r="A41" s="68">
        <v>421020100</v>
      </c>
      <c r="B41" s="68" t="s">
        <v>2549</v>
      </c>
      <c r="C41" s="68">
        <v>422</v>
      </c>
      <c r="D41" s="68" t="s">
        <v>2550</v>
      </c>
      <c r="E41" s="68">
        <v>26</v>
      </c>
      <c r="F41" s="77">
        <v>1397</v>
      </c>
      <c r="G41" s="78">
        <v>10000</v>
      </c>
      <c r="H41" s="68" t="s">
        <v>2624</v>
      </c>
      <c r="I41" s="68">
        <v>0</v>
      </c>
      <c r="J41" s="54">
        <v>43685</v>
      </c>
      <c r="K41" s="68">
        <v>37</v>
      </c>
      <c r="L41" s="68" t="s">
        <v>2017</v>
      </c>
    </row>
    <row r="42" spans="1:12" s="68" customFormat="1">
      <c r="A42" s="68">
        <v>421020100</v>
      </c>
      <c r="B42" s="68" t="s">
        <v>2549</v>
      </c>
      <c r="C42" s="68">
        <v>422</v>
      </c>
      <c r="D42" s="68" t="s">
        <v>2550</v>
      </c>
      <c r="E42" s="68">
        <v>26</v>
      </c>
      <c r="F42" s="77">
        <v>77409</v>
      </c>
      <c r="G42" s="78">
        <v>2000</v>
      </c>
      <c r="H42" s="68" t="s">
        <v>2625</v>
      </c>
      <c r="I42" s="68">
        <v>0</v>
      </c>
      <c r="J42" s="54">
        <v>43685</v>
      </c>
      <c r="K42" s="68">
        <v>37</v>
      </c>
      <c r="L42" s="68" t="s">
        <v>2017</v>
      </c>
    </row>
    <row r="43" spans="1:12" s="68" customFormat="1">
      <c r="A43" s="68">
        <v>421020100</v>
      </c>
      <c r="B43" s="68" t="s">
        <v>2549</v>
      </c>
      <c r="C43" s="68">
        <v>422</v>
      </c>
      <c r="D43" s="68" t="s">
        <v>2550</v>
      </c>
      <c r="E43" s="68">
        <v>1</v>
      </c>
      <c r="F43" s="77">
        <v>60030399599</v>
      </c>
      <c r="G43" s="78">
        <v>14000</v>
      </c>
      <c r="H43" s="68" t="s">
        <v>2637</v>
      </c>
      <c r="I43" s="68">
        <v>0</v>
      </c>
      <c r="J43" s="54">
        <v>43685</v>
      </c>
      <c r="K43" s="68">
        <v>37</v>
      </c>
      <c r="L43" s="68" t="s">
        <v>2017</v>
      </c>
    </row>
    <row r="44" spans="1:12" s="68" customFormat="1">
      <c r="A44" s="68">
        <v>421020100</v>
      </c>
      <c r="B44" s="68" t="s">
        <v>2549</v>
      </c>
      <c r="C44" s="68">
        <v>422</v>
      </c>
      <c r="D44" s="68" t="s">
        <v>2550</v>
      </c>
      <c r="E44" s="68">
        <v>26</v>
      </c>
      <c r="F44" s="77">
        <v>520040048721</v>
      </c>
      <c r="G44" s="78">
        <v>50000</v>
      </c>
      <c r="H44" s="68" t="s">
        <v>2626</v>
      </c>
      <c r="I44" s="68">
        <v>0</v>
      </c>
      <c r="J44" s="54">
        <v>43685</v>
      </c>
      <c r="K44" s="68">
        <v>37</v>
      </c>
      <c r="L44" s="68" t="s">
        <v>2017</v>
      </c>
    </row>
    <row r="45" spans="1:12" s="68" customFormat="1">
      <c r="A45" s="68">
        <v>421020100</v>
      </c>
      <c r="B45" s="68" t="s">
        <v>2549</v>
      </c>
      <c r="C45" s="68">
        <v>422</v>
      </c>
      <c r="D45" s="68" t="s">
        <v>2550</v>
      </c>
      <c r="E45" s="68">
        <v>1</v>
      </c>
      <c r="F45" s="77">
        <v>10010011253</v>
      </c>
      <c r="G45" s="78">
        <v>227273</v>
      </c>
      <c r="H45" s="68" t="s">
        <v>4098</v>
      </c>
      <c r="I45" s="68">
        <v>0</v>
      </c>
      <c r="J45" s="54">
        <v>43495</v>
      </c>
      <c r="K45" s="68">
        <v>42</v>
      </c>
      <c r="L45" s="68" t="s">
        <v>2061</v>
      </c>
    </row>
    <row r="46" spans="1:12" s="68" customFormat="1">
      <c r="A46" s="68">
        <v>421020100</v>
      </c>
      <c r="B46" s="68" t="s">
        <v>2549</v>
      </c>
      <c r="C46" s="68">
        <v>422</v>
      </c>
      <c r="D46" s="68" t="s">
        <v>2550</v>
      </c>
      <c r="E46" s="68">
        <v>1</v>
      </c>
      <c r="F46" s="77">
        <v>10010138261</v>
      </c>
      <c r="G46" s="78">
        <v>204545</v>
      </c>
      <c r="H46" s="68" t="s">
        <v>4099</v>
      </c>
      <c r="I46" s="68">
        <v>0</v>
      </c>
      <c r="J46" s="54">
        <v>43495</v>
      </c>
      <c r="K46" s="68">
        <v>42</v>
      </c>
      <c r="L46" s="68" t="s">
        <v>2061</v>
      </c>
    </row>
    <row r="47" spans="1:12" s="68" customFormat="1">
      <c r="A47" s="68">
        <v>421020100</v>
      </c>
      <c r="B47" s="68" t="s">
        <v>2549</v>
      </c>
      <c r="C47" s="68">
        <v>422</v>
      </c>
      <c r="D47" s="68" t="s">
        <v>2550</v>
      </c>
      <c r="E47" s="68">
        <v>1</v>
      </c>
      <c r="F47" s="77">
        <v>10010138303</v>
      </c>
      <c r="G47" s="78">
        <v>121818</v>
      </c>
      <c r="H47" s="68" t="s">
        <v>4099</v>
      </c>
      <c r="I47" s="68">
        <v>0</v>
      </c>
      <c r="J47" s="54">
        <v>43495</v>
      </c>
      <c r="K47" s="68">
        <v>42</v>
      </c>
      <c r="L47" s="68" t="s">
        <v>2061</v>
      </c>
    </row>
    <row r="48" spans="1:12" s="68" customFormat="1">
      <c r="A48" s="68">
        <v>421020100</v>
      </c>
      <c r="B48" s="68" t="s">
        <v>2549</v>
      </c>
      <c r="C48" s="68">
        <v>422</v>
      </c>
      <c r="D48" s="68" t="s">
        <v>2550</v>
      </c>
      <c r="E48" s="68">
        <v>1</v>
      </c>
      <c r="F48" s="77">
        <v>140810021431</v>
      </c>
      <c r="G48" s="78">
        <v>21818</v>
      </c>
      <c r="H48" s="68" t="s">
        <v>4100</v>
      </c>
      <c r="I48" s="68">
        <v>0</v>
      </c>
      <c r="J48" s="54">
        <v>43496</v>
      </c>
      <c r="K48" s="68">
        <v>42</v>
      </c>
      <c r="L48" s="68" t="s">
        <v>2061</v>
      </c>
    </row>
    <row r="49" spans="1:12" s="68" customFormat="1">
      <c r="A49" s="68">
        <v>421020100</v>
      </c>
      <c r="B49" s="68" t="s">
        <v>2549</v>
      </c>
      <c r="C49" s="68">
        <v>422</v>
      </c>
      <c r="D49" s="68" t="s">
        <v>2550</v>
      </c>
      <c r="E49" s="68">
        <v>1</v>
      </c>
      <c r="F49" s="77">
        <v>270050036129</v>
      </c>
      <c r="G49" s="78">
        <v>4358</v>
      </c>
      <c r="H49" s="68" t="s">
        <v>4101</v>
      </c>
      <c r="I49" s="68">
        <v>0</v>
      </c>
      <c r="J49" s="54">
        <v>43496</v>
      </c>
      <c r="K49" s="68">
        <v>42</v>
      </c>
      <c r="L49" s="68" t="s">
        <v>2061</v>
      </c>
    </row>
    <row r="50" spans="1:12" s="68" customFormat="1">
      <c r="A50" s="68">
        <v>421020100</v>
      </c>
      <c r="B50" s="68" t="s">
        <v>2549</v>
      </c>
      <c r="C50" s="68">
        <v>422</v>
      </c>
      <c r="D50" s="68" t="s">
        <v>2550</v>
      </c>
      <c r="E50" s="68">
        <v>1</v>
      </c>
      <c r="F50" s="77">
        <v>270050036983</v>
      </c>
      <c r="G50" s="78">
        <v>57313</v>
      </c>
      <c r="H50" s="68" t="s">
        <v>4102</v>
      </c>
      <c r="I50" s="68">
        <v>0</v>
      </c>
      <c r="J50" s="54">
        <v>43496</v>
      </c>
      <c r="K50" s="68">
        <v>42</v>
      </c>
      <c r="L50" s="68" t="s">
        <v>2061</v>
      </c>
    </row>
    <row r="51" spans="1:12" s="68" customFormat="1">
      <c r="A51" s="68">
        <v>421020100</v>
      </c>
      <c r="B51" s="68" t="s">
        <v>2549</v>
      </c>
      <c r="C51" s="68">
        <v>422</v>
      </c>
      <c r="D51" s="68" t="s">
        <v>2550</v>
      </c>
      <c r="E51" s="68">
        <v>1</v>
      </c>
      <c r="F51" s="77">
        <v>10100247575</v>
      </c>
      <c r="G51" s="78">
        <v>200000</v>
      </c>
      <c r="H51" s="68" t="s">
        <v>4103</v>
      </c>
      <c r="I51" s="68">
        <v>0</v>
      </c>
      <c r="J51" s="54">
        <v>43553</v>
      </c>
      <c r="K51" s="68">
        <v>42</v>
      </c>
      <c r="L51" s="68" t="s">
        <v>2061</v>
      </c>
    </row>
    <row r="52" spans="1:12" s="68" customFormat="1">
      <c r="A52" s="68">
        <v>421020100</v>
      </c>
      <c r="B52" s="68" t="s">
        <v>2549</v>
      </c>
      <c r="C52" s="68">
        <v>422</v>
      </c>
      <c r="D52" s="68" t="s">
        <v>2550</v>
      </c>
      <c r="E52" s="68">
        <v>1</v>
      </c>
      <c r="F52" s="77">
        <v>10040020339</v>
      </c>
      <c r="G52" s="78">
        <v>148636</v>
      </c>
      <c r="H52" s="68" t="s">
        <v>4104</v>
      </c>
      <c r="I52" s="68">
        <v>0</v>
      </c>
      <c r="J52" s="54">
        <v>43566</v>
      </c>
      <c r="K52" s="68">
        <v>42</v>
      </c>
      <c r="L52" s="68" t="s">
        <v>2061</v>
      </c>
    </row>
    <row r="53" spans="1:12" s="68" customFormat="1">
      <c r="A53" s="68">
        <v>421020100</v>
      </c>
      <c r="B53" s="68" t="s">
        <v>2549</v>
      </c>
      <c r="C53" s="68">
        <v>422</v>
      </c>
      <c r="D53" s="68" t="s">
        <v>2550</v>
      </c>
      <c r="E53" s="68">
        <v>1</v>
      </c>
      <c r="F53" s="77">
        <v>80010021791</v>
      </c>
      <c r="G53" s="78">
        <v>200000</v>
      </c>
      <c r="H53" s="68" t="s">
        <v>4105</v>
      </c>
      <c r="I53" s="68">
        <v>0</v>
      </c>
      <c r="J53" s="54">
        <v>43566</v>
      </c>
      <c r="K53" s="68">
        <v>42</v>
      </c>
      <c r="L53" s="68" t="s">
        <v>2061</v>
      </c>
    </row>
    <row r="54" spans="1:12" s="68" customFormat="1">
      <c r="A54" s="68">
        <v>421020100</v>
      </c>
      <c r="B54" s="68" t="s">
        <v>2549</v>
      </c>
      <c r="C54" s="68">
        <v>422</v>
      </c>
      <c r="D54" s="68" t="s">
        <v>2550</v>
      </c>
      <c r="E54" s="68">
        <v>1</v>
      </c>
      <c r="F54" s="77">
        <v>20050062741</v>
      </c>
      <c r="G54" s="78">
        <v>63636</v>
      </c>
      <c r="H54" s="68" t="s">
        <v>4106</v>
      </c>
      <c r="I54" s="68">
        <v>0</v>
      </c>
      <c r="J54" s="54">
        <v>43577</v>
      </c>
      <c r="K54" s="68">
        <v>42</v>
      </c>
      <c r="L54" s="68" t="s">
        <v>2061</v>
      </c>
    </row>
    <row r="55" spans="1:12" s="68" customFormat="1">
      <c r="A55" s="68">
        <v>421020100</v>
      </c>
      <c r="B55" s="68" t="s">
        <v>2549</v>
      </c>
      <c r="C55" s="68">
        <v>422</v>
      </c>
      <c r="D55" s="68" t="s">
        <v>2550</v>
      </c>
      <c r="E55" s="68">
        <v>1</v>
      </c>
      <c r="F55" s="77">
        <v>10030502508</v>
      </c>
      <c r="G55" s="78">
        <v>38182</v>
      </c>
      <c r="H55" s="68" t="s">
        <v>4107</v>
      </c>
      <c r="I55" s="68">
        <v>0</v>
      </c>
      <c r="J55" s="54">
        <v>43582</v>
      </c>
      <c r="K55" s="68">
        <v>42</v>
      </c>
      <c r="L55" s="68" t="s">
        <v>2061</v>
      </c>
    </row>
    <row r="56" spans="1:12" s="68" customFormat="1">
      <c r="A56" s="68">
        <v>421020100</v>
      </c>
      <c r="B56" s="68" t="s">
        <v>2549</v>
      </c>
      <c r="C56" s="68">
        <v>422</v>
      </c>
      <c r="D56" s="68" t="s">
        <v>2550</v>
      </c>
      <c r="E56" s="68">
        <v>1</v>
      </c>
      <c r="F56" s="77">
        <v>10040020868</v>
      </c>
      <c r="G56" s="78">
        <v>97500</v>
      </c>
      <c r="H56" s="68" t="s">
        <v>4108</v>
      </c>
      <c r="I56" s="68">
        <v>0</v>
      </c>
      <c r="J56" s="54">
        <v>43582</v>
      </c>
      <c r="K56" s="68">
        <v>42</v>
      </c>
      <c r="L56" s="68" t="s">
        <v>2061</v>
      </c>
    </row>
    <row r="57" spans="1:12" s="68" customFormat="1">
      <c r="A57" s="68">
        <v>421020100</v>
      </c>
      <c r="B57" s="68" t="s">
        <v>2549</v>
      </c>
      <c r="C57" s="68">
        <v>422</v>
      </c>
      <c r="D57" s="68" t="s">
        <v>2550</v>
      </c>
      <c r="E57" s="68">
        <v>1</v>
      </c>
      <c r="F57" s="77">
        <v>140840037166</v>
      </c>
      <c r="G57" s="78">
        <v>39982</v>
      </c>
      <c r="H57" s="68" t="s">
        <v>4107</v>
      </c>
      <c r="I57" s="68">
        <v>0</v>
      </c>
      <c r="J57" s="54">
        <v>43582</v>
      </c>
      <c r="K57" s="68">
        <v>42</v>
      </c>
      <c r="L57" s="68" t="s">
        <v>2061</v>
      </c>
    </row>
    <row r="58" spans="1:12" s="68" customFormat="1">
      <c r="A58" s="68">
        <v>421020100</v>
      </c>
      <c r="B58" s="68" t="s">
        <v>2549</v>
      </c>
      <c r="C58" s="68">
        <v>422</v>
      </c>
      <c r="D58" s="68" t="s">
        <v>2550</v>
      </c>
      <c r="E58" s="68">
        <v>1</v>
      </c>
      <c r="F58" s="77">
        <v>10010039084</v>
      </c>
      <c r="G58" s="78">
        <v>8182</v>
      </c>
      <c r="H58" s="68" t="s">
        <v>4109</v>
      </c>
      <c r="I58" s="68">
        <v>0</v>
      </c>
      <c r="J58" s="54">
        <v>43585</v>
      </c>
      <c r="K58" s="68">
        <v>42</v>
      </c>
      <c r="L58" s="68" t="s">
        <v>2061</v>
      </c>
    </row>
    <row r="59" spans="1:12" s="68" customFormat="1">
      <c r="A59" s="68">
        <v>421020100</v>
      </c>
      <c r="B59" s="68" t="s">
        <v>2549</v>
      </c>
      <c r="C59" s="68">
        <v>422</v>
      </c>
      <c r="D59" s="68" t="s">
        <v>2550</v>
      </c>
      <c r="E59" s="68">
        <v>1</v>
      </c>
      <c r="F59" s="77">
        <v>10040016629</v>
      </c>
      <c r="G59" s="78">
        <v>33636</v>
      </c>
      <c r="H59" s="68" t="s">
        <v>4110</v>
      </c>
      <c r="I59" s="68">
        <v>0</v>
      </c>
      <c r="J59" s="54">
        <v>43585</v>
      </c>
      <c r="K59" s="68">
        <v>42</v>
      </c>
      <c r="L59" s="68" t="s">
        <v>2061</v>
      </c>
    </row>
    <row r="60" spans="1:12" s="68" customFormat="1">
      <c r="A60" s="68">
        <v>421020100</v>
      </c>
      <c r="B60" s="68" t="s">
        <v>2549</v>
      </c>
      <c r="C60" s="68">
        <v>422</v>
      </c>
      <c r="D60" s="68" t="s">
        <v>2550</v>
      </c>
      <c r="E60" s="68">
        <v>1</v>
      </c>
      <c r="F60" s="77">
        <v>10030010270</v>
      </c>
      <c r="G60" s="78">
        <v>22055</v>
      </c>
      <c r="H60" s="68" t="s">
        <v>4111</v>
      </c>
      <c r="I60" s="68">
        <v>0</v>
      </c>
      <c r="J60" s="54">
        <v>43593</v>
      </c>
      <c r="K60" s="68">
        <v>42</v>
      </c>
      <c r="L60" s="68" t="s">
        <v>2061</v>
      </c>
    </row>
    <row r="61" spans="1:12" s="68" customFormat="1">
      <c r="A61" s="68">
        <v>421020100</v>
      </c>
      <c r="B61" s="68" t="s">
        <v>2549</v>
      </c>
      <c r="C61" s="68">
        <v>422</v>
      </c>
      <c r="D61" s="68" t="s">
        <v>2550</v>
      </c>
      <c r="E61" s="68">
        <v>1</v>
      </c>
      <c r="F61" s="77">
        <v>10030010303</v>
      </c>
      <c r="G61" s="78">
        <v>22355</v>
      </c>
      <c r="H61" s="68" t="s">
        <v>4112</v>
      </c>
      <c r="I61" s="68">
        <v>0</v>
      </c>
      <c r="J61" s="54">
        <v>43593</v>
      </c>
      <c r="K61" s="68">
        <v>42</v>
      </c>
      <c r="L61" s="68" t="s">
        <v>2061</v>
      </c>
    </row>
    <row r="62" spans="1:12" s="68" customFormat="1">
      <c r="A62" s="68">
        <v>421020100</v>
      </c>
      <c r="B62" s="68" t="s">
        <v>2549</v>
      </c>
      <c r="C62" s="68">
        <v>422</v>
      </c>
      <c r="D62" s="68" t="s">
        <v>2550</v>
      </c>
      <c r="E62" s="68">
        <v>1</v>
      </c>
      <c r="F62" s="77">
        <v>141090024926</v>
      </c>
      <c r="G62" s="78">
        <v>16473</v>
      </c>
      <c r="H62" s="68" t="s">
        <v>4113</v>
      </c>
      <c r="I62" s="68">
        <v>0</v>
      </c>
      <c r="J62" s="54">
        <v>43593</v>
      </c>
      <c r="K62" s="68">
        <v>42</v>
      </c>
      <c r="L62" s="68" t="s">
        <v>2061</v>
      </c>
    </row>
    <row r="63" spans="1:12" s="68" customFormat="1">
      <c r="A63" s="68">
        <v>421020100</v>
      </c>
      <c r="B63" s="68" t="s">
        <v>2549</v>
      </c>
      <c r="C63" s="68">
        <v>422</v>
      </c>
      <c r="D63" s="68" t="s">
        <v>2550</v>
      </c>
      <c r="E63" s="68">
        <v>1</v>
      </c>
      <c r="F63" s="77">
        <v>10030011097</v>
      </c>
      <c r="G63" s="78">
        <v>24655</v>
      </c>
      <c r="H63" s="68" t="s">
        <v>4114</v>
      </c>
      <c r="I63" s="68">
        <v>0</v>
      </c>
      <c r="J63" s="54">
        <v>43616</v>
      </c>
      <c r="K63" s="68">
        <v>42</v>
      </c>
      <c r="L63" s="68" t="s">
        <v>2061</v>
      </c>
    </row>
    <row r="64" spans="1:12" s="68" customFormat="1">
      <c r="A64" s="68">
        <v>421020100</v>
      </c>
      <c r="B64" s="68" t="s">
        <v>2549</v>
      </c>
      <c r="C64" s="68">
        <v>422</v>
      </c>
      <c r="D64" s="68" t="s">
        <v>2550</v>
      </c>
      <c r="E64" s="68">
        <v>1</v>
      </c>
      <c r="F64" s="77">
        <v>10040022572</v>
      </c>
      <c r="G64" s="78">
        <v>72727</v>
      </c>
      <c r="H64" s="68" t="s">
        <v>4115</v>
      </c>
      <c r="I64" s="68">
        <v>0</v>
      </c>
      <c r="J64" s="54">
        <v>43616</v>
      </c>
      <c r="K64" s="68">
        <v>42</v>
      </c>
      <c r="L64" s="68" t="s">
        <v>2061</v>
      </c>
    </row>
    <row r="65" spans="1:12" s="68" customFormat="1">
      <c r="A65" s="68">
        <v>421020100</v>
      </c>
      <c r="B65" s="68" t="s">
        <v>2549</v>
      </c>
      <c r="C65" s="68">
        <v>422</v>
      </c>
      <c r="D65" s="68" t="s">
        <v>2550</v>
      </c>
      <c r="E65" s="68">
        <v>1</v>
      </c>
      <c r="F65" s="77">
        <v>10040022648</v>
      </c>
      <c r="G65" s="78">
        <v>43636</v>
      </c>
      <c r="H65" s="68" t="s">
        <v>4116</v>
      </c>
      <c r="I65" s="68">
        <v>0</v>
      </c>
      <c r="J65" s="54">
        <v>43616</v>
      </c>
      <c r="K65" s="68">
        <v>42</v>
      </c>
      <c r="L65" s="68" t="s">
        <v>2061</v>
      </c>
    </row>
    <row r="66" spans="1:12" s="68" customFormat="1">
      <c r="A66" s="68">
        <v>421020100</v>
      </c>
      <c r="B66" s="68" t="s">
        <v>2549</v>
      </c>
      <c r="C66" s="68">
        <v>422</v>
      </c>
      <c r="D66" s="68" t="s">
        <v>2550</v>
      </c>
      <c r="E66" s="68">
        <v>1</v>
      </c>
      <c r="F66" s="77">
        <v>30020003775</v>
      </c>
      <c r="G66" s="78">
        <v>86364</v>
      </c>
      <c r="H66" s="68" t="s">
        <v>2818</v>
      </c>
      <c r="I66" s="68">
        <v>0</v>
      </c>
      <c r="J66" s="54">
        <v>43616</v>
      </c>
      <c r="K66" s="68">
        <v>42</v>
      </c>
      <c r="L66" s="68" t="s">
        <v>2061</v>
      </c>
    </row>
    <row r="67" spans="1:12" s="68" customFormat="1">
      <c r="A67" s="68">
        <v>421020100</v>
      </c>
      <c r="B67" s="68" t="s">
        <v>2549</v>
      </c>
      <c r="C67" s="68">
        <v>422</v>
      </c>
      <c r="D67" s="68" t="s">
        <v>2550</v>
      </c>
      <c r="E67" s="68">
        <v>1</v>
      </c>
      <c r="F67" s="77">
        <v>140820060327</v>
      </c>
      <c r="G67" s="78">
        <v>19345</v>
      </c>
      <c r="H67" s="68" t="s">
        <v>4117</v>
      </c>
      <c r="I67" s="68">
        <v>0</v>
      </c>
      <c r="J67" s="54">
        <v>43616</v>
      </c>
      <c r="K67" s="68">
        <v>42</v>
      </c>
      <c r="L67" s="68" t="s">
        <v>2061</v>
      </c>
    </row>
    <row r="68" spans="1:12" s="68" customFormat="1">
      <c r="A68" s="68">
        <v>421020100</v>
      </c>
      <c r="B68" s="68" t="s">
        <v>2549</v>
      </c>
      <c r="C68" s="68">
        <v>422</v>
      </c>
      <c r="D68" s="68" t="s">
        <v>2550</v>
      </c>
      <c r="E68" s="68">
        <v>1</v>
      </c>
      <c r="F68" s="77">
        <v>140820063286</v>
      </c>
      <c r="G68" s="78">
        <v>34273</v>
      </c>
      <c r="H68" s="68" t="s">
        <v>4115</v>
      </c>
      <c r="I68" s="68">
        <v>0</v>
      </c>
      <c r="J68" s="54">
        <v>43616</v>
      </c>
      <c r="K68" s="68">
        <v>42</v>
      </c>
      <c r="L68" s="68" t="s">
        <v>2061</v>
      </c>
    </row>
    <row r="69" spans="1:12" s="68" customFormat="1">
      <c r="A69" s="68">
        <v>421020100</v>
      </c>
      <c r="B69" s="68" t="s">
        <v>2549</v>
      </c>
      <c r="C69" s="68">
        <v>422</v>
      </c>
      <c r="D69" s="68" t="s">
        <v>2550</v>
      </c>
      <c r="E69" s="68">
        <v>1</v>
      </c>
      <c r="F69" s="77">
        <v>160710019592</v>
      </c>
      <c r="G69" s="78">
        <v>11364</v>
      </c>
      <c r="H69" s="68" t="s">
        <v>2818</v>
      </c>
      <c r="I69" s="68">
        <v>0</v>
      </c>
      <c r="J69" s="54">
        <v>43616</v>
      </c>
      <c r="K69" s="68">
        <v>42</v>
      </c>
      <c r="L69" s="68" t="s">
        <v>2061</v>
      </c>
    </row>
    <row r="70" spans="1:12" s="68" customFormat="1">
      <c r="A70" s="68">
        <v>421020100</v>
      </c>
      <c r="B70" s="68" t="s">
        <v>2549</v>
      </c>
      <c r="C70" s="68">
        <v>422</v>
      </c>
      <c r="D70" s="68" t="s">
        <v>2550</v>
      </c>
      <c r="E70" s="68">
        <v>1</v>
      </c>
      <c r="F70" s="77">
        <v>160780023990</v>
      </c>
      <c r="G70" s="78">
        <v>52725</v>
      </c>
      <c r="H70" s="68" t="s">
        <v>2818</v>
      </c>
      <c r="I70" s="68">
        <v>0</v>
      </c>
      <c r="J70" s="54">
        <v>43616</v>
      </c>
      <c r="K70" s="68">
        <v>42</v>
      </c>
      <c r="L70" s="68" t="s">
        <v>2061</v>
      </c>
    </row>
    <row r="71" spans="1:12" s="68" customFormat="1">
      <c r="A71" s="68">
        <v>421020100</v>
      </c>
      <c r="B71" s="68" t="s">
        <v>2549</v>
      </c>
      <c r="C71" s="68">
        <v>422</v>
      </c>
      <c r="D71" s="68" t="s">
        <v>2550</v>
      </c>
      <c r="E71" s="68">
        <v>1</v>
      </c>
      <c r="F71" s="77">
        <v>160780023990</v>
      </c>
      <c r="G71" s="78">
        <v>68967</v>
      </c>
      <c r="H71" s="68" t="s">
        <v>2818</v>
      </c>
      <c r="I71" s="68">
        <v>0</v>
      </c>
      <c r="J71" s="54">
        <v>43616</v>
      </c>
      <c r="K71" s="68">
        <v>42</v>
      </c>
      <c r="L71" s="68" t="s">
        <v>2061</v>
      </c>
    </row>
    <row r="72" spans="1:12" s="68" customFormat="1">
      <c r="A72" s="68">
        <v>421020100</v>
      </c>
      <c r="B72" s="68" t="s">
        <v>2549</v>
      </c>
      <c r="C72" s="68">
        <v>422</v>
      </c>
      <c r="D72" s="68" t="s">
        <v>2550</v>
      </c>
      <c r="E72" s="68">
        <v>1</v>
      </c>
      <c r="F72" s="77">
        <v>240020017436</v>
      </c>
      <c r="G72" s="78">
        <v>34159</v>
      </c>
      <c r="H72" s="68" t="s">
        <v>4114</v>
      </c>
      <c r="I72" s="68">
        <v>0</v>
      </c>
      <c r="J72" s="54">
        <v>43616</v>
      </c>
      <c r="K72" s="68">
        <v>42</v>
      </c>
      <c r="L72" s="68" t="s">
        <v>2061</v>
      </c>
    </row>
    <row r="73" spans="1:12" s="68" customFormat="1">
      <c r="A73" s="68">
        <v>421020100</v>
      </c>
      <c r="B73" s="68" t="s">
        <v>2549</v>
      </c>
      <c r="C73" s="68">
        <v>422</v>
      </c>
      <c r="D73" s="68" t="s">
        <v>2550</v>
      </c>
      <c r="E73" s="68">
        <v>1</v>
      </c>
      <c r="F73" s="77">
        <v>710460011702</v>
      </c>
      <c r="G73" s="78">
        <v>27930</v>
      </c>
      <c r="H73" s="68" t="s">
        <v>4118</v>
      </c>
      <c r="I73" s="68">
        <v>0</v>
      </c>
      <c r="J73" s="54">
        <v>43616</v>
      </c>
      <c r="K73" s="68">
        <v>42</v>
      </c>
      <c r="L73" s="68" t="s">
        <v>2061</v>
      </c>
    </row>
    <row r="74" spans="1:12" s="68" customFormat="1">
      <c r="A74" s="68">
        <v>421020100</v>
      </c>
      <c r="B74" s="68" t="s">
        <v>2549</v>
      </c>
      <c r="C74" s="68">
        <v>422</v>
      </c>
      <c r="D74" s="68" t="s">
        <v>2550</v>
      </c>
      <c r="E74" s="68">
        <v>1</v>
      </c>
      <c r="F74" s="77">
        <v>10030510592</v>
      </c>
      <c r="G74" s="78">
        <v>65455</v>
      </c>
      <c r="H74" s="68" t="s">
        <v>4119</v>
      </c>
      <c r="I74" s="68">
        <v>0</v>
      </c>
      <c r="J74" s="54">
        <v>43617</v>
      </c>
      <c r="K74" s="68">
        <v>42</v>
      </c>
      <c r="L74" s="68" t="s">
        <v>2061</v>
      </c>
    </row>
    <row r="75" spans="1:12" s="68" customFormat="1">
      <c r="A75" s="68">
        <v>421020100</v>
      </c>
      <c r="B75" s="68" t="s">
        <v>2549</v>
      </c>
      <c r="C75" s="68">
        <v>422</v>
      </c>
      <c r="D75" s="68" t="s">
        <v>2550</v>
      </c>
      <c r="E75" s="68">
        <v>1</v>
      </c>
      <c r="F75" s="77">
        <v>50020031038</v>
      </c>
      <c r="G75" s="78">
        <v>25455</v>
      </c>
      <c r="H75" s="68" t="s">
        <v>4120</v>
      </c>
      <c r="I75" s="68">
        <v>0</v>
      </c>
      <c r="J75" s="54">
        <v>43640</v>
      </c>
      <c r="K75" s="68">
        <v>42</v>
      </c>
      <c r="L75" s="68" t="s">
        <v>2061</v>
      </c>
    </row>
    <row r="76" spans="1:12" s="68" customFormat="1">
      <c r="A76" s="68">
        <v>421020100</v>
      </c>
      <c r="B76" s="68" t="s">
        <v>2549</v>
      </c>
      <c r="C76" s="68">
        <v>422</v>
      </c>
      <c r="D76" s="68" t="s">
        <v>2550</v>
      </c>
      <c r="E76" s="68">
        <v>26</v>
      </c>
      <c r="F76" s="77">
        <v>8511</v>
      </c>
      <c r="G76" s="78">
        <v>20000</v>
      </c>
      <c r="H76" s="68" t="s">
        <v>2627</v>
      </c>
      <c r="I76" s="68">
        <v>0</v>
      </c>
      <c r="J76" s="54">
        <v>43658</v>
      </c>
      <c r="K76" s="68">
        <v>42</v>
      </c>
      <c r="L76" s="68" t="s">
        <v>2061</v>
      </c>
    </row>
    <row r="77" spans="1:12" s="68" customFormat="1">
      <c r="A77" s="68">
        <v>421020100</v>
      </c>
      <c r="B77" s="68" t="s">
        <v>2549</v>
      </c>
      <c r="C77" s="68">
        <v>422</v>
      </c>
      <c r="D77" s="68" t="s">
        <v>2550</v>
      </c>
      <c r="E77" s="68">
        <v>1</v>
      </c>
      <c r="F77" s="77">
        <v>10040024819</v>
      </c>
      <c r="G77" s="78">
        <v>505000</v>
      </c>
      <c r="H77" s="68" t="s">
        <v>4121</v>
      </c>
      <c r="I77" s="68">
        <v>0</v>
      </c>
      <c r="J77" s="54">
        <v>43658</v>
      </c>
      <c r="K77" s="68">
        <v>42</v>
      </c>
      <c r="L77" s="68" t="s">
        <v>2061</v>
      </c>
    </row>
    <row r="78" spans="1:12" s="68" customFormat="1">
      <c r="A78" s="68">
        <v>421020100</v>
      </c>
      <c r="B78" s="68" t="s">
        <v>2549</v>
      </c>
      <c r="C78" s="68">
        <v>422</v>
      </c>
      <c r="D78" s="68" t="s">
        <v>2550</v>
      </c>
      <c r="E78" s="68">
        <v>26</v>
      </c>
      <c r="F78" s="77">
        <v>1258715</v>
      </c>
      <c r="G78" s="78">
        <v>15000</v>
      </c>
      <c r="H78" s="68" t="s">
        <v>2628</v>
      </c>
      <c r="I78" s="68">
        <v>0</v>
      </c>
      <c r="J78" s="54">
        <v>43671</v>
      </c>
      <c r="K78" s="68">
        <v>42</v>
      </c>
      <c r="L78" s="68" t="s">
        <v>2061</v>
      </c>
    </row>
    <row r="79" spans="1:12" s="68" customFormat="1">
      <c r="A79" s="68">
        <v>421020100</v>
      </c>
      <c r="B79" s="68" t="s">
        <v>2549</v>
      </c>
      <c r="C79" s="68">
        <v>422</v>
      </c>
      <c r="D79" s="68" t="s">
        <v>2550</v>
      </c>
      <c r="E79" s="68">
        <v>1</v>
      </c>
      <c r="F79" s="77">
        <v>10060027708</v>
      </c>
      <c r="G79" s="78">
        <v>413061</v>
      </c>
      <c r="H79" s="68" t="s">
        <v>4122</v>
      </c>
      <c r="I79" s="68">
        <v>0</v>
      </c>
      <c r="J79" s="54">
        <v>43671</v>
      </c>
      <c r="K79" s="68">
        <v>42</v>
      </c>
      <c r="L79" s="68" t="s">
        <v>2061</v>
      </c>
    </row>
    <row r="80" spans="1:12" s="68" customFormat="1">
      <c r="A80" s="68">
        <v>421020100</v>
      </c>
      <c r="B80" s="68" t="s">
        <v>2549</v>
      </c>
      <c r="C80" s="68">
        <v>422</v>
      </c>
      <c r="D80" s="68" t="s">
        <v>2550</v>
      </c>
      <c r="E80" s="68">
        <v>26</v>
      </c>
      <c r="F80" s="77">
        <v>1702</v>
      </c>
      <c r="G80" s="78">
        <v>260000</v>
      </c>
      <c r="H80" s="68" t="s">
        <v>2551</v>
      </c>
      <c r="I80" s="68">
        <v>0</v>
      </c>
      <c r="J80" s="54">
        <v>43690</v>
      </c>
      <c r="K80" s="68">
        <v>42</v>
      </c>
      <c r="L80" s="68" t="s">
        <v>2061</v>
      </c>
    </row>
    <row r="81" spans="1:12" s="68" customFormat="1">
      <c r="A81" s="68">
        <v>421020100</v>
      </c>
      <c r="B81" s="68" t="s">
        <v>2549</v>
      </c>
      <c r="C81" s="68">
        <v>422</v>
      </c>
      <c r="D81" s="68" t="s">
        <v>2550</v>
      </c>
      <c r="E81" s="68">
        <v>26</v>
      </c>
      <c r="F81" s="77">
        <v>5659</v>
      </c>
      <c r="G81" s="78">
        <v>30000</v>
      </c>
      <c r="H81" s="68" t="s">
        <v>2629</v>
      </c>
      <c r="I81" s="68">
        <v>0</v>
      </c>
      <c r="J81" s="54">
        <v>43696</v>
      </c>
      <c r="K81" s="68">
        <v>42</v>
      </c>
      <c r="L81" s="68" t="s">
        <v>2061</v>
      </c>
    </row>
    <row r="82" spans="1:12" s="68" customFormat="1">
      <c r="A82" s="68">
        <v>421020100</v>
      </c>
      <c r="B82" s="68" t="s">
        <v>2549</v>
      </c>
      <c r="C82" s="68">
        <v>422</v>
      </c>
      <c r="D82" s="68" t="s">
        <v>2550</v>
      </c>
      <c r="E82" s="68">
        <v>1</v>
      </c>
      <c r="F82" s="77">
        <v>10010129530</v>
      </c>
      <c r="G82" s="78">
        <v>200000</v>
      </c>
      <c r="H82" s="68" t="s">
        <v>4123</v>
      </c>
      <c r="I82" s="68">
        <v>0</v>
      </c>
      <c r="J82" s="54">
        <v>43696</v>
      </c>
      <c r="K82" s="68">
        <v>42</v>
      </c>
      <c r="L82" s="68" t="s">
        <v>2061</v>
      </c>
    </row>
    <row r="83" spans="1:12" s="68" customFormat="1">
      <c r="A83" s="68">
        <v>421020100</v>
      </c>
      <c r="B83" s="68" t="s">
        <v>2549</v>
      </c>
      <c r="C83" s="68">
        <v>422</v>
      </c>
      <c r="D83" s="68" t="s">
        <v>2550</v>
      </c>
      <c r="E83" s="68">
        <v>1</v>
      </c>
      <c r="F83" s="77">
        <v>10010129656</v>
      </c>
      <c r="G83" s="78">
        <v>200000</v>
      </c>
      <c r="H83" s="68" t="s">
        <v>4123</v>
      </c>
      <c r="I83" s="68">
        <v>0</v>
      </c>
      <c r="J83" s="54">
        <v>43696</v>
      </c>
      <c r="K83" s="68">
        <v>42</v>
      </c>
      <c r="L83" s="68" t="s">
        <v>2061</v>
      </c>
    </row>
    <row r="84" spans="1:12" s="68" customFormat="1">
      <c r="A84" s="68">
        <v>421020100</v>
      </c>
      <c r="B84" s="68" t="s">
        <v>2549</v>
      </c>
      <c r="C84" s="68">
        <v>422</v>
      </c>
      <c r="D84" s="68" t="s">
        <v>2550</v>
      </c>
      <c r="E84" s="68">
        <v>1</v>
      </c>
      <c r="F84" s="77">
        <v>40010035491</v>
      </c>
      <c r="G84" s="78">
        <v>332000</v>
      </c>
      <c r="H84" s="68" t="s">
        <v>4123</v>
      </c>
      <c r="I84" s="68">
        <v>0</v>
      </c>
      <c r="J84" s="54">
        <v>43696</v>
      </c>
      <c r="K84" s="68">
        <v>42</v>
      </c>
      <c r="L84" s="68" t="s">
        <v>2061</v>
      </c>
    </row>
    <row r="85" spans="1:12" s="68" customFormat="1">
      <c r="A85" s="68">
        <v>421020100</v>
      </c>
      <c r="B85" s="68" t="s">
        <v>2549</v>
      </c>
      <c r="C85" s="68">
        <v>422</v>
      </c>
      <c r="D85" s="68" t="s">
        <v>2550</v>
      </c>
      <c r="E85" s="68">
        <v>1</v>
      </c>
      <c r="F85" s="77">
        <v>140060065720</v>
      </c>
      <c r="G85" s="78">
        <v>31855</v>
      </c>
      <c r="H85" s="68" t="s">
        <v>4124</v>
      </c>
      <c r="I85" s="68">
        <v>0</v>
      </c>
      <c r="J85" s="54">
        <v>43696</v>
      </c>
      <c r="K85" s="68">
        <v>42</v>
      </c>
      <c r="L85" s="68" t="s">
        <v>2061</v>
      </c>
    </row>
    <row r="86" spans="1:12" s="68" customFormat="1">
      <c r="A86" s="68">
        <v>421020100</v>
      </c>
      <c r="B86" s="68" t="s">
        <v>2549</v>
      </c>
      <c r="C86" s="68">
        <v>422</v>
      </c>
      <c r="D86" s="68" t="s">
        <v>2550</v>
      </c>
      <c r="E86" s="68">
        <v>1</v>
      </c>
      <c r="F86" s="77">
        <v>350030018682</v>
      </c>
      <c r="G86" s="78">
        <v>250000</v>
      </c>
      <c r="H86" s="68" t="s">
        <v>4125</v>
      </c>
      <c r="I86" s="68">
        <v>0</v>
      </c>
      <c r="J86" s="54">
        <v>43700</v>
      </c>
      <c r="K86" s="68">
        <v>42</v>
      </c>
      <c r="L86" s="68" t="s">
        <v>2061</v>
      </c>
    </row>
    <row r="87" spans="1:12" s="68" customFormat="1">
      <c r="A87" s="68">
        <v>421020100</v>
      </c>
      <c r="B87" s="68" t="s">
        <v>2549</v>
      </c>
      <c r="C87" s="68">
        <v>422</v>
      </c>
      <c r="D87" s="68" t="s">
        <v>2550</v>
      </c>
      <c r="E87" s="68">
        <v>26</v>
      </c>
      <c r="F87" s="77">
        <v>1414</v>
      </c>
      <c r="G87" s="78">
        <v>15000</v>
      </c>
      <c r="H87" s="68" t="s">
        <v>2630</v>
      </c>
      <c r="I87" s="68">
        <v>0</v>
      </c>
      <c r="J87" s="54">
        <v>43706</v>
      </c>
      <c r="K87" s="68">
        <v>42</v>
      </c>
      <c r="L87" s="68" t="s">
        <v>2061</v>
      </c>
    </row>
    <row r="88" spans="1:12" s="68" customFormat="1">
      <c r="A88" s="68">
        <v>421020100</v>
      </c>
      <c r="B88" s="68" t="s">
        <v>2549</v>
      </c>
      <c r="C88" s="68">
        <v>422</v>
      </c>
      <c r="D88" s="68" t="s">
        <v>2550</v>
      </c>
      <c r="E88" s="68">
        <v>1</v>
      </c>
      <c r="F88" s="77">
        <v>10060032031</v>
      </c>
      <c r="G88" s="78">
        <v>475097</v>
      </c>
      <c r="H88" s="68" t="s">
        <v>4126</v>
      </c>
      <c r="I88" s="68">
        <v>0</v>
      </c>
      <c r="J88" s="54">
        <v>43706</v>
      </c>
      <c r="K88" s="68">
        <v>42</v>
      </c>
      <c r="L88" s="68" t="s">
        <v>2061</v>
      </c>
    </row>
    <row r="89" spans="1:12" s="68" customFormat="1">
      <c r="A89" s="68">
        <v>421020100</v>
      </c>
      <c r="B89" s="68" t="s">
        <v>2549</v>
      </c>
      <c r="C89" s="68">
        <v>422</v>
      </c>
      <c r="D89" s="68" t="s">
        <v>2550</v>
      </c>
      <c r="E89" s="68">
        <v>1</v>
      </c>
      <c r="F89" s="77">
        <v>20010002824</v>
      </c>
      <c r="G89" s="78">
        <v>188182</v>
      </c>
      <c r="H89" s="68" t="s">
        <v>4127</v>
      </c>
      <c r="I89" s="68">
        <v>0</v>
      </c>
      <c r="J89" s="54">
        <v>43706</v>
      </c>
      <c r="K89" s="68">
        <v>42</v>
      </c>
      <c r="L89" s="68" t="s">
        <v>2061</v>
      </c>
    </row>
    <row r="90" spans="1:12" s="68" customFormat="1">
      <c r="A90" s="68">
        <v>421020100</v>
      </c>
      <c r="B90" s="68" t="s">
        <v>2549</v>
      </c>
      <c r="C90" s="68">
        <v>422</v>
      </c>
      <c r="D90" s="68" t="s">
        <v>2550</v>
      </c>
      <c r="E90" s="68">
        <v>1</v>
      </c>
      <c r="F90" s="77">
        <v>60020503238</v>
      </c>
      <c r="G90" s="78">
        <v>24000</v>
      </c>
      <c r="H90" s="68" t="s">
        <v>2630</v>
      </c>
      <c r="I90" s="68">
        <v>0</v>
      </c>
      <c r="J90" s="54">
        <v>43706</v>
      </c>
      <c r="K90" s="68">
        <v>42</v>
      </c>
      <c r="L90" s="68" t="s">
        <v>2061</v>
      </c>
    </row>
    <row r="91" spans="1:12" s="68" customFormat="1">
      <c r="A91" s="68">
        <v>421020100</v>
      </c>
      <c r="B91" s="68" t="s">
        <v>2549</v>
      </c>
      <c r="C91" s="68">
        <v>422</v>
      </c>
      <c r="D91" s="68" t="s">
        <v>2550</v>
      </c>
      <c r="E91" s="68">
        <v>1</v>
      </c>
      <c r="F91" s="77">
        <v>60070570227</v>
      </c>
      <c r="G91" s="78">
        <v>14000</v>
      </c>
      <c r="H91" s="68" t="s">
        <v>2630</v>
      </c>
      <c r="I91" s="68">
        <v>0</v>
      </c>
      <c r="J91" s="54">
        <v>43706</v>
      </c>
      <c r="K91" s="68">
        <v>42</v>
      </c>
      <c r="L91" s="68" t="s">
        <v>2061</v>
      </c>
    </row>
    <row r="92" spans="1:12" s="68" customFormat="1">
      <c r="A92" s="68">
        <v>421020100</v>
      </c>
      <c r="B92" s="68" t="s">
        <v>2549</v>
      </c>
      <c r="C92" s="68">
        <v>422</v>
      </c>
      <c r="D92" s="68" t="s">
        <v>2550</v>
      </c>
      <c r="E92" s="68">
        <v>1</v>
      </c>
      <c r="F92" s="77">
        <v>10010131139</v>
      </c>
      <c r="G92" s="78">
        <v>200000</v>
      </c>
      <c r="H92" s="68" t="s">
        <v>4128</v>
      </c>
      <c r="I92" s="68">
        <v>0</v>
      </c>
      <c r="J92" s="54">
        <v>43724</v>
      </c>
      <c r="K92" s="68">
        <v>42</v>
      </c>
      <c r="L92" s="68" t="s">
        <v>2061</v>
      </c>
    </row>
    <row r="93" spans="1:12" s="68" customFormat="1">
      <c r="A93" s="68">
        <v>421020100</v>
      </c>
      <c r="B93" s="68" t="s">
        <v>2549</v>
      </c>
      <c r="C93" s="68">
        <v>422</v>
      </c>
      <c r="D93" s="68" t="s">
        <v>2550</v>
      </c>
      <c r="E93" s="68">
        <v>1</v>
      </c>
      <c r="F93" s="77">
        <v>10010131305</v>
      </c>
      <c r="G93" s="78">
        <v>200000</v>
      </c>
      <c r="H93" s="68" t="s">
        <v>4126</v>
      </c>
      <c r="I93" s="68">
        <v>0</v>
      </c>
      <c r="J93" s="54">
        <v>43724</v>
      </c>
      <c r="K93" s="68">
        <v>42</v>
      </c>
      <c r="L93" s="68" t="s">
        <v>2061</v>
      </c>
    </row>
    <row r="94" spans="1:12" s="68" customFormat="1">
      <c r="A94" s="68">
        <v>421020100</v>
      </c>
      <c r="B94" s="68" t="s">
        <v>2549</v>
      </c>
      <c r="C94" s="68">
        <v>422</v>
      </c>
      <c r="D94" s="68" t="s">
        <v>2550</v>
      </c>
      <c r="E94" s="68">
        <v>26</v>
      </c>
      <c r="F94" s="77">
        <v>4987</v>
      </c>
      <c r="G94" s="78">
        <v>20000</v>
      </c>
      <c r="H94" s="68" t="s">
        <v>2631</v>
      </c>
      <c r="I94" s="68">
        <v>0</v>
      </c>
      <c r="J94" s="54">
        <v>43733</v>
      </c>
      <c r="K94" s="68">
        <v>42</v>
      </c>
      <c r="L94" s="68" t="s">
        <v>2061</v>
      </c>
    </row>
    <row r="95" spans="1:12" s="68" customFormat="1">
      <c r="A95" s="68">
        <v>421020100</v>
      </c>
      <c r="B95" s="68" t="s">
        <v>2549</v>
      </c>
      <c r="C95" s="68">
        <v>422</v>
      </c>
      <c r="D95" s="68" t="s">
        <v>2550</v>
      </c>
      <c r="E95" s="68">
        <v>1</v>
      </c>
      <c r="F95" s="77">
        <v>10010157637</v>
      </c>
      <c r="G95" s="78">
        <v>116364</v>
      </c>
      <c r="H95" s="68" t="s">
        <v>4129</v>
      </c>
      <c r="I95" s="68">
        <v>0</v>
      </c>
      <c r="J95" s="54">
        <v>43733</v>
      </c>
      <c r="K95" s="68">
        <v>42</v>
      </c>
      <c r="L95" s="68" t="s">
        <v>2061</v>
      </c>
    </row>
    <row r="96" spans="1:12" s="68" customFormat="1">
      <c r="A96" s="68">
        <v>421020100</v>
      </c>
      <c r="B96" s="68" t="s">
        <v>2549</v>
      </c>
      <c r="C96" s="68">
        <v>422</v>
      </c>
      <c r="D96" s="68" t="s">
        <v>2550</v>
      </c>
      <c r="E96" s="68">
        <v>1</v>
      </c>
      <c r="F96" s="77">
        <v>10060035161</v>
      </c>
      <c r="G96" s="78">
        <v>490063</v>
      </c>
      <c r="H96" s="68" t="s">
        <v>4130</v>
      </c>
      <c r="I96" s="68">
        <v>0</v>
      </c>
      <c r="J96" s="54">
        <v>43733</v>
      </c>
      <c r="K96" s="68">
        <v>42</v>
      </c>
      <c r="L96" s="68" t="s">
        <v>2061</v>
      </c>
    </row>
    <row r="97" spans="1:12" s="68" customFormat="1">
      <c r="A97" s="68">
        <v>421020100</v>
      </c>
      <c r="B97" s="68" t="s">
        <v>2549</v>
      </c>
      <c r="C97" s="68">
        <v>422</v>
      </c>
      <c r="D97" s="68" t="s">
        <v>2550</v>
      </c>
      <c r="E97" s="68">
        <v>1</v>
      </c>
      <c r="F97" s="77">
        <v>20010003107</v>
      </c>
      <c r="G97" s="78">
        <v>364545</v>
      </c>
      <c r="H97" s="68" t="s">
        <v>4131</v>
      </c>
      <c r="I97" s="68">
        <v>0</v>
      </c>
      <c r="J97" s="54">
        <v>43733</v>
      </c>
      <c r="K97" s="68">
        <v>42</v>
      </c>
      <c r="L97" s="68" t="s">
        <v>2061</v>
      </c>
    </row>
    <row r="98" spans="1:12" s="68" customFormat="1">
      <c r="A98" s="68">
        <v>421020100</v>
      </c>
      <c r="B98" s="68" t="s">
        <v>2549</v>
      </c>
      <c r="C98" s="68">
        <v>422</v>
      </c>
      <c r="D98" s="68" t="s">
        <v>2550</v>
      </c>
      <c r="E98" s="68">
        <v>1</v>
      </c>
      <c r="F98" s="77">
        <v>50030392145</v>
      </c>
      <c r="G98" s="78">
        <v>100005</v>
      </c>
      <c r="H98" s="68" t="s">
        <v>4132</v>
      </c>
      <c r="I98" s="68">
        <v>0</v>
      </c>
      <c r="J98" s="54">
        <v>43733</v>
      </c>
      <c r="K98" s="68">
        <v>42</v>
      </c>
      <c r="L98" s="68" t="s">
        <v>2061</v>
      </c>
    </row>
    <row r="99" spans="1:12" s="68" customFormat="1">
      <c r="A99" s="68">
        <v>421020100</v>
      </c>
      <c r="B99" s="68" t="s">
        <v>2549</v>
      </c>
      <c r="C99" s="68">
        <v>422</v>
      </c>
      <c r="D99" s="68" t="s">
        <v>2550</v>
      </c>
      <c r="E99" s="68">
        <v>1</v>
      </c>
      <c r="F99" s="77">
        <v>60020527239</v>
      </c>
      <c r="G99" s="78">
        <v>14000</v>
      </c>
      <c r="H99" s="68" t="s">
        <v>2631</v>
      </c>
      <c r="I99" s="68">
        <v>0</v>
      </c>
      <c r="J99" s="54">
        <v>43733</v>
      </c>
      <c r="K99" s="68">
        <v>42</v>
      </c>
      <c r="L99" s="68" t="s">
        <v>2061</v>
      </c>
    </row>
    <row r="100" spans="1:12" s="68" customFormat="1">
      <c r="A100" s="68">
        <v>421020100</v>
      </c>
      <c r="B100" s="68" t="s">
        <v>2549</v>
      </c>
      <c r="C100" s="68">
        <v>422</v>
      </c>
      <c r="D100" s="68" t="s">
        <v>2550</v>
      </c>
      <c r="E100" s="68">
        <v>1</v>
      </c>
      <c r="F100" s="77">
        <v>60070595869</v>
      </c>
      <c r="G100" s="78">
        <v>14000</v>
      </c>
      <c r="H100" s="68" t="s">
        <v>2631</v>
      </c>
      <c r="I100" s="68">
        <v>0</v>
      </c>
      <c r="J100" s="54">
        <v>43733</v>
      </c>
      <c r="K100" s="68">
        <v>42</v>
      </c>
      <c r="L100" s="68" t="s">
        <v>2061</v>
      </c>
    </row>
    <row r="101" spans="1:12" s="68" customFormat="1">
      <c r="A101" s="68">
        <v>421020100</v>
      </c>
      <c r="B101" s="68" t="s">
        <v>2549</v>
      </c>
      <c r="C101" s="68">
        <v>422</v>
      </c>
      <c r="D101" s="68" t="s">
        <v>2550</v>
      </c>
      <c r="E101" s="68">
        <v>26</v>
      </c>
      <c r="F101" s="77">
        <v>7452</v>
      </c>
      <c r="G101" s="78">
        <v>15000</v>
      </c>
      <c r="H101" s="68" t="s">
        <v>2632</v>
      </c>
      <c r="I101" s="68">
        <v>0</v>
      </c>
      <c r="J101" s="54">
        <v>43738</v>
      </c>
      <c r="K101" s="68">
        <v>42</v>
      </c>
      <c r="L101" s="68" t="s">
        <v>2061</v>
      </c>
    </row>
    <row r="102" spans="1:12" s="68" customFormat="1">
      <c r="A102" s="68">
        <v>421020100</v>
      </c>
      <c r="B102" s="68" t="s">
        <v>2549</v>
      </c>
      <c r="C102" s="68">
        <v>422</v>
      </c>
      <c r="D102" s="68" t="s">
        <v>2550</v>
      </c>
      <c r="E102" s="68">
        <v>1</v>
      </c>
      <c r="F102" s="77">
        <v>10010131936</v>
      </c>
      <c r="G102" s="78">
        <v>100000</v>
      </c>
      <c r="H102" s="68" t="s">
        <v>4133</v>
      </c>
      <c r="I102" s="68">
        <v>0</v>
      </c>
      <c r="J102" s="54">
        <v>43738</v>
      </c>
      <c r="K102" s="68">
        <v>42</v>
      </c>
      <c r="L102" s="68" t="s">
        <v>2061</v>
      </c>
    </row>
    <row r="103" spans="1:12" s="68" customFormat="1">
      <c r="A103" s="68">
        <v>421020100</v>
      </c>
      <c r="B103" s="68" t="s">
        <v>2549</v>
      </c>
      <c r="C103" s="68">
        <v>422</v>
      </c>
      <c r="D103" s="68" t="s">
        <v>2550</v>
      </c>
      <c r="E103" s="68">
        <v>1</v>
      </c>
      <c r="F103" s="77">
        <v>10010194759</v>
      </c>
      <c r="G103" s="78">
        <v>400000</v>
      </c>
      <c r="H103" s="68" t="s">
        <v>4134</v>
      </c>
      <c r="I103" s="68">
        <v>0</v>
      </c>
      <c r="J103" s="54">
        <v>43738</v>
      </c>
      <c r="K103" s="68">
        <v>42</v>
      </c>
      <c r="L103" s="68" t="s">
        <v>2061</v>
      </c>
    </row>
    <row r="104" spans="1:12" s="68" customFormat="1">
      <c r="A104" s="68">
        <v>421020100</v>
      </c>
      <c r="B104" s="68" t="s">
        <v>2549</v>
      </c>
      <c r="C104" s="68">
        <v>422</v>
      </c>
      <c r="D104" s="68" t="s">
        <v>2550</v>
      </c>
      <c r="E104" s="68">
        <v>1</v>
      </c>
      <c r="F104" s="77">
        <v>10040029050</v>
      </c>
      <c r="G104" s="78">
        <v>79545</v>
      </c>
      <c r="H104" s="68" t="s">
        <v>4135</v>
      </c>
      <c r="I104" s="68">
        <v>0</v>
      </c>
      <c r="J104" s="54">
        <v>43738</v>
      </c>
      <c r="K104" s="68">
        <v>42</v>
      </c>
      <c r="L104" s="68" t="s">
        <v>2061</v>
      </c>
    </row>
    <row r="105" spans="1:12" s="68" customFormat="1">
      <c r="A105" s="68">
        <v>421020100</v>
      </c>
      <c r="B105" s="68" t="s">
        <v>2549</v>
      </c>
      <c r="C105" s="68">
        <v>422</v>
      </c>
      <c r="D105" s="68" t="s">
        <v>2550</v>
      </c>
      <c r="E105" s="68">
        <v>1</v>
      </c>
      <c r="F105" s="77">
        <v>10210020014</v>
      </c>
      <c r="G105" s="78">
        <v>79996</v>
      </c>
      <c r="H105" s="68" t="s">
        <v>4135</v>
      </c>
      <c r="I105" s="68">
        <v>0</v>
      </c>
      <c r="J105" s="54">
        <v>43738</v>
      </c>
      <c r="K105" s="68">
        <v>42</v>
      </c>
      <c r="L105" s="68" t="s">
        <v>2061</v>
      </c>
    </row>
    <row r="106" spans="1:12" s="68" customFormat="1">
      <c r="A106" s="68">
        <v>421020100</v>
      </c>
      <c r="B106" s="68" t="s">
        <v>2549</v>
      </c>
      <c r="C106" s="68">
        <v>422</v>
      </c>
      <c r="D106" s="68" t="s">
        <v>2550</v>
      </c>
      <c r="E106" s="68">
        <v>26</v>
      </c>
      <c r="F106" s="77">
        <v>6444</v>
      </c>
      <c r="G106" s="78">
        <v>35000</v>
      </c>
      <c r="H106" s="68" t="s">
        <v>2633</v>
      </c>
      <c r="I106" s="68">
        <v>0</v>
      </c>
      <c r="J106" s="54">
        <v>43811</v>
      </c>
      <c r="K106" s="68">
        <v>42</v>
      </c>
      <c r="L106" s="68" t="s">
        <v>2061</v>
      </c>
    </row>
    <row r="107" spans="1:12" s="68" customFormat="1">
      <c r="A107" s="68">
        <v>421020100</v>
      </c>
      <c r="B107" s="68" t="s">
        <v>2549</v>
      </c>
      <c r="C107" s="68">
        <v>422</v>
      </c>
      <c r="D107" s="68" t="s">
        <v>2550</v>
      </c>
      <c r="E107" s="68">
        <v>1</v>
      </c>
      <c r="F107" s="77">
        <v>10010001665</v>
      </c>
      <c r="G107" s="78">
        <v>64545</v>
      </c>
      <c r="H107" s="68" t="s">
        <v>4136</v>
      </c>
      <c r="I107" s="68">
        <v>0</v>
      </c>
      <c r="J107" s="54">
        <v>43811</v>
      </c>
      <c r="K107" s="68">
        <v>42</v>
      </c>
      <c r="L107" s="68" t="s">
        <v>2061</v>
      </c>
    </row>
    <row r="108" spans="1:12" s="68" customFormat="1">
      <c r="A108" s="68">
        <v>421020100</v>
      </c>
      <c r="B108" s="68" t="s">
        <v>2549</v>
      </c>
      <c r="C108" s="68">
        <v>422</v>
      </c>
      <c r="D108" s="68" t="s">
        <v>2550</v>
      </c>
      <c r="E108" s="68">
        <v>1</v>
      </c>
      <c r="F108" s="77">
        <v>10060006067</v>
      </c>
      <c r="G108" s="78">
        <v>493020</v>
      </c>
      <c r="H108" s="68" t="s">
        <v>4137</v>
      </c>
      <c r="I108" s="68">
        <v>0</v>
      </c>
      <c r="J108" s="54">
        <v>43811</v>
      </c>
      <c r="K108" s="68">
        <v>42</v>
      </c>
      <c r="L108" s="68" t="s">
        <v>2061</v>
      </c>
    </row>
    <row r="109" spans="1:12" s="68" customFormat="1">
      <c r="A109" s="68">
        <v>421020100</v>
      </c>
      <c r="B109" s="68" t="s">
        <v>2549</v>
      </c>
      <c r="C109" s="68">
        <v>422</v>
      </c>
      <c r="D109" s="68" t="s">
        <v>2550</v>
      </c>
      <c r="E109" s="68">
        <v>1</v>
      </c>
      <c r="F109" s="77">
        <v>10010098142</v>
      </c>
      <c r="G109" s="78">
        <v>28182</v>
      </c>
      <c r="H109" s="68" t="s">
        <v>4138</v>
      </c>
      <c r="I109" s="68">
        <v>0</v>
      </c>
      <c r="J109" s="54">
        <v>43825</v>
      </c>
      <c r="K109" s="68">
        <v>42</v>
      </c>
      <c r="L109" s="68" t="s">
        <v>2061</v>
      </c>
    </row>
    <row r="110" spans="1:12" s="68" customFormat="1">
      <c r="A110" s="68">
        <v>421020100</v>
      </c>
      <c r="B110" s="68" t="s">
        <v>2549</v>
      </c>
      <c r="C110" s="68">
        <v>422</v>
      </c>
      <c r="D110" s="68" t="s">
        <v>2550</v>
      </c>
      <c r="E110" s="68">
        <v>2</v>
      </c>
      <c r="F110" s="77">
        <v>20070030915</v>
      </c>
      <c r="G110" s="78">
        <v>445019</v>
      </c>
      <c r="H110" s="68" t="s">
        <v>4139</v>
      </c>
      <c r="I110" s="68">
        <v>0</v>
      </c>
      <c r="J110" s="54">
        <v>43679</v>
      </c>
      <c r="L110" s="68" t="s">
        <v>2076</v>
      </c>
    </row>
    <row r="111" spans="1:12" s="68" customFormat="1">
      <c r="A111" s="68">
        <v>421020100</v>
      </c>
      <c r="B111" s="68" t="s">
        <v>2549</v>
      </c>
      <c r="C111" s="68">
        <v>422</v>
      </c>
      <c r="D111" s="68" t="s">
        <v>2550</v>
      </c>
      <c r="E111" s="68">
        <v>2</v>
      </c>
      <c r="F111" s="77">
        <v>20060038076</v>
      </c>
      <c r="G111" s="78">
        <v>270008</v>
      </c>
      <c r="H111" s="68" t="s">
        <v>4140</v>
      </c>
      <c r="I111" s="68">
        <v>0</v>
      </c>
      <c r="J111" s="54">
        <v>43693</v>
      </c>
      <c r="L111" s="68" t="s">
        <v>2076</v>
      </c>
    </row>
    <row r="112" spans="1:12" s="68" customFormat="1">
      <c r="A112" s="68">
        <v>421020100</v>
      </c>
      <c r="B112" s="68" t="s">
        <v>2549</v>
      </c>
      <c r="C112" s="68">
        <v>422</v>
      </c>
      <c r="D112" s="68" t="s">
        <v>2550</v>
      </c>
      <c r="E112" s="68">
        <v>2</v>
      </c>
      <c r="F112" s="77">
        <v>10070036153</v>
      </c>
      <c r="G112" s="78">
        <v>416452</v>
      </c>
      <c r="H112" s="68" t="s">
        <v>4140</v>
      </c>
      <c r="I112" s="68">
        <v>0</v>
      </c>
      <c r="J112" s="54">
        <v>43705</v>
      </c>
      <c r="L112" s="68" t="s">
        <v>2076</v>
      </c>
    </row>
    <row r="113" spans="1:12" s="68" customFormat="1">
      <c r="A113" s="68">
        <v>421020100</v>
      </c>
      <c r="B113" s="68" t="s">
        <v>2549</v>
      </c>
      <c r="C113" s="68">
        <v>422</v>
      </c>
      <c r="D113" s="68" t="s">
        <v>2550</v>
      </c>
      <c r="E113" s="68">
        <v>2</v>
      </c>
      <c r="F113" s="77">
        <v>20070035945</v>
      </c>
      <c r="G113" s="78">
        <v>474321</v>
      </c>
      <c r="H113" s="68" t="s">
        <v>4140</v>
      </c>
      <c r="I113" s="68">
        <v>0</v>
      </c>
      <c r="J113" s="54">
        <v>43720</v>
      </c>
      <c r="L113" s="68" t="s">
        <v>2076</v>
      </c>
    </row>
    <row r="114" spans="1:12" s="68" customFormat="1">
      <c r="A114" s="68">
        <v>421020100</v>
      </c>
      <c r="B114" s="68" t="s">
        <v>2549</v>
      </c>
      <c r="C114" s="68">
        <v>422</v>
      </c>
      <c r="D114" s="68" t="s">
        <v>2550</v>
      </c>
      <c r="E114" s="68">
        <v>2</v>
      </c>
      <c r="F114" s="77">
        <v>20070036240</v>
      </c>
      <c r="G114" s="78">
        <v>400062</v>
      </c>
      <c r="H114" s="68" t="s">
        <v>4141</v>
      </c>
      <c r="I114" s="68">
        <v>0</v>
      </c>
      <c r="J114" s="54">
        <v>43722</v>
      </c>
      <c r="L114" s="68" t="s">
        <v>2076</v>
      </c>
    </row>
    <row r="115" spans="1:12" s="68" customFormat="1">
      <c r="A115" s="68">
        <v>421020100</v>
      </c>
      <c r="B115" s="68" t="s">
        <v>2549</v>
      </c>
      <c r="C115" s="68">
        <v>422</v>
      </c>
      <c r="D115" s="68" t="s">
        <v>2550</v>
      </c>
      <c r="E115" s="68">
        <v>2</v>
      </c>
      <c r="F115" s="77">
        <v>20070037553</v>
      </c>
      <c r="G115" s="78">
        <v>130054</v>
      </c>
      <c r="H115" s="68" t="s">
        <v>4140</v>
      </c>
      <c r="I115" s="68">
        <v>0</v>
      </c>
      <c r="J115" s="54">
        <v>43732</v>
      </c>
      <c r="L115" s="68" t="s">
        <v>2076</v>
      </c>
    </row>
    <row r="116" spans="1:12" s="68" customFormat="1">
      <c r="A116" s="68">
        <v>421020100</v>
      </c>
      <c r="B116" s="68" t="s">
        <v>2549</v>
      </c>
      <c r="C116" s="68">
        <v>422</v>
      </c>
      <c r="D116" s="68" t="s">
        <v>2550</v>
      </c>
      <c r="E116" s="68">
        <v>2</v>
      </c>
      <c r="F116" s="77">
        <v>20070037997</v>
      </c>
      <c r="G116" s="78">
        <v>486162</v>
      </c>
      <c r="H116" s="68" t="s">
        <v>4140</v>
      </c>
      <c r="I116" s="68">
        <v>0</v>
      </c>
      <c r="J116" s="54">
        <v>43735</v>
      </c>
      <c r="L116" s="68" t="s">
        <v>2076</v>
      </c>
    </row>
    <row r="117" spans="1:12" s="68" customFormat="1">
      <c r="A117" s="68">
        <v>421020200</v>
      </c>
      <c r="B117" s="68" t="s">
        <v>4142</v>
      </c>
      <c r="C117" s="68">
        <v>422</v>
      </c>
      <c r="D117" s="68" t="s">
        <v>2550</v>
      </c>
      <c r="E117" s="68">
        <v>1</v>
      </c>
      <c r="F117" s="77">
        <v>160040032755</v>
      </c>
      <c r="G117" s="78">
        <v>161083</v>
      </c>
      <c r="H117" s="68" t="s">
        <v>4143</v>
      </c>
      <c r="I117" s="68">
        <v>0</v>
      </c>
      <c r="J117" s="54">
        <v>43773</v>
      </c>
      <c r="K117" s="68">
        <v>3</v>
      </c>
      <c r="L117" s="68" t="s">
        <v>2099</v>
      </c>
    </row>
    <row r="118" spans="1:12" s="68" customFormat="1">
      <c r="A118" s="68">
        <v>421020200</v>
      </c>
      <c r="B118" s="68" t="s">
        <v>4142</v>
      </c>
      <c r="C118" s="68">
        <v>422</v>
      </c>
      <c r="D118" s="68" t="s">
        <v>2550</v>
      </c>
      <c r="E118" s="68">
        <v>1</v>
      </c>
      <c r="F118" s="77">
        <v>160040032755</v>
      </c>
      <c r="G118" s="78">
        <v>131121</v>
      </c>
      <c r="H118" s="68" t="s">
        <v>4143</v>
      </c>
      <c r="I118" s="68">
        <v>0</v>
      </c>
      <c r="J118" s="54">
        <v>43773</v>
      </c>
      <c r="K118" s="68">
        <v>3</v>
      </c>
      <c r="L118" s="68" t="s">
        <v>2099</v>
      </c>
    </row>
    <row r="119" spans="1:12" s="68" customFormat="1">
      <c r="A119" s="68">
        <v>421020200</v>
      </c>
      <c r="B119" s="68" t="s">
        <v>4142</v>
      </c>
      <c r="C119" s="68">
        <v>423</v>
      </c>
      <c r="D119" s="68" t="s">
        <v>4144</v>
      </c>
      <c r="E119" s="68">
        <v>1</v>
      </c>
      <c r="F119" s="77">
        <v>1001000615</v>
      </c>
      <c r="G119" s="78">
        <v>223636</v>
      </c>
      <c r="H119" s="68" t="s">
        <v>4145</v>
      </c>
      <c r="I119" s="68">
        <v>0</v>
      </c>
      <c r="J119" s="54">
        <v>43504</v>
      </c>
      <c r="K119" s="68">
        <v>3</v>
      </c>
      <c r="L119" s="68" t="s">
        <v>2099</v>
      </c>
    </row>
    <row r="120" spans="1:12" s="68" customFormat="1">
      <c r="A120" s="68">
        <v>421020200</v>
      </c>
      <c r="B120" s="68" t="s">
        <v>4142</v>
      </c>
      <c r="C120" s="68">
        <v>423</v>
      </c>
      <c r="D120" s="68" t="s">
        <v>4144</v>
      </c>
      <c r="E120" s="68">
        <v>1</v>
      </c>
      <c r="F120" s="77">
        <v>10020020408</v>
      </c>
      <c r="G120" s="78">
        <v>90000</v>
      </c>
      <c r="H120" s="68" t="s">
        <v>4146</v>
      </c>
      <c r="I120" s="68">
        <v>0</v>
      </c>
      <c r="J120" s="54">
        <v>43504</v>
      </c>
      <c r="K120" s="68">
        <v>3</v>
      </c>
      <c r="L120" s="68" t="s">
        <v>2099</v>
      </c>
    </row>
    <row r="121" spans="1:12" s="68" customFormat="1">
      <c r="A121" s="68">
        <v>421020200</v>
      </c>
      <c r="B121" s="68" t="s">
        <v>4142</v>
      </c>
      <c r="C121" s="68">
        <v>423</v>
      </c>
      <c r="D121" s="68" t="s">
        <v>4144</v>
      </c>
      <c r="E121" s="68">
        <v>1</v>
      </c>
      <c r="F121" s="77">
        <v>10020024077</v>
      </c>
      <c r="G121" s="78">
        <v>45455</v>
      </c>
      <c r="H121" s="68" t="s">
        <v>4147</v>
      </c>
      <c r="I121" s="68">
        <v>0</v>
      </c>
      <c r="J121" s="54">
        <v>43579</v>
      </c>
      <c r="K121" s="68">
        <v>3</v>
      </c>
      <c r="L121" s="68" t="s">
        <v>2099</v>
      </c>
    </row>
    <row r="122" spans="1:12" s="68" customFormat="1">
      <c r="A122" s="68">
        <v>421020200</v>
      </c>
      <c r="B122" s="68" t="s">
        <v>4142</v>
      </c>
      <c r="C122" s="68">
        <v>423</v>
      </c>
      <c r="D122" s="68" t="s">
        <v>4144</v>
      </c>
      <c r="E122" s="68">
        <v>1</v>
      </c>
      <c r="F122" s="77">
        <v>160600013857</v>
      </c>
      <c r="G122" s="78">
        <v>380428</v>
      </c>
      <c r="H122" s="68" t="s">
        <v>4147</v>
      </c>
      <c r="I122" s="68">
        <v>0</v>
      </c>
      <c r="J122" s="54">
        <v>43579</v>
      </c>
      <c r="K122" s="68">
        <v>3</v>
      </c>
      <c r="L122" s="68" t="s">
        <v>2099</v>
      </c>
    </row>
    <row r="123" spans="1:12" s="68" customFormat="1">
      <c r="A123" s="68">
        <v>421020200</v>
      </c>
      <c r="B123" s="68" t="s">
        <v>4142</v>
      </c>
      <c r="C123" s="68">
        <v>423</v>
      </c>
      <c r="D123" s="68" t="s">
        <v>4144</v>
      </c>
      <c r="E123" s="68">
        <v>1</v>
      </c>
      <c r="F123" s="77">
        <v>160600013857</v>
      </c>
      <c r="G123" s="78">
        <v>28328</v>
      </c>
      <c r="H123" s="68" t="s">
        <v>4147</v>
      </c>
      <c r="I123" s="68">
        <v>0</v>
      </c>
      <c r="J123" s="54">
        <v>43579</v>
      </c>
      <c r="K123" s="68">
        <v>3</v>
      </c>
      <c r="L123" s="68" t="s">
        <v>2099</v>
      </c>
    </row>
    <row r="124" spans="1:12" s="68" customFormat="1">
      <c r="A124" s="68">
        <v>421020200</v>
      </c>
      <c r="B124" s="68" t="s">
        <v>4142</v>
      </c>
      <c r="C124" s="68">
        <v>423</v>
      </c>
      <c r="D124" s="68" t="s">
        <v>4144</v>
      </c>
      <c r="E124" s="68">
        <v>1</v>
      </c>
      <c r="F124" s="77">
        <v>10020024087</v>
      </c>
      <c r="G124" s="78">
        <v>256364</v>
      </c>
      <c r="H124" s="68" t="s">
        <v>4148</v>
      </c>
      <c r="I124" s="68">
        <v>0</v>
      </c>
      <c r="J124" s="54">
        <v>43580</v>
      </c>
      <c r="K124" s="68">
        <v>3</v>
      </c>
      <c r="L124" s="68" t="s">
        <v>2099</v>
      </c>
    </row>
    <row r="125" spans="1:12" s="68" customFormat="1">
      <c r="A125" s="68">
        <v>421020200</v>
      </c>
      <c r="B125" s="68" t="s">
        <v>4142</v>
      </c>
      <c r="C125" s="68">
        <v>423</v>
      </c>
      <c r="D125" s="68" t="s">
        <v>4144</v>
      </c>
      <c r="E125" s="68">
        <v>1</v>
      </c>
      <c r="F125" s="77">
        <v>10210004624</v>
      </c>
      <c r="G125" s="78">
        <v>154325</v>
      </c>
      <c r="H125" s="68" t="s">
        <v>4149</v>
      </c>
      <c r="I125" s="68">
        <v>0</v>
      </c>
      <c r="J125" s="54">
        <v>43580</v>
      </c>
      <c r="K125" s="68">
        <v>3</v>
      </c>
      <c r="L125" s="68" t="s">
        <v>2099</v>
      </c>
    </row>
    <row r="126" spans="1:12" s="68" customFormat="1">
      <c r="A126" s="68">
        <v>421020200</v>
      </c>
      <c r="B126" s="68" t="s">
        <v>4142</v>
      </c>
      <c r="C126" s="68">
        <v>423</v>
      </c>
      <c r="D126" s="68" t="s">
        <v>4144</v>
      </c>
      <c r="E126" s="68">
        <v>1</v>
      </c>
      <c r="F126" s="77">
        <v>160710016534</v>
      </c>
      <c r="G126" s="78">
        <v>97818</v>
      </c>
      <c r="H126" s="68" t="s">
        <v>4150</v>
      </c>
      <c r="I126" s="68">
        <v>0</v>
      </c>
      <c r="J126" s="54">
        <v>43581</v>
      </c>
      <c r="K126" s="68">
        <v>3</v>
      </c>
      <c r="L126" s="68" t="s">
        <v>2099</v>
      </c>
    </row>
    <row r="127" spans="1:12" s="68" customFormat="1">
      <c r="A127" s="68">
        <v>421020200</v>
      </c>
      <c r="B127" s="68" t="s">
        <v>4142</v>
      </c>
      <c r="C127" s="68">
        <v>423</v>
      </c>
      <c r="D127" s="68" t="s">
        <v>4144</v>
      </c>
      <c r="E127" s="68">
        <v>1</v>
      </c>
      <c r="F127" s="77">
        <v>280020061256</v>
      </c>
      <c r="G127" s="78">
        <v>450980</v>
      </c>
      <c r="H127" s="68" t="s">
        <v>4150</v>
      </c>
      <c r="I127" s="68">
        <v>0</v>
      </c>
      <c r="J127" s="54">
        <v>43581</v>
      </c>
      <c r="K127" s="68">
        <v>3</v>
      </c>
      <c r="L127" s="68" t="s">
        <v>2099</v>
      </c>
    </row>
    <row r="128" spans="1:12" s="68" customFormat="1">
      <c r="A128" s="68">
        <v>421020200</v>
      </c>
      <c r="B128" s="68" t="s">
        <v>4142</v>
      </c>
      <c r="C128" s="68">
        <v>423</v>
      </c>
      <c r="D128" s="68" t="s">
        <v>4144</v>
      </c>
      <c r="E128" s="68">
        <v>1</v>
      </c>
      <c r="F128" s="77">
        <v>10010006873</v>
      </c>
      <c r="G128" s="78">
        <v>107273</v>
      </c>
      <c r="H128" s="68" t="s">
        <v>4151</v>
      </c>
      <c r="I128" s="68">
        <v>0</v>
      </c>
      <c r="J128" s="54">
        <v>43585</v>
      </c>
      <c r="K128" s="68">
        <v>3</v>
      </c>
      <c r="L128" s="68" t="s">
        <v>2099</v>
      </c>
    </row>
    <row r="129" spans="1:12" s="68" customFormat="1">
      <c r="A129" s="68">
        <v>421020200</v>
      </c>
      <c r="B129" s="68" t="s">
        <v>4142</v>
      </c>
      <c r="C129" s="68">
        <v>423</v>
      </c>
      <c r="D129" s="68" t="s">
        <v>4144</v>
      </c>
      <c r="E129" s="68">
        <v>1</v>
      </c>
      <c r="F129" s="77">
        <v>160300019140</v>
      </c>
      <c r="G129" s="78">
        <v>476249</v>
      </c>
      <c r="H129" s="68" t="s">
        <v>4152</v>
      </c>
      <c r="I129" s="68">
        <v>0</v>
      </c>
      <c r="J129" s="54">
        <v>43589</v>
      </c>
      <c r="K129" s="68">
        <v>3</v>
      </c>
      <c r="L129" s="68" t="s">
        <v>2099</v>
      </c>
    </row>
    <row r="130" spans="1:12" s="68" customFormat="1">
      <c r="A130" s="68">
        <v>421020200</v>
      </c>
      <c r="B130" s="68" t="s">
        <v>4142</v>
      </c>
      <c r="C130" s="68">
        <v>423</v>
      </c>
      <c r="D130" s="68" t="s">
        <v>4144</v>
      </c>
      <c r="E130" s="68">
        <v>1</v>
      </c>
      <c r="F130" s="77">
        <v>160300019140</v>
      </c>
      <c r="G130" s="78">
        <v>29055</v>
      </c>
      <c r="H130" s="68" t="s">
        <v>4152</v>
      </c>
      <c r="I130" s="68">
        <v>0</v>
      </c>
      <c r="J130" s="54">
        <v>43589</v>
      </c>
      <c r="K130" s="68">
        <v>3</v>
      </c>
      <c r="L130" s="68" t="s">
        <v>2099</v>
      </c>
    </row>
    <row r="131" spans="1:12" s="68" customFormat="1">
      <c r="A131" s="68">
        <v>421020200</v>
      </c>
      <c r="B131" s="68" t="s">
        <v>4142</v>
      </c>
      <c r="C131" s="68">
        <v>423</v>
      </c>
      <c r="D131" s="68" t="s">
        <v>4144</v>
      </c>
      <c r="E131" s="68">
        <v>1</v>
      </c>
      <c r="F131" s="77">
        <v>160590008066</v>
      </c>
      <c r="G131" s="78">
        <v>36703</v>
      </c>
      <c r="H131" s="68" t="s">
        <v>4153</v>
      </c>
      <c r="I131" s="68">
        <v>0</v>
      </c>
      <c r="J131" s="54">
        <v>43591</v>
      </c>
      <c r="K131" s="68">
        <v>3</v>
      </c>
      <c r="L131" s="68" t="s">
        <v>2099</v>
      </c>
    </row>
    <row r="132" spans="1:12" s="68" customFormat="1">
      <c r="A132" s="68">
        <v>421020200</v>
      </c>
      <c r="B132" s="68" t="s">
        <v>4142</v>
      </c>
      <c r="C132" s="68">
        <v>423</v>
      </c>
      <c r="D132" s="68" t="s">
        <v>4144</v>
      </c>
      <c r="E132" s="68">
        <v>1</v>
      </c>
      <c r="F132" s="77">
        <v>160590008066</v>
      </c>
      <c r="G132" s="78">
        <v>84761</v>
      </c>
      <c r="H132" s="68" t="s">
        <v>4153</v>
      </c>
      <c r="I132" s="68">
        <v>0</v>
      </c>
      <c r="J132" s="54">
        <v>43591</v>
      </c>
      <c r="K132" s="68">
        <v>3</v>
      </c>
      <c r="L132" s="68" t="s">
        <v>2099</v>
      </c>
    </row>
    <row r="133" spans="1:12" s="68" customFormat="1">
      <c r="A133" s="68">
        <v>421020200</v>
      </c>
      <c r="B133" s="68" t="s">
        <v>4142</v>
      </c>
      <c r="C133" s="68">
        <v>423</v>
      </c>
      <c r="D133" s="68" t="s">
        <v>4144</v>
      </c>
      <c r="E133" s="68">
        <v>1</v>
      </c>
      <c r="F133" s="77">
        <v>10010006932</v>
      </c>
      <c r="G133" s="78">
        <v>267273</v>
      </c>
      <c r="H133" s="68" t="s">
        <v>4154</v>
      </c>
      <c r="I133" s="68">
        <v>0</v>
      </c>
      <c r="J133" s="54">
        <v>43592</v>
      </c>
      <c r="K133" s="68">
        <v>3</v>
      </c>
      <c r="L133" s="68" t="s">
        <v>2099</v>
      </c>
    </row>
    <row r="134" spans="1:12" s="68" customFormat="1">
      <c r="A134" s="68">
        <v>421020200</v>
      </c>
      <c r="B134" s="68" t="s">
        <v>4142</v>
      </c>
      <c r="C134" s="68">
        <v>423</v>
      </c>
      <c r="D134" s="68" t="s">
        <v>4144</v>
      </c>
      <c r="E134" s="68">
        <v>1</v>
      </c>
      <c r="F134" s="77">
        <v>240010009023</v>
      </c>
      <c r="G134" s="78">
        <v>485455</v>
      </c>
      <c r="H134" s="68" t="s">
        <v>4155</v>
      </c>
      <c r="I134" s="68">
        <v>0</v>
      </c>
      <c r="J134" s="54">
        <v>43592</v>
      </c>
      <c r="K134" s="68">
        <v>3</v>
      </c>
      <c r="L134" s="68" t="s">
        <v>2099</v>
      </c>
    </row>
    <row r="135" spans="1:12" s="68" customFormat="1">
      <c r="A135" s="68">
        <v>421020200</v>
      </c>
      <c r="B135" s="68" t="s">
        <v>4142</v>
      </c>
      <c r="C135" s="68">
        <v>423</v>
      </c>
      <c r="D135" s="68" t="s">
        <v>4144</v>
      </c>
      <c r="E135" s="68">
        <v>1</v>
      </c>
      <c r="F135" s="77">
        <v>280020064251</v>
      </c>
      <c r="G135" s="78">
        <v>16236</v>
      </c>
      <c r="H135" s="68" t="s">
        <v>4156</v>
      </c>
      <c r="I135" s="68">
        <v>0</v>
      </c>
      <c r="J135" s="54">
        <v>43592</v>
      </c>
      <c r="K135" s="68">
        <v>3</v>
      </c>
      <c r="L135" s="68" t="s">
        <v>2099</v>
      </c>
    </row>
    <row r="136" spans="1:12" s="68" customFormat="1">
      <c r="A136" s="68">
        <v>421020200</v>
      </c>
      <c r="B136" s="68" t="s">
        <v>4142</v>
      </c>
      <c r="C136" s="68">
        <v>423</v>
      </c>
      <c r="D136" s="68" t="s">
        <v>4144</v>
      </c>
      <c r="E136" s="68">
        <v>1</v>
      </c>
      <c r="F136" s="77">
        <v>160580020649</v>
      </c>
      <c r="G136" s="78">
        <v>483399</v>
      </c>
      <c r="H136" s="68" t="s">
        <v>4157</v>
      </c>
      <c r="I136" s="68">
        <v>0</v>
      </c>
      <c r="J136" s="54">
        <v>43593</v>
      </c>
      <c r="K136" s="68">
        <v>3</v>
      </c>
      <c r="L136" s="68" t="s">
        <v>2099</v>
      </c>
    </row>
    <row r="137" spans="1:12" s="68" customFormat="1">
      <c r="A137" s="68">
        <v>421020200</v>
      </c>
      <c r="B137" s="68" t="s">
        <v>4142</v>
      </c>
      <c r="C137" s="68">
        <v>423</v>
      </c>
      <c r="D137" s="68" t="s">
        <v>4144</v>
      </c>
      <c r="E137" s="68">
        <v>1</v>
      </c>
      <c r="F137" s="77">
        <v>160580020649</v>
      </c>
      <c r="G137" s="78">
        <v>259289</v>
      </c>
      <c r="H137" s="68" t="s">
        <v>4157</v>
      </c>
      <c r="I137" s="68">
        <v>0</v>
      </c>
      <c r="J137" s="54">
        <v>43593</v>
      </c>
      <c r="K137" s="68">
        <v>3</v>
      </c>
      <c r="L137" s="68" t="s">
        <v>2099</v>
      </c>
    </row>
    <row r="138" spans="1:12" s="68" customFormat="1">
      <c r="A138" s="68">
        <v>421020200</v>
      </c>
      <c r="B138" s="68" t="s">
        <v>4142</v>
      </c>
      <c r="C138" s="68">
        <v>423</v>
      </c>
      <c r="D138" s="68" t="s">
        <v>4144</v>
      </c>
      <c r="E138" s="68">
        <v>1</v>
      </c>
      <c r="F138" s="77">
        <v>10020024778</v>
      </c>
      <c r="G138" s="78">
        <v>810685</v>
      </c>
      <c r="H138" s="68" t="s">
        <v>4157</v>
      </c>
      <c r="I138" s="68">
        <v>0</v>
      </c>
      <c r="J138" s="54">
        <v>43594</v>
      </c>
      <c r="K138" s="68">
        <v>3</v>
      </c>
      <c r="L138" s="68" t="s">
        <v>2099</v>
      </c>
    </row>
    <row r="139" spans="1:12" s="68" customFormat="1">
      <c r="A139" s="68">
        <v>421020200</v>
      </c>
      <c r="B139" s="68" t="s">
        <v>4142</v>
      </c>
      <c r="C139" s="68">
        <v>423</v>
      </c>
      <c r="D139" s="68" t="s">
        <v>4144</v>
      </c>
      <c r="E139" s="68">
        <v>1</v>
      </c>
      <c r="F139" s="77">
        <v>10040021695</v>
      </c>
      <c r="G139" s="78">
        <v>977768</v>
      </c>
      <c r="H139" s="68" t="s">
        <v>4158</v>
      </c>
      <c r="I139" s="68">
        <v>0</v>
      </c>
      <c r="J139" s="54">
        <v>43594</v>
      </c>
      <c r="K139" s="68">
        <v>3</v>
      </c>
      <c r="L139" s="68" t="s">
        <v>2099</v>
      </c>
    </row>
    <row r="140" spans="1:12" s="68" customFormat="1">
      <c r="A140" s="68">
        <v>421020200</v>
      </c>
      <c r="B140" s="68" t="s">
        <v>4142</v>
      </c>
      <c r="C140" s="68">
        <v>423</v>
      </c>
      <c r="D140" s="68" t="s">
        <v>4144</v>
      </c>
      <c r="E140" s="68">
        <v>1</v>
      </c>
      <c r="F140" s="77">
        <v>140060046388</v>
      </c>
      <c r="G140" s="78">
        <v>9827</v>
      </c>
      <c r="H140" s="68" t="s">
        <v>4159</v>
      </c>
      <c r="I140" s="68">
        <v>0</v>
      </c>
      <c r="J140" s="54">
        <v>43612</v>
      </c>
      <c r="K140" s="68">
        <v>3</v>
      </c>
      <c r="L140" s="68" t="s">
        <v>2099</v>
      </c>
    </row>
    <row r="141" spans="1:12" s="68" customFormat="1">
      <c r="A141" s="68">
        <v>421020200</v>
      </c>
      <c r="B141" s="68" t="s">
        <v>4142</v>
      </c>
      <c r="C141" s="68">
        <v>423</v>
      </c>
      <c r="D141" s="68" t="s">
        <v>4144</v>
      </c>
      <c r="E141" s="68">
        <v>1</v>
      </c>
      <c r="F141" s="77">
        <v>270020098323</v>
      </c>
      <c r="G141" s="78">
        <v>47360</v>
      </c>
      <c r="H141" s="68" t="s">
        <v>4160</v>
      </c>
      <c r="I141" s="68">
        <v>0</v>
      </c>
      <c r="J141" s="54">
        <v>43616</v>
      </c>
      <c r="K141" s="68">
        <v>3</v>
      </c>
      <c r="L141" s="68" t="s">
        <v>2099</v>
      </c>
    </row>
    <row r="142" spans="1:12" s="68" customFormat="1">
      <c r="A142" s="68">
        <v>421020200</v>
      </c>
      <c r="B142" s="68" t="s">
        <v>4142</v>
      </c>
      <c r="C142" s="68">
        <v>423</v>
      </c>
      <c r="D142" s="68" t="s">
        <v>4144</v>
      </c>
      <c r="E142" s="68">
        <v>1</v>
      </c>
      <c r="F142" s="77">
        <v>10020026012</v>
      </c>
      <c r="G142" s="78">
        <v>455909</v>
      </c>
      <c r="H142" s="68" t="s">
        <v>4161</v>
      </c>
      <c r="I142" s="68">
        <v>0</v>
      </c>
      <c r="J142" s="54">
        <v>43619</v>
      </c>
      <c r="K142" s="68">
        <v>3</v>
      </c>
      <c r="L142" s="68" t="s">
        <v>2099</v>
      </c>
    </row>
    <row r="143" spans="1:12" s="68" customFormat="1">
      <c r="A143" s="68">
        <v>421020200</v>
      </c>
      <c r="B143" s="68" t="s">
        <v>4142</v>
      </c>
      <c r="C143" s="68">
        <v>423</v>
      </c>
      <c r="D143" s="68" t="s">
        <v>4144</v>
      </c>
      <c r="E143" s="68">
        <v>1</v>
      </c>
      <c r="F143" s="77">
        <v>10020026013</v>
      </c>
      <c r="G143" s="78">
        <v>53334</v>
      </c>
      <c r="H143" s="68" t="s">
        <v>4086</v>
      </c>
      <c r="I143" s="68">
        <v>0</v>
      </c>
      <c r="J143" s="54">
        <v>43619</v>
      </c>
      <c r="K143" s="68">
        <v>3</v>
      </c>
      <c r="L143" s="68" t="s">
        <v>2099</v>
      </c>
    </row>
    <row r="144" spans="1:12" s="68" customFormat="1">
      <c r="A144" s="68">
        <v>421020200</v>
      </c>
      <c r="B144" s="68" t="s">
        <v>4142</v>
      </c>
      <c r="C144" s="68">
        <v>423</v>
      </c>
      <c r="D144" s="68" t="s">
        <v>4144</v>
      </c>
      <c r="E144" s="68">
        <v>1</v>
      </c>
      <c r="F144" s="77">
        <v>10020026013</v>
      </c>
      <c r="G144" s="78">
        <v>400909</v>
      </c>
      <c r="H144" s="68" t="s">
        <v>4086</v>
      </c>
      <c r="I144" s="68">
        <v>0</v>
      </c>
      <c r="J144" s="54">
        <v>43619</v>
      </c>
      <c r="K144" s="68">
        <v>3</v>
      </c>
      <c r="L144" s="68" t="s">
        <v>2099</v>
      </c>
    </row>
    <row r="145" spans="1:12" s="68" customFormat="1">
      <c r="A145" s="68">
        <v>421020200</v>
      </c>
      <c r="B145" s="68" t="s">
        <v>4142</v>
      </c>
      <c r="C145" s="68">
        <v>423</v>
      </c>
      <c r="D145" s="68" t="s">
        <v>4144</v>
      </c>
      <c r="E145" s="68">
        <v>1</v>
      </c>
      <c r="F145" s="77">
        <v>10010007251</v>
      </c>
      <c r="G145" s="78">
        <v>119091</v>
      </c>
      <c r="H145" s="68" t="s">
        <v>4162</v>
      </c>
      <c r="I145" s="68">
        <v>0</v>
      </c>
      <c r="J145" s="54">
        <v>43630</v>
      </c>
      <c r="K145" s="68">
        <v>3</v>
      </c>
      <c r="L145" s="68" t="s">
        <v>2099</v>
      </c>
    </row>
    <row r="146" spans="1:12" s="68" customFormat="1">
      <c r="A146" s="68">
        <v>421020200</v>
      </c>
      <c r="B146" s="68" t="s">
        <v>4142</v>
      </c>
      <c r="C146" s="68">
        <v>423</v>
      </c>
      <c r="D146" s="68" t="s">
        <v>4144</v>
      </c>
      <c r="E146" s="68">
        <v>1</v>
      </c>
      <c r="F146" s="77">
        <v>140060063547</v>
      </c>
      <c r="G146" s="78">
        <v>31855</v>
      </c>
      <c r="H146" s="68" t="s">
        <v>4073</v>
      </c>
      <c r="I146" s="68">
        <v>0</v>
      </c>
      <c r="J146" s="54">
        <v>43687</v>
      </c>
      <c r="K146" s="68">
        <v>3</v>
      </c>
      <c r="L146" s="68" t="s">
        <v>2099</v>
      </c>
    </row>
    <row r="147" spans="1:12" s="68" customFormat="1">
      <c r="A147" s="68">
        <v>421020200</v>
      </c>
      <c r="B147" s="68" t="s">
        <v>4142</v>
      </c>
      <c r="C147" s="68">
        <v>423</v>
      </c>
      <c r="D147" s="68" t="s">
        <v>4144</v>
      </c>
      <c r="E147" s="68">
        <v>1</v>
      </c>
      <c r="F147" s="77">
        <v>140060064874</v>
      </c>
      <c r="G147" s="78">
        <v>39289</v>
      </c>
      <c r="H147" s="68" t="s">
        <v>4073</v>
      </c>
      <c r="I147" s="68">
        <v>0</v>
      </c>
      <c r="J147" s="54">
        <v>43692</v>
      </c>
      <c r="K147" s="68">
        <v>3</v>
      </c>
      <c r="L147" s="68" t="s">
        <v>2099</v>
      </c>
    </row>
    <row r="148" spans="1:12" s="68" customFormat="1">
      <c r="A148" s="68">
        <v>421020200</v>
      </c>
      <c r="B148" s="68" t="s">
        <v>4142</v>
      </c>
      <c r="C148" s="68">
        <v>423</v>
      </c>
      <c r="D148" s="68" t="s">
        <v>4144</v>
      </c>
      <c r="E148" s="68">
        <v>1</v>
      </c>
      <c r="F148" s="77">
        <v>140060065223</v>
      </c>
      <c r="G148" s="78">
        <v>12391</v>
      </c>
      <c r="H148" s="68" t="s">
        <v>4073</v>
      </c>
      <c r="I148" s="68">
        <v>0</v>
      </c>
      <c r="J148" s="54">
        <v>43693</v>
      </c>
      <c r="K148" s="68">
        <v>3</v>
      </c>
      <c r="L148" s="68" t="s">
        <v>2099</v>
      </c>
    </row>
    <row r="149" spans="1:12" s="68" customFormat="1">
      <c r="A149" s="68">
        <v>421020200</v>
      </c>
      <c r="B149" s="68" t="s">
        <v>4142</v>
      </c>
      <c r="C149" s="68">
        <v>423</v>
      </c>
      <c r="D149" s="68" t="s">
        <v>4144</v>
      </c>
      <c r="E149" s="68">
        <v>1</v>
      </c>
      <c r="F149" s="77">
        <v>160040022219</v>
      </c>
      <c r="G149" s="78">
        <v>331808</v>
      </c>
      <c r="H149" s="68" t="s">
        <v>4163</v>
      </c>
      <c r="I149" s="68">
        <v>0</v>
      </c>
      <c r="J149" s="54">
        <v>43693</v>
      </c>
      <c r="K149" s="68">
        <v>3</v>
      </c>
      <c r="L149" s="68" t="s">
        <v>2099</v>
      </c>
    </row>
    <row r="150" spans="1:12" s="68" customFormat="1">
      <c r="A150" s="68">
        <v>421020200</v>
      </c>
      <c r="B150" s="68" t="s">
        <v>4142</v>
      </c>
      <c r="C150" s="68">
        <v>423</v>
      </c>
      <c r="D150" s="68" t="s">
        <v>4144</v>
      </c>
      <c r="E150" s="68">
        <v>1</v>
      </c>
      <c r="F150" s="77">
        <v>160040022219</v>
      </c>
      <c r="G150" s="78">
        <v>20647</v>
      </c>
      <c r="H150" s="68" t="s">
        <v>4163</v>
      </c>
      <c r="I150" s="68">
        <v>0</v>
      </c>
      <c r="J150" s="54">
        <v>43693</v>
      </c>
      <c r="K150" s="68">
        <v>3</v>
      </c>
      <c r="L150" s="68" t="s">
        <v>2099</v>
      </c>
    </row>
    <row r="151" spans="1:12" s="68" customFormat="1">
      <c r="A151" s="68">
        <v>421020200</v>
      </c>
      <c r="B151" s="68" t="s">
        <v>4142</v>
      </c>
      <c r="C151" s="68">
        <v>423</v>
      </c>
      <c r="D151" s="68" t="s">
        <v>4144</v>
      </c>
      <c r="E151" s="68">
        <v>1</v>
      </c>
      <c r="F151" s="77">
        <v>160600027930</v>
      </c>
      <c r="G151" s="78">
        <v>12265</v>
      </c>
      <c r="H151" s="68" t="s">
        <v>4164</v>
      </c>
      <c r="I151" s="68">
        <v>0</v>
      </c>
      <c r="J151" s="54">
        <v>43694</v>
      </c>
      <c r="K151" s="68">
        <v>3</v>
      </c>
      <c r="L151" s="68" t="s">
        <v>2099</v>
      </c>
    </row>
    <row r="152" spans="1:12" s="68" customFormat="1">
      <c r="A152" s="68">
        <v>421020200</v>
      </c>
      <c r="B152" s="68" t="s">
        <v>4142</v>
      </c>
      <c r="C152" s="68">
        <v>423</v>
      </c>
      <c r="D152" s="68" t="s">
        <v>4144</v>
      </c>
      <c r="E152" s="68">
        <v>1</v>
      </c>
      <c r="F152" s="77">
        <v>160600027930</v>
      </c>
      <c r="G152" s="78">
        <v>2991</v>
      </c>
      <c r="H152" s="68" t="s">
        <v>4164</v>
      </c>
      <c r="I152" s="68">
        <v>0</v>
      </c>
      <c r="J152" s="54">
        <v>43694</v>
      </c>
      <c r="K152" s="68">
        <v>3</v>
      </c>
      <c r="L152" s="68" t="s">
        <v>2099</v>
      </c>
    </row>
    <row r="153" spans="1:12" s="68" customFormat="1">
      <c r="A153" s="68">
        <v>421020200</v>
      </c>
      <c r="B153" s="68" t="s">
        <v>4142</v>
      </c>
      <c r="C153" s="68">
        <v>423</v>
      </c>
      <c r="D153" s="68" t="s">
        <v>4144</v>
      </c>
      <c r="E153" s="68">
        <v>1</v>
      </c>
      <c r="F153" s="77">
        <v>160710027210</v>
      </c>
      <c r="G153" s="78">
        <v>82829</v>
      </c>
      <c r="H153" s="68" t="s">
        <v>4164</v>
      </c>
      <c r="I153" s="68">
        <v>0</v>
      </c>
      <c r="J153" s="54">
        <v>43694</v>
      </c>
      <c r="K153" s="68">
        <v>3</v>
      </c>
      <c r="L153" s="68" t="s">
        <v>2099</v>
      </c>
    </row>
    <row r="154" spans="1:12" s="68" customFormat="1">
      <c r="A154" s="68">
        <v>421020200</v>
      </c>
      <c r="B154" s="68" t="s">
        <v>4142</v>
      </c>
      <c r="C154" s="68">
        <v>423</v>
      </c>
      <c r="D154" s="68" t="s">
        <v>4144</v>
      </c>
      <c r="E154" s="68">
        <v>1</v>
      </c>
      <c r="F154" s="77">
        <v>140060072583</v>
      </c>
      <c r="G154" s="78">
        <v>51273</v>
      </c>
      <c r="H154" s="68" t="s">
        <v>4165</v>
      </c>
      <c r="I154" s="68">
        <v>0</v>
      </c>
      <c r="J154" s="54">
        <v>43720</v>
      </c>
      <c r="K154" s="68">
        <v>3</v>
      </c>
      <c r="L154" s="68" t="s">
        <v>2099</v>
      </c>
    </row>
    <row r="155" spans="1:12" s="68" customFormat="1">
      <c r="A155" s="68">
        <v>421020200</v>
      </c>
      <c r="B155" s="68" t="s">
        <v>4142</v>
      </c>
      <c r="C155" s="68">
        <v>423</v>
      </c>
      <c r="D155" s="68" t="s">
        <v>4144</v>
      </c>
      <c r="E155" s="68">
        <v>1</v>
      </c>
      <c r="F155" s="77">
        <v>160080032112</v>
      </c>
      <c r="G155" s="78">
        <v>138949</v>
      </c>
      <c r="H155" s="68" t="s">
        <v>4166</v>
      </c>
      <c r="I155" s="68">
        <v>0</v>
      </c>
      <c r="J155" s="54">
        <v>43720</v>
      </c>
      <c r="K155" s="68">
        <v>3</v>
      </c>
      <c r="L155" s="68" t="s">
        <v>2099</v>
      </c>
    </row>
    <row r="156" spans="1:12" s="68" customFormat="1">
      <c r="A156" s="68">
        <v>421020200</v>
      </c>
      <c r="B156" s="68" t="s">
        <v>4142</v>
      </c>
      <c r="C156" s="68">
        <v>423</v>
      </c>
      <c r="D156" s="68" t="s">
        <v>4144</v>
      </c>
      <c r="E156" s="68">
        <v>1</v>
      </c>
      <c r="F156" s="77">
        <v>160040033697</v>
      </c>
      <c r="G156" s="78">
        <v>19484</v>
      </c>
      <c r="H156" s="68" t="s">
        <v>4167</v>
      </c>
      <c r="I156" s="68">
        <v>0</v>
      </c>
      <c r="J156" s="54">
        <v>43783</v>
      </c>
      <c r="K156" s="68">
        <v>3</v>
      </c>
      <c r="L156" s="68" t="s">
        <v>2099</v>
      </c>
    </row>
    <row r="157" spans="1:12" s="68" customFormat="1">
      <c r="A157" s="68">
        <v>421020200</v>
      </c>
      <c r="B157" s="68" t="s">
        <v>4142</v>
      </c>
      <c r="C157" s="68">
        <v>423</v>
      </c>
      <c r="D157" s="68" t="s">
        <v>4144</v>
      </c>
      <c r="E157" s="68">
        <v>1</v>
      </c>
      <c r="F157" s="77">
        <v>160710016509</v>
      </c>
      <c r="G157" s="78">
        <v>5636</v>
      </c>
      <c r="H157" s="68" t="s">
        <v>4150</v>
      </c>
      <c r="I157" s="68">
        <v>0</v>
      </c>
      <c r="J157" s="54">
        <v>43578</v>
      </c>
      <c r="K157" s="68">
        <v>6</v>
      </c>
      <c r="L157" s="68" t="s">
        <v>2210</v>
      </c>
    </row>
    <row r="158" spans="1:12" s="68" customFormat="1">
      <c r="A158" s="68">
        <v>421020200</v>
      </c>
      <c r="B158" s="68" t="s">
        <v>4142</v>
      </c>
      <c r="C158" s="68">
        <v>423</v>
      </c>
      <c r="D158" s="68" t="s">
        <v>4144</v>
      </c>
      <c r="E158" s="68">
        <v>1</v>
      </c>
      <c r="F158" s="77">
        <v>10010181451</v>
      </c>
      <c r="G158" s="78">
        <v>5714</v>
      </c>
      <c r="H158" s="68" t="s">
        <v>4168</v>
      </c>
      <c r="I158" s="68">
        <v>0</v>
      </c>
      <c r="J158" s="54">
        <v>43581</v>
      </c>
      <c r="K158" s="68">
        <v>6</v>
      </c>
      <c r="L158" s="68" t="s">
        <v>2210</v>
      </c>
    </row>
    <row r="159" spans="1:12" s="68" customFormat="1">
      <c r="A159" s="68">
        <v>421020200</v>
      </c>
      <c r="B159" s="68" t="s">
        <v>4142</v>
      </c>
      <c r="C159" s="68">
        <v>423</v>
      </c>
      <c r="D159" s="68" t="s">
        <v>4144</v>
      </c>
      <c r="E159" s="68">
        <v>1</v>
      </c>
      <c r="F159" s="77">
        <v>30020003410</v>
      </c>
      <c r="G159" s="78">
        <v>110000</v>
      </c>
      <c r="H159" s="68" t="s">
        <v>4168</v>
      </c>
      <c r="I159" s="68">
        <v>0</v>
      </c>
      <c r="J159" s="54">
        <v>43581</v>
      </c>
      <c r="K159" s="68">
        <v>6</v>
      </c>
      <c r="L159" s="68" t="s">
        <v>2210</v>
      </c>
    </row>
    <row r="160" spans="1:12" s="68" customFormat="1">
      <c r="A160" s="68">
        <v>421020200</v>
      </c>
      <c r="B160" s="68" t="s">
        <v>4142</v>
      </c>
      <c r="C160" s="68">
        <v>423</v>
      </c>
      <c r="D160" s="68" t="s">
        <v>4144</v>
      </c>
      <c r="E160" s="68">
        <v>1</v>
      </c>
      <c r="F160" s="77">
        <v>30020003427</v>
      </c>
      <c r="G160" s="78">
        <v>152727</v>
      </c>
      <c r="H160" s="68" t="s">
        <v>4168</v>
      </c>
      <c r="I160" s="68">
        <v>0</v>
      </c>
      <c r="J160" s="54">
        <v>43581</v>
      </c>
      <c r="K160" s="68">
        <v>6</v>
      </c>
      <c r="L160" s="68" t="s">
        <v>2210</v>
      </c>
    </row>
    <row r="161" spans="1:12" s="68" customFormat="1">
      <c r="A161" s="68">
        <v>421020200</v>
      </c>
      <c r="B161" s="68" t="s">
        <v>4142</v>
      </c>
      <c r="C161" s="68">
        <v>423</v>
      </c>
      <c r="D161" s="68" t="s">
        <v>4144</v>
      </c>
      <c r="E161" s="68">
        <v>1</v>
      </c>
      <c r="F161" s="77">
        <v>50010002775</v>
      </c>
      <c r="G161" s="78">
        <v>981818</v>
      </c>
      <c r="H161" s="68" t="s">
        <v>4169</v>
      </c>
      <c r="I161" s="68">
        <v>0</v>
      </c>
      <c r="J161" s="54">
        <v>43581</v>
      </c>
      <c r="K161" s="68">
        <v>6</v>
      </c>
      <c r="L161" s="68" t="s">
        <v>2210</v>
      </c>
    </row>
    <row r="162" spans="1:12" s="68" customFormat="1">
      <c r="A162" s="68">
        <v>421020200</v>
      </c>
      <c r="B162" s="68" t="s">
        <v>4142</v>
      </c>
      <c r="C162" s="68">
        <v>423</v>
      </c>
      <c r="D162" s="68" t="s">
        <v>4144</v>
      </c>
      <c r="E162" s="68">
        <v>1</v>
      </c>
      <c r="F162" s="77">
        <v>141100021704</v>
      </c>
      <c r="G162" s="78">
        <v>4550</v>
      </c>
      <c r="H162" s="68" t="s">
        <v>4168</v>
      </c>
      <c r="I162" s="68">
        <v>0</v>
      </c>
      <c r="J162" s="54">
        <v>43581</v>
      </c>
      <c r="K162" s="68">
        <v>6</v>
      </c>
      <c r="L162" s="68" t="s">
        <v>2210</v>
      </c>
    </row>
    <row r="163" spans="1:12" s="68" customFormat="1">
      <c r="A163" s="68">
        <v>421020200</v>
      </c>
      <c r="B163" s="68" t="s">
        <v>4142</v>
      </c>
      <c r="C163" s="68">
        <v>423</v>
      </c>
      <c r="D163" s="68" t="s">
        <v>4144</v>
      </c>
      <c r="E163" s="68">
        <v>1</v>
      </c>
      <c r="F163" s="77">
        <v>141100021704</v>
      </c>
      <c r="G163" s="78">
        <v>32145</v>
      </c>
      <c r="H163" s="68" t="s">
        <v>4168</v>
      </c>
      <c r="I163" s="68">
        <v>0</v>
      </c>
      <c r="J163" s="54">
        <v>43581</v>
      </c>
      <c r="K163" s="68">
        <v>6</v>
      </c>
      <c r="L163" s="68" t="s">
        <v>2210</v>
      </c>
    </row>
    <row r="164" spans="1:12" s="68" customFormat="1">
      <c r="A164" s="68">
        <v>421020200</v>
      </c>
      <c r="B164" s="68" t="s">
        <v>4142</v>
      </c>
      <c r="C164" s="68">
        <v>423</v>
      </c>
      <c r="D164" s="68" t="s">
        <v>4144</v>
      </c>
      <c r="E164" s="68">
        <v>1</v>
      </c>
      <c r="F164" s="77">
        <v>70050002208</v>
      </c>
      <c r="G164" s="78">
        <v>66160</v>
      </c>
      <c r="H164" s="68" t="s">
        <v>4153</v>
      </c>
      <c r="I164" s="68">
        <v>0</v>
      </c>
      <c r="J164" s="54">
        <v>43591</v>
      </c>
      <c r="K164" s="68">
        <v>6</v>
      </c>
      <c r="L164" s="68" t="s">
        <v>2210</v>
      </c>
    </row>
    <row r="165" spans="1:12" s="68" customFormat="1">
      <c r="A165" s="68">
        <v>421020200</v>
      </c>
      <c r="B165" s="68" t="s">
        <v>4142</v>
      </c>
      <c r="C165" s="68">
        <v>423</v>
      </c>
      <c r="D165" s="68" t="s">
        <v>4144</v>
      </c>
      <c r="E165" s="68">
        <v>1</v>
      </c>
      <c r="F165" s="77">
        <v>10010000282</v>
      </c>
      <c r="G165" s="78">
        <v>378182</v>
      </c>
      <c r="H165" s="68" t="s">
        <v>4170</v>
      </c>
      <c r="I165" s="68">
        <v>0</v>
      </c>
      <c r="J165" s="54">
        <v>43608</v>
      </c>
      <c r="K165" s="68">
        <v>6</v>
      </c>
      <c r="L165" s="68" t="s">
        <v>2210</v>
      </c>
    </row>
    <row r="166" spans="1:12" s="68" customFormat="1">
      <c r="A166" s="68">
        <v>421020200</v>
      </c>
      <c r="B166" s="68" t="s">
        <v>4142</v>
      </c>
      <c r="C166" s="68">
        <v>423</v>
      </c>
      <c r="D166" s="68" t="s">
        <v>4144</v>
      </c>
      <c r="E166" s="68">
        <v>1</v>
      </c>
      <c r="F166" s="77">
        <v>10010001493</v>
      </c>
      <c r="G166" s="78">
        <v>103636</v>
      </c>
      <c r="H166" s="68" t="s">
        <v>4171</v>
      </c>
      <c r="I166" s="68">
        <v>0</v>
      </c>
      <c r="J166" s="54">
        <v>43615</v>
      </c>
      <c r="K166" s="68">
        <v>6</v>
      </c>
      <c r="L166" s="68" t="s">
        <v>2210</v>
      </c>
    </row>
    <row r="167" spans="1:12" s="68" customFormat="1">
      <c r="A167" s="68">
        <v>421020200</v>
      </c>
      <c r="B167" s="68" t="s">
        <v>4142</v>
      </c>
      <c r="C167" s="68">
        <v>423</v>
      </c>
      <c r="D167" s="68" t="s">
        <v>4144</v>
      </c>
      <c r="E167" s="68">
        <v>1</v>
      </c>
      <c r="F167" s="77">
        <v>10010001768</v>
      </c>
      <c r="G167" s="78">
        <v>158182</v>
      </c>
      <c r="H167" s="68" t="s">
        <v>4172</v>
      </c>
      <c r="I167" s="68">
        <v>0</v>
      </c>
      <c r="J167" s="54">
        <v>43617</v>
      </c>
      <c r="K167" s="68">
        <v>6</v>
      </c>
      <c r="L167" s="68" t="s">
        <v>2210</v>
      </c>
    </row>
    <row r="168" spans="1:12" s="68" customFormat="1">
      <c r="A168" s="68">
        <v>421020200</v>
      </c>
      <c r="B168" s="68" t="s">
        <v>4142</v>
      </c>
      <c r="C168" s="68">
        <v>423</v>
      </c>
      <c r="D168" s="68" t="s">
        <v>4144</v>
      </c>
      <c r="E168" s="68">
        <v>1</v>
      </c>
      <c r="F168" s="77">
        <v>10010001783</v>
      </c>
      <c r="G168" s="78">
        <v>36364</v>
      </c>
      <c r="H168" s="68" t="s">
        <v>4171</v>
      </c>
      <c r="I168" s="68">
        <v>0</v>
      </c>
      <c r="J168" s="54">
        <v>43617</v>
      </c>
      <c r="K168" s="68">
        <v>6</v>
      </c>
      <c r="L168" s="68" t="s">
        <v>2210</v>
      </c>
    </row>
    <row r="169" spans="1:12" s="68" customFormat="1">
      <c r="A169" s="68">
        <v>421020200</v>
      </c>
      <c r="B169" s="68" t="s">
        <v>4142</v>
      </c>
      <c r="C169" s="68">
        <v>423</v>
      </c>
      <c r="D169" s="68" t="s">
        <v>4144</v>
      </c>
      <c r="E169" s="68">
        <v>1</v>
      </c>
      <c r="F169" s="77">
        <v>10020000363</v>
      </c>
      <c r="G169" s="78">
        <v>1056364</v>
      </c>
      <c r="H169" s="68" t="s">
        <v>4173</v>
      </c>
      <c r="I169" s="68">
        <v>0</v>
      </c>
      <c r="J169" s="54">
        <v>43699</v>
      </c>
      <c r="K169" s="68">
        <v>6</v>
      </c>
      <c r="L169" s="68" t="s">
        <v>2210</v>
      </c>
    </row>
    <row r="170" spans="1:12" s="68" customFormat="1">
      <c r="A170" s="68">
        <v>421020200</v>
      </c>
      <c r="B170" s="68" t="s">
        <v>4142</v>
      </c>
      <c r="C170" s="68">
        <v>423</v>
      </c>
      <c r="D170" s="68" t="s">
        <v>4144</v>
      </c>
      <c r="E170" s="68">
        <v>1</v>
      </c>
      <c r="F170" s="77">
        <v>10020029344</v>
      </c>
      <c r="G170" s="78">
        <v>523182</v>
      </c>
      <c r="H170" s="68" t="s">
        <v>4174</v>
      </c>
      <c r="I170" s="68">
        <v>0</v>
      </c>
      <c r="J170" s="54">
        <v>43700</v>
      </c>
      <c r="K170" s="68">
        <v>6</v>
      </c>
      <c r="L170" s="68" t="s">
        <v>2210</v>
      </c>
    </row>
    <row r="171" spans="1:12" s="68" customFormat="1">
      <c r="A171" s="68">
        <v>421020200</v>
      </c>
      <c r="B171" s="68" t="s">
        <v>4142</v>
      </c>
      <c r="C171" s="68">
        <v>423</v>
      </c>
      <c r="D171" s="68" t="s">
        <v>4144</v>
      </c>
      <c r="E171" s="68">
        <v>1</v>
      </c>
      <c r="F171" s="77">
        <v>10020029344</v>
      </c>
      <c r="G171" s="78">
        <v>92927</v>
      </c>
      <c r="H171" s="68" t="s">
        <v>4174</v>
      </c>
      <c r="I171" s="68">
        <v>0</v>
      </c>
      <c r="J171" s="54">
        <v>43700</v>
      </c>
      <c r="K171" s="68">
        <v>6</v>
      </c>
      <c r="L171" s="68" t="s">
        <v>2210</v>
      </c>
    </row>
    <row r="172" spans="1:12" s="68" customFormat="1">
      <c r="A172" s="68">
        <v>421020200</v>
      </c>
      <c r="B172" s="68" t="s">
        <v>4142</v>
      </c>
      <c r="C172" s="68">
        <v>423</v>
      </c>
      <c r="D172" s="68" t="s">
        <v>4144</v>
      </c>
      <c r="E172" s="68">
        <v>1</v>
      </c>
      <c r="F172" s="77">
        <v>50010004538</v>
      </c>
      <c r="G172" s="78">
        <v>763636</v>
      </c>
      <c r="H172" s="68" t="s">
        <v>4175</v>
      </c>
      <c r="I172" s="68">
        <v>0</v>
      </c>
      <c r="J172" s="54">
        <v>43734</v>
      </c>
      <c r="K172" s="68">
        <v>6</v>
      </c>
      <c r="L172" s="68" t="s">
        <v>2210</v>
      </c>
    </row>
    <row r="173" spans="1:12" s="68" customFormat="1">
      <c r="A173" s="68">
        <v>421020200</v>
      </c>
      <c r="B173" s="68" t="s">
        <v>4142</v>
      </c>
      <c r="C173" s="68">
        <v>423</v>
      </c>
      <c r="D173" s="68" t="s">
        <v>4144</v>
      </c>
      <c r="E173" s="68">
        <v>1</v>
      </c>
      <c r="F173" s="77">
        <v>160640000127</v>
      </c>
      <c r="G173" s="78">
        <v>29006</v>
      </c>
      <c r="H173" s="68" t="s">
        <v>4176</v>
      </c>
      <c r="I173" s="68">
        <v>0</v>
      </c>
      <c r="J173" s="54">
        <v>43804</v>
      </c>
      <c r="K173" s="68">
        <v>6</v>
      </c>
      <c r="L173" s="68" t="s">
        <v>2210</v>
      </c>
    </row>
    <row r="174" spans="1:12" s="68" customFormat="1">
      <c r="A174" s="68">
        <v>421020200</v>
      </c>
      <c r="B174" s="68" t="s">
        <v>4142</v>
      </c>
      <c r="C174" s="68">
        <v>423</v>
      </c>
      <c r="D174" s="68" t="s">
        <v>4144</v>
      </c>
      <c r="E174" s="68">
        <v>1</v>
      </c>
      <c r="F174" s="77">
        <v>10020004127</v>
      </c>
      <c r="G174" s="78">
        <v>132273</v>
      </c>
      <c r="H174" s="68" t="s">
        <v>4177</v>
      </c>
      <c r="I174" s="68">
        <v>0</v>
      </c>
      <c r="J174" s="54">
        <v>43591</v>
      </c>
      <c r="K174" s="68">
        <v>13</v>
      </c>
      <c r="L174" s="68" t="s">
        <v>2346</v>
      </c>
    </row>
    <row r="175" spans="1:12" s="68" customFormat="1">
      <c r="A175" s="68">
        <v>421020200</v>
      </c>
      <c r="B175" s="68" t="s">
        <v>4142</v>
      </c>
      <c r="C175" s="68">
        <v>423</v>
      </c>
      <c r="D175" s="68" t="s">
        <v>4144</v>
      </c>
      <c r="E175" s="68">
        <v>1</v>
      </c>
      <c r="F175" s="77">
        <v>10020019276</v>
      </c>
      <c r="G175" s="78">
        <v>88182</v>
      </c>
      <c r="H175" s="68" t="s">
        <v>4178</v>
      </c>
      <c r="I175" s="68">
        <v>0</v>
      </c>
      <c r="J175" s="54">
        <v>43482</v>
      </c>
      <c r="K175" s="68">
        <v>31</v>
      </c>
      <c r="L175" s="68" t="s">
        <v>2348</v>
      </c>
    </row>
    <row r="176" spans="1:12" s="68" customFormat="1">
      <c r="A176" s="68">
        <v>421020200</v>
      </c>
      <c r="B176" s="68" t="s">
        <v>4142</v>
      </c>
      <c r="C176" s="68">
        <v>423</v>
      </c>
      <c r="D176" s="68" t="s">
        <v>4144</v>
      </c>
      <c r="E176" s="68">
        <v>1</v>
      </c>
      <c r="F176" s="77">
        <v>10210049757</v>
      </c>
      <c r="G176" s="78">
        <v>224699</v>
      </c>
      <c r="H176" s="68" t="s">
        <v>4179</v>
      </c>
      <c r="I176" s="68">
        <v>0</v>
      </c>
      <c r="J176" s="54">
        <v>43489</v>
      </c>
      <c r="K176" s="68">
        <v>32</v>
      </c>
      <c r="L176" s="68" t="s">
        <v>2237</v>
      </c>
    </row>
    <row r="177" spans="1:12" s="68" customFormat="1">
      <c r="A177" s="68">
        <v>421020200</v>
      </c>
      <c r="B177" s="68" t="s">
        <v>4142</v>
      </c>
      <c r="C177" s="68">
        <v>423</v>
      </c>
      <c r="D177" s="68" t="s">
        <v>4144</v>
      </c>
      <c r="E177" s="68">
        <v>2</v>
      </c>
      <c r="F177" s="77">
        <v>10040043803</v>
      </c>
      <c r="G177" s="78">
        <v>282391</v>
      </c>
      <c r="H177" s="68" t="s">
        <v>4180</v>
      </c>
      <c r="I177" s="68">
        <v>0</v>
      </c>
      <c r="J177" s="54">
        <v>43693</v>
      </c>
      <c r="L177" s="68" t="s">
        <v>2076</v>
      </c>
    </row>
    <row r="178" spans="1:12" s="68" customFormat="1">
      <c r="A178" s="68">
        <v>421020300</v>
      </c>
      <c r="B178" s="68" t="s">
        <v>4181</v>
      </c>
      <c r="C178" s="68">
        <v>424</v>
      </c>
      <c r="D178" s="68" t="s">
        <v>4182</v>
      </c>
      <c r="E178" s="68">
        <v>1</v>
      </c>
      <c r="F178" s="77">
        <v>270050088813</v>
      </c>
      <c r="G178" s="78">
        <v>578411</v>
      </c>
      <c r="H178" s="68" t="s">
        <v>4183</v>
      </c>
      <c r="I178" s="68">
        <v>0</v>
      </c>
      <c r="J178" s="54">
        <v>43616</v>
      </c>
      <c r="K178" s="68">
        <v>3</v>
      </c>
      <c r="L178" s="68" t="s">
        <v>2099</v>
      </c>
    </row>
    <row r="179" spans="1:12" s="68" customFormat="1">
      <c r="A179" s="68">
        <v>421020300</v>
      </c>
      <c r="B179" s="68" t="s">
        <v>4181</v>
      </c>
      <c r="C179" s="68">
        <v>424</v>
      </c>
      <c r="D179" s="68" t="s">
        <v>4182</v>
      </c>
      <c r="E179" s="68">
        <v>1</v>
      </c>
      <c r="F179" s="77">
        <v>160630031661</v>
      </c>
      <c r="G179" s="78">
        <v>217055</v>
      </c>
      <c r="H179" s="68" t="s">
        <v>4184</v>
      </c>
      <c r="I179" s="68">
        <v>0</v>
      </c>
      <c r="J179" s="54">
        <v>43720</v>
      </c>
      <c r="K179" s="68">
        <v>3</v>
      </c>
      <c r="L179" s="68" t="s">
        <v>2099</v>
      </c>
    </row>
    <row r="180" spans="1:12" s="68" customFormat="1">
      <c r="A180" s="68">
        <v>421020300</v>
      </c>
      <c r="B180" s="68" t="s">
        <v>4181</v>
      </c>
      <c r="C180" s="68">
        <v>424</v>
      </c>
      <c r="D180" s="68" t="s">
        <v>4182</v>
      </c>
      <c r="E180" s="68">
        <v>1</v>
      </c>
      <c r="F180" s="77">
        <v>10020032671</v>
      </c>
      <c r="G180" s="78">
        <v>329964</v>
      </c>
      <c r="H180" s="68" t="s">
        <v>4143</v>
      </c>
      <c r="I180" s="68">
        <v>0</v>
      </c>
      <c r="J180" s="54">
        <v>43773</v>
      </c>
      <c r="K180" s="68">
        <v>3</v>
      </c>
      <c r="L180" s="68" t="s">
        <v>2099</v>
      </c>
    </row>
    <row r="181" spans="1:12" s="68" customFormat="1">
      <c r="A181" s="68">
        <v>421020300</v>
      </c>
      <c r="B181" s="68" t="s">
        <v>4181</v>
      </c>
      <c r="C181" s="68">
        <v>424</v>
      </c>
      <c r="D181" s="68" t="s">
        <v>4182</v>
      </c>
      <c r="E181" s="68">
        <v>1</v>
      </c>
      <c r="F181" s="77">
        <v>140810022380</v>
      </c>
      <c r="G181" s="78">
        <v>205847</v>
      </c>
      <c r="H181" s="68" t="s">
        <v>4185</v>
      </c>
      <c r="I181" s="68">
        <v>0</v>
      </c>
      <c r="J181" s="54">
        <v>43490</v>
      </c>
      <c r="K181" s="68">
        <v>4</v>
      </c>
      <c r="L181" s="68" t="s">
        <v>2354</v>
      </c>
    </row>
    <row r="182" spans="1:12" s="68" customFormat="1">
      <c r="A182" s="68">
        <v>421020300</v>
      </c>
      <c r="B182" s="68" t="s">
        <v>4181</v>
      </c>
      <c r="C182" s="68">
        <v>424</v>
      </c>
      <c r="D182" s="68" t="s">
        <v>4182</v>
      </c>
      <c r="E182" s="68">
        <v>1</v>
      </c>
      <c r="F182" s="77">
        <v>140810022380</v>
      </c>
      <c r="G182" s="78">
        <v>39015</v>
      </c>
      <c r="H182" s="68" t="s">
        <v>4185</v>
      </c>
      <c r="I182" s="68">
        <v>0</v>
      </c>
      <c r="J182" s="54">
        <v>43490</v>
      </c>
      <c r="K182" s="68">
        <v>4</v>
      </c>
      <c r="L182" s="68" t="s">
        <v>2354</v>
      </c>
    </row>
    <row r="183" spans="1:12" s="68" customFormat="1">
      <c r="A183" s="68">
        <v>421020300</v>
      </c>
      <c r="B183" s="68" t="s">
        <v>4181</v>
      </c>
      <c r="C183" s="68">
        <v>424</v>
      </c>
      <c r="D183" s="68" t="s">
        <v>4182</v>
      </c>
      <c r="E183" s="68">
        <v>1</v>
      </c>
      <c r="F183" s="77">
        <v>120200011890</v>
      </c>
      <c r="G183" s="78">
        <v>192973</v>
      </c>
      <c r="H183" s="68" t="s">
        <v>4186</v>
      </c>
      <c r="I183" s="68">
        <v>0</v>
      </c>
      <c r="J183" s="54">
        <v>43521</v>
      </c>
      <c r="K183" s="68">
        <v>4</v>
      </c>
      <c r="L183" s="68" t="s">
        <v>2354</v>
      </c>
    </row>
    <row r="184" spans="1:12" s="68" customFormat="1">
      <c r="A184" s="68">
        <v>421020300</v>
      </c>
      <c r="B184" s="68" t="s">
        <v>4181</v>
      </c>
      <c r="C184" s="68">
        <v>424</v>
      </c>
      <c r="D184" s="68" t="s">
        <v>4182</v>
      </c>
      <c r="E184" s="68">
        <v>1</v>
      </c>
      <c r="F184" s="77">
        <v>140820032020</v>
      </c>
      <c r="G184" s="78">
        <v>165817</v>
      </c>
      <c r="H184" s="68" t="s">
        <v>4187</v>
      </c>
      <c r="I184" s="68">
        <v>0</v>
      </c>
      <c r="J184" s="54">
        <v>43521</v>
      </c>
      <c r="K184" s="68">
        <v>4</v>
      </c>
      <c r="L184" s="68" t="s">
        <v>2354</v>
      </c>
    </row>
    <row r="185" spans="1:12" s="68" customFormat="1">
      <c r="A185" s="68">
        <v>421020300</v>
      </c>
      <c r="B185" s="68" t="s">
        <v>4181</v>
      </c>
      <c r="C185" s="68">
        <v>424</v>
      </c>
      <c r="D185" s="68" t="s">
        <v>4182</v>
      </c>
      <c r="E185" s="68">
        <v>1</v>
      </c>
      <c r="F185" s="77">
        <v>140820032020</v>
      </c>
      <c r="G185" s="78">
        <v>131669</v>
      </c>
      <c r="H185" s="68" t="s">
        <v>4187</v>
      </c>
      <c r="I185" s="68">
        <v>0</v>
      </c>
      <c r="J185" s="54">
        <v>43521</v>
      </c>
      <c r="K185" s="68">
        <v>4</v>
      </c>
      <c r="L185" s="68" t="s">
        <v>2354</v>
      </c>
    </row>
    <row r="186" spans="1:12" s="68" customFormat="1">
      <c r="A186" s="68">
        <v>421020300</v>
      </c>
      <c r="B186" s="68" t="s">
        <v>4181</v>
      </c>
      <c r="C186" s="68">
        <v>424</v>
      </c>
      <c r="D186" s="68" t="s">
        <v>4182</v>
      </c>
      <c r="E186" s="68">
        <v>1</v>
      </c>
      <c r="F186" s="77">
        <v>140810036354</v>
      </c>
      <c r="G186" s="78">
        <v>93751</v>
      </c>
      <c r="H186" s="68" t="s">
        <v>4188</v>
      </c>
      <c r="I186" s="68">
        <v>0</v>
      </c>
      <c r="J186" s="54">
        <v>43522</v>
      </c>
      <c r="K186" s="68">
        <v>4</v>
      </c>
      <c r="L186" s="68" t="s">
        <v>2354</v>
      </c>
    </row>
    <row r="187" spans="1:12" s="68" customFormat="1">
      <c r="A187" s="68">
        <v>421020300</v>
      </c>
      <c r="B187" s="68" t="s">
        <v>4181</v>
      </c>
      <c r="C187" s="68">
        <v>424</v>
      </c>
      <c r="D187" s="68" t="s">
        <v>4182</v>
      </c>
      <c r="E187" s="68">
        <v>1</v>
      </c>
      <c r="F187" s="77">
        <v>140810036354</v>
      </c>
      <c r="G187" s="78">
        <v>104097</v>
      </c>
      <c r="H187" s="68" t="s">
        <v>4188</v>
      </c>
      <c r="I187" s="68">
        <v>0</v>
      </c>
      <c r="J187" s="54">
        <v>43522</v>
      </c>
      <c r="K187" s="68">
        <v>4</v>
      </c>
      <c r="L187" s="68" t="s">
        <v>2354</v>
      </c>
    </row>
    <row r="188" spans="1:12" s="68" customFormat="1">
      <c r="A188" s="68">
        <v>421020300</v>
      </c>
      <c r="B188" s="68" t="s">
        <v>4181</v>
      </c>
      <c r="C188" s="68">
        <v>424</v>
      </c>
      <c r="D188" s="68" t="s">
        <v>4182</v>
      </c>
      <c r="E188" s="68">
        <v>1</v>
      </c>
      <c r="F188" s="77">
        <v>10030011297</v>
      </c>
      <c r="G188" s="78">
        <v>285191</v>
      </c>
      <c r="H188" s="68" t="s">
        <v>4189</v>
      </c>
      <c r="I188" s="68">
        <v>0</v>
      </c>
      <c r="J188" s="54">
        <v>43612</v>
      </c>
      <c r="K188" s="68">
        <v>4</v>
      </c>
      <c r="L188" s="68" t="s">
        <v>2354</v>
      </c>
    </row>
    <row r="189" spans="1:12" s="68" customFormat="1">
      <c r="A189" s="68">
        <v>421020300</v>
      </c>
      <c r="B189" s="68" t="s">
        <v>4181</v>
      </c>
      <c r="C189" s="68">
        <v>424</v>
      </c>
      <c r="D189" s="68" t="s">
        <v>4182</v>
      </c>
      <c r="E189" s="68">
        <v>1</v>
      </c>
      <c r="F189" s="77">
        <v>141190048889</v>
      </c>
      <c r="G189" s="78">
        <v>111298</v>
      </c>
      <c r="H189" s="68" t="s">
        <v>4190</v>
      </c>
      <c r="I189" s="68">
        <v>0</v>
      </c>
      <c r="J189" s="54">
        <v>43697</v>
      </c>
      <c r="K189" s="68">
        <v>4</v>
      </c>
      <c r="L189" s="68" t="s">
        <v>2354</v>
      </c>
    </row>
    <row r="190" spans="1:12" s="68" customFormat="1">
      <c r="A190" s="68">
        <v>421020300</v>
      </c>
      <c r="B190" s="68" t="s">
        <v>4181</v>
      </c>
      <c r="C190" s="68">
        <v>424</v>
      </c>
      <c r="D190" s="68" t="s">
        <v>4182</v>
      </c>
      <c r="E190" s="68">
        <v>1</v>
      </c>
      <c r="F190" s="77">
        <v>130180013152</v>
      </c>
      <c r="G190" s="78">
        <v>78253</v>
      </c>
      <c r="H190" s="68" t="s">
        <v>4191</v>
      </c>
      <c r="I190" s="68">
        <v>0</v>
      </c>
      <c r="J190" s="54">
        <v>43735</v>
      </c>
      <c r="K190" s="68">
        <v>4</v>
      </c>
      <c r="L190" s="68" t="s">
        <v>2354</v>
      </c>
    </row>
    <row r="191" spans="1:12" s="68" customFormat="1">
      <c r="A191" s="68">
        <v>421020300</v>
      </c>
      <c r="B191" s="68" t="s">
        <v>4181</v>
      </c>
      <c r="C191" s="68">
        <v>424</v>
      </c>
      <c r="D191" s="68" t="s">
        <v>4182</v>
      </c>
      <c r="E191" s="68">
        <v>1</v>
      </c>
      <c r="F191" s="77">
        <v>140840074324</v>
      </c>
      <c r="G191" s="78">
        <v>28182</v>
      </c>
      <c r="H191" s="68" t="s">
        <v>4192</v>
      </c>
      <c r="I191" s="68">
        <v>0</v>
      </c>
      <c r="J191" s="54">
        <v>43735</v>
      </c>
      <c r="K191" s="68">
        <v>4</v>
      </c>
      <c r="L191" s="68" t="s">
        <v>2354</v>
      </c>
    </row>
    <row r="192" spans="1:12" s="68" customFormat="1">
      <c r="A192" s="68">
        <v>421020300</v>
      </c>
      <c r="B192" s="68" t="s">
        <v>4181</v>
      </c>
      <c r="C192" s="68">
        <v>424</v>
      </c>
      <c r="D192" s="68" t="s">
        <v>4182</v>
      </c>
      <c r="E192" s="68">
        <v>1</v>
      </c>
      <c r="F192" s="77">
        <v>10010001238</v>
      </c>
      <c r="G192" s="78">
        <v>230909</v>
      </c>
      <c r="H192" s="68" t="s">
        <v>4193</v>
      </c>
      <c r="I192" s="68">
        <v>0</v>
      </c>
      <c r="J192" s="54">
        <v>43616</v>
      </c>
      <c r="K192" s="68">
        <v>6</v>
      </c>
      <c r="L192" s="68" t="s">
        <v>2210</v>
      </c>
    </row>
    <row r="193" spans="1:12" s="68" customFormat="1">
      <c r="A193" s="68">
        <v>421020300</v>
      </c>
      <c r="B193" s="68" t="s">
        <v>4181</v>
      </c>
      <c r="C193" s="68">
        <v>424</v>
      </c>
      <c r="D193" s="68" t="s">
        <v>4182</v>
      </c>
      <c r="E193" s="68">
        <v>1</v>
      </c>
      <c r="F193" s="77">
        <v>10010025296</v>
      </c>
      <c r="G193" s="78">
        <v>658182</v>
      </c>
      <c r="H193" s="68" t="s">
        <v>4194</v>
      </c>
      <c r="I193" s="68">
        <v>0</v>
      </c>
      <c r="J193" s="54">
        <v>43585</v>
      </c>
      <c r="K193" s="68">
        <v>8</v>
      </c>
      <c r="L193" s="68" t="s">
        <v>2262</v>
      </c>
    </row>
    <row r="194" spans="1:12" s="68" customFormat="1">
      <c r="A194" s="68">
        <v>421020300</v>
      </c>
      <c r="B194" s="68" t="s">
        <v>4181</v>
      </c>
      <c r="C194" s="68">
        <v>424</v>
      </c>
      <c r="D194" s="68" t="s">
        <v>4182</v>
      </c>
      <c r="E194" s="68">
        <v>1</v>
      </c>
      <c r="F194" s="77">
        <v>10030011071</v>
      </c>
      <c r="G194" s="78">
        <v>160314</v>
      </c>
      <c r="H194" s="68" t="s">
        <v>4189</v>
      </c>
      <c r="I194" s="68">
        <v>0</v>
      </c>
      <c r="J194" s="54">
        <v>43607</v>
      </c>
      <c r="K194" s="68">
        <v>8</v>
      </c>
      <c r="L194" s="68" t="s">
        <v>2262</v>
      </c>
    </row>
    <row r="195" spans="1:12" s="68" customFormat="1">
      <c r="A195" s="68">
        <v>421020300</v>
      </c>
      <c r="B195" s="68" t="s">
        <v>4181</v>
      </c>
      <c r="C195" s="68">
        <v>424</v>
      </c>
      <c r="D195" s="68" t="s">
        <v>4182</v>
      </c>
      <c r="E195" s="68">
        <v>1</v>
      </c>
      <c r="F195" s="77">
        <v>10010000762</v>
      </c>
      <c r="G195" s="78">
        <v>260909</v>
      </c>
      <c r="H195" s="68" t="s">
        <v>4195</v>
      </c>
      <c r="I195" s="68">
        <v>0</v>
      </c>
      <c r="J195" s="54">
        <v>43620</v>
      </c>
      <c r="K195" s="68">
        <v>8</v>
      </c>
      <c r="L195" s="68" t="s">
        <v>2262</v>
      </c>
    </row>
    <row r="196" spans="1:12" s="68" customFormat="1">
      <c r="A196" s="68">
        <v>421020300</v>
      </c>
      <c r="B196" s="68" t="s">
        <v>4181</v>
      </c>
      <c r="C196" s="68">
        <v>424</v>
      </c>
      <c r="D196" s="68" t="s">
        <v>4182</v>
      </c>
      <c r="E196" s="68">
        <v>1</v>
      </c>
      <c r="F196" s="77">
        <v>10010002217</v>
      </c>
      <c r="G196" s="78">
        <v>494091</v>
      </c>
      <c r="H196" s="68" t="s">
        <v>4196</v>
      </c>
      <c r="I196" s="68">
        <v>0</v>
      </c>
      <c r="J196" s="54">
        <v>43620</v>
      </c>
      <c r="K196" s="68">
        <v>8</v>
      </c>
      <c r="L196" s="68" t="s">
        <v>2262</v>
      </c>
    </row>
    <row r="197" spans="1:12" s="68" customFormat="1">
      <c r="A197" s="68">
        <v>421020300</v>
      </c>
      <c r="B197" s="68" t="s">
        <v>4181</v>
      </c>
      <c r="C197" s="68">
        <v>424</v>
      </c>
      <c r="D197" s="68" t="s">
        <v>4182</v>
      </c>
      <c r="E197" s="68">
        <v>1</v>
      </c>
      <c r="F197" s="77">
        <v>10010004539</v>
      </c>
      <c r="G197" s="78">
        <v>30000</v>
      </c>
      <c r="H197" s="68" t="s">
        <v>4189</v>
      </c>
      <c r="I197" s="68">
        <v>0</v>
      </c>
      <c r="J197" s="54">
        <v>43620</v>
      </c>
      <c r="K197" s="68">
        <v>8</v>
      </c>
      <c r="L197" s="68" t="s">
        <v>2262</v>
      </c>
    </row>
    <row r="198" spans="1:12" s="68" customFormat="1">
      <c r="A198" s="68">
        <v>421020300</v>
      </c>
      <c r="B198" s="68" t="s">
        <v>4181</v>
      </c>
      <c r="C198" s="68">
        <v>424</v>
      </c>
      <c r="D198" s="68" t="s">
        <v>4182</v>
      </c>
      <c r="E198" s="68">
        <v>1</v>
      </c>
      <c r="F198" s="77">
        <v>130200027950</v>
      </c>
      <c r="G198" s="78">
        <v>33636</v>
      </c>
      <c r="H198" s="68" t="s">
        <v>4197</v>
      </c>
      <c r="I198" s="68">
        <v>0</v>
      </c>
      <c r="J198" s="54">
        <v>43668</v>
      </c>
      <c r="K198" s="68">
        <v>8</v>
      </c>
      <c r="L198" s="68" t="s">
        <v>2262</v>
      </c>
    </row>
    <row r="199" spans="1:12" s="68" customFormat="1">
      <c r="A199" s="68">
        <v>421020300</v>
      </c>
      <c r="B199" s="68" t="s">
        <v>4181</v>
      </c>
      <c r="C199" s="68">
        <v>424</v>
      </c>
      <c r="D199" s="68" t="s">
        <v>4182</v>
      </c>
      <c r="E199" s="68">
        <v>1</v>
      </c>
      <c r="F199" s="77">
        <v>10020000014</v>
      </c>
      <c r="G199" s="78">
        <v>25455</v>
      </c>
      <c r="H199" s="68" t="s">
        <v>4198</v>
      </c>
      <c r="I199" s="68">
        <v>0</v>
      </c>
      <c r="J199" s="54">
        <v>43688</v>
      </c>
      <c r="K199" s="68">
        <v>8</v>
      </c>
      <c r="L199" s="68" t="s">
        <v>2262</v>
      </c>
    </row>
    <row r="200" spans="1:12" s="68" customFormat="1">
      <c r="A200" s="68">
        <v>421020300</v>
      </c>
      <c r="B200" s="68" t="s">
        <v>4181</v>
      </c>
      <c r="C200" s="68">
        <v>424</v>
      </c>
      <c r="D200" s="68" t="s">
        <v>4182</v>
      </c>
      <c r="E200" s="68">
        <v>1</v>
      </c>
      <c r="F200" s="77">
        <v>10040001182</v>
      </c>
      <c r="G200" s="78">
        <v>68182</v>
      </c>
      <c r="H200" s="68" t="s">
        <v>4199</v>
      </c>
      <c r="I200" s="68">
        <v>0</v>
      </c>
      <c r="J200" s="54">
        <v>43691</v>
      </c>
      <c r="K200" s="68">
        <v>8</v>
      </c>
      <c r="L200" s="68" t="s">
        <v>2262</v>
      </c>
    </row>
    <row r="201" spans="1:12" s="68" customFormat="1">
      <c r="A201" s="68">
        <v>421020300</v>
      </c>
      <c r="B201" s="68" t="s">
        <v>4181</v>
      </c>
      <c r="C201" s="68">
        <v>424</v>
      </c>
      <c r="D201" s="68" t="s">
        <v>4182</v>
      </c>
      <c r="E201" s="68">
        <v>1</v>
      </c>
      <c r="F201" s="77">
        <v>141160030759</v>
      </c>
      <c r="G201" s="78">
        <v>44857</v>
      </c>
      <c r="H201" s="68" t="s">
        <v>4200</v>
      </c>
      <c r="I201" s="68">
        <v>0</v>
      </c>
      <c r="J201" s="54">
        <v>43693</v>
      </c>
      <c r="K201" s="68">
        <v>8</v>
      </c>
      <c r="L201" s="68" t="s">
        <v>2262</v>
      </c>
    </row>
    <row r="202" spans="1:12" s="68" customFormat="1">
      <c r="A202" s="68">
        <v>421020300</v>
      </c>
      <c r="B202" s="68" t="s">
        <v>4181</v>
      </c>
      <c r="C202" s="68">
        <v>424</v>
      </c>
      <c r="D202" s="68" t="s">
        <v>4182</v>
      </c>
      <c r="E202" s="68">
        <v>1</v>
      </c>
      <c r="F202" s="77">
        <v>10010000590</v>
      </c>
      <c r="G202" s="78">
        <v>40909</v>
      </c>
      <c r="H202" s="68" t="s">
        <v>4201</v>
      </c>
      <c r="I202" s="68">
        <v>0</v>
      </c>
      <c r="J202" s="54">
        <v>43695</v>
      </c>
      <c r="K202" s="68">
        <v>8</v>
      </c>
      <c r="L202" s="68" t="s">
        <v>2262</v>
      </c>
    </row>
    <row r="203" spans="1:12" s="68" customFormat="1">
      <c r="A203" s="68">
        <v>421020300</v>
      </c>
      <c r="B203" s="68" t="s">
        <v>4181</v>
      </c>
      <c r="C203" s="68">
        <v>424</v>
      </c>
      <c r="D203" s="68" t="s">
        <v>4182</v>
      </c>
      <c r="E203" s="68">
        <v>1</v>
      </c>
      <c r="F203" s="77">
        <v>10010005458</v>
      </c>
      <c r="G203" s="78">
        <v>43636</v>
      </c>
      <c r="H203" s="68" t="s">
        <v>4202</v>
      </c>
      <c r="I203" s="68">
        <v>0</v>
      </c>
      <c r="J203" s="54">
        <v>43696</v>
      </c>
      <c r="K203" s="68">
        <v>8</v>
      </c>
      <c r="L203" s="68" t="s">
        <v>2262</v>
      </c>
    </row>
    <row r="204" spans="1:12" s="68" customFormat="1">
      <c r="A204" s="68">
        <v>421020300</v>
      </c>
      <c r="B204" s="68" t="s">
        <v>4181</v>
      </c>
      <c r="C204" s="68">
        <v>424</v>
      </c>
      <c r="D204" s="68" t="s">
        <v>4182</v>
      </c>
      <c r="E204" s="68">
        <v>1</v>
      </c>
      <c r="F204" s="77">
        <v>10030014201</v>
      </c>
      <c r="G204" s="78">
        <v>318182</v>
      </c>
      <c r="H204" s="68" t="s">
        <v>4203</v>
      </c>
      <c r="I204" s="68">
        <v>0</v>
      </c>
      <c r="J204" s="54">
        <v>43727</v>
      </c>
      <c r="K204" s="68">
        <v>8</v>
      </c>
      <c r="L204" s="68" t="s">
        <v>2262</v>
      </c>
    </row>
    <row r="205" spans="1:12" s="68" customFormat="1">
      <c r="A205" s="68">
        <v>421020300</v>
      </c>
      <c r="B205" s="68" t="s">
        <v>4181</v>
      </c>
      <c r="C205" s="68">
        <v>424</v>
      </c>
      <c r="D205" s="68" t="s">
        <v>4182</v>
      </c>
      <c r="E205" s="68">
        <v>1</v>
      </c>
      <c r="F205" s="77">
        <v>10210000059</v>
      </c>
      <c r="G205" s="78">
        <v>1107273</v>
      </c>
      <c r="H205" s="68" t="s">
        <v>4204</v>
      </c>
      <c r="I205" s="68">
        <v>0</v>
      </c>
      <c r="J205" s="54">
        <v>43794</v>
      </c>
      <c r="K205" s="68">
        <v>8</v>
      </c>
      <c r="L205" s="68" t="s">
        <v>2262</v>
      </c>
    </row>
    <row r="206" spans="1:12" s="68" customFormat="1">
      <c r="A206" s="68">
        <v>421020300</v>
      </c>
      <c r="B206" s="68" t="s">
        <v>4181</v>
      </c>
      <c r="C206" s="68">
        <v>424</v>
      </c>
      <c r="D206" s="68" t="s">
        <v>4182</v>
      </c>
      <c r="E206" s="68">
        <v>1</v>
      </c>
      <c r="F206" s="77">
        <v>140840094564</v>
      </c>
      <c r="G206" s="78">
        <v>30545</v>
      </c>
      <c r="H206" s="68" t="s">
        <v>4205</v>
      </c>
      <c r="I206" s="68">
        <v>0</v>
      </c>
      <c r="J206" s="54">
        <v>43797</v>
      </c>
      <c r="K206" s="68">
        <v>8</v>
      </c>
      <c r="L206" s="68" t="s">
        <v>2262</v>
      </c>
    </row>
    <row r="207" spans="1:12" s="68" customFormat="1">
      <c r="A207" s="68">
        <v>421020300</v>
      </c>
      <c r="B207" s="68" t="s">
        <v>4181</v>
      </c>
      <c r="C207" s="68">
        <v>424</v>
      </c>
      <c r="D207" s="68" t="s">
        <v>4182</v>
      </c>
      <c r="E207" s="68">
        <v>2</v>
      </c>
      <c r="F207" s="77">
        <v>10010170578</v>
      </c>
      <c r="G207" s="78">
        <v>335000</v>
      </c>
      <c r="H207" s="68" t="s">
        <v>4206</v>
      </c>
      <c r="I207" s="68">
        <v>0</v>
      </c>
      <c r="J207" s="54">
        <v>43496</v>
      </c>
      <c r="L207" s="68" t="s">
        <v>2076</v>
      </c>
    </row>
    <row r="208" spans="1:12" s="68" customFormat="1">
      <c r="A208" s="68">
        <v>421020300</v>
      </c>
      <c r="B208" s="68" t="s">
        <v>4181</v>
      </c>
      <c r="C208" s="68">
        <v>424</v>
      </c>
      <c r="D208" s="68" t="s">
        <v>4182</v>
      </c>
      <c r="E208" s="68">
        <v>2</v>
      </c>
      <c r="F208" s="77">
        <v>10010174215</v>
      </c>
      <c r="G208" s="78">
        <v>402914</v>
      </c>
      <c r="H208" s="68" t="s">
        <v>4207</v>
      </c>
      <c r="I208" s="68">
        <v>0</v>
      </c>
      <c r="J208" s="54">
        <v>43524</v>
      </c>
      <c r="L208" s="68" t="s">
        <v>2076</v>
      </c>
    </row>
    <row r="209" spans="1:12" s="68" customFormat="1">
      <c r="A209" s="68">
        <v>421020300</v>
      </c>
      <c r="B209" s="68" t="s">
        <v>4181</v>
      </c>
      <c r="C209" s="68">
        <v>424</v>
      </c>
      <c r="D209" s="68" t="s">
        <v>4182</v>
      </c>
      <c r="E209" s="68">
        <v>2</v>
      </c>
      <c r="F209" s="77">
        <v>10010175771</v>
      </c>
      <c r="G209" s="78">
        <v>936827</v>
      </c>
      <c r="H209" s="68" t="s">
        <v>4208</v>
      </c>
      <c r="I209" s="68">
        <v>0</v>
      </c>
      <c r="J209" s="54">
        <v>43524</v>
      </c>
      <c r="L209" s="68" t="s">
        <v>2076</v>
      </c>
    </row>
    <row r="210" spans="1:12" s="68" customFormat="1">
      <c r="A210" s="68">
        <v>421020300</v>
      </c>
      <c r="B210" s="68" t="s">
        <v>4181</v>
      </c>
      <c r="C210" s="68">
        <v>424</v>
      </c>
      <c r="D210" s="68" t="s">
        <v>4182</v>
      </c>
      <c r="E210" s="68">
        <v>2</v>
      </c>
      <c r="F210" s="77">
        <v>10010184865</v>
      </c>
      <c r="G210" s="78">
        <v>45455</v>
      </c>
      <c r="H210" s="68" t="s">
        <v>4209</v>
      </c>
      <c r="I210" s="68">
        <v>0</v>
      </c>
      <c r="J210" s="54">
        <v>43616</v>
      </c>
      <c r="L210" s="68" t="s">
        <v>2076</v>
      </c>
    </row>
    <row r="211" spans="1:12" s="68" customFormat="1">
      <c r="A211" s="68">
        <v>421020400</v>
      </c>
      <c r="B211" s="68" t="s">
        <v>2634</v>
      </c>
      <c r="C211" s="68">
        <v>750</v>
      </c>
      <c r="D211" s="68" t="s">
        <v>2635</v>
      </c>
      <c r="E211" s="68">
        <v>1</v>
      </c>
      <c r="F211" s="77">
        <v>270020065442</v>
      </c>
      <c r="G211" s="78">
        <v>6324</v>
      </c>
      <c r="H211" s="68" t="s">
        <v>4210</v>
      </c>
      <c r="I211" s="68">
        <v>0</v>
      </c>
      <c r="J211" s="54">
        <v>43542</v>
      </c>
      <c r="K211" s="68">
        <v>31</v>
      </c>
      <c r="L211" s="68" t="s">
        <v>2348</v>
      </c>
    </row>
    <row r="212" spans="1:12" s="68" customFormat="1">
      <c r="A212" s="68">
        <v>421020400</v>
      </c>
      <c r="B212" s="68" t="s">
        <v>2634</v>
      </c>
      <c r="C212" s="68">
        <v>750</v>
      </c>
      <c r="D212" s="68" t="s">
        <v>2635</v>
      </c>
      <c r="E212" s="68">
        <v>1</v>
      </c>
      <c r="F212" s="77">
        <v>270050055844</v>
      </c>
      <c r="G212" s="78">
        <v>8204</v>
      </c>
      <c r="H212" s="68" t="s">
        <v>4211</v>
      </c>
      <c r="I212" s="68">
        <v>0</v>
      </c>
      <c r="J212" s="54">
        <v>43535</v>
      </c>
      <c r="K212" s="68">
        <v>32</v>
      </c>
      <c r="L212" s="68" t="s">
        <v>2237</v>
      </c>
    </row>
    <row r="213" spans="1:12" s="68" customFormat="1">
      <c r="A213" s="68">
        <v>421020400</v>
      </c>
      <c r="B213" s="68" t="s">
        <v>2634</v>
      </c>
      <c r="C213" s="68">
        <v>750</v>
      </c>
      <c r="D213" s="68" t="s">
        <v>2635</v>
      </c>
      <c r="E213" s="68">
        <v>1</v>
      </c>
      <c r="F213" s="77">
        <v>270050061394</v>
      </c>
      <c r="G213" s="78">
        <v>31960</v>
      </c>
      <c r="H213" s="68" t="s">
        <v>4212</v>
      </c>
      <c r="I213" s="68">
        <v>0</v>
      </c>
      <c r="J213" s="54">
        <v>43549</v>
      </c>
      <c r="K213" s="68">
        <v>32</v>
      </c>
      <c r="L213" s="68" t="s">
        <v>2237</v>
      </c>
    </row>
    <row r="214" spans="1:12" s="68" customFormat="1">
      <c r="A214" s="68">
        <v>421020400</v>
      </c>
      <c r="B214" s="68" t="s">
        <v>2634</v>
      </c>
      <c r="C214" s="68">
        <v>750</v>
      </c>
      <c r="D214" s="68" t="s">
        <v>2635</v>
      </c>
      <c r="E214" s="68">
        <v>26</v>
      </c>
      <c r="F214" s="77">
        <v>5975</v>
      </c>
      <c r="G214" s="78">
        <v>5000</v>
      </c>
      <c r="H214" s="68" t="s">
        <v>2636</v>
      </c>
      <c r="I214" s="68">
        <v>0</v>
      </c>
      <c r="J214" s="54">
        <v>43612</v>
      </c>
      <c r="K214" s="68">
        <v>32</v>
      </c>
      <c r="L214" s="68" t="s">
        <v>2237</v>
      </c>
    </row>
    <row r="215" spans="1:12" s="68" customFormat="1">
      <c r="A215" s="68">
        <v>421020400</v>
      </c>
      <c r="B215" s="68" t="s">
        <v>2634</v>
      </c>
      <c r="C215" s="68">
        <v>750</v>
      </c>
      <c r="D215" s="68" t="s">
        <v>2635</v>
      </c>
      <c r="E215" s="68">
        <v>26</v>
      </c>
      <c r="F215" s="77">
        <v>2366731</v>
      </c>
      <c r="G215" s="78">
        <v>5000</v>
      </c>
      <c r="H215" s="68" t="s">
        <v>2636</v>
      </c>
      <c r="I215" s="68">
        <v>0</v>
      </c>
      <c r="J215" s="54">
        <v>43612</v>
      </c>
      <c r="K215" s="68">
        <v>32</v>
      </c>
      <c r="L215" s="68" t="s">
        <v>2237</v>
      </c>
    </row>
    <row r="216" spans="1:12" s="68" customFormat="1">
      <c r="A216" s="68">
        <v>421020400</v>
      </c>
      <c r="B216" s="68" t="s">
        <v>2634</v>
      </c>
      <c r="C216" s="68">
        <v>750</v>
      </c>
      <c r="D216" s="68" t="s">
        <v>2635</v>
      </c>
      <c r="E216" s="68">
        <v>26</v>
      </c>
      <c r="F216" s="77">
        <v>2679583</v>
      </c>
      <c r="G216" s="78">
        <v>5000</v>
      </c>
      <c r="H216" s="68" t="s">
        <v>2636</v>
      </c>
      <c r="I216" s="68">
        <v>0</v>
      </c>
      <c r="J216" s="54">
        <v>43612</v>
      </c>
      <c r="K216" s="68">
        <v>32</v>
      </c>
      <c r="L216" s="68" t="s">
        <v>2237</v>
      </c>
    </row>
    <row r="217" spans="1:12" ht="14" thickBot="1">
      <c r="G217" s="79">
        <f>SUM(G2:G216)</f>
        <v>45375364</v>
      </c>
    </row>
    <row r="219" spans="1:12" s="68" customFormat="1"/>
    <row r="220" spans="1:12" s="68" customFormat="1">
      <c r="A220" s="68">
        <v>422150100</v>
      </c>
      <c r="B220" s="68" t="s">
        <v>2756</v>
      </c>
      <c r="C220" s="68">
        <v>533</v>
      </c>
      <c r="D220" s="68" t="s">
        <v>2743</v>
      </c>
      <c r="E220" s="68">
        <v>26</v>
      </c>
      <c r="F220" s="68">
        <v>130719</v>
      </c>
      <c r="G220" s="78">
        <v>80000</v>
      </c>
      <c r="H220" s="68" t="s">
        <v>2757</v>
      </c>
      <c r="I220" s="68">
        <v>0</v>
      </c>
      <c r="J220" s="54">
        <v>43663</v>
      </c>
      <c r="K220" s="68">
        <v>4</v>
      </c>
      <c r="L220" s="68" t="s">
        <v>2354</v>
      </c>
    </row>
    <row r="221" spans="1:12" s="68" customFormat="1">
      <c r="A221" s="68">
        <v>422150100</v>
      </c>
      <c r="B221" s="68" t="s">
        <v>2756</v>
      </c>
      <c r="C221" s="68">
        <v>533</v>
      </c>
      <c r="D221" s="68" t="s">
        <v>2743</v>
      </c>
      <c r="E221" s="68">
        <v>26</v>
      </c>
      <c r="F221" s="68">
        <v>433162</v>
      </c>
      <c r="G221" s="78">
        <v>10000</v>
      </c>
      <c r="H221" s="68" t="s">
        <v>2758</v>
      </c>
      <c r="I221" s="68">
        <v>0</v>
      </c>
      <c r="J221" s="54">
        <v>43512</v>
      </c>
      <c r="K221" s="68">
        <v>37</v>
      </c>
      <c r="L221" s="68" t="s">
        <v>2017</v>
      </c>
    </row>
    <row r="222" spans="1:12" s="68" customFormat="1">
      <c r="A222" s="68">
        <v>422150100</v>
      </c>
      <c r="B222" s="68" t="s">
        <v>2756</v>
      </c>
      <c r="C222" s="68">
        <v>533</v>
      </c>
      <c r="D222" s="68" t="s">
        <v>2743</v>
      </c>
      <c r="E222" s="68">
        <v>1</v>
      </c>
      <c r="F222" s="68">
        <v>6003204300</v>
      </c>
      <c r="G222" s="78">
        <v>12000</v>
      </c>
      <c r="H222" s="68" t="s">
        <v>4213</v>
      </c>
      <c r="I222" s="68">
        <v>0</v>
      </c>
      <c r="J222" s="54">
        <v>43512</v>
      </c>
      <c r="K222" s="68">
        <v>37</v>
      </c>
      <c r="L222" s="68" t="s">
        <v>2017</v>
      </c>
    </row>
    <row r="223" spans="1:12" s="68" customFormat="1">
      <c r="A223" s="68">
        <v>422150100</v>
      </c>
      <c r="B223" s="68" t="s">
        <v>2756</v>
      </c>
      <c r="C223" s="68">
        <v>533</v>
      </c>
      <c r="D223" s="68" t="s">
        <v>2743</v>
      </c>
      <c r="E223" s="68">
        <v>1</v>
      </c>
      <c r="F223" s="68">
        <v>6007198150</v>
      </c>
      <c r="G223" s="78">
        <v>12000</v>
      </c>
      <c r="H223" s="68" t="s">
        <v>4213</v>
      </c>
      <c r="I223" s="68">
        <v>0</v>
      </c>
      <c r="J223" s="54">
        <v>43512</v>
      </c>
      <c r="K223" s="68">
        <v>37</v>
      </c>
      <c r="L223" s="68" t="s">
        <v>2017</v>
      </c>
    </row>
    <row r="224" spans="1:12" s="68" customFormat="1">
      <c r="A224" s="68">
        <v>422150100</v>
      </c>
      <c r="B224" s="68" t="s">
        <v>2756</v>
      </c>
      <c r="C224" s="68">
        <v>533</v>
      </c>
      <c r="D224" s="68" t="s">
        <v>2743</v>
      </c>
      <c r="E224" s="68">
        <v>26</v>
      </c>
      <c r="F224" s="68">
        <v>250319</v>
      </c>
      <c r="G224" s="78">
        <v>10000</v>
      </c>
      <c r="H224" s="68" t="s">
        <v>2759</v>
      </c>
      <c r="I224" s="68">
        <v>0</v>
      </c>
      <c r="J224" s="54">
        <v>43549</v>
      </c>
      <c r="K224" s="68">
        <v>37</v>
      </c>
      <c r="L224" s="68" t="s">
        <v>2017</v>
      </c>
    </row>
    <row r="225" spans="1:12" s="68" customFormat="1">
      <c r="A225" s="68">
        <v>422150100</v>
      </c>
      <c r="B225" s="68" t="s">
        <v>2756</v>
      </c>
      <c r="C225" s="68">
        <v>533</v>
      </c>
      <c r="D225" s="68" t="s">
        <v>2743</v>
      </c>
      <c r="E225" s="68">
        <v>1</v>
      </c>
      <c r="F225" s="68">
        <v>60030242819</v>
      </c>
      <c r="G225" s="78">
        <v>22000</v>
      </c>
      <c r="H225" s="68" t="s">
        <v>4214</v>
      </c>
      <c r="I225" s="68">
        <v>0</v>
      </c>
      <c r="J225" s="54">
        <v>43549</v>
      </c>
      <c r="K225" s="68">
        <v>37</v>
      </c>
      <c r="L225" s="68" t="s">
        <v>2017</v>
      </c>
    </row>
    <row r="226" spans="1:12" s="68" customFormat="1">
      <c r="A226" s="68">
        <v>422150100</v>
      </c>
      <c r="B226" s="68" t="s">
        <v>2756</v>
      </c>
      <c r="C226" s="68">
        <v>533</v>
      </c>
      <c r="D226" s="68" t="s">
        <v>2743</v>
      </c>
      <c r="E226" s="68">
        <v>1</v>
      </c>
      <c r="F226" s="68">
        <v>60060233522</v>
      </c>
      <c r="G226" s="78">
        <v>13000</v>
      </c>
      <c r="H226" s="68" t="s">
        <v>4214</v>
      </c>
      <c r="I226" s="68">
        <v>0</v>
      </c>
      <c r="J226" s="54">
        <v>43549</v>
      </c>
      <c r="K226" s="68">
        <v>37</v>
      </c>
      <c r="L226" s="68" t="s">
        <v>2017</v>
      </c>
    </row>
    <row r="227" spans="1:12" s="68" customFormat="1">
      <c r="A227" s="68">
        <v>422150100</v>
      </c>
      <c r="B227" s="68" t="s">
        <v>2756</v>
      </c>
      <c r="C227" s="68">
        <v>533</v>
      </c>
      <c r="D227" s="68" t="s">
        <v>2743</v>
      </c>
      <c r="E227" s="68">
        <v>26</v>
      </c>
      <c r="F227" s="68">
        <v>3004</v>
      </c>
      <c r="G227" s="78">
        <v>5000</v>
      </c>
      <c r="H227" s="68" t="s">
        <v>2760</v>
      </c>
      <c r="I227" s="68">
        <v>0</v>
      </c>
      <c r="J227" s="54">
        <v>43572</v>
      </c>
      <c r="K227" s="68">
        <v>37</v>
      </c>
      <c r="L227" s="68" t="s">
        <v>2017</v>
      </c>
    </row>
    <row r="228" spans="1:12" s="68" customFormat="1">
      <c r="A228" s="68">
        <v>422150100</v>
      </c>
      <c r="B228" s="68" t="s">
        <v>2756</v>
      </c>
      <c r="C228" s="68">
        <v>533</v>
      </c>
      <c r="D228" s="68" t="s">
        <v>2743</v>
      </c>
      <c r="E228" s="68">
        <v>1</v>
      </c>
      <c r="F228" s="68">
        <v>60070262485</v>
      </c>
      <c r="G228" s="78">
        <v>13000</v>
      </c>
      <c r="H228" s="68" t="s">
        <v>2760</v>
      </c>
      <c r="I228" s="68">
        <v>0</v>
      </c>
      <c r="J228" s="54">
        <v>43572</v>
      </c>
      <c r="K228" s="68">
        <v>37</v>
      </c>
      <c r="L228" s="68" t="s">
        <v>2017</v>
      </c>
    </row>
    <row r="229" spans="1:12" s="68" customFormat="1">
      <c r="A229" s="68">
        <v>422150100</v>
      </c>
      <c r="B229" s="68" t="s">
        <v>2756</v>
      </c>
      <c r="C229" s="68">
        <v>533</v>
      </c>
      <c r="D229" s="68" t="s">
        <v>2743</v>
      </c>
      <c r="E229" s="68">
        <v>26</v>
      </c>
      <c r="F229" s="68">
        <v>2204</v>
      </c>
      <c r="G229" s="78">
        <v>80000</v>
      </c>
      <c r="H229" s="68" t="s">
        <v>2761</v>
      </c>
      <c r="I229" s="68">
        <v>0</v>
      </c>
      <c r="J229" s="54">
        <v>43577</v>
      </c>
      <c r="K229" s="68">
        <v>37</v>
      </c>
      <c r="L229" s="68" t="s">
        <v>2017</v>
      </c>
    </row>
    <row r="230" spans="1:12" s="68" customFormat="1">
      <c r="A230" s="68">
        <v>422150100</v>
      </c>
      <c r="B230" s="68" t="s">
        <v>2756</v>
      </c>
      <c r="C230" s="68">
        <v>533</v>
      </c>
      <c r="D230" s="68" t="s">
        <v>2743</v>
      </c>
      <c r="E230" s="68">
        <v>1</v>
      </c>
      <c r="F230" s="68">
        <v>20010001016</v>
      </c>
      <c r="G230" s="78">
        <v>2545455</v>
      </c>
      <c r="H230" s="68" t="s">
        <v>4215</v>
      </c>
      <c r="I230" s="68">
        <v>0</v>
      </c>
      <c r="J230" s="54">
        <v>43626</v>
      </c>
      <c r="K230" s="68">
        <v>37</v>
      </c>
      <c r="L230" s="68" t="s">
        <v>2017</v>
      </c>
    </row>
    <row r="231" spans="1:12" s="68" customFormat="1">
      <c r="A231" s="68">
        <v>422150100</v>
      </c>
      <c r="B231" s="68" t="s">
        <v>2756</v>
      </c>
      <c r="C231" s="68">
        <v>533</v>
      </c>
      <c r="D231" s="68" t="s">
        <v>2743</v>
      </c>
      <c r="E231" s="68">
        <v>1</v>
      </c>
      <c r="F231" s="68">
        <v>10020002646</v>
      </c>
      <c r="G231" s="78">
        <v>72727</v>
      </c>
      <c r="H231" s="68" t="s">
        <v>4216</v>
      </c>
      <c r="I231" s="68">
        <v>0</v>
      </c>
      <c r="J231" s="54">
        <v>43630</v>
      </c>
      <c r="K231" s="68">
        <v>37</v>
      </c>
      <c r="L231" s="68" t="s">
        <v>2017</v>
      </c>
    </row>
    <row r="232" spans="1:12" s="68" customFormat="1">
      <c r="A232" s="68">
        <v>422150100</v>
      </c>
      <c r="B232" s="68" t="s">
        <v>2756</v>
      </c>
      <c r="C232" s="68">
        <v>533</v>
      </c>
      <c r="D232" s="68" t="s">
        <v>2743</v>
      </c>
      <c r="E232" s="68">
        <v>26</v>
      </c>
      <c r="F232" s="68">
        <v>1876371000000</v>
      </c>
      <c r="G232" s="78">
        <v>15000</v>
      </c>
      <c r="H232" s="68" t="s">
        <v>2762</v>
      </c>
      <c r="I232" s="68">
        <v>0</v>
      </c>
      <c r="J232" s="54">
        <v>43630</v>
      </c>
      <c r="K232" s="68">
        <v>37</v>
      </c>
      <c r="L232" s="68" t="s">
        <v>2017</v>
      </c>
    </row>
    <row r="233" spans="1:12" s="68" customFormat="1">
      <c r="A233" s="68">
        <v>422150100</v>
      </c>
      <c r="B233" s="68" t="s">
        <v>2756</v>
      </c>
      <c r="C233" s="68">
        <v>533</v>
      </c>
      <c r="D233" s="68" t="s">
        <v>2743</v>
      </c>
      <c r="E233" s="68">
        <v>26</v>
      </c>
      <c r="F233" s="68">
        <v>1802</v>
      </c>
      <c r="G233" s="78">
        <v>5000</v>
      </c>
      <c r="H233" s="68" t="s">
        <v>2763</v>
      </c>
      <c r="I233" s="68">
        <v>0</v>
      </c>
      <c r="J233" s="54">
        <v>43816</v>
      </c>
      <c r="K233" s="68">
        <v>37</v>
      </c>
      <c r="L233" s="68" t="s">
        <v>2017</v>
      </c>
    </row>
    <row r="234" spans="1:12" s="68" customFormat="1">
      <c r="A234" s="68">
        <v>422150100</v>
      </c>
      <c r="B234" s="68" t="s">
        <v>2756</v>
      </c>
      <c r="C234" s="68">
        <v>533</v>
      </c>
      <c r="D234" s="68" t="s">
        <v>2743</v>
      </c>
      <c r="E234" s="68">
        <v>26</v>
      </c>
      <c r="F234" s="68">
        <v>2501189</v>
      </c>
      <c r="G234" s="78">
        <v>5000</v>
      </c>
      <c r="H234" s="68" t="s">
        <v>2763</v>
      </c>
      <c r="I234" s="68">
        <v>0</v>
      </c>
      <c r="J234" s="54">
        <v>43816</v>
      </c>
      <c r="K234" s="68">
        <v>37</v>
      </c>
      <c r="L234" s="68" t="s">
        <v>2017</v>
      </c>
    </row>
    <row r="235" spans="1:12" s="68" customFormat="1">
      <c r="A235" s="68">
        <v>422150100</v>
      </c>
      <c r="B235" s="68" t="s">
        <v>2756</v>
      </c>
      <c r="C235" s="68">
        <v>533</v>
      </c>
      <c r="D235" s="68" t="s">
        <v>2743</v>
      </c>
      <c r="E235" s="68">
        <v>26</v>
      </c>
      <c r="F235" s="68">
        <v>220118</v>
      </c>
      <c r="G235" s="78">
        <v>20000</v>
      </c>
      <c r="H235" s="68" t="s">
        <v>2764</v>
      </c>
      <c r="I235" s="68">
        <v>0</v>
      </c>
      <c r="J235" s="54">
        <v>43487</v>
      </c>
      <c r="K235" s="68">
        <v>42</v>
      </c>
      <c r="L235" s="68" t="s">
        <v>2061</v>
      </c>
    </row>
    <row r="236" spans="1:12" s="68" customFormat="1">
      <c r="A236" s="68">
        <v>422150100</v>
      </c>
      <c r="B236" s="68" t="s">
        <v>2756</v>
      </c>
      <c r="C236" s="68">
        <v>533</v>
      </c>
      <c r="D236" s="68" t="s">
        <v>2743</v>
      </c>
      <c r="E236" s="68">
        <v>26</v>
      </c>
      <c r="F236" s="68">
        <v>220119</v>
      </c>
      <c r="G236" s="78">
        <v>244000</v>
      </c>
      <c r="H236" s="68" t="s">
        <v>2765</v>
      </c>
      <c r="I236" s="68">
        <v>0</v>
      </c>
      <c r="J236" s="54">
        <v>43487</v>
      </c>
      <c r="K236" s="68">
        <v>42</v>
      </c>
      <c r="L236" s="68" t="s">
        <v>2061</v>
      </c>
    </row>
    <row r="237" spans="1:12" s="68" customFormat="1">
      <c r="A237" s="68">
        <v>422150100</v>
      </c>
      <c r="B237" s="68" t="s">
        <v>2756</v>
      </c>
      <c r="C237" s="68">
        <v>533</v>
      </c>
      <c r="D237" s="68" t="s">
        <v>2743</v>
      </c>
      <c r="E237" s="68">
        <v>1</v>
      </c>
      <c r="F237" s="68">
        <v>10020087446</v>
      </c>
      <c r="G237" s="78">
        <v>9091</v>
      </c>
      <c r="H237" s="68" t="s">
        <v>4217</v>
      </c>
      <c r="I237" s="68">
        <v>0</v>
      </c>
      <c r="J237" s="54">
        <v>43487</v>
      </c>
      <c r="K237" s="68">
        <v>42</v>
      </c>
      <c r="L237" s="68" t="s">
        <v>2061</v>
      </c>
    </row>
    <row r="238" spans="1:12" s="68" customFormat="1">
      <c r="A238" s="68">
        <v>422150100</v>
      </c>
      <c r="B238" s="68" t="s">
        <v>2756</v>
      </c>
      <c r="C238" s="68">
        <v>533</v>
      </c>
      <c r="D238" s="68" t="s">
        <v>2743</v>
      </c>
      <c r="E238" s="68">
        <v>1</v>
      </c>
      <c r="F238" s="68">
        <v>20020005165</v>
      </c>
      <c r="G238" s="78">
        <v>9091</v>
      </c>
      <c r="H238" s="68" t="s">
        <v>4218</v>
      </c>
      <c r="I238" s="68">
        <v>0</v>
      </c>
      <c r="J238" s="54">
        <v>43487</v>
      </c>
      <c r="K238" s="68">
        <v>42</v>
      </c>
      <c r="L238" s="68" t="s">
        <v>2061</v>
      </c>
    </row>
    <row r="239" spans="1:12" s="68" customFormat="1">
      <c r="A239" s="68">
        <v>422150100</v>
      </c>
      <c r="B239" s="68" t="s">
        <v>2756</v>
      </c>
      <c r="C239" s="68">
        <v>533</v>
      </c>
      <c r="D239" s="68" t="s">
        <v>2743</v>
      </c>
      <c r="E239" s="68">
        <v>26</v>
      </c>
      <c r="F239" s="68">
        <v>3001</v>
      </c>
      <c r="G239" s="78">
        <v>15000</v>
      </c>
      <c r="H239" s="68" t="s">
        <v>2766</v>
      </c>
      <c r="I239" s="68">
        <v>0</v>
      </c>
      <c r="J239" s="54">
        <v>43495</v>
      </c>
      <c r="K239" s="68">
        <v>42</v>
      </c>
      <c r="L239" s="68" t="s">
        <v>2061</v>
      </c>
    </row>
    <row r="240" spans="1:12" s="68" customFormat="1">
      <c r="A240" s="68">
        <v>422150100</v>
      </c>
      <c r="B240" s="68" t="s">
        <v>2756</v>
      </c>
      <c r="C240" s="68">
        <v>533</v>
      </c>
      <c r="D240" s="68" t="s">
        <v>2743</v>
      </c>
      <c r="E240" s="68">
        <v>26</v>
      </c>
      <c r="F240" s="68">
        <v>455421</v>
      </c>
      <c r="G240" s="78">
        <v>5000</v>
      </c>
      <c r="H240" s="68" t="s">
        <v>2767</v>
      </c>
      <c r="I240" s="68">
        <v>0</v>
      </c>
      <c r="J240" s="54">
        <v>43495</v>
      </c>
      <c r="K240" s="68">
        <v>42</v>
      </c>
      <c r="L240" s="68" t="s">
        <v>2061</v>
      </c>
    </row>
    <row r="241" spans="1:12" s="68" customFormat="1">
      <c r="A241" s="68">
        <v>422150100</v>
      </c>
      <c r="B241" s="68" t="s">
        <v>2756</v>
      </c>
      <c r="C241" s="68">
        <v>533</v>
      </c>
      <c r="D241" s="68" t="s">
        <v>2743</v>
      </c>
      <c r="E241" s="68">
        <v>1</v>
      </c>
      <c r="F241" s="68">
        <v>60030180368</v>
      </c>
      <c r="G241" s="78">
        <v>12000</v>
      </c>
      <c r="H241" s="68" t="s">
        <v>4219</v>
      </c>
      <c r="I241" s="68">
        <v>0</v>
      </c>
      <c r="J241" s="54">
        <v>43495</v>
      </c>
      <c r="K241" s="68">
        <v>42</v>
      </c>
      <c r="L241" s="68" t="s">
        <v>2061</v>
      </c>
    </row>
    <row r="242" spans="1:12" s="68" customFormat="1">
      <c r="A242" s="68">
        <v>422150100</v>
      </c>
      <c r="B242" s="68" t="s">
        <v>2756</v>
      </c>
      <c r="C242" s="68">
        <v>533</v>
      </c>
      <c r="D242" s="68" t="s">
        <v>2743</v>
      </c>
      <c r="E242" s="68">
        <v>1</v>
      </c>
      <c r="F242" s="68">
        <v>60060168662</v>
      </c>
      <c r="G242" s="78">
        <v>12000</v>
      </c>
      <c r="H242" s="68" t="s">
        <v>4220</v>
      </c>
      <c r="I242" s="68">
        <v>0</v>
      </c>
      <c r="J242" s="54">
        <v>43495</v>
      </c>
      <c r="K242" s="68">
        <v>42</v>
      </c>
      <c r="L242" s="68" t="s">
        <v>2061</v>
      </c>
    </row>
    <row r="243" spans="1:12" s="68" customFormat="1">
      <c r="A243" s="68">
        <v>422150100</v>
      </c>
      <c r="B243" s="68" t="s">
        <v>2756</v>
      </c>
      <c r="C243" s="68">
        <v>533</v>
      </c>
      <c r="D243" s="68" t="s">
        <v>2743</v>
      </c>
      <c r="E243" s="68">
        <v>1</v>
      </c>
      <c r="F243" s="68">
        <v>60060169918</v>
      </c>
      <c r="G243" s="78">
        <v>12000</v>
      </c>
      <c r="H243" s="68" t="s">
        <v>4219</v>
      </c>
      <c r="I243" s="68">
        <v>0</v>
      </c>
      <c r="J243" s="54">
        <v>43495</v>
      </c>
      <c r="K243" s="68">
        <v>42</v>
      </c>
      <c r="L243" s="68" t="s">
        <v>2061</v>
      </c>
    </row>
    <row r="244" spans="1:12" s="68" customFormat="1">
      <c r="A244" s="68">
        <v>422150100</v>
      </c>
      <c r="B244" s="68" t="s">
        <v>2756</v>
      </c>
      <c r="C244" s="68">
        <v>533</v>
      </c>
      <c r="D244" s="68" t="s">
        <v>2743</v>
      </c>
      <c r="E244" s="68">
        <v>1</v>
      </c>
      <c r="F244" s="68">
        <v>70090251544</v>
      </c>
      <c r="G244" s="78">
        <v>13000</v>
      </c>
      <c r="H244" s="68" t="s">
        <v>4219</v>
      </c>
      <c r="I244" s="68">
        <v>0</v>
      </c>
      <c r="J244" s="54">
        <v>43495</v>
      </c>
      <c r="K244" s="68">
        <v>42</v>
      </c>
      <c r="L244" s="68" t="s">
        <v>2061</v>
      </c>
    </row>
    <row r="245" spans="1:12" s="68" customFormat="1">
      <c r="A245" s="68">
        <v>422150100</v>
      </c>
      <c r="B245" s="68" t="s">
        <v>2756</v>
      </c>
      <c r="C245" s="68">
        <v>533</v>
      </c>
      <c r="D245" s="68" t="s">
        <v>2743</v>
      </c>
      <c r="E245" s="68">
        <v>1</v>
      </c>
      <c r="F245" s="68">
        <v>280030004709</v>
      </c>
      <c r="G245" s="78">
        <v>13636</v>
      </c>
      <c r="H245" s="68" t="s">
        <v>4221</v>
      </c>
      <c r="I245" s="68">
        <v>0</v>
      </c>
      <c r="J245" s="54">
        <v>43495</v>
      </c>
      <c r="K245" s="68">
        <v>42</v>
      </c>
      <c r="L245" s="68" t="s">
        <v>2061</v>
      </c>
    </row>
    <row r="246" spans="1:12" s="68" customFormat="1">
      <c r="A246" s="68">
        <v>422150100</v>
      </c>
      <c r="B246" s="68" t="s">
        <v>2756</v>
      </c>
      <c r="C246" s="68">
        <v>533</v>
      </c>
      <c r="D246" s="68" t="s">
        <v>2743</v>
      </c>
      <c r="E246" s="68">
        <v>26</v>
      </c>
      <c r="F246" s="68">
        <v>3101</v>
      </c>
      <c r="G246" s="78">
        <v>50000</v>
      </c>
      <c r="H246" s="68" t="s">
        <v>2768</v>
      </c>
      <c r="I246" s="68">
        <v>0</v>
      </c>
      <c r="J246" s="54">
        <v>43496</v>
      </c>
      <c r="K246" s="68">
        <v>42</v>
      </c>
      <c r="L246" s="68" t="s">
        <v>2061</v>
      </c>
    </row>
    <row r="247" spans="1:12" s="68" customFormat="1">
      <c r="A247" s="68">
        <v>422150100</v>
      </c>
      <c r="B247" s="68" t="s">
        <v>2756</v>
      </c>
      <c r="C247" s="68">
        <v>533</v>
      </c>
      <c r="D247" s="68" t="s">
        <v>2743</v>
      </c>
      <c r="E247" s="68">
        <v>1</v>
      </c>
      <c r="F247" s="68">
        <v>500030002206</v>
      </c>
      <c r="G247" s="78">
        <v>119091</v>
      </c>
      <c r="H247" s="68" t="s">
        <v>4222</v>
      </c>
      <c r="I247" s="68">
        <v>0</v>
      </c>
      <c r="J247" s="54">
        <v>43496</v>
      </c>
      <c r="K247" s="68">
        <v>42</v>
      </c>
      <c r="L247" s="68" t="s">
        <v>2061</v>
      </c>
    </row>
    <row r="248" spans="1:12" s="68" customFormat="1">
      <c r="A248" s="68">
        <v>422150100</v>
      </c>
      <c r="B248" s="68" t="s">
        <v>2756</v>
      </c>
      <c r="C248" s="68">
        <v>533</v>
      </c>
      <c r="D248" s="68" t="s">
        <v>2743</v>
      </c>
      <c r="E248" s="68">
        <v>1</v>
      </c>
      <c r="F248" s="68">
        <v>530010007554</v>
      </c>
      <c r="G248" s="78">
        <v>119091</v>
      </c>
      <c r="H248" s="68" t="s">
        <v>4222</v>
      </c>
      <c r="I248" s="68">
        <v>0</v>
      </c>
      <c r="J248" s="54">
        <v>43496</v>
      </c>
      <c r="K248" s="68">
        <v>42</v>
      </c>
      <c r="L248" s="68" t="s">
        <v>2061</v>
      </c>
    </row>
    <row r="249" spans="1:12" s="68" customFormat="1">
      <c r="A249" s="68">
        <v>422150100</v>
      </c>
      <c r="B249" s="68" t="s">
        <v>2756</v>
      </c>
      <c r="C249" s="68">
        <v>533</v>
      </c>
      <c r="D249" s="68" t="s">
        <v>2743</v>
      </c>
      <c r="E249" s="68">
        <v>26</v>
      </c>
      <c r="F249" s="68">
        <v>486688</v>
      </c>
      <c r="G249" s="78">
        <v>5000</v>
      </c>
      <c r="H249" s="68" t="s">
        <v>2769</v>
      </c>
      <c r="I249" s="68">
        <v>0</v>
      </c>
      <c r="J249" s="54">
        <v>43498</v>
      </c>
      <c r="K249" s="68">
        <v>42</v>
      </c>
      <c r="L249" s="68" t="s">
        <v>2061</v>
      </c>
    </row>
    <row r="250" spans="1:12" s="68" customFormat="1">
      <c r="A250" s="68">
        <v>422150100</v>
      </c>
      <c r="B250" s="68" t="s">
        <v>2756</v>
      </c>
      <c r="C250" s="68">
        <v>533</v>
      </c>
      <c r="D250" s="68" t="s">
        <v>2743</v>
      </c>
      <c r="E250" s="68">
        <v>26</v>
      </c>
      <c r="F250" s="68">
        <v>10070001058</v>
      </c>
      <c r="G250" s="78">
        <v>50000</v>
      </c>
      <c r="H250" s="68" t="s">
        <v>2770</v>
      </c>
      <c r="I250" s="68">
        <v>0</v>
      </c>
      <c r="J250" s="54">
        <v>43498</v>
      </c>
      <c r="K250" s="68">
        <v>42</v>
      </c>
      <c r="L250" s="68" t="s">
        <v>2061</v>
      </c>
    </row>
    <row r="251" spans="1:12" s="68" customFormat="1">
      <c r="A251" s="68">
        <v>422150100</v>
      </c>
      <c r="B251" s="68" t="s">
        <v>2756</v>
      </c>
      <c r="C251" s="68">
        <v>533</v>
      </c>
      <c r="D251" s="68" t="s">
        <v>2743</v>
      </c>
      <c r="E251" s="68">
        <v>1</v>
      </c>
      <c r="F251" s="68">
        <v>60030184136</v>
      </c>
      <c r="G251" s="78">
        <v>12000</v>
      </c>
      <c r="H251" s="68" t="s">
        <v>4223</v>
      </c>
      <c r="I251" s="68">
        <v>0</v>
      </c>
      <c r="J251" s="54">
        <v>43498</v>
      </c>
      <c r="K251" s="68">
        <v>42</v>
      </c>
      <c r="L251" s="68" t="s">
        <v>2061</v>
      </c>
    </row>
    <row r="252" spans="1:12" s="68" customFormat="1">
      <c r="A252" s="68">
        <v>422150100</v>
      </c>
      <c r="B252" s="68" t="s">
        <v>2756</v>
      </c>
      <c r="C252" s="68">
        <v>533</v>
      </c>
      <c r="D252" s="68" t="s">
        <v>2743</v>
      </c>
      <c r="E252" s="68">
        <v>26</v>
      </c>
      <c r="F252" s="68">
        <v>40219</v>
      </c>
      <c r="G252" s="78">
        <v>5000</v>
      </c>
      <c r="H252" s="68" t="s">
        <v>2771</v>
      </c>
      <c r="I252" s="68">
        <v>0</v>
      </c>
      <c r="J252" s="54">
        <v>43500</v>
      </c>
      <c r="K252" s="68">
        <v>42</v>
      </c>
      <c r="L252" s="68" t="s">
        <v>2061</v>
      </c>
    </row>
    <row r="253" spans="1:12" s="68" customFormat="1">
      <c r="A253" s="68">
        <v>422150100</v>
      </c>
      <c r="B253" s="68" t="s">
        <v>2756</v>
      </c>
      <c r="C253" s="68">
        <v>533</v>
      </c>
      <c r="D253" s="68" t="s">
        <v>2743</v>
      </c>
      <c r="E253" s="68">
        <v>26</v>
      </c>
      <c r="F253" s="68">
        <v>40219</v>
      </c>
      <c r="G253" s="78">
        <v>5000</v>
      </c>
      <c r="H253" s="68" t="s">
        <v>2771</v>
      </c>
      <c r="I253" s="68">
        <v>0</v>
      </c>
      <c r="J253" s="54">
        <v>43500</v>
      </c>
      <c r="K253" s="68">
        <v>42</v>
      </c>
      <c r="L253" s="68" t="s">
        <v>2061</v>
      </c>
    </row>
    <row r="254" spans="1:12" s="68" customFormat="1">
      <c r="A254" s="68">
        <v>422150100</v>
      </c>
      <c r="B254" s="68" t="s">
        <v>2756</v>
      </c>
      <c r="C254" s="68">
        <v>533</v>
      </c>
      <c r="D254" s="68" t="s">
        <v>2743</v>
      </c>
      <c r="E254" s="68">
        <v>1</v>
      </c>
      <c r="F254" s="68">
        <v>10020087729</v>
      </c>
      <c r="G254" s="78">
        <v>9091</v>
      </c>
      <c r="H254" s="68" t="s">
        <v>4224</v>
      </c>
      <c r="I254" s="68">
        <v>0</v>
      </c>
      <c r="J254" s="54">
        <v>43504</v>
      </c>
      <c r="K254" s="68">
        <v>42</v>
      </c>
      <c r="L254" s="68" t="s">
        <v>2061</v>
      </c>
    </row>
    <row r="255" spans="1:12" s="68" customFormat="1">
      <c r="A255" s="68">
        <v>422150100</v>
      </c>
      <c r="B255" s="68" t="s">
        <v>2756</v>
      </c>
      <c r="C255" s="68">
        <v>533</v>
      </c>
      <c r="D255" s="68" t="s">
        <v>2743</v>
      </c>
      <c r="E255" s="68">
        <v>1</v>
      </c>
      <c r="F255" s="68">
        <v>10020087781</v>
      </c>
      <c r="G255" s="78">
        <v>9091</v>
      </c>
      <c r="H255" s="68" t="s">
        <v>4224</v>
      </c>
      <c r="I255" s="68">
        <v>0</v>
      </c>
      <c r="J255" s="54">
        <v>43504</v>
      </c>
      <c r="K255" s="68">
        <v>42</v>
      </c>
      <c r="L255" s="68" t="s">
        <v>2061</v>
      </c>
    </row>
    <row r="256" spans="1:12" s="68" customFormat="1">
      <c r="A256" s="68">
        <v>422150100</v>
      </c>
      <c r="B256" s="68" t="s">
        <v>2756</v>
      </c>
      <c r="C256" s="68">
        <v>533</v>
      </c>
      <c r="D256" s="68" t="s">
        <v>2743</v>
      </c>
      <c r="E256" s="68">
        <v>26</v>
      </c>
      <c r="F256" s="68">
        <v>1102</v>
      </c>
      <c r="G256" s="78">
        <v>80000</v>
      </c>
      <c r="H256" s="68" t="s">
        <v>2772</v>
      </c>
      <c r="I256" s="68">
        <v>0</v>
      </c>
      <c r="J256" s="54">
        <v>43507</v>
      </c>
      <c r="K256" s="68">
        <v>42</v>
      </c>
      <c r="L256" s="68" t="s">
        <v>2061</v>
      </c>
    </row>
    <row r="257" spans="1:12" s="68" customFormat="1">
      <c r="A257" s="68">
        <v>422150100</v>
      </c>
      <c r="B257" s="68" t="s">
        <v>2756</v>
      </c>
      <c r="C257" s="68">
        <v>533</v>
      </c>
      <c r="D257" s="68" t="s">
        <v>2743</v>
      </c>
      <c r="E257" s="68">
        <v>26</v>
      </c>
      <c r="F257" s="68">
        <v>602</v>
      </c>
      <c r="G257" s="78">
        <v>12000</v>
      </c>
      <c r="H257" s="68" t="s">
        <v>2773</v>
      </c>
      <c r="I257" s="68">
        <v>0</v>
      </c>
      <c r="J257" s="54">
        <v>43509</v>
      </c>
      <c r="K257" s="68">
        <v>42</v>
      </c>
      <c r="L257" s="68" t="s">
        <v>2061</v>
      </c>
    </row>
    <row r="258" spans="1:12" s="68" customFormat="1">
      <c r="A258" s="68">
        <v>422150100</v>
      </c>
      <c r="B258" s="68" t="s">
        <v>2756</v>
      </c>
      <c r="C258" s="68">
        <v>533</v>
      </c>
      <c r="D258" s="68" t="s">
        <v>2743</v>
      </c>
      <c r="E258" s="68">
        <v>26</v>
      </c>
      <c r="F258" s="68">
        <v>1070</v>
      </c>
      <c r="G258" s="78">
        <v>50000</v>
      </c>
      <c r="H258" s="68" t="s">
        <v>2774</v>
      </c>
      <c r="I258" s="68">
        <v>0</v>
      </c>
      <c r="J258" s="54">
        <v>43509</v>
      </c>
      <c r="K258" s="68">
        <v>42</v>
      </c>
      <c r="L258" s="68" t="s">
        <v>2061</v>
      </c>
    </row>
    <row r="259" spans="1:12" s="68" customFormat="1">
      <c r="A259" s="68">
        <v>422150100</v>
      </c>
      <c r="B259" s="68" t="s">
        <v>2756</v>
      </c>
      <c r="C259" s="68">
        <v>533</v>
      </c>
      <c r="D259" s="68" t="s">
        <v>2743</v>
      </c>
      <c r="E259" s="68">
        <v>26</v>
      </c>
      <c r="F259" s="68">
        <v>1302</v>
      </c>
      <c r="G259" s="78">
        <v>5000</v>
      </c>
      <c r="H259" s="68" t="s">
        <v>2773</v>
      </c>
      <c r="I259" s="68">
        <v>0</v>
      </c>
      <c r="J259" s="54">
        <v>43509</v>
      </c>
      <c r="K259" s="68">
        <v>42</v>
      </c>
      <c r="L259" s="68" t="s">
        <v>2061</v>
      </c>
    </row>
    <row r="260" spans="1:12" s="68" customFormat="1">
      <c r="A260" s="68">
        <v>422150100</v>
      </c>
      <c r="B260" s="68" t="s">
        <v>2756</v>
      </c>
      <c r="C260" s="68">
        <v>533</v>
      </c>
      <c r="D260" s="68" t="s">
        <v>2743</v>
      </c>
      <c r="E260" s="68">
        <v>26</v>
      </c>
      <c r="F260" s="68">
        <v>6033</v>
      </c>
      <c r="G260" s="78">
        <v>5000</v>
      </c>
      <c r="H260" s="68" t="s">
        <v>2775</v>
      </c>
      <c r="I260" s="68">
        <v>0</v>
      </c>
      <c r="J260" s="54">
        <v>43509</v>
      </c>
      <c r="K260" s="68">
        <v>42</v>
      </c>
      <c r="L260" s="68" t="s">
        <v>2061</v>
      </c>
    </row>
    <row r="261" spans="1:12" s="68" customFormat="1">
      <c r="A261" s="68">
        <v>422150100</v>
      </c>
      <c r="B261" s="68" t="s">
        <v>2756</v>
      </c>
      <c r="C261" s="68">
        <v>533</v>
      </c>
      <c r="D261" s="68" t="s">
        <v>2743</v>
      </c>
      <c r="E261" s="68">
        <v>26</v>
      </c>
      <c r="F261" s="68">
        <v>6035</v>
      </c>
      <c r="G261" s="78">
        <v>10000</v>
      </c>
      <c r="H261" s="68" t="s">
        <v>2776</v>
      </c>
      <c r="I261" s="68">
        <v>0</v>
      </c>
      <c r="J261" s="54">
        <v>43509</v>
      </c>
      <c r="K261" s="68">
        <v>42</v>
      </c>
      <c r="L261" s="68" t="s">
        <v>2061</v>
      </c>
    </row>
    <row r="262" spans="1:12" s="68" customFormat="1">
      <c r="A262" s="68">
        <v>422150100</v>
      </c>
      <c r="B262" s="68" t="s">
        <v>2756</v>
      </c>
      <c r="C262" s="68">
        <v>533</v>
      </c>
      <c r="D262" s="68" t="s">
        <v>2743</v>
      </c>
      <c r="E262" s="68">
        <v>26</v>
      </c>
      <c r="F262" s="68">
        <v>6053</v>
      </c>
      <c r="G262" s="78">
        <v>80000</v>
      </c>
      <c r="H262" s="68" t="s">
        <v>2777</v>
      </c>
      <c r="I262" s="68">
        <v>0</v>
      </c>
      <c r="J262" s="54">
        <v>43509</v>
      </c>
      <c r="K262" s="68">
        <v>42</v>
      </c>
      <c r="L262" s="68" t="s">
        <v>2061</v>
      </c>
    </row>
    <row r="263" spans="1:12" s="68" customFormat="1">
      <c r="A263" s="68">
        <v>422150100</v>
      </c>
      <c r="B263" s="68" t="s">
        <v>2756</v>
      </c>
      <c r="C263" s="68">
        <v>533</v>
      </c>
      <c r="D263" s="68" t="s">
        <v>2743</v>
      </c>
      <c r="E263" s="68">
        <v>26</v>
      </c>
      <c r="F263" s="68">
        <v>82817</v>
      </c>
      <c r="G263" s="78">
        <v>2200</v>
      </c>
      <c r="H263" s="68" t="s">
        <v>2778</v>
      </c>
      <c r="I263" s="68">
        <v>0</v>
      </c>
      <c r="J263" s="54">
        <v>43509</v>
      </c>
      <c r="K263" s="68">
        <v>42</v>
      </c>
      <c r="L263" s="68" t="s">
        <v>2061</v>
      </c>
    </row>
    <row r="264" spans="1:12" s="68" customFormat="1">
      <c r="A264" s="68">
        <v>422150100</v>
      </c>
      <c r="B264" s="68" t="s">
        <v>2756</v>
      </c>
      <c r="C264" s="68">
        <v>533</v>
      </c>
      <c r="D264" s="68" t="s">
        <v>2743</v>
      </c>
      <c r="E264" s="68">
        <v>26</v>
      </c>
      <c r="F264" s="68">
        <v>92547</v>
      </c>
      <c r="G264" s="78">
        <v>12000</v>
      </c>
      <c r="H264" s="68" t="s">
        <v>2779</v>
      </c>
      <c r="I264" s="68">
        <v>0</v>
      </c>
      <c r="J264" s="54">
        <v>43509</v>
      </c>
      <c r="K264" s="68">
        <v>42</v>
      </c>
      <c r="L264" s="68" t="s">
        <v>2061</v>
      </c>
    </row>
    <row r="265" spans="1:12" s="68" customFormat="1">
      <c r="A265" s="68">
        <v>422150100</v>
      </c>
      <c r="B265" s="68" t="s">
        <v>2756</v>
      </c>
      <c r="C265" s="68">
        <v>533</v>
      </c>
      <c r="D265" s="68" t="s">
        <v>2743</v>
      </c>
      <c r="E265" s="68">
        <v>26</v>
      </c>
      <c r="F265" s="68">
        <v>97149</v>
      </c>
      <c r="G265" s="78">
        <v>2000</v>
      </c>
      <c r="H265" s="68" t="s">
        <v>2780</v>
      </c>
      <c r="I265" s="68">
        <v>0</v>
      </c>
      <c r="J265" s="54">
        <v>43509</v>
      </c>
      <c r="K265" s="68">
        <v>42</v>
      </c>
      <c r="L265" s="68" t="s">
        <v>2061</v>
      </c>
    </row>
    <row r="266" spans="1:12" s="68" customFormat="1">
      <c r="A266" s="68">
        <v>422150100</v>
      </c>
      <c r="B266" s="68" t="s">
        <v>2756</v>
      </c>
      <c r="C266" s="68">
        <v>533</v>
      </c>
      <c r="D266" s="68" t="s">
        <v>2743</v>
      </c>
      <c r="E266" s="68">
        <v>1</v>
      </c>
      <c r="F266" s="68">
        <v>6001119847</v>
      </c>
      <c r="G266" s="78">
        <v>42000</v>
      </c>
      <c r="H266" s="68" t="s">
        <v>4225</v>
      </c>
      <c r="I266" s="68">
        <v>0</v>
      </c>
      <c r="J266" s="54">
        <v>43509</v>
      </c>
      <c r="K266" s="68">
        <v>42</v>
      </c>
      <c r="L266" s="68" t="s">
        <v>2061</v>
      </c>
    </row>
    <row r="267" spans="1:12" s="68" customFormat="1">
      <c r="A267" s="68">
        <v>422150100</v>
      </c>
      <c r="B267" s="68" t="s">
        <v>2756</v>
      </c>
      <c r="C267" s="68">
        <v>533</v>
      </c>
      <c r="D267" s="68" t="s">
        <v>2743</v>
      </c>
      <c r="E267" s="68">
        <v>1</v>
      </c>
      <c r="F267" s="68">
        <v>6001120964</v>
      </c>
      <c r="G267" s="78">
        <v>12000</v>
      </c>
      <c r="H267" s="68" t="s">
        <v>4226</v>
      </c>
      <c r="I267" s="68">
        <v>0</v>
      </c>
      <c r="J267" s="54">
        <v>43509</v>
      </c>
      <c r="K267" s="68">
        <v>42</v>
      </c>
      <c r="L267" s="68" t="s">
        <v>2061</v>
      </c>
    </row>
    <row r="268" spans="1:12" s="68" customFormat="1">
      <c r="A268" s="68">
        <v>422150100</v>
      </c>
      <c r="B268" s="68" t="s">
        <v>2756</v>
      </c>
      <c r="C268" s="68">
        <v>533</v>
      </c>
      <c r="D268" s="68" t="s">
        <v>2743</v>
      </c>
      <c r="E268" s="68">
        <v>1</v>
      </c>
      <c r="F268" s="68">
        <v>6007191671</v>
      </c>
      <c r="G268" s="78">
        <v>42000</v>
      </c>
      <c r="H268" s="68" t="s">
        <v>4225</v>
      </c>
      <c r="I268" s="68">
        <v>0</v>
      </c>
      <c r="J268" s="54">
        <v>43509</v>
      </c>
      <c r="K268" s="68">
        <v>42</v>
      </c>
      <c r="L268" s="68" t="s">
        <v>2061</v>
      </c>
    </row>
    <row r="269" spans="1:12" s="68" customFormat="1">
      <c r="A269" s="68">
        <v>422150100</v>
      </c>
      <c r="B269" s="68" t="s">
        <v>2756</v>
      </c>
      <c r="C269" s="68">
        <v>533</v>
      </c>
      <c r="D269" s="68" t="s">
        <v>2743</v>
      </c>
      <c r="E269" s="68">
        <v>1</v>
      </c>
      <c r="F269" s="68">
        <v>10010000658</v>
      </c>
      <c r="G269" s="78">
        <v>45455</v>
      </c>
      <c r="H269" s="68" t="s">
        <v>4227</v>
      </c>
      <c r="I269" s="68">
        <v>0</v>
      </c>
      <c r="J269" s="54">
        <v>43509</v>
      </c>
      <c r="K269" s="68">
        <v>42</v>
      </c>
      <c r="L269" s="68" t="s">
        <v>2061</v>
      </c>
    </row>
    <row r="270" spans="1:12" s="68" customFormat="1">
      <c r="A270" s="68">
        <v>422150100</v>
      </c>
      <c r="B270" s="68" t="s">
        <v>2756</v>
      </c>
      <c r="C270" s="68">
        <v>533</v>
      </c>
      <c r="D270" s="68" t="s">
        <v>2743</v>
      </c>
      <c r="E270" s="68">
        <v>1</v>
      </c>
      <c r="F270" s="68">
        <v>10010011263</v>
      </c>
      <c r="G270" s="78">
        <v>7273</v>
      </c>
      <c r="H270" s="68" t="s">
        <v>4228</v>
      </c>
      <c r="I270" s="68">
        <v>0</v>
      </c>
      <c r="J270" s="54">
        <v>43509</v>
      </c>
      <c r="K270" s="68">
        <v>42</v>
      </c>
      <c r="L270" s="68" t="s">
        <v>2061</v>
      </c>
    </row>
    <row r="271" spans="1:12" s="68" customFormat="1">
      <c r="A271" s="68">
        <v>422150100</v>
      </c>
      <c r="B271" s="68" t="s">
        <v>2756</v>
      </c>
      <c r="C271" s="68">
        <v>533</v>
      </c>
      <c r="D271" s="68" t="s">
        <v>2743</v>
      </c>
      <c r="E271" s="68">
        <v>1</v>
      </c>
      <c r="F271" s="68">
        <v>10070001080</v>
      </c>
      <c r="G271" s="78">
        <v>50000</v>
      </c>
      <c r="H271" s="68" t="s">
        <v>4229</v>
      </c>
      <c r="I271" s="68">
        <v>0</v>
      </c>
      <c r="J271" s="54">
        <v>43509</v>
      </c>
      <c r="K271" s="68">
        <v>42</v>
      </c>
      <c r="L271" s="68" t="s">
        <v>2061</v>
      </c>
    </row>
    <row r="272" spans="1:12" s="68" customFormat="1">
      <c r="A272" s="68">
        <v>422150100</v>
      </c>
      <c r="B272" s="68" t="s">
        <v>2756</v>
      </c>
      <c r="C272" s="68">
        <v>533</v>
      </c>
      <c r="D272" s="68" t="s">
        <v>2743</v>
      </c>
      <c r="E272" s="68">
        <v>1</v>
      </c>
      <c r="F272" s="68">
        <v>20020005612</v>
      </c>
      <c r="G272" s="78">
        <v>9091</v>
      </c>
      <c r="H272" s="68" t="s">
        <v>4230</v>
      </c>
      <c r="I272" s="68">
        <v>0</v>
      </c>
      <c r="J272" s="54">
        <v>43509</v>
      </c>
      <c r="K272" s="68">
        <v>42</v>
      </c>
      <c r="L272" s="68" t="s">
        <v>2061</v>
      </c>
    </row>
    <row r="273" spans="1:12" s="68" customFormat="1">
      <c r="A273" s="68">
        <v>422150100</v>
      </c>
      <c r="B273" s="68" t="s">
        <v>2756</v>
      </c>
      <c r="C273" s="68">
        <v>533</v>
      </c>
      <c r="D273" s="68" t="s">
        <v>2743</v>
      </c>
      <c r="E273" s="68">
        <v>26</v>
      </c>
      <c r="F273" s="68">
        <v>2755294</v>
      </c>
      <c r="G273" s="78">
        <v>5000</v>
      </c>
      <c r="H273" s="68" t="s">
        <v>2781</v>
      </c>
      <c r="I273" s="68">
        <v>0</v>
      </c>
      <c r="J273" s="54">
        <v>43517</v>
      </c>
      <c r="K273" s="68">
        <v>42</v>
      </c>
      <c r="L273" s="68" t="s">
        <v>2061</v>
      </c>
    </row>
    <row r="274" spans="1:12" s="68" customFormat="1">
      <c r="A274" s="68">
        <v>422150100</v>
      </c>
      <c r="B274" s="68" t="s">
        <v>2756</v>
      </c>
      <c r="C274" s="68">
        <v>533</v>
      </c>
      <c r="D274" s="68" t="s">
        <v>2743</v>
      </c>
      <c r="E274" s="68">
        <v>26</v>
      </c>
      <c r="F274" s="68">
        <v>2940810</v>
      </c>
      <c r="G274" s="78">
        <v>5000</v>
      </c>
      <c r="H274" s="68" t="s">
        <v>2781</v>
      </c>
      <c r="I274" s="68">
        <v>0</v>
      </c>
      <c r="J274" s="54">
        <v>43517</v>
      </c>
      <c r="K274" s="68">
        <v>42</v>
      </c>
      <c r="L274" s="68" t="s">
        <v>2061</v>
      </c>
    </row>
    <row r="275" spans="1:12" s="68" customFormat="1">
      <c r="A275" s="68">
        <v>422150100</v>
      </c>
      <c r="B275" s="68" t="s">
        <v>2756</v>
      </c>
      <c r="C275" s="68">
        <v>533</v>
      </c>
      <c r="D275" s="68" t="s">
        <v>2743</v>
      </c>
      <c r="E275" s="68">
        <v>26</v>
      </c>
      <c r="F275" s="68">
        <v>250219</v>
      </c>
      <c r="G275" s="78">
        <v>80000</v>
      </c>
      <c r="H275" s="68" t="s">
        <v>2782</v>
      </c>
      <c r="I275" s="68">
        <v>0</v>
      </c>
      <c r="J275" s="54">
        <v>43521</v>
      </c>
      <c r="K275" s="68">
        <v>42</v>
      </c>
      <c r="L275" s="68" t="s">
        <v>2061</v>
      </c>
    </row>
    <row r="276" spans="1:12" s="68" customFormat="1">
      <c r="A276" s="68">
        <v>422150100</v>
      </c>
      <c r="B276" s="68" t="s">
        <v>2756</v>
      </c>
      <c r="C276" s="68">
        <v>533</v>
      </c>
      <c r="D276" s="68" t="s">
        <v>2743</v>
      </c>
      <c r="E276" s="68">
        <v>26</v>
      </c>
      <c r="F276" s="68">
        <v>160219</v>
      </c>
      <c r="G276" s="78">
        <v>5000</v>
      </c>
      <c r="H276" s="68" t="s">
        <v>2783</v>
      </c>
      <c r="I276" s="68">
        <v>0</v>
      </c>
      <c r="J276" s="54">
        <v>43522</v>
      </c>
      <c r="K276" s="68">
        <v>42</v>
      </c>
      <c r="L276" s="68" t="s">
        <v>2061</v>
      </c>
    </row>
    <row r="277" spans="1:12" s="68" customFormat="1">
      <c r="A277" s="68">
        <v>422150100</v>
      </c>
      <c r="B277" s="68" t="s">
        <v>2756</v>
      </c>
      <c r="C277" s="68">
        <v>533</v>
      </c>
      <c r="D277" s="68" t="s">
        <v>2743</v>
      </c>
      <c r="E277" s="68">
        <v>1</v>
      </c>
      <c r="F277" s="68">
        <v>160219</v>
      </c>
      <c r="G277" s="78">
        <v>12000</v>
      </c>
      <c r="H277" s="68" t="s">
        <v>2783</v>
      </c>
      <c r="I277" s="68">
        <v>0</v>
      </c>
      <c r="J277" s="54">
        <v>43522</v>
      </c>
      <c r="K277" s="68">
        <v>42</v>
      </c>
      <c r="L277" s="68" t="s">
        <v>2061</v>
      </c>
    </row>
    <row r="278" spans="1:12" s="68" customFormat="1">
      <c r="A278" s="68">
        <v>422150100</v>
      </c>
      <c r="B278" s="68" t="s">
        <v>2756</v>
      </c>
      <c r="C278" s="68">
        <v>533</v>
      </c>
      <c r="D278" s="68" t="s">
        <v>2743</v>
      </c>
      <c r="E278" s="68">
        <v>26</v>
      </c>
      <c r="F278" s="68">
        <v>210219</v>
      </c>
      <c r="G278" s="78">
        <v>15000</v>
      </c>
      <c r="H278" s="68" t="s">
        <v>2784</v>
      </c>
      <c r="I278" s="68">
        <v>0</v>
      </c>
      <c r="J278" s="54">
        <v>43522</v>
      </c>
      <c r="K278" s="68">
        <v>42</v>
      </c>
      <c r="L278" s="68" t="s">
        <v>2061</v>
      </c>
    </row>
    <row r="279" spans="1:12" s="68" customFormat="1">
      <c r="A279" s="68">
        <v>422150100</v>
      </c>
      <c r="B279" s="68" t="s">
        <v>2756</v>
      </c>
      <c r="C279" s="68">
        <v>533</v>
      </c>
      <c r="D279" s="68" t="s">
        <v>2743</v>
      </c>
      <c r="E279" s="68">
        <v>26</v>
      </c>
      <c r="F279" s="68">
        <v>6032</v>
      </c>
      <c r="G279" s="78">
        <v>5000</v>
      </c>
      <c r="H279" s="68" t="s">
        <v>2785</v>
      </c>
      <c r="I279" s="68">
        <v>0</v>
      </c>
      <c r="J279" s="54">
        <v>43532</v>
      </c>
      <c r="K279" s="68">
        <v>42</v>
      </c>
      <c r="L279" s="68" t="s">
        <v>2061</v>
      </c>
    </row>
    <row r="280" spans="1:12" s="68" customFormat="1">
      <c r="A280" s="68">
        <v>422150100</v>
      </c>
      <c r="B280" s="68" t="s">
        <v>2756</v>
      </c>
      <c r="C280" s="68">
        <v>533</v>
      </c>
      <c r="D280" s="68" t="s">
        <v>2743</v>
      </c>
      <c r="E280" s="68">
        <v>26</v>
      </c>
      <c r="F280" s="68">
        <v>12008</v>
      </c>
      <c r="G280" s="78">
        <v>2200</v>
      </c>
      <c r="H280" s="68" t="s">
        <v>2778</v>
      </c>
      <c r="I280" s="68">
        <v>0</v>
      </c>
      <c r="J280" s="54">
        <v>43532</v>
      </c>
      <c r="K280" s="68">
        <v>42</v>
      </c>
      <c r="L280" s="68" t="s">
        <v>2061</v>
      </c>
    </row>
    <row r="281" spans="1:12" s="68" customFormat="1">
      <c r="A281" s="68">
        <v>422150100</v>
      </c>
      <c r="B281" s="68" t="s">
        <v>2756</v>
      </c>
      <c r="C281" s="68">
        <v>533</v>
      </c>
      <c r="D281" s="68" t="s">
        <v>2743</v>
      </c>
      <c r="E281" s="68">
        <v>26</v>
      </c>
      <c r="F281" s="68">
        <v>30010093154</v>
      </c>
      <c r="G281" s="78">
        <v>50000</v>
      </c>
      <c r="H281" s="68" t="s">
        <v>2786</v>
      </c>
      <c r="I281" s="68">
        <v>0</v>
      </c>
      <c r="J281" s="54">
        <v>43532</v>
      </c>
      <c r="K281" s="68">
        <v>42</v>
      </c>
      <c r="L281" s="68" t="s">
        <v>2061</v>
      </c>
    </row>
    <row r="282" spans="1:12" s="68" customFormat="1">
      <c r="A282" s="68">
        <v>422150100</v>
      </c>
      <c r="B282" s="68" t="s">
        <v>2756</v>
      </c>
      <c r="C282" s="68">
        <v>533</v>
      </c>
      <c r="D282" s="68" t="s">
        <v>2743</v>
      </c>
      <c r="E282" s="68">
        <v>1</v>
      </c>
      <c r="F282" s="68">
        <v>60020267844</v>
      </c>
      <c r="G282" s="78">
        <v>13000</v>
      </c>
      <c r="H282" s="68" t="s">
        <v>4231</v>
      </c>
      <c r="I282" s="68">
        <v>0</v>
      </c>
      <c r="J282" s="54">
        <v>43532</v>
      </c>
      <c r="K282" s="68">
        <v>42</v>
      </c>
      <c r="L282" s="68" t="s">
        <v>2061</v>
      </c>
    </row>
    <row r="283" spans="1:12" s="68" customFormat="1">
      <c r="A283" s="68">
        <v>422150100</v>
      </c>
      <c r="B283" s="68" t="s">
        <v>2756</v>
      </c>
      <c r="C283" s="68">
        <v>533</v>
      </c>
      <c r="D283" s="68" t="s">
        <v>2743</v>
      </c>
      <c r="E283" s="68">
        <v>1</v>
      </c>
      <c r="F283" s="68">
        <v>10010060650</v>
      </c>
      <c r="G283" s="78">
        <v>10909</v>
      </c>
      <c r="H283" s="68" t="s">
        <v>4232</v>
      </c>
      <c r="I283" s="68">
        <v>0</v>
      </c>
      <c r="J283" s="54">
        <v>43535</v>
      </c>
      <c r="K283" s="68">
        <v>42</v>
      </c>
      <c r="L283" s="68" t="s">
        <v>2061</v>
      </c>
    </row>
    <row r="284" spans="1:12" s="68" customFormat="1">
      <c r="A284" s="68">
        <v>422150100</v>
      </c>
      <c r="B284" s="68" t="s">
        <v>2756</v>
      </c>
      <c r="C284" s="68">
        <v>533</v>
      </c>
      <c r="D284" s="68" t="s">
        <v>2743</v>
      </c>
      <c r="E284" s="68">
        <v>26</v>
      </c>
      <c r="F284" s="68">
        <v>200318</v>
      </c>
      <c r="G284" s="78">
        <v>160000</v>
      </c>
      <c r="H284" s="68" t="s">
        <v>2787</v>
      </c>
      <c r="I284" s="68">
        <v>0</v>
      </c>
      <c r="J284" s="54">
        <v>43544</v>
      </c>
      <c r="K284" s="68">
        <v>42</v>
      </c>
      <c r="L284" s="68" t="s">
        <v>2061</v>
      </c>
    </row>
    <row r="285" spans="1:12" s="68" customFormat="1">
      <c r="A285" s="68">
        <v>422150100</v>
      </c>
      <c r="B285" s="68" t="s">
        <v>2756</v>
      </c>
      <c r="C285" s="68">
        <v>533</v>
      </c>
      <c r="D285" s="68" t="s">
        <v>2743</v>
      </c>
      <c r="E285" s="68">
        <v>26</v>
      </c>
      <c r="F285" s="68">
        <v>200319</v>
      </c>
      <c r="G285" s="78">
        <v>80000</v>
      </c>
      <c r="H285" s="68" t="s">
        <v>2788</v>
      </c>
      <c r="I285" s="68">
        <v>0</v>
      </c>
      <c r="J285" s="54">
        <v>43544</v>
      </c>
      <c r="K285" s="68">
        <v>42</v>
      </c>
      <c r="L285" s="68" t="s">
        <v>2061</v>
      </c>
    </row>
    <row r="286" spans="1:12" s="68" customFormat="1">
      <c r="A286" s="68">
        <v>422150100</v>
      </c>
      <c r="B286" s="68" t="s">
        <v>2756</v>
      </c>
      <c r="C286" s="68">
        <v>533</v>
      </c>
      <c r="D286" s="68" t="s">
        <v>2743</v>
      </c>
      <c r="E286" s="68">
        <v>26</v>
      </c>
      <c r="F286" s="68">
        <v>60010135055</v>
      </c>
      <c r="G286" s="78">
        <v>46000</v>
      </c>
      <c r="H286" s="68" t="s">
        <v>2789</v>
      </c>
      <c r="I286" s="68">
        <v>0</v>
      </c>
      <c r="J286" s="54">
        <v>43544</v>
      </c>
      <c r="K286" s="68">
        <v>42</v>
      </c>
      <c r="L286" s="68" t="s">
        <v>2061</v>
      </c>
    </row>
    <row r="287" spans="1:12" s="68" customFormat="1">
      <c r="A287" s="68">
        <v>422150100</v>
      </c>
      <c r="B287" s="68" t="s">
        <v>2756</v>
      </c>
      <c r="C287" s="68">
        <v>533</v>
      </c>
      <c r="D287" s="68" t="s">
        <v>2743</v>
      </c>
      <c r="E287" s="68">
        <v>26</v>
      </c>
      <c r="F287" s="68">
        <v>60070223856</v>
      </c>
      <c r="G287" s="78">
        <v>46000</v>
      </c>
      <c r="H287" s="68" t="s">
        <v>2789</v>
      </c>
      <c r="I287" s="68">
        <v>0</v>
      </c>
      <c r="J287" s="54">
        <v>43544</v>
      </c>
      <c r="K287" s="68">
        <v>42</v>
      </c>
      <c r="L287" s="68" t="s">
        <v>2061</v>
      </c>
    </row>
    <row r="288" spans="1:12" s="68" customFormat="1">
      <c r="A288" s="68">
        <v>422150100</v>
      </c>
      <c r="B288" s="68" t="s">
        <v>2756</v>
      </c>
      <c r="C288" s="68">
        <v>533</v>
      </c>
      <c r="D288" s="68" t="s">
        <v>2743</v>
      </c>
      <c r="E288" s="68">
        <v>26</v>
      </c>
      <c r="F288" s="68">
        <v>6010</v>
      </c>
      <c r="G288" s="78">
        <v>5000</v>
      </c>
      <c r="H288" s="68" t="s">
        <v>2790</v>
      </c>
      <c r="I288" s="68">
        <v>0</v>
      </c>
      <c r="J288" s="54">
        <v>43551</v>
      </c>
      <c r="K288" s="68">
        <v>42</v>
      </c>
      <c r="L288" s="68" t="s">
        <v>2061</v>
      </c>
    </row>
    <row r="289" spans="1:12" s="68" customFormat="1">
      <c r="A289" s="68">
        <v>422150100</v>
      </c>
      <c r="B289" s="68" t="s">
        <v>2756</v>
      </c>
      <c r="C289" s="68">
        <v>533</v>
      </c>
      <c r="D289" s="68" t="s">
        <v>2743</v>
      </c>
      <c r="E289" s="68">
        <v>26</v>
      </c>
      <c r="F289" s="68">
        <v>200319</v>
      </c>
      <c r="G289" s="78">
        <v>5000</v>
      </c>
      <c r="H289" s="68" t="s">
        <v>2791</v>
      </c>
      <c r="I289" s="68">
        <v>0</v>
      </c>
      <c r="J289" s="54">
        <v>43551</v>
      </c>
      <c r="K289" s="68">
        <v>42</v>
      </c>
      <c r="L289" s="68" t="s">
        <v>2061</v>
      </c>
    </row>
    <row r="290" spans="1:12" s="68" customFormat="1">
      <c r="A290" s="68">
        <v>422150100</v>
      </c>
      <c r="B290" s="68" t="s">
        <v>2756</v>
      </c>
      <c r="C290" s="68">
        <v>533</v>
      </c>
      <c r="D290" s="68" t="s">
        <v>2743</v>
      </c>
      <c r="E290" s="68">
        <v>1</v>
      </c>
      <c r="F290" s="68">
        <v>30010064768</v>
      </c>
      <c r="G290" s="78">
        <v>100000</v>
      </c>
      <c r="H290" s="68" t="s">
        <v>4233</v>
      </c>
      <c r="I290" s="68">
        <v>0</v>
      </c>
      <c r="J290" s="54">
        <v>43551</v>
      </c>
      <c r="K290" s="68">
        <v>42</v>
      </c>
      <c r="L290" s="68" t="s">
        <v>2061</v>
      </c>
    </row>
    <row r="291" spans="1:12" s="68" customFormat="1">
      <c r="A291" s="68">
        <v>422150100</v>
      </c>
      <c r="B291" s="68" t="s">
        <v>2756</v>
      </c>
      <c r="C291" s="68">
        <v>533</v>
      </c>
      <c r="D291" s="68" t="s">
        <v>2743</v>
      </c>
      <c r="E291" s="68">
        <v>26</v>
      </c>
      <c r="F291" s="68">
        <v>30010093568</v>
      </c>
      <c r="G291" s="78">
        <v>50000</v>
      </c>
      <c r="H291" s="68" t="s">
        <v>2748</v>
      </c>
      <c r="I291" s="68">
        <v>0</v>
      </c>
      <c r="J291" s="54">
        <v>43551</v>
      </c>
      <c r="K291" s="68">
        <v>42</v>
      </c>
      <c r="L291" s="68" t="s">
        <v>2061</v>
      </c>
    </row>
    <row r="292" spans="1:12" s="68" customFormat="1">
      <c r="A292" s="68">
        <v>422150100</v>
      </c>
      <c r="B292" s="68" t="s">
        <v>2756</v>
      </c>
      <c r="C292" s="68">
        <v>533</v>
      </c>
      <c r="D292" s="68" t="s">
        <v>2743</v>
      </c>
      <c r="E292" s="68">
        <v>1</v>
      </c>
      <c r="F292" s="68">
        <v>60010018795</v>
      </c>
      <c r="G292" s="78">
        <v>20000</v>
      </c>
      <c r="H292" s="68" t="s">
        <v>4234</v>
      </c>
      <c r="I292" s="68">
        <v>0</v>
      </c>
      <c r="J292" s="54">
        <v>43551</v>
      </c>
      <c r="K292" s="68">
        <v>42</v>
      </c>
      <c r="L292" s="68" t="s">
        <v>2061</v>
      </c>
    </row>
    <row r="293" spans="1:12" s="68" customFormat="1">
      <c r="A293" s="68">
        <v>422150100</v>
      </c>
      <c r="B293" s="68" t="s">
        <v>2756</v>
      </c>
      <c r="C293" s="68">
        <v>533</v>
      </c>
      <c r="D293" s="68" t="s">
        <v>2743</v>
      </c>
      <c r="E293" s="68">
        <v>1</v>
      </c>
      <c r="F293" s="68">
        <v>60020291196</v>
      </c>
      <c r="G293" s="78">
        <v>13000</v>
      </c>
      <c r="H293" s="68" t="s">
        <v>2783</v>
      </c>
      <c r="I293" s="68">
        <v>0</v>
      </c>
      <c r="J293" s="54">
        <v>43551</v>
      </c>
      <c r="K293" s="68">
        <v>42</v>
      </c>
      <c r="L293" s="68" t="s">
        <v>2061</v>
      </c>
    </row>
    <row r="294" spans="1:12" s="68" customFormat="1">
      <c r="A294" s="68">
        <v>422150100</v>
      </c>
      <c r="B294" s="68" t="s">
        <v>2756</v>
      </c>
      <c r="C294" s="68">
        <v>533</v>
      </c>
      <c r="D294" s="68" t="s">
        <v>2743</v>
      </c>
      <c r="E294" s="68">
        <v>26</v>
      </c>
      <c r="F294" s="68">
        <v>290319</v>
      </c>
      <c r="G294" s="78">
        <v>160000</v>
      </c>
      <c r="H294" s="68" t="s">
        <v>2792</v>
      </c>
      <c r="I294" s="68">
        <v>0</v>
      </c>
      <c r="J294" s="54">
        <v>43553</v>
      </c>
      <c r="K294" s="68">
        <v>42</v>
      </c>
      <c r="L294" s="68" t="s">
        <v>2061</v>
      </c>
    </row>
    <row r="295" spans="1:12" s="68" customFormat="1">
      <c r="A295" s="68">
        <v>422150100</v>
      </c>
      <c r="B295" s="68" t="s">
        <v>2756</v>
      </c>
      <c r="C295" s="68">
        <v>533</v>
      </c>
      <c r="D295" s="68" t="s">
        <v>2743</v>
      </c>
      <c r="E295" s="68">
        <v>26</v>
      </c>
      <c r="F295" s="68">
        <v>949386</v>
      </c>
      <c r="G295" s="78">
        <v>5000</v>
      </c>
      <c r="H295" s="68" t="s">
        <v>2793</v>
      </c>
      <c r="I295" s="68">
        <v>0</v>
      </c>
      <c r="J295" s="54">
        <v>43553</v>
      </c>
      <c r="K295" s="68">
        <v>42</v>
      </c>
      <c r="L295" s="68" t="s">
        <v>2061</v>
      </c>
    </row>
    <row r="296" spans="1:12" s="68" customFormat="1">
      <c r="A296" s="68">
        <v>422150100</v>
      </c>
      <c r="B296" s="68" t="s">
        <v>2756</v>
      </c>
      <c r="C296" s="68">
        <v>533</v>
      </c>
      <c r="D296" s="68" t="s">
        <v>2743</v>
      </c>
      <c r="E296" s="68">
        <v>1</v>
      </c>
      <c r="F296" s="68">
        <v>10020088636</v>
      </c>
      <c r="G296" s="78">
        <v>18182</v>
      </c>
      <c r="H296" s="68" t="s">
        <v>4235</v>
      </c>
      <c r="I296" s="68">
        <v>0</v>
      </c>
      <c r="J296" s="54">
        <v>43553</v>
      </c>
      <c r="K296" s="68">
        <v>42</v>
      </c>
      <c r="L296" s="68" t="s">
        <v>2061</v>
      </c>
    </row>
    <row r="297" spans="1:12" s="68" customFormat="1">
      <c r="A297" s="68">
        <v>422150100</v>
      </c>
      <c r="B297" s="68" t="s">
        <v>2756</v>
      </c>
      <c r="C297" s="68">
        <v>533</v>
      </c>
      <c r="D297" s="68" t="s">
        <v>2743</v>
      </c>
      <c r="E297" s="68">
        <v>1</v>
      </c>
      <c r="F297" s="68">
        <v>10380181294</v>
      </c>
      <c r="G297" s="78">
        <v>18182</v>
      </c>
      <c r="H297" s="68" t="s">
        <v>4236</v>
      </c>
      <c r="I297" s="68">
        <v>0</v>
      </c>
      <c r="J297" s="54">
        <v>43553</v>
      </c>
      <c r="K297" s="68">
        <v>42</v>
      </c>
      <c r="L297" s="68" t="s">
        <v>2061</v>
      </c>
    </row>
    <row r="298" spans="1:12" s="68" customFormat="1">
      <c r="A298" s="68">
        <v>422150100</v>
      </c>
      <c r="B298" s="68" t="s">
        <v>2756</v>
      </c>
      <c r="C298" s="68">
        <v>533</v>
      </c>
      <c r="D298" s="68" t="s">
        <v>2743</v>
      </c>
      <c r="E298" s="68">
        <v>1</v>
      </c>
      <c r="F298" s="68">
        <v>60010146608</v>
      </c>
      <c r="G298" s="78">
        <v>46000</v>
      </c>
      <c r="H298" s="68" t="s">
        <v>4237</v>
      </c>
      <c r="I298" s="68">
        <v>0</v>
      </c>
      <c r="J298" s="54">
        <v>43553</v>
      </c>
      <c r="K298" s="68">
        <v>42</v>
      </c>
      <c r="L298" s="68" t="s">
        <v>2061</v>
      </c>
    </row>
    <row r="299" spans="1:12" s="68" customFormat="1">
      <c r="A299" s="68">
        <v>422150100</v>
      </c>
      <c r="B299" s="68" t="s">
        <v>2756</v>
      </c>
      <c r="C299" s="68">
        <v>533</v>
      </c>
      <c r="D299" s="68" t="s">
        <v>2743</v>
      </c>
      <c r="E299" s="68">
        <v>1</v>
      </c>
      <c r="F299" s="68">
        <v>60070250013</v>
      </c>
      <c r="G299" s="78">
        <v>46000</v>
      </c>
      <c r="H299" s="68" t="s">
        <v>4237</v>
      </c>
      <c r="I299" s="68">
        <v>0</v>
      </c>
      <c r="J299" s="54">
        <v>43553</v>
      </c>
      <c r="K299" s="68">
        <v>42</v>
      </c>
      <c r="L299" s="68" t="s">
        <v>2061</v>
      </c>
    </row>
    <row r="300" spans="1:12" s="68" customFormat="1">
      <c r="A300" s="68">
        <v>422150100</v>
      </c>
      <c r="B300" s="68" t="s">
        <v>2756</v>
      </c>
      <c r="C300" s="68">
        <v>533</v>
      </c>
      <c r="D300" s="68" t="s">
        <v>2743</v>
      </c>
      <c r="E300" s="68">
        <v>1</v>
      </c>
      <c r="F300" s="68">
        <v>280030000756</v>
      </c>
      <c r="G300" s="78">
        <v>13636</v>
      </c>
      <c r="H300" s="68" t="s">
        <v>4238</v>
      </c>
      <c r="I300" s="68">
        <v>0</v>
      </c>
      <c r="J300" s="54">
        <v>43557</v>
      </c>
      <c r="K300" s="68">
        <v>42</v>
      </c>
      <c r="L300" s="68" t="s">
        <v>2061</v>
      </c>
    </row>
    <row r="301" spans="1:12" s="68" customFormat="1">
      <c r="A301" s="68">
        <v>422150100</v>
      </c>
      <c r="B301" s="68" t="s">
        <v>2756</v>
      </c>
      <c r="C301" s="68">
        <v>533</v>
      </c>
      <c r="D301" s="68" t="s">
        <v>2743</v>
      </c>
      <c r="E301" s="68">
        <v>26</v>
      </c>
      <c r="F301" s="68">
        <v>404</v>
      </c>
      <c r="G301" s="78">
        <v>80000</v>
      </c>
      <c r="H301" s="68" t="s">
        <v>2794</v>
      </c>
      <c r="I301" s="68">
        <v>0</v>
      </c>
      <c r="J301" s="54">
        <v>43559</v>
      </c>
      <c r="K301" s="68">
        <v>42</v>
      </c>
      <c r="L301" s="68" t="s">
        <v>2061</v>
      </c>
    </row>
    <row r="302" spans="1:12" s="68" customFormat="1">
      <c r="A302" s="68">
        <v>422150100</v>
      </c>
      <c r="B302" s="68" t="s">
        <v>2756</v>
      </c>
      <c r="C302" s="68">
        <v>533</v>
      </c>
      <c r="D302" s="68" t="s">
        <v>2743</v>
      </c>
      <c r="E302" s="68">
        <v>26</v>
      </c>
      <c r="F302" s="68">
        <v>904</v>
      </c>
      <c r="G302" s="78">
        <v>5000</v>
      </c>
      <c r="H302" s="68" t="s">
        <v>2795</v>
      </c>
      <c r="I302" s="68">
        <v>0</v>
      </c>
      <c r="J302" s="54">
        <v>43566</v>
      </c>
      <c r="K302" s="68">
        <v>42</v>
      </c>
      <c r="L302" s="68" t="s">
        <v>2061</v>
      </c>
    </row>
    <row r="303" spans="1:12" s="68" customFormat="1">
      <c r="A303" s="68">
        <v>422150100</v>
      </c>
      <c r="B303" s="68" t="s">
        <v>2756</v>
      </c>
      <c r="C303" s="68">
        <v>533</v>
      </c>
      <c r="D303" s="68" t="s">
        <v>2743</v>
      </c>
      <c r="E303" s="68">
        <v>26</v>
      </c>
      <c r="F303" s="68">
        <v>1104</v>
      </c>
      <c r="G303" s="78">
        <v>5000</v>
      </c>
      <c r="H303" s="68" t="s">
        <v>2795</v>
      </c>
      <c r="I303" s="68">
        <v>0</v>
      </c>
      <c r="J303" s="54">
        <v>43566</v>
      </c>
      <c r="K303" s="68">
        <v>42</v>
      </c>
      <c r="L303" s="68" t="s">
        <v>2061</v>
      </c>
    </row>
    <row r="304" spans="1:12" s="68" customFormat="1">
      <c r="A304" s="68">
        <v>422150100</v>
      </c>
      <c r="B304" s="68" t="s">
        <v>2756</v>
      </c>
      <c r="C304" s="68">
        <v>533</v>
      </c>
      <c r="D304" s="68" t="s">
        <v>2743</v>
      </c>
      <c r="E304" s="68">
        <v>26</v>
      </c>
      <c r="F304" s="68">
        <v>1104</v>
      </c>
      <c r="G304" s="78">
        <v>10000</v>
      </c>
      <c r="H304" s="68" t="s">
        <v>2796</v>
      </c>
      <c r="I304" s="68">
        <v>0</v>
      </c>
      <c r="J304" s="54">
        <v>43570</v>
      </c>
      <c r="K304" s="68">
        <v>42</v>
      </c>
      <c r="L304" s="68" t="s">
        <v>2061</v>
      </c>
    </row>
    <row r="305" spans="1:12" s="68" customFormat="1">
      <c r="A305" s="68">
        <v>422150100</v>
      </c>
      <c r="B305" s="68" t="s">
        <v>2756</v>
      </c>
      <c r="C305" s="68">
        <v>533</v>
      </c>
      <c r="D305" s="68" t="s">
        <v>2743</v>
      </c>
      <c r="E305" s="68">
        <v>26</v>
      </c>
      <c r="F305" s="68">
        <v>150419</v>
      </c>
      <c r="G305" s="78">
        <v>20000</v>
      </c>
      <c r="H305" s="68" t="s">
        <v>2797</v>
      </c>
      <c r="I305" s="68">
        <v>0</v>
      </c>
      <c r="J305" s="54">
        <v>43570</v>
      </c>
      <c r="K305" s="68">
        <v>42</v>
      </c>
      <c r="L305" s="68" t="s">
        <v>2061</v>
      </c>
    </row>
    <row r="306" spans="1:12" s="68" customFormat="1">
      <c r="A306" s="68">
        <v>422150100</v>
      </c>
      <c r="B306" s="68" t="s">
        <v>2756</v>
      </c>
      <c r="C306" s="68">
        <v>533</v>
      </c>
      <c r="D306" s="68" t="s">
        <v>2743</v>
      </c>
      <c r="E306" s="68">
        <v>1</v>
      </c>
      <c r="F306" s="68">
        <v>10020088762</v>
      </c>
      <c r="G306" s="78">
        <v>9091</v>
      </c>
      <c r="H306" s="68" t="s">
        <v>4239</v>
      </c>
      <c r="I306" s="68">
        <v>0</v>
      </c>
      <c r="J306" s="54">
        <v>43570</v>
      </c>
      <c r="K306" s="68">
        <v>42</v>
      </c>
      <c r="L306" s="68" t="s">
        <v>2061</v>
      </c>
    </row>
    <row r="307" spans="1:12" s="68" customFormat="1">
      <c r="A307" s="68">
        <v>422150100</v>
      </c>
      <c r="B307" s="68" t="s">
        <v>2756</v>
      </c>
      <c r="C307" s="68">
        <v>533</v>
      </c>
      <c r="D307" s="68" t="s">
        <v>2743</v>
      </c>
      <c r="E307" s="68">
        <v>1</v>
      </c>
      <c r="F307" s="68">
        <v>10020088774</v>
      </c>
      <c r="G307" s="78">
        <v>9091</v>
      </c>
      <c r="H307" s="68" t="s">
        <v>4240</v>
      </c>
      <c r="I307" s="68">
        <v>0</v>
      </c>
      <c r="J307" s="54">
        <v>43570</v>
      </c>
      <c r="K307" s="68">
        <v>42</v>
      </c>
      <c r="L307" s="68" t="s">
        <v>2061</v>
      </c>
    </row>
    <row r="308" spans="1:12" s="68" customFormat="1">
      <c r="A308" s="68">
        <v>422150100</v>
      </c>
      <c r="B308" s="68" t="s">
        <v>2756</v>
      </c>
      <c r="C308" s="68">
        <v>533</v>
      </c>
      <c r="D308" s="68" t="s">
        <v>2743</v>
      </c>
      <c r="E308" s="68">
        <v>1</v>
      </c>
      <c r="F308" s="68">
        <v>60020322752</v>
      </c>
      <c r="G308" s="78">
        <v>13000</v>
      </c>
      <c r="H308" s="68" t="s">
        <v>4241</v>
      </c>
      <c r="I308" s="68">
        <v>0</v>
      </c>
      <c r="J308" s="54">
        <v>43570</v>
      </c>
      <c r="K308" s="68">
        <v>42</v>
      </c>
      <c r="L308" s="68" t="s">
        <v>2061</v>
      </c>
    </row>
    <row r="309" spans="1:12" s="68" customFormat="1">
      <c r="A309" s="68">
        <v>422150100</v>
      </c>
      <c r="B309" s="68" t="s">
        <v>2756</v>
      </c>
      <c r="C309" s="68">
        <v>533</v>
      </c>
      <c r="D309" s="68" t="s">
        <v>2743</v>
      </c>
      <c r="E309" s="68">
        <v>1</v>
      </c>
      <c r="F309" s="68">
        <v>60070268577</v>
      </c>
      <c r="G309" s="78">
        <v>13000</v>
      </c>
      <c r="H309" s="68" t="s">
        <v>4242</v>
      </c>
      <c r="I309" s="68">
        <v>0</v>
      </c>
      <c r="J309" s="54">
        <v>43570</v>
      </c>
      <c r="K309" s="68">
        <v>42</v>
      </c>
      <c r="L309" s="68" t="s">
        <v>2061</v>
      </c>
    </row>
    <row r="310" spans="1:12" s="68" customFormat="1">
      <c r="A310" s="68">
        <v>422150100</v>
      </c>
      <c r="B310" s="68" t="s">
        <v>2756</v>
      </c>
      <c r="C310" s="68">
        <v>533</v>
      </c>
      <c r="D310" s="68" t="s">
        <v>2743</v>
      </c>
      <c r="E310" s="68">
        <v>26</v>
      </c>
      <c r="F310" s="68">
        <v>160419</v>
      </c>
      <c r="G310" s="78">
        <v>160000</v>
      </c>
      <c r="H310" s="68" t="s">
        <v>2798</v>
      </c>
      <c r="I310" s="68">
        <v>0</v>
      </c>
      <c r="J310" s="54">
        <v>43571</v>
      </c>
      <c r="K310" s="68">
        <v>42</v>
      </c>
      <c r="L310" s="68" t="s">
        <v>2061</v>
      </c>
    </row>
    <row r="311" spans="1:12" s="68" customFormat="1">
      <c r="A311" s="68">
        <v>422150100</v>
      </c>
      <c r="B311" s="68" t="s">
        <v>2756</v>
      </c>
      <c r="C311" s="68">
        <v>533</v>
      </c>
      <c r="D311" s="68" t="s">
        <v>2743</v>
      </c>
      <c r="E311" s="68">
        <v>26</v>
      </c>
      <c r="F311" s="68">
        <v>220419</v>
      </c>
      <c r="G311" s="78">
        <v>80000</v>
      </c>
      <c r="H311" s="68" t="s">
        <v>2799</v>
      </c>
      <c r="I311" s="68">
        <v>0</v>
      </c>
      <c r="J311" s="54">
        <v>43577</v>
      </c>
      <c r="K311" s="68">
        <v>42</v>
      </c>
      <c r="L311" s="68" t="s">
        <v>2061</v>
      </c>
    </row>
    <row r="312" spans="1:12" s="68" customFormat="1">
      <c r="A312" s="68">
        <v>422150100</v>
      </c>
      <c r="B312" s="68" t="s">
        <v>2756</v>
      </c>
      <c r="C312" s="68">
        <v>533</v>
      </c>
      <c r="D312" s="68" t="s">
        <v>2743</v>
      </c>
      <c r="E312" s="68">
        <v>26</v>
      </c>
      <c r="F312" s="68">
        <v>270419</v>
      </c>
      <c r="G312" s="78">
        <v>20000</v>
      </c>
      <c r="H312" s="68" t="s">
        <v>2800</v>
      </c>
      <c r="I312" s="68">
        <v>0</v>
      </c>
      <c r="J312" s="54">
        <v>43582</v>
      </c>
      <c r="K312" s="68">
        <v>42</v>
      </c>
      <c r="L312" s="68" t="s">
        <v>2061</v>
      </c>
    </row>
    <row r="313" spans="1:12" s="68" customFormat="1">
      <c r="A313" s="68">
        <v>422150100</v>
      </c>
      <c r="B313" s="68" t="s">
        <v>2756</v>
      </c>
      <c r="C313" s="68">
        <v>533</v>
      </c>
      <c r="D313" s="68" t="s">
        <v>2743</v>
      </c>
      <c r="E313" s="68">
        <v>1</v>
      </c>
      <c r="F313" s="68">
        <v>10010073340</v>
      </c>
      <c r="G313" s="78">
        <v>10909</v>
      </c>
      <c r="H313" s="68" t="s">
        <v>4243</v>
      </c>
      <c r="I313" s="68">
        <v>0</v>
      </c>
      <c r="J313" s="54">
        <v>43585</v>
      </c>
      <c r="K313" s="68">
        <v>42</v>
      </c>
      <c r="L313" s="68" t="s">
        <v>2061</v>
      </c>
    </row>
    <row r="314" spans="1:12" s="68" customFormat="1">
      <c r="A314" s="68">
        <v>422150100</v>
      </c>
      <c r="B314" s="68" t="s">
        <v>2756</v>
      </c>
      <c r="C314" s="68">
        <v>533</v>
      </c>
      <c r="D314" s="68" t="s">
        <v>2743</v>
      </c>
      <c r="E314" s="68">
        <v>1</v>
      </c>
      <c r="F314" s="68">
        <v>530040003739</v>
      </c>
      <c r="G314" s="78">
        <v>119100</v>
      </c>
      <c r="H314" s="68" t="s">
        <v>4244</v>
      </c>
      <c r="I314" s="68">
        <v>0</v>
      </c>
      <c r="J314" s="54">
        <v>43585</v>
      </c>
      <c r="K314" s="68">
        <v>42</v>
      </c>
      <c r="L314" s="68" t="s">
        <v>2061</v>
      </c>
    </row>
    <row r="315" spans="1:12" s="68" customFormat="1">
      <c r="A315" s="68">
        <v>422150100</v>
      </c>
      <c r="B315" s="68" t="s">
        <v>2756</v>
      </c>
      <c r="C315" s="68">
        <v>533</v>
      </c>
      <c r="D315" s="68" t="s">
        <v>2743</v>
      </c>
      <c r="E315" s="68">
        <v>26</v>
      </c>
      <c r="F315" s="68">
        <v>805</v>
      </c>
      <c r="G315" s="78">
        <v>15000</v>
      </c>
      <c r="H315" s="68" t="s">
        <v>2801</v>
      </c>
      <c r="I315" s="68">
        <v>0</v>
      </c>
      <c r="J315" s="54">
        <v>43593</v>
      </c>
      <c r="K315" s="68">
        <v>42</v>
      </c>
      <c r="L315" s="68" t="s">
        <v>2061</v>
      </c>
    </row>
    <row r="316" spans="1:12" s="68" customFormat="1">
      <c r="A316" s="68">
        <v>422150100</v>
      </c>
      <c r="B316" s="68" t="s">
        <v>2756</v>
      </c>
      <c r="C316" s="68">
        <v>533</v>
      </c>
      <c r="D316" s="68" t="s">
        <v>2743</v>
      </c>
      <c r="E316" s="68">
        <v>1</v>
      </c>
      <c r="F316" s="68">
        <v>530010012144</v>
      </c>
      <c r="G316" s="78">
        <v>138950</v>
      </c>
      <c r="H316" s="68" t="s">
        <v>4245</v>
      </c>
      <c r="I316" s="68">
        <v>0</v>
      </c>
      <c r="J316" s="54">
        <v>43593</v>
      </c>
      <c r="K316" s="68">
        <v>42</v>
      </c>
      <c r="L316" s="68" t="s">
        <v>2061</v>
      </c>
    </row>
    <row r="317" spans="1:12" s="68" customFormat="1">
      <c r="A317" s="68">
        <v>422150100</v>
      </c>
      <c r="B317" s="68" t="s">
        <v>2756</v>
      </c>
      <c r="C317" s="68">
        <v>533</v>
      </c>
      <c r="D317" s="68" t="s">
        <v>2743</v>
      </c>
      <c r="E317" s="68">
        <v>26</v>
      </c>
      <c r="F317" s="68">
        <v>1005</v>
      </c>
      <c r="G317" s="78">
        <v>4600</v>
      </c>
      <c r="H317" s="68" t="s">
        <v>2802</v>
      </c>
      <c r="I317" s="68">
        <v>0</v>
      </c>
      <c r="J317" s="54">
        <v>43595</v>
      </c>
      <c r="K317" s="68">
        <v>42</v>
      </c>
      <c r="L317" s="68" t="s">
        <v>2061</v>
      </c>
    </row>
    <row r="318" spans="1:12" s="68" customFormat="1">
      <c r="A318" s="68">
        <v>422150100</v>
      </c>
      <c r="B318" s="68" t="s">
        <v>2756</v>
      </c>
      <c r="C318" s="68">
        <v>533</v>
      </c>
      <c r="D318" s="68" t="s">
        <v>2743</v>
      </c>
      <c r="E318" s="68">
        <v>26</v>
      </c>
      <c r="F318" s="68">
        <v>552534</v>
      </c>
      <c r="G318" s="78">
        <v>5000</v>
      </c>
      <c r="H318" s="68" t="s">
        <v>2803</v>
      </c>
      <c r="I318" s="68">
        <v>0</v>
      </c>
      <c r="J318" s="54">
        <v>43595</v>
      </c>
      <c r="K318" s="68">
        <v>42</v>
      </c>
      <c r="L318" s="68" t="s">
        <v>2061</v>
      </c>
    </row>
    <row r="319" spans="1:12" s="68" customFormat="1">
      <c r="A319" s="68">
        <v>422150100</v>
      </c>
      <c r="B319" s="68" t="s">
        <v>2756</v>
      </c>
      <c r="C319" s="68">
        <v>533</v>
      </c>
      <c r="D319" s="68" t="s">
        <v>2743</v>
      </c>
      <c r="E319" s="68">
        <v>26</v>
      </c>
      <c r="F319" s="68">
        <v>658348</v>
      </c>
      <c r="G319" s="78">
        <v>20000</v>
      </c>
      <c r="H319" s="68" t="s">
        <v>2804</v>
      </c>
      <c r="I319" s="68">
        <v>0</v>
      </c>
      <c r="J319" s="54">
        <v>43595</v>
      </c>
      <c r="K319" s="68">
        <v>42</v>
      </c>
      <c r="L319" s="68" t="s">
        <v>2061</v>
      </c>
    </row>
    <row r="320" spans="1:12" s="68" customFormat="1">
      <c r="A320" s="68">
        <v>422150100</v>
      </c>
      <c r="B320" s="68" t="s">
        <v>2756</v>
      </c>
      <c r="C320" s="68">
        <v>533</v>
      </c>
      <c r="D320" s="68" t="s">
        <v>2743</v>
      </c>
      <c r="E320" s="68">
        <v>26</v>
      </c>
      <c r="F320" s="68">
        <v>2602868</v>
      </c>
      <c r="G320" s="78">
        <v>80000</v>
      </c>
      <c r="H320" s="68" t="s">
        <v>2805</v>
      </c>
      <c r="I320" s="68">
        <v>0</v>
      </c>
      <c r="J320" s="54">
        <v>43595</v>
      </c>
      <c r="K320" s="68">
        <v>42</v>
      </c>
      <c r="L320" s="68" t="s">
        <v>2061</v>
      </c>
    </row>
    <row r="321" spans="1:12" s="68" customFormat="1">
      <c r="A321" s="68">
        <v>422150100</v>
      </c>
      <c r="B321" s="68" t="s">
        <v>2756</v>
      </c>
      <c r="C321" s="68">
        <v>533</v>
      </c>
      <c r="D321" s="68" t="s">
        <v>2743</v>
      </c>
      <c r="E321" s="68">
        <v>26</v>
      </c>
      <c r="F321" s="68">
        <v>2742759</v>
      </c>
      <c r="G321" s="78">
        <v>15000</v>
      </c>
      <c r="H321" s="68" t="s">
        <v>2806</v>
      </c>
      <c r="I321" s="68">
        <v>0</v>
      </c>
      <c r="J321" s="54">
        <v>43595</v>
      </c>
      <c r="K321" s="68">
        <v>42</v>
      </c>
      <c r="L321" s="68" t="s">
        <v>2061</v>
      </c>
    </row>
    <row r="322" spans="1:12" s="68" customFormat="1">
      <c r="A322" s="68">
        <v>422150100</v>
      </c>
      <c r="B322" s="68" t="s">
        <v>2756</v>
      </c>
      <c r="C322" s="68">
        <v>533</v>
      </c>
      <c r="D322" s="68" t="s">
        <v>2743</v>
      </c>
      <c r="E322" s="68">
        <v>26</v>
      </c>
      <c r="F322" s="68">
        <v>8052019</v>
      </c>
      <c r="G322" s="78">
        <v>50000</v>
      </c>
      <c r="H322" s="68" t="s">
        <v>2807</v>
      </c>
      <c r="I322" s="68">
        <v>0</v>
      </c>
      <c r="J322" s="54">
        <v>43595</v>
      </c>
      <c r="K322" s="68">
        <v>42</v>
      </c>
      <c r="L322" s="68" t="s">
        <v>2061</v>
      </c>
    </row>
    <row r="323" spans="1:12" s="68" customFormat="1">
      <c r="A323" s="68">
        <v>422150100</v>
      </c>
      <c r="B323" s="68" t="s">
        <v>2756</v>
      </c>
      <c r="C323" s="68">
        <v>533</v>
      </c>
      <c r="D323" s="68" t="s">
        <v>2743</v>
      </c>
      <c r="E323" s="68">
        <v>1</v>
      </c>
      <c r="F323" s="68">
        <v>6001170021</v>
      </c>
      <c r="G323" s="78">
        <v>13000</v>
      </c>
      <c r="H323" s="68" t="s">
        <v>4246</v>
      </c>
      <c r="I323" s="68">
        <v>0</v>
      </c>
      <c r="J323" s="54">
        <v>43595</v>
      </c>
      <c r="K323" s="68">
        <v>42</v>
      </c>
      <c r="L323" s="68" t="s">
        <v>2061</v>
      </c>
    </row>
    <row r="324" spans="1:12" s="68" customFormat="1">
      <c r="A324" s="68">
        <v>422150100</v>
      </c>
      <c r="B324" s="68" t="s">
        <v>2756</v>
      </c>
      <c r="C324" s="68">
        <v>533</v>
      </c>
      <c r="D324" s="68" t="s">
        <v>2743</v>
      </c>
      <c r="E324" s="68">
        <v>1</v>
      </c>
      <c r="F324" s="68">
        <v>6002347804</v>
      </c>
      <c r="G324" s="78">
        <v>13000</v>
      </c>
      <c r="H324" s="68" t="s">
        <v>4247</v>
      </c>
      <c r="I324" s="68">
        <v>0</v>
      </c>
      <c r="J324" s="54">
        <v>43595</v>
      </c>
      <c r="K324" s="68">
        <v>42</v>
      </c>
      <c r="L324" s="68" t="s">
        <v>2061</v>
      </c>
    </row>
    <row r="325" spans="1:12" s="68" customFormat="1">
      <c r="A325" s="68">
        <v>422150100</v>
      </c>
      <c r="B325" s="68" t="s">
        <v>2756</v>
      </c>
      <c r="C325" s="68">
        <v>533</v>
      </c>
      <c r="D325" s="68" t="s">
        <v>2743</v>
      </c>
      <c r="E325" s="68">
        <v>1</v>
      </c>
      <c r="F325" s="68">
        <v>6002351147</v>
      </c>
      <c r="G325" s="78">
        <v>13000</v>
      </c>
      <c r="H325" s="68" t="s">
        <v>4248</v>
      </c>
      <c r="I325" s="68">
        <v>0</v>
      </c>
      <c r="J325" s="54">
        <v>43595</v>
      </c>
      <c r="K325" s="68">
        <v>42</v>
      </c>
      <c r="L325" s="68" t="s">
        <v>2061</v>
      </c>
    </row>
    <row r="326" spans="1:12" s="68" customFormat="1">
      <c r="A326" s="68">
        <v>422150100</v>
      </c>
      <c r="B326" s="68" t="s">
        <v>2756</v>
      </c>
      <c r="C326" s="68">
        <v>533</v>
      </c>
      <c r="D326" s="68" t="s">
        <v>2743</v>
      </c>
      <c r="E326" s="68">
        <v>1</v>
      </c>
      <c r="F326" s="68">
        <v>6005197263</v>
      </c>
      <c r="G326" s="78">
        <v>13000</v>
      </c>
      <c r="H326" s="68" t="s">
        <v>4249</v>
      </c>
      <c r="I326" s="68">
        <v>0</v>
      </c>
      <c r="J326" s="54">
        <v>43595</v>
      </c>
      <c r="K326" s="68">
        <v>42</v>
      </c>
      <c r="L326" s="68" t="s">
        <v>2061</v>
      </c>
    </row>
    <row r="327" spans="1:12" s="68" customFormat="1">
      <c r="A327" s="68">
        <v>422150100</v>
      </c>
      <c r="B327" s="68" t="s">
        <v>2756</v>
      </c>
      <c r="C327" s="68">
        <v>533</v>
      </c>
      <c r="D327" s="68" t="s">
        <v>2743</v>
      </c>
      <c r="E327" s="68">
        <v>26</v>
      </c>
      <c r="F327" s="68">
        <v>10060484590</v>
      </c>
      <c r="G327" s="78">
        <v>50000</v>
      </c>
      <c r="H327" s="68" t="s">
        <v>2808</v>
      </c>
      <c r="I327" s="68">
        <v>0</v>
      </c>
      <c r="J327" s="54">
        <v>43595</v>
      </c>
      <c r="K327" s="68">
        <v>42</v>
      </c>
      <c r="L327" s="68" t="s">
        <v>2061</v>
      </c>
    </row>
    <row r="328" spans="1:12" s="68" customFormat="1">
      <c r="A328" s="68">
        <v>422150100</v>
      </c>
      <c r="B328" s="68" t="s">
        <v>2756</v>
      </c>
      <c r="C328" s="68">
        <v>533</v>
      </c>
      <c r="D328" s="68" t="s">
        <v>2743</v>
      </c>
      <c r="E328" s="68">
        <v>1</v>
      </c>
      <c r="F328" s="68">
        <v>410030000668</v>
      </c>
      <c r="G328" s="78">
        <v>109091</v>
      </c>
      <c r="H328" s="68" t="s">
        <v>4250</v>
      </c>
      <c r="I328" s="68">
        <v>0</v>
      </c>
      <c r="J328" s="54">
        <v>43595</v>
      </c>
      <c r="K328" s="68">
        <v>42</v>
      </c>
      <c r="L328" s="68" t="s">
        <v>2061</v>
      </c>
    </row>
    <row r="329" spans="1:12" s="68" customFormat="1">
      <c r="A329" s="68">
        <v>422150100</v>
      </c>
      <c r="B329" s="68" t="s">
        <v>2756</v>
      </c>
      <c r="C329" s="68">
        <v>533</v>
      </c>
      <c r="D329" s="68" t="s">
        <v>2743</v>
      </c>
      <c r="E329" s="68">
        <v>1</v>
      </c>
      <c r="F329" s="68">
        <v>410030000686</v>
      </c>
      <c r="G329" s="78">
        <v>109091</v>
      </c>
      <c r="H329" s="68" t="s">
        <v>4251</v>
      </c>
      <c r="I329" s="68">
        <v>0</v>
      </c>
      <c r="J329" s="54">
        <v>43595</v>
      </c>
      <c r="K329" s="68">
        <v>42</v>
      </c>
      <c r="L329" s="68" t="s">
        <v>2061</v>
      </c>
    </row>
    <row r="330" spans="1:12" s="68" customFormat="1">
      <c r="A330" s="68">
        <v>422150100</v>
      </c>
      <c r="B330" s="68" t="s">
        <v>2756</v>
      </c>
      <c r="C330" s="68">
        <v>533</v>
      </c>
      <c r="D330" s="68" t="s">
        <v>2743</v>
      </c>
      <c r="E330" s="68">
        <v>1</v>
      </c>
      <c r="F330" s="68">
        <v>530040003926</v>
      </c>
      <c r="G330" s="78">
        <v>109091</v>
      </c>
      <c r="H330" s="68" t="s">
        <v>4252</v>
      </c>
      <c r="I330" s="68">
        <v>0</v>
      </c>
      <c r="J330" s="54">
        <v>43595</v>
      </c>
      <c r="K330" s="68">
        <v>42</v>
      </c>
      <c r="L330" s="68" t="s">
        <v>2061</v>
      </c>
    </row>
    <row r="331" spans="1:12" s="68" customFormat="1">
      <c r="A331" s="68">
        <v>422150100</v>
      </c>
      <c r="B331" s="68" t="s">
        <v>2756</v>
      </c>
      <c r="C331" s="68">
        <v>533</v>
      </c>
      <c r="D331" s="68" t="s">
        <v>2743</v>
      </c>
      <c r="E331" s="68">
        <v>26</v>
      </c>
      <c r="F331" s="68">
        <v>1576010</v>
      </c>
      <c r="G331" s="78">
        <v>10000</v>
      </c>
      <c r="H331" s="68" t="s">
        <v>2809</v>
      </c>
      <c r="I331" s="68">
        <v>0</v>
      </c>
      <c r="J331" s="54">
        <v>43602</v>
      </c>
      <c r="K331" s="68">
        <v>42</v>
      </c>
      <c r="L331" s="68" t="s">
        <v>2061</v>
      </c>
    </row>
    <row r="332" spans="1:12" s="68" customFormat="1">
      <c r="A332" s="68">
        <v>422150100</v>
      </c>
      <c r="B332" s="68" t="s">
        <v>2756</v>
      </c>
      <c r="C332" s="68">
        <v>533</v>
      </c>
      <c r="D332" s="68" t="s">
        <v>2743</v>
      </c>
      <c r="E332" s="68">
        <v>26</v>
      </c>
      <c r="F332" s="68">
        <v>2651976</v>
      </c>
      <c r="G332" s="78">
        <v>10000</v>
      </c>
      <c r="H332" s="68" t="s">
        <v>2810</v>
      </c>
      <c r="I332" s="68">
        <v>0</v>
      </c>
      <c r="J332" s="54">
        <v>43602</v>
      </c>
      <c r="K332" s="68">
        <v>42</v>
      </c>
      <c r="L332" s="68" t="s">
        <v>2061</v>
      </c>
    </row>
    <row r="333" spans="1:12" s="68" customFormat="1">
      <c r="A333" s="68">
        <v>422150100</v>
      </c>
      <c r="B333" s="68" t="s">
        <v>2756</v>
      </c>
      <c r="C333" s="68">
        <v>533</v>
      </c>
      <c r="D333" s="68" t="s">
        <v>2743</v>
      </c>
      <c r="E333" s="68">
        <v>26</v>
      </c>
      <c r="F333" s="68">
        <v>2005</v>
      </c>
      <c r="G333" s="78">
        <v>80000</v>
      </c>
      <c r="H333" s="68" t="s">
        <v>2811</v>
      </c>
      <c r="I333" s="68">
        <v>0</v>
      </c>
      <c r="J333" s="54">
        <v>43605</v>
      </c>
      <c r="K333" s="68">
        <v>42</v>
      </c>
      <c r="L333" s="68" t="s">
        <v>2061</v>
      </c>
    </row>
    <row r="334" spans="1:12" s="68" customFormat="1">
      <c r="A334" s="68">
        <v>422150100</v>
      </c>
      <c r="B334" s="68" t="s">
        <v>2756</v>
      </c>
      <c r="C334" s="68">
        <v>533</v>
      </c>
      <c r="D334" s="68" t="s">
        <v>2743</v>
      </c>
      <c r="E334" s="68">
        <v>1</v>
      </c>
      <c r="F334" s="68">
        <v>50010008471</v>
      </c>
      <c r="G334" s="78">
        <v>7273</v>
      </c>
      <c r="H334" s="68" t="s">
        <v>4253</v>
      </c>
      <c r="I334" s="68">
        <v>0</v>
      </c>
      <c r="J334" s="54">
        <v>43605</v>
      </c>
      <c r="K334" s="68">
        <v>42</v>
      </c>
      <c r="L334" s="68" t="s">
        <v>2061</v>
      </c>
    </row>
    <row r="335" spans="1:12" s="68" customFormat="1">
      <c r="A335" s="68">
        <v>422150100</v>
      </c>
      <c r="B335" s="68" t="s">
        <v>2756</v>
      </c>
      <c r="C335" s="68">
        <v>533</v>
      </c>
      <c r="D335" s="68" t="s">
        <v>2743</v>
      </c>
      <c r="E335" s="68">
        <v>26</v>
      </c>
      <c r="F335" s="68">
        <v>2630505</v>
      </c>
      <c r="G335" s="78">
        <v>25000</v>
      </c>
      <c r="H335" s="68" t="s">
        <v>2812</v>
      </c>
      <c r="I335" s="68">
        <v>0</v>
      </c>
      <c r="J335" s="54">
        <v>43606</v>
      </c>
      <c r="K335" s="68">
        <v>42</v>
      </c>
      <c r="L335" s="68" t="s">
        <v>2061</v>
      </c>
    </row>
    <row r="336" spans="1:12" s="68" customFormat="1">
      <c r="A336" s="68">
        <v>422150100</v>
      </c>
      <c r="B336" s="68" t="s">
        <v>2756</v>
      </c>
      <c r="C336" s="68">
        <v>533</v>
      </c>
      <c r="D336" s="68" t="s">
        <v>2743</v>
      </c>
      <c r="E336" s="68">
        <v>26</v>
      </c>
      <c r="F336" s="68">
        <v>2671439</v>
      </c>
      <c r="G336" s="78">
        <v>80000</v>
      </c>
      <c r="H336" s="68" t="s">
        <v>2813</v>
      </c>
      <c r="I336" s="68">
        <v>0</v>
      </c>
      <c r="J336" s="54">
        <v>43608</v>
      </c>
      <c r="K336" s="68">
        <v>42</v>
      </c>
      <c r="L336" s="68" t="s">
        <v>2061</v>
      </c>
    </row>
    <row r="337" spans="1:12" s="68" customFormat="1">
      <c r="A337" s="68">
        <v>422150100</v>
      </c>
      <c r="B337" s="68" t="s">
        <v>2756</v>
      </c>
      <c r="C337" s="68">
        <v>533</v>
      </c>
      <c r="D337" s="68" t="s">
        <v>2743</v>
      </c>
      <c r="E337" s="68">
        <v>26</v>
      </c>
      <c r="F337" s="68">
        <v>1374679</v>
      </c>
      <c r="G337" s="78">
        <v>25000</v>
      </c>
      <c r="H337" s="68" t="s">
        <v>2814</v>
      </c>
      <c r="I337" s="68">
        <v>0</v>
      </c>
      <c r="J337" s="54">
        <v>43613</v>
      </c>
      <c r="K337" s="68">
        <v>42</v>
      </c>
      <c r="L337" s="68" t="s">
        <v>2061</v>
      </c>
    </row>
    <row r="338" spans="1:12" s="68" customFormat="1">
      <c r="A338" s="68">
        <v>422150100</v>
      </c>
      <c r="B338" s="68" t="s">
        <v>2756</v>
      </c>
      <c r="C338" s="68">
        <v>533</v>
      </c>
      <c r="D338" s="68" t="s">
        <v>2743</v>
      </c>
      <c r="E338" s="68">
        <v>1</v>
      </c>
      <c r="F338" s="68">
        <v>20020008013</v>
      </c>
      <c r="G338" s="78">
        <v>9091</v>
      </c>
      <c r="H338" s="68" t="s">
        <v>4254</v>
      </c>
      <c r="I338" s="68">
        <v>0</v>
      </c>
      <c r="J338" s="54">
        <v>43613</v>
      </c>
      <c r="K338" s="68">
        <v>42</v>
      </c>
      <c r="L338" s="68" t="s">
        <v>2061</v>
      </c>
    </row>
    <row r="339" spans="1:12" s="68" customFormat="1">
      <c r="A339" s="68">
        <v>422150100</v>
      </c>
      <c r="B339" s="68" t="s">
        <v>2756</v>
      </c>
      <c r="C339" s="68">
        <v>533</v>
      </c>
      <c r="D339" s="68" t="s">
        <v>2743</v>
      </c>
      <c r="E339" s="68">
        <v>26</v>
      </c>
      <c r="F339" s="68">
        <v>4532</v>
      </c>
      <c r="G339" s="78">
        <v>15000</v>
      </c>
      <c r="H339" s="68" t="s">
        <v>2815</v>
      </c>
      <c r="I339" s="68">
        <v>0</v>
      </c>
      <c r="J339" s="54">
        <v>43615</v>
      </c>
      <c r="K339" s="68">
        <v>42</v>
      </c>
      <c r="L339" s="68" t="s">
        <v>2061</v>
      </c>
    </row>
    <row r="340" spans="1:12" s="68" customFormat="1">
      <c r="A340" s="68">
        <v>422150100</v>
      </c>
      <c r="B340" s="68" t="s">
        <v>2756</v>
      </c>
      <c r="C340" s="68">
        <v>533</v>
      </c>
      <c r="D340" s="68" t="s">
        <v>2743</v>
      </c>
      <c r="E340" s="68">
        <v>26</v>
      </c>
      <c r="F340" s="68">
        <v>6146</v>
      </c>
      <c r="G340" s="78">
        <v>5000</v>
      </c>
      <c r="H340" s="68" t="s">
        <v>2816</v>
      </c>
      <c r="I340" s="68">
        <v>0</v>
      </c>
      <c r="J340" s="54">
        <v>43616</v>
      </c>
      <c r="K340" s="68">
        <v>42</v>
      </c>
      <c r="L340" s="68" t="s">
        <v>2061</v>
      </c>
    </row>
    <row r="341" spans="1:12" s="68" customFormat="1">
      <c r="A341" s="68">
        <v>422150100</v>
      </c>
      <c r="B341" s="68" t="s">
        <v>2756</v>
      </c>
      <c r="C341" s="68">
        <v>533</v>
      </c>
      <c r="D341" s="68" t="s">
        <v>2743</v>
      </c>
      <c r="E341" s="68">
        <v>26</v>
      </c>
      <c r="F341" s="68">
        <v>589100</v>
      </c>
      <c r="G341" s="78">
        <v>20000</v>
      </c>
      <c r="H341" s="68" t="s">
        <v>2817</v>
      </c>
      <c r="I341" s="68">
        <v>0</v>
      </c>
      <c r="J341" s="54">
        <v>43616</v>
      </c>
      <c r="K341" s="68">
        <v>42</v>
      </c>
      <c r="L341" s="68" t="s">
        <v>2061</v>
      </c>
    </row>
    <row r="342" spans="1:12" s="68" customFormat="1">
      <c r="A342" s="68">
        <v>422150100</v>
      </c>
      <c r="B342" s="68" t="s">
        <v>2756</v>
      </c>
      <c r="C342" s="68">
        <v>533</v>
      </c>
      <c r="D342" s="68" t="s">
        <v>2743</v>
      </c>
      <c r="E342" s="68">
        <v>26</v>
      </c>
      <c r="F342" s="68">
        <v>10010652457</v>
      </c>
      <c r="G342" s="78">
        <v>120000</v>
      </c>
      <c r="H342" s="68" t="s">
        <v>2818</v>
      </c>
      <c r="I342" s="68">
        <v>0</v>
      </c>
      <c r="J342" s="54">
        <v>43616</v>
      </c>
      <c r="K342" s="68">
        <v>42</v>
      </c>
      <c r="L342" s="68" t="s">
        <v>2061</v>
      </c>
    </row>
    <row r="343" spans="1:12" s="68" customFormat="1">
      <c r="A343" s="68">
        <v>422150100</v>
      </c>
      <c r="B343" s="68" t="s">
        <v>2756</v>
      </c>
      <c r="C343" s="68">
        <v>533</v>
      </c>
      <c r="D343" s="68" t="s">
        <v>2743</v>
      </c>
      <c r="E343" s="68">
        <v>1</v>
      </c>
      <c r="F343" s="68">
        <v>60030322785</v>
      </c>
      <c r="G343" s="78">
        <v>13000</v>
      </c>
      <c r="H343" s="68" t="s">
        <v>4255</v>
      </c>
      <c r="I343" s="68">
        <v>0</v>
      </c>
      <c r="J343" s="54">
        <v>43616</v>
      </c>
      <c r="K343" s="68">
        <v>42</v>
      </c>
      <c r="L343" s="68" t="s">
        <v>2061</v>
      </c>
    </row>
    <row r="344" spans="1:12" s="68" customFormat="1">
      <c r="A344" s="68">
        <v>422150100</v>
      </c>
      <c r="B344" s="68" t="s">
        <v>2756</v>
      </c>
      <c r="C344" s="68">
        <v>533</v>
      </c>
      <c r="D344" s="68" t="s">
        <v>2743</v>
      </c>
      <c r="E344" s="68">
        <v>1</v>
      </c>
      <c r="F344" s="68">
        <v>60070123355</v>
      </c>
      <c r="G344" s="78">
        <v>13000</v>
      </c>
      <c r="H344" s="68" t="s">
        <v>4256</v>
      </c>
      <c r="I344" s="68">
        <v>0</v>
      </c>
      <c r="J344" s="54">
        <v>43616</v>
      </c>
      <c r="K344" s="68">
        <v>42</v>
      </c>
      <c r="L344" s="68" t="s">
        <v>2061</v>
      </c>
    </row>
    <row r="345" spans="1:12" s="68" customFormat="1">
      <c r="A345" s="68">
        <v>422150100</v>
      </c>
      <c r="B345" s="68" t="s">
        <v>2756</v>
      </c>
      <c r="C345" s="68">
        <v>533</v>
      </c>
      <c r="D345" s="68" t="s">
        <v>2743</v>
      </c>
      <c r="E345" s="68">
        <v>1</v>
      </c>
      <c r="F345" s="68">
        <v>280020002969</v>
      </c>
      <c r="G345" s="78">
        <v>119100</v>
      </c>
      <c r="H345" s="68" t="s">
        <v>4257</v>
      </c>
      <c r="I345" s="68">
        <v>0</v>
      </c>
      <c r="J345" s="54">
        <v>43616</v>
      </c>
      <c r="K345" s="68">
        <v>42</v>
      </c>
      <c r="L345" s="68" t="s">
        <v>2061</v>
      </c>
    </row>
    <row r="346" spans="1:12" s="68" customFormat="1">
      <c r="A346" s="68">
        <v>422150100</v>
      </c>
      <c r="B346" s="68" t="s">
        <v>2756</v>
      </c>
      <c r="C346" s="68">
        <v>533</v>
      </c>
      <c r="D346" s="68" t="s">
        <v>2743</v>
      </c>
      <c r="E346" s="68">
        <v>1</v>
      </c>
      <c r="F346" s="68">
        <v>280030001493</v>
      </c>
      <c r="G346" s="78">
        <v>13636</v>
      </c>
      <c r="H346" s="68" t="s">
        <v>4258</v>
      </c>
      <c r="I346" s="68">
        <v>0</v>
      </c>
      <c r="J346" s="54">
        <v>43616</v>
      </c>
      <c r="K346" s="68">
        <v>42</v>
      </c>
      <c r="L346" s="68" t="s">
        <v>2061</v>
      </c>
    </row>
    <row r="347" spans="1:12" s="68" customFormat="1">
      <c r="A347" s="68">
        <v>422150100</v>
      </c>
      <c r="B347" s="68" t="s">
        <v>2756</v>
      </c>
      <c r="C347" s="68">
        <v>533</v>
      </c>
      <c r="D347" s="68" t="s">
        <v>2743</v>
      </c>
      <c r="E347" s="68">
        <v>26</v>
      </c>
      <c r="F347" s="68">
        <v>1735</v>
      </c>
      <c r="G347" s="78">
        <v>10000</v>
      </c>
      <c r="H347" s="68" t="s">
        <v>2816</v>
      </c>
      <c r="I347" s="68">
        <v>0</v>
      </c>
      <c r="J347" s="54">
        <v>43617</v>
      </c>
      <c r="K347" s="68">
        <v>42</v>
      </c>
      <c r="L347" s="68" t="s">
        <v>2061</v>
      </c>
    </row>
    <row r="348" spans="1:12" s="68" customFormat="1">
      <c r="A348" s="68">
        <v>422150100</v>
      </c>
      <c r="B348" s="68" t="s">
        <v>2756</v>
      </c>
      <c r="C348" s="68">
        <v>533</v>
      </c>
      <c r="D348" s="68" t="s">
        <v>2743</v>
      </c>
      <c r="E348" s="68">
        <v>26</v>
      </c>
      <c r="F348" s="68">
        <v>6756</v>
      </c>
      <c r="G348" s="78">
        <v>30000</v>
      </c>
      <c r="H348" s="68" t="s">
        <v>2819</v>
      </c>
      <c r="I348" s="68">
        <v>0</v>
      </c>
      <c r="J348" s="54">
        <v>43624</v>
      </c>
      <c r="K348" s="68">
        <v>42</v>
      </c>
      <c r="L348" s="68" t="s">
        <v>2061</v>
      </c>
    </row>
    <row r="349" spans="1:12" s="68" customFormat="1">
      <c r="A349" s="68">
        <v>422150100</v>
      </c>
      <c r="B349" s="68" t="s">
        <v>2756</v>
      </c>
      <c r="C349" s="68">
        <v>533</v>
      </c>
      <c r="D349" s="68" t="s">
        <v>2743</v>
      </c>
      <c r="E349" s="68">
        <v>26</v>
      </c>
      <c r="F349" s="68">
        <v>3125</v>
      </c>
      <c r="G349" s="78">
        <v>80000</v>
      </c>
      <c r="H349" s="68" t="s">
        <v>2820</v>
      </c>
      <c r="I349" s="68">
        <v>0</v>
      </c>
      <c r="J349" s="54">
        <v>43629</v>
      </c>
      <c r="K349" s="68">
        <v>42</v>
      </c>
      <c r="L349" s="68" t="s">
        <v>2061</v>
      </c>
    </row>
    <row r="350" spans="1:12" s="68" customFormat="1">
      <c r="A350" s="68">
        <v>422150100</v>
      </c>
      <c r="B350" s="68" t="s">
        <v>2756</v>
      </c>
      <c r="C350" s="68">
        <v>533</v>
      </c>
      <c r="D350" s="68" t="s">
        <v>2743</v>
      </c>
      <c r="E350" s="68">
        <v>1</v>
      </c>
      <c r="F350" s="68">
        <v>10030065899</v>
      </c>
      <c r="G350" s="78">
        <v>22727</v>
      </c>
      <c r="H350" s="68" t="s">
        <v>4259</v>
      </c>
      <c r="I350" s="68">
        <v>0</v>
      </c>
      <c r="J350" s="54">
        <v>43630</v>
      </c>
      <c r="K350" s="68">
        <v>42</v>
      </c>
      <c r="L350" s="68" t="s">
        <v>2061</v>
      </c>
    </row>
    <row r="351" spans="1:12" s="68" customFormat="1">
      <c r="A351" s="68">
        <v>422150100</v>
      </c>
      <c r="B351" s="68" t="s">
        <v>2756</v>
      </c>
      <c r="C351" s="68">
        <v>533</v>
      </c>
      <c r="D351" s="68" t="s">
        <v>2743</v>
      </c>
      <c r="E351" s="68">
        <v>26</v>
      </c>
      <c r="F351" s="68">
        <v>30010090050</v>
      </c>
      <c r="G351" s="78">
        <v>15000</v>
      </c>
      <c r="H351" s="68" t="s">
        <v>2821</v>
      </c>
      <c r="I351" s="68">
        <v>0</v>
      </c>
      <c r="J351" s="54">
        <v>43635</v>
      </c>
      <c r="K351" s="68">
        <v>42</v>
      </c>
      <c r="L351" s="68" t="s">
        <v>2061</v>
      </c>
    </row>
    <row r="352" spans="1:12" s="68" customFormat="1">
      <c r="A352" s="68">
        <v>422150100</v>
      </c>
      <c r="B352" s="68" t="s">
        <v>2756</v>
      </c>
      <c r="C352" s="68">
        <v>533</v>
      </c>
      <c r="D352" s="68" t="s">
        <v>2743</v>
      </c>
      <c r="E352" s="68">
        <v>26</v>
      </c>
      <c r="F352" s="68">
        <v>8083</v>
      </c>
      <c r="G352" s="78">
        <v>80000</v>
      </c>
      <c r="H352" s="68" t="s">
        <v>2822</v>
      </c>
      <c r="I352" s="68">
        <v>0</v>
      </c>
      <c r="J352" s="54">
        <v>43636</v>
      </c>
      <c r="K352" s="68">
        <v>42</v>
      </c>
      <c r="L352" s="68" t="s">
        <v>2061</v>
      </c>
    </row>
    <row r="353" spans="1:12" s="68" customFormat="1">
      <c r="A353" s="68">
        <v>422150100</v>
      </c>
      <c r="B353" s="68" t="s">
        <v>2756</v>
      </c>
      <c r="C353" s="68">
        <v>533</v>
      </c>
      <c r="D353" s="68" t="s">
        <v>2743</v>
      </c>
      <c r="E353" s="68">
        <v>26</v>
      </c>
      <c r="F353" s="68">
        <v>104605</v>
      </c>
      <c r="G353" s="78">
        <v>2300</v>
      </c>
      <c r="H353" s="68" t="s">
        <v>2823</v>
      </c>
      <c r="I353" s="68">
        <v>0</v>
      </c>
      <c r="J353" s="54">
        <v>43636</v>
      </c>
      <c r="K353" s="68">
        <v>42</v>
      </c>
      <c r="L353" s="68" t="s">
        <v>2061</v>
      </c>
    </row>
    <row r="354" spans="1:12" s="68" customFormat="1">
      <c r="A354" s="68">
        <v>422150100</v>
      </c>
      <c r="B354" s="68" t="s">
        <v>2756</v>
      </c>
      <c r="C354" s="68">
        <v>533</v>
      </c>
      <c r="D354" s="68" t="s">
        <v>2743</v>
      </c>
      <c r="E354" s="68">
        <v>26</v>
      </c>
      <c r="F354" s="68">
        <v>615795</v>
      </c>
      <c r="G354" s="78">
        <v>10000</v>
      </c>
      <c r="H354" s="68" t="s">
        <v>2822</v>
      </c>
      <c r="I354" s="68">
        <v>0</v>
      </c>
      <c r="J354" s="54">
        <v>43636</v>
      </c>
      <c r="K354" s="68">
        <v>42</v>
      </c>
      <c r="L354" s="68" t="s">
        <v>2061</v>
      </c>
    </row>
    <row r="355" spans="1:12" s="68" customFormat="1">
      <c r="A355" s="68">
        <v>422150100</v>
      </c>
      <c r="B355" s="68" t="s">
        <v>2756</v>
      </c>
      <c r="C355" s="68">
        <v>533</v>
      </c>
      <c r="D355" s="68" t="s">
        <v>2743</v>
      </c>
      <c r="E355" s="68">
        <v>26</v>
      </c>
      <c r="F355" s="68">
        <v>2061068</v>
      </c>
      <c r="G355" s="78">
        <v>45000</v>
      </c>
      <c r="H355" s="68" t="s">
        <v>2824</v>
      </c>
      <c r="I355" s="68">
        <v>0</v>
      </c>
      <c r="J355" s="54">
        <v>43636</v>
      </c>
      <c r="K355" s="68">
        <v>42</v>
      </c>
      <c r="L355" s="68" t="s">
        <v>2061</v>
      </c>
    </row>
    <row r="356" spans="1:12" s="68" customFormat="1">
      <c r="A356" s="68">
        <v>422150100</v>
      </c>
      <c r="B356" s="68" t="s">
        <v>2756</v>
      </c>
      <c r="C356" s="68">
        <v>533</v>
      </c>
      <c r="D356" s="68" t="s">
        <v>2743</v>
      </c>
      <c r="E356" s="68">
        <v>26</v>
      </c>
      <c r="F356" s="68">
        <v>3565099</v>
      </c>
      <c r="G356" s="78">
        <v>10000</v>
      </c>
      <c r="H356" s="68" t="s">
        <v>2825</v>
      </c>
      <c r="I356" s="68">
        <v>0</v>
      </c>
      <c r="J356" s="54">
        <v>43636</v>
      </c>
      <c r="K356" s="68">
        <v>42</v>
      </c>
      <c r="L356" s="68" t="s">
        <v>2061</v>
      </c>
    </row>
    <row r="357" spans="1:12" s="68" customFormat="1">
      <c r="A357" s="68">
        <v>422150100</v>
      </c>
      <c r="B357" s="68" t="s">
        <v>2756</v>
      </c>
      <c r="C357" s="68">
        <v>533</v>
      </c>
      <c r="D357" s="68" t="s">
        <v>2743</v>
      </c>
      <c r="E357" s="68">
        <v>26</v>
      </c>
      <c r="F357" s="68">
        <v>10151315074</v>
      </c>
      <c r="G357" s="78">
        <v>50000</v>
      </c>
      <c r="H357" s="68" t="s">
        <v>2826</v>
      </c>
      <c r="I357" s="68">
        <v>0</v>
      </c>
      <c r="J357" s="54">
        <v>43636</v>
      </c>
      <c r="K357" s="68">
        <v>42</v>
      </c>
      <c r="L357" s="68" t="s">
        <v>2061</v>
      </c>
    </row>
    <row r="358" spans="1:12" s="68" customFormat="1">
      <c r="A358" s="68">
        <v>422150100</v>
      </c>
      <c r="B358" s="68" t="s">
        <v>2756</v>
      </c>
      <c r="C358" s="68">
        <v>533</v>
      </c>
      <c r="D358" s="68" t="s">
        <v>2743</v>
      </c>
      <c r="E358" s="68">
        <v>1</v>
      </c>
      <c r="F358" s="68">
        <v>60010192465</v>
      </c>
      <c r="G358" s="78">
        <v>13000</v>
      </c>
      <c r="H358" s="68" t="s">
        <v>2822</v>
      </c>
      <c r="I358" s="68">
        <v>0</v>
      </c>
      <c r="J358" s="54">
        <v>43636</v>
      </c>
      <c r="K358" s="68">
        <v>42</v>
      </c>
      <c r="L358" s="68" t="s">
        <v>2061</v>
      </c>
    </row>
    <row r="359" spans="1:12" s="68" customFormat="1">
      <c r="A359" s="68">
        <v>422150100</v>
      </c>
      <c r="B359" s="68" t="s">
        <v>2756</v>
      </c>
      <c r="C359" s="68">
        <v>533</v>
      </c>
      <c r="D359" s="68" t="s">
        <v>2743</v>
      </c>
      <c r="E359" s="68">
        <v>1</v>
      </c>
      <c r="F359" s="68">
        <v>60020411999</v>
      </c>
      <c r="G359" s="78">
        <v>13000</v>
      </c>
      <c r="H359" s="68" t="s">
        <v>2825</v>
      </c>
      <c r="I359" s="68">
        <v>0</v>
      </c>
      <c r="J359" s="54">
        <v>43636</v>
      </c>
      <c r="K359" s="68">
        <v>42</v>
      </c>
      <c r="L359" s="68" t="s">
        <v>2061</v>
      </c>
    </row>
    <row r="360" spans="1:12" s="68" customFormat="1">
      <c r="A360" s="68">
        <v>422150100</v>
      </c>
      <c r="B360" s="68" t="s">
        <v>2756</v>
      </c>
      <c r="C360" s="68">
        <v>533</v>
      </c>
      <c r="D360" s="68" t="s">
        <v>2743</v>
      </c>
      <c r="E360" s="68">
        <v>26</v>
      </c>
      <c r="F360" s="68">
        <v>240619</v>
      </c>
      <c r="G360" s="78">
        <v>30000</v>
      </c>
      <c r="H360" s="68" t="s">
        <v>2827</v>
      </c>
      <c r="I360" s="68">
        <v>0</v>
      </c>
      <c r="J360" s="54">
        <v>43640</v>
      </c>
      <c r="K360" s="68">
        <v>42</v>
      </c>
      <c r="L360" s="68" t="s">
        <v>2061</v>
      </c>
    </row>
    <row r="361" spans="1:12" s="68" customFormat="1">
      <c r="A361" s="68">
        <v>422150100</v>
      </c>
      <c r="B361" s="68" t="s">
        <v>2756</v>
      </c>
      <c r="C361" s="68">
        <v>533</v>
      </c>
      <c r="D361" s="68" t="s">
        <v>2743</v>
      </c>
      <c r="E361" s="68">
        <v>1</v>
      </c>
      <c r="F361" s="68">
        <v>20010000392</v>
      </c>
      <c r="G361" s="78">
        <v>5455</v>
      </c>
      <c r="H361" s="68" t="s">
        <v>4260</v>
      </c>
      <c r="I361" s="68">
        <v>0</v>
      </c>
      <c r="J361" s="54">
        <v>43640</v>
      </c>
      <c r="K361" s="68">
        <v>42</v>
      </c>
      <c r="L361" s="68" t="s">
        <v>2061</v>
      </c>
    </row>
    <row r="362" spans="1:12" s="68" customFormat="1">
      <c r="A362" s="68">
        <v>422150100</v>
      </c>
      <c r="B362" s="68" t="s">
        <v>2756</v>
      </c>
      <c r="C362" s="68">
        <v>533</v>
      </c>
      <c r="D362" s="68" t="s">
        <v>2743</v>
      </c>
      <c r="E362" s="68">
        <v>1</v>
      </c>
      <c r="F362" s="68">
        <v>30010005728</v>
      </c>
      <c r="G362" s="78">
        <v>50000</v>
      </c>
      <c r="H362" s="68" t="s">
        <v>4261</v>
      </c>
      <c r="I362" s="68">
        <v>0</v>
      </c>
      <c r="J362" s="54">
        <v>43640</v>
      </c>
      <c r="K362" s="68">
        <v>42</v>
      </c>
      <c r="L362" s="68" t="s">
        <v>2061</v>
      </c>
    </row>
    <row r="363" spans="1:12" s="68" customFormat="1">
      <c r="A363" s="68">
        <v>422150100</v>
      </c>
      <c r="B363" s="68" t="s">
        <v>2756</v>
      </c>
      <c r="C363" s="68">
        <v>533</v>
      </c>
      <c r="D363" s="68" t="s">
        <v>2743</v>
      </c>
      <c r="E363" s="68">
        <v>1</v>
      </c>
      <c r="F363" s="68">
        <v>10010086661</v>
      </c>
      <c r="G363" s="78">
        <v>10909</v>
      </c>
      <c r="H363" s="68" t="s">
        <v>4262</v>
      </c>
      <c r="I363" s="68">
        <v>0</v>
      </c>
      <c r="J363" s="54">
        <v>43641</v>
      </c>
      <c r="K363" s="68">
        <v>42</v>
      </c>
      <c r="L363" s="68" t="s">
        <v>2061</v>
      </c>
    </row>
    <row r="364" spans="1:12" s="68" customFormat="1">
      <c r="A364" s="68">
        <v>422150100</v>
      </c>
      <c r="B364" s="68" t="s">
        <v>2756</v>
      </c>
      <c r="C364" s="68">
        <v>533</v>
      </c>
      <c r="D364" s="68" t="s">
        <v>2743</v>
      </c>
      <c r="E364" s="68">
        <v>1</v>
      </c>
      <c r="F364" s="68">
        <v>10010090146</v>
      </c>
      <c r="G364" s="78">
        <v>9091</v>
      </c>
      <c r="H364" s="68" t="s">
        <v>4263</v>
      </c>
      <c r="I364" s="68">
        <v>0</v>
      </c>
      <c r="J364" s="54">
        <v>43641</v>
      </c>
      <c r="K364" s="68">
        <v>42</v>
      </c>
      <c r="L364" s="68" t="s">
        <v>2061</v>
      </c>
    </row>
    <row r="365" spans="1:12" s="68" customFormat="1">
      <c r="A365" s="68">
        <v>422150100</v>
      </c>
      <c r="B365" s="68" t="s">
        <v>2756</v>
      </c>
      <c r="C365" s="68">
        <v>533</v>
      </c>
      <c r="D365" s="68" t="s">
        <v>2743</v>
      </c>
      <c r="E365" s="68">
        <v>1</v>
      </c>
      <c r="F365" s="68">
        <v>10010183542</v>
      </c>
      <c r="G365" s="78">
        <v>200000</v>
      </c>
      <c r="H365" s="68" t="s">
        <v>4264</v>
      </c>
      <c r="I365" s="68">
        <v>0</v>
      </c>
      <c r="J365" s="54">
        <v>43642</v>
      </c>
      <c r="K365" s="68">
        <v>42</v>
      </c>
      <c r="L365" s="68" t="s">
        <v>2061</v>
      </c>
    </row>
    <row r="366" spans="1:12" s="68" customFormat="1">
      <c r="A366" s="68">
        <v>422150100</v>
      </c>
      <c r="B366" s="68" t="s">
        <v>2756</v>
      </c>
      <c r="C366" s="68">
        <v>533</v>
      </c>
      <c r="D366" s="68" t="s">
        <v>2743</v>
      </c>
      <c r="E366" s="68">
        <v>26</v>
      </c>
      <c r="F366" s="68">
        <v>9277</v>
      </c>
      <c r="G366" s="78">
        <v>20000</v>
      </c>
      <c r="H366" s="68" t="s">
        <v>2828</v>
      </c>
      <c r="I366" s="68">
        <v>0</v>
      </c>
      <c r="J366" s="54">
        <v>43644</v>
      </c>
      <c r="K366" s="68">
        <v>42</v>
      </c>
      <c r="L366" s="68" t="s">
        <v>2061</v>
      </c>
    </row>
    <row r="367" spans="1:12" s="68" customFormat="1">
      <c r="A367" s="68">
        <v>422150100</v>
      </c>
      <c r="B367" s="68" t="s">
        <v>2756</v>
      </c>
      <c r="C367" s="68">
        <v>533</v>
      </c>
      <c r="D367" s="68" t="s">
        <v>2743</v>
      </c>
      <c r="E367" s="68">
        <v>26</v>
      </c>
      <c r="F367" s="68">
        <v>280619</v>
      </c>
      <c r="G367" s="78">
        <v>80000</v>
      </c>
      <c r="H367" s="68" t="s">
        <v>2829</v>
      </c>
      <c r="I367" s="68">
        <v>0</v>
      </c>
      <c r="J367" s="54">
        <v>43644</v>
      </c>
      <c r="K367" s="68">
        <v>42</v>
      </c>
      <c r="L367" s="68" t="s">
        <v>2061</v>
      </c>
    </row>
    <row r="368" spans="1:12" s="68" customFormat="1">
      <c r="A368" s="68">
        <v>422150100</v>
      </c>
      <c r="B368" s="68" t="s">
        <v>2756</v>
      </c>
      <c r="C368" s="68">
        <v>533</v>
      </c>
      <c r="D368" s="68" t="s">
        <v>2743</v>
      </c>
      <c r="E368" s="68">
        <v>1</v>
      </c>
      <c r="F368" s="68">
        <v>7002389329</v>
      </c>
      <c r="G368" s="78">
        <v>14000</v>
      </c>
      <c r="H368" s="68" t="s">
        <v>2828</v>
      </c>
      <c r="I368" s="68">
        <v>0</v>
      </c>
      <c r="J368" s="54">
        <v>43644</v>
      </c>
      <c r="K368" s="68">
        <v>42</v>
      </c>
      <c r="L368" s="68" t="s">
        <v>2061</v>
      </c>
    </row>
    <row r="369" spans="1:12" s="68" customFormat="1">
      <c r="A369" s="68">
        <v>422150100</v>
      </c>
      <c r="B369" s="68" t="s">
        <v>2756</v>
      </c>
      <c r="C369" s="68">
        <v>533</v>
      </c>
      <c r="D369" s="68" t="s">
        <v>2743</v>
      </c>
      <c r="E369" s="68">
        <v>26</v>
      </c>
      <c r="F369" s="68">
        <v>10030742897</v>
      </c>
      <c r="G369" s="78">
        <v>50000</v>
      </c>
      <c r="H369" s="68" t="s">
        <v>2830</v>
      </c>
      <c r="I369" s="68">
        <v>0</v>
      </c>
      <c r="J369" s="54">
        <v>43644</v>
      </c>
      <c r="K369" s="68">
        <v>42</v>
      </c>
      <c r="L369" s="68" t="s">
        <v>2061</v>
      </c>
    </row>
    <row r="370" spans="1:12" s="68" customFormat="1">
      <c r="A370" s="68">
        <v>422150100</v>
      </c>
      <c r="B370" s="68" t="s">
        <v>2756</v>
      </c>
      <c r="C370" s="68">
        <v>533</v>
      </c>
      <c r="D370" s="68" t="s">
        <v>2743</v>
      </c>
      <c r="E370" s="68">
        <v>26</v>
      </c>
      <c r="F370" s="68">
        <v>10070002585</v>
      </c>
      <c r="G370" s="78">
        <v>50000</v>
      </c>
      <c r="H370" s="68" t="s">
        <v>2830</v>
      </c>
      <c r="I370" s="68">
        <v>0</v>
      </c>
      <c r="J370" s="54">
        <v>43644</v>
      </c>
      <c r="K370" s="68">
        <v>42</v>
      </c>
      <c r="L370" s="68" t="s">
        <v>2061</v>
      </c>
    </row>
    <row r="371" spans="1:12" s="68" customFormat="1">
      <c r="A371" s="68">
        <v>422150100</v>
      </c>
      <c r="B371" s="68" t="s">
        <v>2756</v>
      </c>
      <c r="C371" s="68">
        <v>533</v>
      </c>
      <c r="D371" s="68" t="s">
        <v>2743</v>
      </c>
      <c r="E371" s="68">
        <v>26</v>
      </c>
      <c r="F371" s="68">
        <v>11310426932</v>
      </c>
      <c r="G371" s="78">
        <v>2300</v>
      </c>
      <c r="H371" s="68" t="s">
        <v>2830</v>
      </c>
      <c r="I371" s="68">
        <v>0</v>
      </c>
      <c r="J371" s="54">
        <v>43644</v>
      </c>
      <c r="K371" s="68">
        <v>42</v>
      </c>
      <c r="L371" s="68" t="s">
        <v>2061</v>
      </c>
    </row>
    <row r="372" spans="1:12" s="68" customFormat="1">
      <c r="A372" s="68">
        <v>422150100</v>
      </c>
      <c r="B372" s="68" t="s">
        <v>2756</v>
      </c>
      <c r="C372" s="68">
        <v>533</v>
      </c>
      <c r="D372" s="68" t="s">
        <v>2743</v>
      </c>
      <c r="E372" s="68">
        <v>1</v>
      </c>
      <c r="F372" s="68">
        <v>60020413336</v>
      </c>
      <c r="G372" s="78">
        <v>13000</v>
      </c>
      <c r="H372" s="68" t="s">
        <v>2828</v>
      </c>
      <c r="I372" s="68">
        <v>0</v>
      </c>
      <c r="J372" s="54">
        <v>43644</v>
      </c>
      <c r="K372" s="68">
        <v>42</v>
      </c>
      <c r="L372" s="68" t="s">
        <v>2061</v>
      </c>
    </row>
    <row r="373" spans="1:12" s="68" customFormat="1">
      <c r="A373" s="68">
        <v>422150100</v>
      </c>
      <c r="B373" s="68" t="s">
        <v>2756</v>
      </c>
      <c r="C373" s="68">
        <v>533</v>
      </c>
      <c r="D373" s="68" t="s">
        <v>2743</v>
      </c>
      <c r="E373" s="68">
        <v>26</v>
      </c>
      <c r="F373" s="68">
        <v>2724</v>
      </c>
      <c r="G373" s="78">
        <v>30000</v>
      </c>
      <c r="H373" s="68" t="s">
        <v>2831</v>
      </c>
      <c r="I373" s="68">
        <v>0</v>
      </c>
      <c r="J373" s="54">
        <v>43645</v>
      </c>
      <c r="K373" s="68">
        <v>42</v>
      </c>
      <c r="L373" s="68" t="s">
        <v>2061</v>
      </c>
    </row>
    <row r="374" spans="1:12" s="68" customFormat="1">
      <c r="A374" s="68">
        <v>422150100</v>
      </c>
      <c r="B374" s="68" t="s">
        <v>2756</v>
      </c>
      <c r="C374" s="68">
        <v>533</v>
      </c>
      <c r="D374" s="68" t="s">
        <v>2743</v>
      </c>
      <c r="E374" s="68">
        <v>1</v>
      </c>
      <c r="F374" s="68">
        <v>10020090224</v>
      </c>
      <c r="G374" s="78">
        <v>9091</v>
      </c>
      <c r="H374" s="68" t="s">
        <v>4265</v>
      </c>
      <c r="I374" s="68">
        <v>0</v>
      </c>
      <c r="J374" s="54">
        <v>43645</v>
      </c>
      <c r="K374" s="68">
        <v>42</v>
      </c>
      <c r="L374" s="68" t="s">
        <v>2061</v>
      </c>
    </row>
    <row r="375" spans="1:12" s="68" customFormat="1">
      <c r="A375" s="68">
        <v>422150100</v>
      </c>
      <c r="B375" s="68" t="s">
        <v>2756</v>
      </c>
      <c r="C375" s="68">
        <v>533</v>
      </c>
      <c r="D375" s="68" t="s">
        <v>2743</v>
      </c>
      <c r="E375" s="68">
        <v>1</v>
      </c>
      <c r="F375" s="68">
        <v>10020003406</v>
      </c>
      <c r="G375" s="78">
        <v>4545</v>
      </c>
      <c r="H375" s="68" t="s">
        <v>4266</v>
      </c>
      <c r="I375" s="68">
        <v>0</v>
      </c>
      <c r="J375" s="54">
        <v>43648</v>
      </c>
      <c r="K375" s="68">
        <v>42</v>
      </c>
      <c r="L375" s="68" t="s">
        <v>2061</v>
      </c>
    </row>
    <row r="376" spans="1:12" s="68" customFormat="1">
      <c r="A376" s="68">
        <v>422150100</v>
      </c>
      <c r="B376" s="68" t="s">
        <v>2756</v>
      </c>
      <c r="C376" s="68">
        <v>533</v>
      </c>
      <c r="D376" s="68" t="s">
        <v>2743</v>
      </c>
      <c r="E376" s="68">
        <v>26</v>
      </c>
      <c r="F376" s="68">
        <v>8139</v>
      </c>
      <c r="G376" s="78">
        <v>45000</v>
      </c>
      <c r="H376" s="68" t="s">
        <v>2832</v>
      </c>
      <c r="I376" s="68">
        <v>0</v>
      </c>
      <c r="J376" s="54">
        <v>43651</v>
      </c>
      <c r="K376" s="68">
        <v>42</v>
      </c>
      <c r="L376" s="68" t="s">
        <v>2061</v>
      </c>
    </row>
    <row r="377" spans="1:12" s="68" customFormat="1">
      <c r="A377" s="68">
        <v>422150100</v>
      </c>
      <c r="B377" s="68" t="s">
        <v>2756</v>
      </c>
      <c r="C377" s="68">
        <v>533</v>
      </c>
      <c r="D377" s="68" t="s">
        <v>2743</v>
      </c>
      <c r="E377" s="68">
        <v>1</v>
      </c>
      <c r="F377" s="68">
        <v>60010203117</v>
      </c>
      <c r="G377" s="78">
        <v>24000</v>
      </c>
      <c r="H377" s="68" t="s">
        <v>4267</v>
      </c>
      <c r="I377" s="68">
        <v>0</v>
      </c>
      <c r="J377" s="54">
        <v>43651</v>
      </c>
      <c r="K377" s="68">
        <v>42</v>
      </c>
      <c r="L377" s="68" t="s">
        <v>2061</v>
      </c>
    </row>
    <row r="378" spans="1:12" s="68" customFormat="1">
      <c r="A378" s="68">
        <v>422150100</v>
      </c>
      <c r="B378" s="68" t="s">
        <v>2756</v>
      </c>
      <c r="C378" s="68">
        <v>533</v>
      </c>
      <c r="D378" s="68" t="s">
        <v>2743</v>
      </c>
      <c r="E378" s="68">
        <v>1</v>
      </c>
      <c r="F378" s="68">
        <v>60060454954</v>
      </c>
      <c r="G378" s="78">
        <v>24000</v>
      </c>
      <c r="H378" s="68" t="s">
        <v>4268</v>
      </c>
      <c r="I378" s="68">
        <v>0</v>
      </c>
      <c r="J378" s="54">
        <v>43651</v>
      </c>
      <c r="K378" s="68">
        <v>42</v>
      </c>
      <c r="L378" s="68" t="s">
        <v>2061</v>
      </c>
    </row>
    <row r="379" spans="1:12" s="68" customFormat="1">
      <c r="A379" s="68">
        <v>422150100</v>
      </c>
      <c r="B379" s="68" t="s">
        <v>2756</v>
      </c>
      <c r="C379" s="68">
        <v>533</v>
      </c>
      <c r="D379" s="68" t="s">
        <v>2743</v>
      </c>
      <c r="E379" s="68">
        <v>26</v>
      </c>
      <c r="F379" s="68">
        <v>60719</v>
      </c>
      <c r="G379" s="78">
        <v>10000</v>
      </c>
      <c r="H379" s="68" t="s">
        <v>2833</v>
      </c>
      <c r="I379" s="68">
        <v>0</v>
      </c>
      <c r="J379" s="54">
        <v>43652</v>
      </c>
      <c r="K379" s="68">
        <v>42</v>
      </c>
      <c r="L379" s="68" t="s">
        <v>2061</v>
      </c>
    </row>
    <row r="380" spans="1:12" s="68" customFormat="1">
      <c r="A380" s="68">
        <v>422150100</v>
      </c>
      <c r="B380" s="68" t="s">
        <v>2756</v>
      </c>
      <c r="C380" s="68">
        <v>533</v>
      </c>
      <c r="D380" s="68" t="s">
        <v>2743</v>
      </c>
      <c r="E380" s="68">
        <v>26</v>
      </c>
      <c r="F380" s="68">
        <v>150719</v>
      </c>
      <c r="G380" s="78">
        <v>80000</v>
      </c>
      <c r="H380" s="68" t="s">
        <v>2834</v>
      </c>
      <c r="I380" s="68">
        <v>0</v>
      </c>
      <c r="J380" s="54">
        <v>43661</v>
      </c>
      <c r="K380" s="68">
        <v>42</v>
      </c>
      <c r="L380" s="68" t="s">
        <v>2061</v>
      </c>
    </row>
    <row r="381" spans="1:12" s="68" customFormat="1">
      <c r="A381" s="68">
        <v>422150100</v>
      </c>
      <c r="B381" s="68" t="s">
        <v>2756</v>
      </c>
      <c r="C381" s="68">
        <v>533</v>
      </c>
      <c r="D381" s="68" t="s">
        <v>2743</v>
      </c>
      <c r="E381" s="68">
        <v>1</v>
      </c>
      <c r="F381" s="68">
        <v>10020090478</v>
      </c>
      <c r="G381" s="78">
        <v>9091</v>
      </c>
      <c r="H381" s="68" t="s">
        <v>4269</v>
      </c>
      <c r="I381" s="68">
        <v>0</v>
      </c>
      <c r="J381" s="54">
        <v>43663</v>
      </c>
      <c r="K381" s="68">
        <v>42</v>
      </c>
      <c r="L381" s="68" t="s">
        <v>2061</v>
      </c>
    </row>
    <row r="382" spans="1:12" s="68" customFormat="1">
      <c r="A382" s="68">
        <v>422150100</v>
      </c>
      <c r="B382" s="68" t="s">
        <v>2756</v>
      </c>
      <c r="C382" s="68">
        <v>533</v>
      </c>
      <c r="D382" s="68" t="s">
        <v>2743</v>
      </c>
      <c r="E382" s="68">
        <v>1</v>
      </c>
      <c r="F382" s="68">
        <v>10020090536</v>
      </c>
      <c r="G382" s="78">
        <v>9091</v>
      </c>
      <c r="H382" s="68" t="s">
        <v>4270</v>
      </c>
      <c r="I382" s="68">
        <v>0</v>
      </c>
      <c r="J382" s="54">
        <v>43663</v>
      </c>
      <c r="K382" s="68">
        <v>42</v>
      </c>
      <c r="L382" s="68" t="s">
        <v>2061</v>
      </c>
    </row>
    <row r="383" spans="1:12" s="68" customFormat="1">
      <c r="A383" s="68">
        <v>422150100</v>
      </c>
      <c r="B383" s="68" t="s">
        <v>2756</v>
      </c>
      <c r="C383" s="68">
        <v>533</v>
      </c>
      <c r="D383" s="68" t="s">
        <v>2743</v>
      </c>
      <c r="E383" s="68">
        <v>1</v>
      </c>
      <c r="F383" s="68">
        <v>10030067096</v>
      </c>
      <c r="G383" s="78">
        <v>22727</v>
      </c>
      <c r="H383" s="68" t="s">
        <v>4271</v>
      </c>
      <c r="I383" s="68">
        <v>0</v>
      </c>
      <c r="J383" s="54">
        <v>43663</v>
      </c>
      <c r="K383" s="68">
        <v>42</v>
      </c>
      <c r="L383" s="68" t="s">
        <v>2061</v>
      </c>
    </row>
    <row r="384" spans="1:12" s="68" customFormat="1">
      <c r="A384" s="68">
        <v>422150100</v>
      </c>
      <c r="B384" s="68" t="s">
        <v>2756</v>
      </c>
      <c r="C384" s="68">
        <v>533</v>
      </c>
      <c r="D384" s="68" t="s">
        <v>2743</v>
      </c>
      <c r="E384" s="68">
        <v>1</v>
      </c>
      <c r="F384" s="68">
        <v>10030067140</v>
      </c>
      <c r="G384" s="78">
        <v>22727</v>
      </c>
      <c r="H384" s="68" t="s">
        <v>4272</v>
      </c>
      <c r="I384" s="68">
        <v>0</v>
      </c>
      <c r="J384" s="54">
        <v>43663</v>
      </c>
      <c r="K384" s="68">
        <v>42</v>
      </c>
      <c r="L384" s="68" t="s">
        <v>2061</v>
      </c>
    </row>
    <row r="385" spans="1:12" s="68" customFormat="1">
      <c r="A385" s="68">
        <v>422150100</v>
      </c>
      <c r="B385" s="68" t="s">
        <v>2756</v>
      </c>
      <c r="C385" s="68">
        <v>533</v>
      </c>
      <c r="D385" s="68" t="s">
        <v>2743</v>
      </c>
      <c r="E385" s="68">
        <v>1</v>
      </c>
      <c r="F385" s="68">
        <v>50010009296</v>
      </c>
      <c r="G385" s="78">
        <v>7273</v>
      </c>
      <c r="H385" s="68" t="s">
        <v>4273</v>
      </c>
      <c r="I385" s="68">
        <v>0</v>
      </c>
      <c r="J385" s="54">
        <v>43663</v>
      </c>
      <c r="K385" s="68">
        <v>42</v>
      </c>
      <c r="L385" s="68" t="s">
        <v>2061</v>
      </c>
    </row>
    <row r="386" spans="1:12" s="68" customFormat="1">
      <c r="A386" s="68">
        <v>422150100</v>
      </c>
      <c r="B386" s="68" t="s">
        <v>2756</v>
      </c>
      <c r="C386" s="68">
        <v>533</v>
      </c>
      <c r="D386" s="68" t="s">
        <v>2743</v>
      </c>
      <c r="E386" s="68">
        <v>1</v>
      </c>
      <c r="F386" s="68">
        <v>10010000736</v>
      </c>
      <c r="G386" s="78">
        <v>36364</v>
      </c>
      <c r="H386" s="68" t="s">
        <v>4274</v>
      </c>
      <c r="I386" s="68">
        <v>0</v>
      </c>
      <c r="J386" s="54">
        <v>43664</v>
      </c>
      <c r="K386" s="68">
        <v>42</v>
      </c>
      <c r="L386" s="68" t="s">
        <v>2061</v>
      </c>
    </row>
    <row r="387" spans="1:12" s="68" customFormat="1">
      <c r="A387" s="68">
        <v>422150100</v>
      </c>
      <c r="B387" s="68" t="s">
        <v>2756</v>
      </c>
      <c r="C387" s="68">
        <v>533</v>
      </c>
      <c r="D387" s="68" t="s">
        <v>2743</v>
      </c>
      <c r="E387" s="68">
        <v>26</v>
      </c>
      <c r="F387" s="68">
        <v>2760</v>
      </c>
      <c r="G387" s="78">
        <v>80000</v>
      </c>
      <c r="H387" s="68" t="s">
        <v>2835</v>
      </c>
      <c r="I387" s="68">
        <v>0</v>
      </c>
      <c r="J387" s="54">
        <v>43669</v>
      </c>
      <c r="K387" s="68">
        <v>42</v>
      </c>
      <c r="L387" s="68" t="s">
        <v>2061</v>
      </c>
    </row>
    <row r="388" spans="1:12" s="68" customFormat="1">
      <c r="A388" s="68">
        <v>422150100</v>
      </c>
      <c r="B388" s="68" t="s">
        <v>2756</v>
      </c>
      <c r="C388" s="68">
        <v>533</v>
      </c>
      <c r="D388" s="68" t="s">
        <v>2743</v>
      </c>
      <c r="E388" s="68">
        <v>26</v>
      </c>
      <c r="F388" s="68">
        <v>7075</v>
      </c>
      <c r="G388" s="78">
        <v>10000</v>
      </c>
      <c r="H388" s="68" t="s">
        <v>2836</v>
      </c>
      <c r="I388" s="68">
        <v>0</v>
      </c>
      <c r="J388" s="54">
        <v>43671</v>
      </c>
      <c r="K388" s="68">
        <v>42</v>
      </c>
      <c r="L388" s="68" t="s">
        <v>2061</v>
      </c>
    </row>
    <row r="389" spans="1:12" s="68" customFormat="1">
      <c r="A389" s="68">
        <v>422150100</v>
      </c>
      <c r="B389" s="68" t="s">
        <v>2756</v>
      </c>
      <c r="C389" s="68">
        <v>533</v>
      </c>
      <c r="D389" s="68" t="s">
        <v>2743</v>
      </c>
      <c r="E389" s="68">
        <v>26</v>
      </c>
      <c r="F389" s="68">
        <v>10020906197</v>
      </c>
      <c r="G389" s="78">
        <v>50000</v>
      </c>
      <c r="H389" s="68" t="s">
        <v>2837</v>
      </c>
      <c r="I389" s="68">
        <v>0</v>
      </c>
      <c r="J389" s="54">
        <v>43671</v>
      </c>
      <c r="K389" s="68">
        <v>42</v>
      </c>
      <c r="L389" s="68" t="s">
        <v>2061</v>
      </c>
    </row>
    <row r="390" spans="1:12" s="68" customFormat="1">
      <c r="A390" s="68">
        <v>422150100</v>
      </c>
      <c r="B390" s="68" t="s">
        <v>2756</v>
      </c>
      <c r="C390" s="68">
        <v>533</v>
      </c>
      <c r="D390" s="68" t="s">
        <v>2743</v>
      </c>
      <c r="E390" s="68">
        <v>26</v>
      </c>
      <c r="F390" s="68">
        <v>10400597765</v>
      </c>
      <c r="G390" s="78">
        <v>2300</v>
      </c>
      <c r="H390" s="68" t="s">
        <v>2838</v>
      </c>
      <c r="I390" s="68">
        <v>0</v>
      </c>
      <c r="J390" s="54">
        <v>43671</v>
      </c>
      <c r="K390" s="68">
        <v>42</v>
      </c>
      <c r="L390" s="68" t="s">
        <v>2061</v>
      </c>
    </row>
    <row r="391" spans="1:12" s="68" customFormat="1">
      <c r="A391" s="68">
        <v>422150100</v>
      </c>
      <c r="B391" s="68" t="s">
        <v>2756</v>
      </c>
      <c r="C391" s="68">
        <v>533</v>
      </c>
      <c r="D391" s="68" t="s">
        <v>2743</v>
      </c>
      <c r="E391" s="68">
        <v>1</v>
      </c>
      <c r="F391" s="68">
        <v>60060478436</v>
      </c>
      <c r="G391" s="78">
        <v>14000</v>
      </c>
      <c r="H391" s="68" t="s">
        <v>2836</v>
      </c>
      <c r="I391" s="68">
        <v>0</v>
      </c>
      <c r="J391" s="54">
        <v>43671</v>
      </c>
      <c r="K391" s="68">
        <v>42</v>
      </c>
      <c r="L391" s="68" t="s">
        <v>2061</v>
      </c>
    </row>
    <row r="392" spans="1:12" s="68" customFormat="1">
      <c r="A392" s="68">
        <v>422150100</v>
      </c>
      <c r="B392" s="68" t="s">
        <v>2756</v>
      </c>
      <c r="C392" s="68">
        <v>533</v>
      </c>
      <c r="D392" s="68" t="s">
        <v>2743</v>
      </c>
      <c r="E392" s="68">
        <v>1</v>
      </c>
      <c r="F392" s="68">
        <v>280030002450</v>
      </c>
      <c r="G392" s="78">
        <v>13636</v>
      </c>
      <c r="H392" s="68" t="s">
        <v>4238</v>
      </c>
      <c r="I392" s="68">
        <v>0</v>
      </c>
      <c r="J392" s="54">
        <v>43684</v>
      </c>
      <c r="K392" s="68">
        <v>42</v>
      </c>
      <c r="L392" s="68" t="s">
        <v>2061</v>
      </c>
    </row>
    <row r="393" spans="1:12" s="68" customFormat="1">
      <c r="A393" s="68">
        <v>422150100</v>
      </c>
      <c r="B393" s="68" t="s">
        <v>2756</v>
      </c>
      <c r="C393" s="68">
        <v>533</v>
      </c>
      <c r="D393" s="68" t="s">
        <v>2743</v>
      </c>
      <c r="E393" s="68">
        <v>26</v>
      </c>
      <c r="F393" s="68">
        <v>2710</v>
      </c>
      <c r="G393" s="78">
        <v>80000</v>
      </c>
      <c r="H393" s="68" t="s">
        <v>2839</v>
      </c>
      <c r="I393" s="68">
        <v>0</v>
      </c>
      <c r="J393" s="54">
        <v>43685</v>
      </c>
      <c r="K393" s="68">
        <v>42</v>
      </c>
      <c r="L393" s="68" t="s">
        <v>2061</v>
      </c>
    </row>
    <row r="394" spans="1:12" s="68" customFormat="1">
      <c r="A394" s="68">
        <v>422150100</v>
      </c>
      <c r="B394" s="68" t="s">
        <v>2756</v>
      </c>
      <c r="C394" s="68">
        <v>533</v>
      </c>
      <c r="D394" s="68" t="s">
        <v>2743</v>
      </c>
      <c r="E394" s="68">
        <v>26</v>
      </c>
      <c r="F394" s="68">
        <v>1164981</v>
      </c>
      <c r="G394" s="78">
        <v>10000</v>
      </c>
      <c r="H394" s="68" t="s">
        <v>2840</v>
      </c>
      <c r="I394" s="68">
        <v>0</v>
      </c>
      <c r="J394" s="54">
        <v>43690</v>
      </c>
      <c r="K394" s="68">
        <v>42</v>
      </c>
      <c r="L394" s="68" t="s">
        <v>2061</v>
      </c>
    </row>
    <row r="395" spans="1:12" s="68" customFormat="1">
      <c r="A395" s="68">
        <v>422150100</v>
      </c>
      <c r="B395" s="68" t="s">
        <v>2756</v>
      </c>
      <c r="C395" s="68">
        <v>533</v>
      </c>
      <c r="D395" s="68" t="s">
        <v>2743</v>
      </c>
      <c r="E395" s="68">
        <v>1</v>
      </c>
      <c r="F395" s="68">
        <v>10010002780</v>
      </c>
      <c r="G395" s="78">
        <v>21818</v>
      </c>
      <c r="H395" s="68" t="s">
        <v>4275</v>
      </c>
      <c r="I395" s="68">
        <v>0</v>
      </c>
      <c r="J395" s="54">
        <v>43690</v>
      </c>
      <c r="K395" s="68">
        <v>42</v>
      </c>
      <c r="L395" s="68" t="s">
        <v>2061</v>
      </c>
    </row>
    <row r="396" spans="1:12" s="68" customFormat="1">
      <c r="A396" s="68">
        <v>422150100</v>
      </c>
      <c r="B396" s="68" t="s">
        <v>2756</v>
      </c>
      <c r="C396" s="68">
        <v>533</v>
      </c>
      <c r="D396" s="68" t="s">
        <v>2743</v>
      </c>
      <c r="E396" s="68">
        <v>26</v>
      </c>
      <c r="F396" s="68">
        <v>1093</v>
      </c>
      <c r="G396" s="78">
        <v>10000</v>
      </c>
      <c r="H396" s="68" t="s">
        <v>2841</v>
      </c>
      <c r="I396" s="68">
        <v>0</v>
      </c>
      <c r="J396" s="54">
        <v>43697</v>
      </c>
      <c r="K396" s="68">
        <v>42</v>
      </c>
      <c r="L396" s="68" t="s">
        <v>2061</v>
      </c>
    </row>
    <row r="397" spans="1:12" s="68" customFormat="1">
      <c r="A397" s="68">
        <v>422150100</v>
      </c>
      <c r="B397" s="68" t="s">
        <v>2756</v>
      </c>
      <c r="C397" s="68">
        <v>533</v>
      </c>
      <c r="D397" s="68" t="s">
        <v>2743</v>
      </c>
      <c r="E397" s="68">
        <v>26</v>
      </c>
      <c r="F397" s="68">
        <v>210819</v>
      </c>
      <c r="G397" s="78">
        <v>160000</v>
      </c>
      <c r="H397" s="68" t="s">
        <v>2842</v>
      </c>
      <c r="I397" s="68">
        <v>0</v>
      </c>
      <c r="J397" s="54">
        <v>43698</v>
      </c>
      <c r="K397" s="68">
        <v>42</v>
      </c>
      <c r="L397" s="68" t="s">
        <v>2061</v>
      </c>
    </row>
    <row r="398" spans="1:12" s="68" customFormat="1">
      <c r="A398" s="68">
        <v>422150100</v>
      </c>
      <c r="B398" s="68" t="s">
        <v>2756</v>
      </c>
      <c r="C398" s="68">
        <v>533</v>
      </c>
      <c r="D398" s="68" t="s">
        <v>2743</v>
      </c>
      <c r="E398" s="68">
        <v>26</v>
      </c>
      <c r="F398" s="68">
        <v>3109</v>
      </c>
      <c r="G398" s="78">
        <v>160000</v>
      </c>
      <c r="H398" s="68" t="s">
        <v>2843</v>
      </c>
      <c r="I398" s="68">
        <v>0</v>
      </c>
      <c r="J398" s="54">
        <v>43699</v>
      </c>
      <c r="K398" s="68">
        <v>42</v>
      </c>
      <c r="L398" s="68" t="s">
        <v>2061</v>
      </c>
    </row>
    <row r="399" spans="1:12" s="68" customFormat="1">
      <c r="A399" s="68">
        <v>422150100</v>
      </c>
      <c r="B399" s="68" t="s">
        <v>2756</v>
      </c>
      <c r="C399" s="68">
        <v>533</v>
      </c>
      <c r="D399" s="68" t="s">
        <v>2743</v>
      </c>
      <c r="E399" s="68">
        <v>26</v>
      </c>
      <c r="F399" s="68">
        <v>603</v>
      </c>
      <c r="G399" s="78">
        <v>20000</v>
      </c>
      <c r="H399" s="68" t="s">
        <v>2844</v>
      </c>
      <c r="I399" s="68">
        <v>0</v>
      </c>
      <c r="J399" s="54">
        <v>43700</v>
      </c>
      <c r="K399" s="68">
        <v>42</v>
      </c>
      <c r="L399" s="68" t="s">
        <v>2061</v>
      </c>
    </row>
    <row r="400" spans="1:12" s="68" customFormat="1">
      <c r="A400" s="68">
        <v>422150100</v>
      </c>
      <c r="B400" s="68" t="s">
        <v>2756</v>
      </c>
      <c r="C400" s="68">
        <v>533</v>
      </c>
      <c r="D400" s="68" t="s">
        <v>2743</v>
      </c>
      <c r="E400" s="68">
        <v>26</v>
      </c>
      <c r="F400" s="68">
        <v>2878</v>
      </c>
      <c r="G400" s="78">
        <v>10000</v>
      </c>
      <c r="H400" s="68" t="s">
        <v>2845</v>
      </c>
      <c r="I400" s="68">
        <v>0</v>
      </c>
      <c r="J400" s="54">
        <v>43704</v>
      </c>
      <c r="K400" s="68">
        <v>42</v>
      </c>
      <c r="L400" s="68" t="s">
        <v>2061</v>
      </c>
    </row>
    <row r="401" spans="1:12" s="68" customFormat="1">
      <c r="A401" s="68">
        <v>422150100</v>
      </c>
      <c r="B401" s="68" t="s">
        <v>2756</v>
      </c>
      <c r="C401" s="68">
        <v>533</v>
      </c>
      <c r="D401" s="68" t="s">
        <v>2743</v>
      </c>
      <c r="E401" s="68">
        <v>26</v>
      </c>
      <c r="F401" s="68">
        <v>270819</v>
      </c>
      <c r="G401" s="78">
        <v>80000</v>
      </c>
      <c r="H401" s="68" t="s">
        <v>2846</v>
      </c>
      <c r="I401" s="68">
        <v>0</v>
      </c>
      <c r="J401" s="54">
        <v>43704</v>
      </c>
      <c r="K401" s="68">
        <v>42</v>
      </c>
      <c r="L401" s="68" t="s">
        <v>2061</v>
      </c>
    </row>
    <row r="402" spans="1:12" s="68" customFormat="1">
      <c r="A402" s="68">
        <v>422150100</v>
      </c>
      <c r="B402" s="68" t="s">
        <v>2756</v>
      </c>
      <c r="C402" s="68">
        <v>533</v>
      </c>
      <c r="D402" s="68" t="s">
        <v>2743</v>
      </c>
      <c r="E402" s="68">
        <v>26</v>
      </c>
      <c r="F402" s="68">
        <v>10070137683</v>
      </c>
      <c r="G402" s="78">
        <v>40000</v>
      </c>
      <c r="H402" s="68" t="s">
        <v>2847</v>
      </c>
      <c r="I402" s="68">
        <v>0</v>
      </c>
      <c r="J402" s="54">
        <v>43704</v>
      </c>
      <c r="K402" s="68">
        <v>42</v>
      </c>
      <c r="L402" s="68" t="s">
        <v>2061</v>
      </c>
    </row>
    <row r="403" spans="1:12" s="68" customFormat="1">
      <c r="A403" s="68">
        <v>422150100</v>
      </c>
      <c r="B403" s="68" t="s">
        <v>2756</v>
      </c>
      <c r="C403" s="68">
        <v>533</v>
      </c>
      <c r="D403" s="68" t="s">
        <v>2743</v>
      </c>
      <c r="E403" s="68">
        <v>26</v>
      </c>
      <c r="F403" s="68">
        <v>2737</v>
      </c>
      <c r="G403" s="78">
        <v>80000</v>
      </c>
      <c r="H403" s="68" t="s">
        <v>2848</v>
      </c>
      <c r="I403" s="68">
        <v>0</v>
      </c>
      <c r="J403" s="54">
        <v>43706</v>
      </c>
      <c r="K403" s="68">
        <v>42</v>
      </c>
      <c r="L403" s="68" t="s">
        <v>2061</v>
      </c>
    </row>
    <row r="404" spans="1:12" s="68" customFormat="1">
      <c r="A404" s="68">
        <v>422150100</v>
      </c>
      <c r="B404" s="68" t="s">
        <v>2756</v>
      </c>
      <c r="C404" s="68">
        <v>533</v>
      </c>
      <c r="D404" s="68" t="s">
        <v>2743</v>
      </c>
      <c r="E404" s="68">
        <v>26</v>
      </c>
      <c r="F404" s="68">
        <v>55</v>
      </c>
      <c r="G404" s="78">
        <v>10000</v>
      </c>
      <c r="H404" s="68" t="s">
        <v>2849</v>
      </c>
      <c r="I404" s="68">
        <v>0</v>
      </c>
      <c r="J404" s="54">
        <v>43707</v>
      </c>
      <c r="K404" s="68">
        <v>42</v>
      </c>
      <c r="L404" s="68" t="s">
        <v>2061</v>
      </c>
    </row>
    <row r="405" spans="1:12" s="68" customFormat="1">
      <c r="A405" s="68">
        <v>422150100</v>
      </c>
      <c r="B405" s="68" t="s">
        <v>2756</v>
      </c>
      <c r="C405" s="68">
        <v>533</v>
      </c>
      <c r="D405" s="68" t="s">
        <v>2743</v>
      </c>
      <c r="E405" s="68">
        <v>26</v>
      </c>
      <c r="F405" s="68">
        <v>68688</v>
      </c>
      <c r="G405" s="78">
        <v>2400</v>
      </c>
      <c r="H405" s="68" t="s">
        <v>2850</v>
      </c>
      <c r="I405" s="68">
        <v>0</v>
      </c>
      <c r="J405" s="54">
        <v>43707</v>
      </c>
      <c r="K405" s="68">
        <v>42</v>
      </c>
      <c r="L405" s="68" t="s">
        <v>2061</v>
      </c>
    </row>
    <row r="406" spans="1:12" s="68" customFormat="1">
      <c r="A406" s="68">
        <v>422150100</v>
      </c>
      <c r="B406" s="68" t="s">
        <v>2756</v>
      </c>
      <c r="C406" s="68">
        <v>533</v>
      </c>
      <c r="D406" s="68" t="s">
        <v>2743</v>
      </c>
      <c r="E406" s="68">
        <v>26</v>
      </c>
      <c r="F406" s="68">
        <v>10020920420</v>
      </c>
      <c r="G406" s="78">
        <v>50000</v>
      </c>
      <c r="H406" s="68" t="s">
        <v>2851</v>
      </c>
      <c r="I406" s="68">
        <v>0</v>
      </c>
      <c r="J406" s="54">
        <v>43707</v>
      </c>
      <c r="K406" s="68">
        <v>42</v>
      </c>
      <c r="L406" s="68" t="s">
        <v>2061</v>
      </c>
    </row>
    <row r="407" spans="1:12" s="68" customFormat="1">
      <c r="A407" s="68">
        <v>422150100</v>
      </c>
      <c r="B407" s="68" t="s">
        <v>2756</v>
      </c>
      <c r="C407" s="68">
        <v>533</v>
      </c>
      <c r="D407" s="68" t="s">
        <v>2743</v>
      </c>
      <c r="E407" s="68">
        <v>1</v>
      </c>
      <c r="F407" s="68">
        <v>60020503185</v>
      </c>
      <c r="G407" s="78">
        <v>14000</v>
      </c>
      <c r="H407" s="68" t="s">
        <v>2845</v>
      </c>
      <c r="I407" s="68">
        <v>0</v>
      </c>
      <c r="J407" s="54">
        <v>43707</v>
      </c>
      <c r="K407" s="68">
        <v>42</v>
      </c>
      <c r="L407" s="68" t="s">
        <v>2061</v>
      </c>
    </row>
    <row r="408" spans="1:12" s="68" customFormat="1">
      <c r="A408" s="68">
        <v>422150100</v>
      </c>
      <c r="B408" s="68" t="s">
        <v>2756</v>
      </c>
      <c r="C408" s="68">
        <v>533</v>
      </c>
      <c r="D408" s="68" t="s">
        <v>2743</v>
      </c>
      <c r="E408" s="68">
        <v>26</v>
      </c>
      <c r="F408" s="68">
        <v>5158</v>
      </c>
      <c r="G408" s="78">
        <v>20000</v>
      </c>
      <c r="H408" s="68" t="s">
        <v>2852</v>
      </c>
      <c r="I408" s="68">
        <v>0</v>
      </c>
      <c r="J408" s="54">
        <v>43713</v>
      </c>
      <c r="K408" s="68">
        <v>42</v>
      </c>
      <c r="L408" s="68" t="s">
        <v>2061</v>
      </c>
    </row>
    <row r="409" spans="1:12" s="68" customFormat="1">
      <c r="A409" s="68">
        <v>422150100</v>
      </c>
      <c r="B409" s="68" t="s">
        <v>2756</v>
      </c>
      <c r="C409" s="68">
        <v>533</v>
      </c>
      <c r="D409" s="68" t="s">
        <v>2743</v>
      </c>
      <c r="E409" s="68">
        <v>1</v>
      </c>
      <c r="F409" s="68">
        <v>60030428245</v>
      </c>
      <c r="G409" s="78">
        <v>14000</v>
      </c>
      <c r="H409" s="68" t="s">
        <v>4276</v>
      </c>
      <c r="I409" s="68">
        <v>0</v>
      </c>
      <c r="J409" s="54">
        <v>43713</v>
      </c>
      <c r="K409" s="68">
        <v>42</v>
      </c>
      <c r="L409" s="68" t="s">
        <v>2061</v>
      </c>
    </row>
    <row r="410" spans="1:12" s="68" customFormat="1">
      <c r="A410" s="68">
        <v>422150100</v>
      </c>
      <c r="B410" s="68" t="s">
        <v>2756</v>
      </c>
      <c r="C410" s="68">
        <v>533</v>
      </c>
      <c r="D410" s="68" t="s">
        <v>2743</v>
      </c>
      <c r="E410" s="68">
        <v>1</v>
      </c>
      <c r="F410" s="68">
        <v>60060521779</v>
      </c>
      <c r="G410" s="78">
        <v>14000</v>
      </c>
      <c r="H410" s="68" t="s">
        <v>4277</v>
      </c>
      <c r="I410" s="68">
        <v>0</v>
      </c>
      <c r="J410" s="54">
        <v>43713</v>
      </c>
      <c r="K410" s="68">
        <v>42</v>
      </c>
      <c r="L410" s="68" t="s">
        <v>2061</v>
      </c>
    </row>
    <row r="411" spans="1:12" s="68" customFormat="1">
      <c r="A411" s="68">
        <v>422150100</v>
      </c>
      <c r="B411" s="68" t="s">
        <v>2756</v>
      </c>
      <c r="C411" s="68">
        <v>533</v>
      </c>
      <c r="D411" s="68" t="s">
        <v>2743</v>
      </c>
      <c r="E411" s="68">
        <v>26</v>
      </c>
      <c r="F411" s="68">
        <v>6043</v>
      </c>
      <c r="G411" s="78">
        <v>10000</v>
      </c>
      <c r="H411" s="68" t="s">
        <v>2853</v>
      </c>
      <c r="I411" s="68">
        <v>0</v>
      </c>
      <c r="J411" s="54">
        <v>43717</v>
      </c>
      <c r="K411" s="68">
        <v>42</v>
      </c>
      <c r="L411" s="68" t="s">
        <v>2061</v>
      </c>
    </row>
    <row r="412" spans="1:12" s="68" customFormat="1">
      <c r="A412" s="68">
        <v>422150100</v>
      </c>
      <c r="B412" s="68" t="s">
        <v>2756</v>
      </c>
      <c r="C412" s="68">
        <v>533</v>
      </c>
      <c r="D412" s="68" t="s">
        <v>2743</v>
      </c>
      <c r="E412" s="68">
        <v>26</v>
      </c>
      <c r="F412" s="68">
        <v>40919</v>
      </c>
      <c r="G412" s="78">
        <v>80000</v>
      </c>
      <c r="H412" s="68" t="s">
        <v>2854</v>
      </c>
      <c r="I412" s="68">
        <v>0</v>
      </c>
      <c r="J412" s="54">
        <v>43717</v>
      </c>
      <c r="K412" s="68">
        <v>42</v>
      </c>
      <c r="L412" s="68" t="s">
        <v>2061</v>
      </c>
    </row>
    <row r="413" spans="1:12" s="68" customFormat="1">
      <c r="A413" s="68">
        <v>422150100</v>
      </c>
      <c r="B413" s="68" t="s">
        <v>2756</v>
      </c>
      <c r="C413" s="68">
        <v>533</v>
      </c>
      <c r="D413" s="68" t="s">
        <v>2743</v>
      </c>
      <c r="E413" s="68">
        <v>1</v>
      </c>
      <c r="F413" s="68">
        <v>10010008891</v>
      </c>
      <c r="G413" s="78">
        <v>21818</v>
      </c>
      <c r="H413" s="68" t="s">
        <v>4278</v>
      </c>
      <c r="I413" s="68">
        <v>0</v>
      </c>
      <c r="J413" s="54">
        <v>43717</v>
      </c>
      <c r="K413" s="68">
        <v>42</v>
      </c>
      <c r="L413" s="68" t="s">
        <v>2061</v>
      </c>
    </row>
    <row r="414" spans="1:12" s="68" customFormat="1">
      <c r="A414" s="68">
        <v>422150100</v>
      </c>
      <c r="B414" s="68" t="s">
        <v>2756</v>
      </c>
      <c r="C414" s="68">
        <v>533</v>
      </c>
      <c r="D414" s="68" t="s">
        <v>2743</v>
      </c>
      <c r="E414" s="68">
        <v>1</v>
      </c>
      <c r="F414" s="68">
        <v>60030429601</v>
      </c>
      <c r="G414" s="78">
        <v>14000</v>
      </c>
      <c r="H414" s="68" t="s">
        <v>4279</v>
      </c>
      <c r="I414" s="68">
        <v>0</v>
      </c>
      <c r="J414" s="54">
        <v>43717</v>
      </c>
      <c r="K414" s="68">
        <v>42</v>
      </c>
      <c r="L414" s="68" t="s">
        <v>2061</v>
      </c>
    </row>
    <row r="415" spans="1:12" s="68" customFormat="1">
      <c r="A415" s="68">
        <v>422150100</v>
      </c>
      <c r="B415" s="68" t="s">
        <v>2756</v>
      </c>
      <c r="C415" s="68">
        <v>533</v>
      </c>
      <c r="D415" s="68" t="s">
        <v>2743</v>
      </c>
      <c r="E415" s="68">
        <v>26</v>
      </c>
      <c r="F415" s="68">
        <v>150010026776</v>
      </c>
      <c r="G415" s="78">
        <v>50000</v>
      </c>
      <c r="H415" s="68" t="s">
        <v>2855</v>
      </c>
      <c r="I415" s="68">
        <v>0</v>
      </c>
      <c r="J415" s="54">
        <v>43717</v>
      </c>
      <c r="K415" s="68">
        <v>42</v>
      </c>
      <c r="L415" s="68" t="s">
        <v>2061</v>
      </c>
    </row>
    <row r="416" spans="1:12" s="68" customFormat="1">
      <c r="A416" s="68">
        <v>422150100</v>
      </c>
      <c r="B416" s="68" t="s">
        <v>2756</v>
      </c>
      <c r="C416" s="68">
        <v>533</v>
      </c>
      <c r="D416" s="68" t="s">
        <v>2743</v>
      </c>
      <c r="E416" s="68">
        <v>26</v>
      </c>
      <c r="F416" s="68">
        <v>6052</v>
      </c>
      <c r="G416" s="78">
        <v>10000</v>
      </c>
      <c r="H416" s="68" t="s">
        <v>2856</v>
      </c>
      <c r="I416" s="68">
        <v>0</v>
      </c>
      <c r="J416" s="54">
        <v>43719</v>
      </c>
      <c r="K416" s="68">
        <v>42</v>
      </c>
      <c r="L416" s="68" t="s">
        <v>2061</v>
      </c>
    </row>
    <row r="417" spans="1:12" s="68" customFormat="1">
      <c r="A417" s="68">
        <v>422150100</v>
      </c>
      <c r="B417" s="68" t="s">
        <v>2756</v>
      </c>
      <c r="C417" s="68">
        <v>533</v>
      </c>
      <c r="D417" s="68" t="s">
        <v>2743</v>
      </c>
      <c r="E417" s="68">
        <v>26</v>
      </c>
      <c r="F417" s="68">
        <v>68354</v>
      </c>
      <c r="G417" s="78">
        <v>3600</v>
      </c>
      <c r="H417" s="68" t="s">
        <v>2857</v>
      </c>
      <c r="I417" s="68">
        <v>0</v>
      </c>
      <c r="J417" s="54">
        <v>43719</v>
      </c>
      <c r="K417" s="68">
        <v>42</v>
      </c>
      <c r="L417" s="68" t="s">
        <v>2061</v>
      </c>
    </row>
    <row r="418" spans="1:12" s="68" customFormat="1">
      <c r="A418" s="68">
        <v>422150100</v>
      </c>
      <c r="B418" s="68" t="s">
        <v>2756</v>
      </c>
      <c r="C418" s="68">
        <v>533</v>
      </c>
      <c r="D418" s="68" t="s">
        <v>2743</v>
      </c>
      <c r="E418" s="68">
        <v>26</v>
      </c>
      <c r="F418" s="68">
        <v>881109</v>
      </c>
      <c r="G418" s="78">
        <v>10000</v>
      </c>
      <c r="H418" s="68" t="s">
        <v>2858</v>
      </c>
      <c r="I418" s="68">
        <v>0</v>
      </c>
      <c r="J418" s="54">
        <v>43719</v>
      </c>
      <c r="K418" s="68">
        <v>42</v>
      </c>
      <c r="L418" s="68" t="s">
        <v>2061</v>
      </c>
    </row>
    <row r="419" spans="1:12" s="68" customFormat="1">
      <c r="A419" s="68">
        <v>422150100</v>
      </c>
      <c r="B419" s="68" t="s">
        <v>2756</v>
      </c>
      <c r="C419" s="68">
        <v>533</v>
      </c>
      <c r="D419" s="68" t="s">
        <v>2743</v>
      </c>
      <c r="E419" s="68">
        <v>26</v>
      </c>
      <c r="F419" s="68">
        <v>10070002738</v>
      </c>
      <c r="G419" s="78">
        <v>50000</v>
      </c>
      <c r="H419" s="68" t="s">
        <v>2859</v>
      </c>
      <c r="I419" s="68">
        <v>0</v>
      </c>
      <c r="J419" s="54">
        <v>43719</v>
      </c>
      <c r="K419" s="68">
        <v>42</v>
      </c>
      <c r="L419" s="68" t="s">
        <v>2061</v>
      </c>
    </row>
    <row r="420" spans="1:12" s="68" customFormat="1">
      <c r="A420" s="68">
        <v>422150100</v>
      </c>
      <c r="B420" s="68" t="s">
        <v>2756</v>
      </c>
      <c r="C420" s="68">
        <v>533</v>
      </c>
      <c r="D420" s="68" t="s">
        <v>2743</v>
      </c>
      <c r="E420" s="68">
        <v>1</v>
      </c>
      <c r="F420" s="68">
        <v>60020517258</v>
      </c>
      <c r="G420" s="78">
        <v>14000</v>
      </c>
      <c r="H420" s="68" t="s">
        <v>2856</v>
      </c>
      <c r="I420" s="68">
        <v>0</v>
      </c>
      <c r="J420" s="54">
        <v>43719</v>
      </c>
      <c r="K420" s="68">
        <v>42</v>
      </c>
      <c r="L420" s="68" t="s">
        <v>2061</v>
      </c>
    </row>
    <row r="421" spans="1:12" s="68" customFormat="1">
      <c r="A421" s="68">
        <v>422150100</v>
      </c>
      <c r="B421" s="68" t="s">
        <v>2756</v>
      </c>
      <c r="C421" s="68">
        <v>533</v>
      </c>
      <c r="D421" s="68" t="s">
        <v>2743</v>
      </c>
      <c r="E421" s="68">
        <v>1</v>
      </c>
      <c r="F421" s="68">
        <v>60040016772</v>
      </c>
      <c r="G421" s="78">
        <v>14000</v>
      </c>
      <c r="H421" s="68" t="s">
        <v>2858</v>
      </c>
      <c r="I421" s="68">
        <v>0</v>
      </c>
      <c r="J421" s="54">
        <v>43719</v>
      </c>
      <c r="K421" s="68">
        <v>42</v>
      </c>
      <c r="L421" s="68" t="s">
        <v>2061</v>
      </c>
    </row>
    <row r="422" spans="1:12" s="68" customFormat="1">
      <c r="A422" s="68">
        <v>422150100</v>
      </c>
      <c r="B422" s="68" t="s">
        <v>2756</v>
      </c>
      <c r="C422" s="68">
        <v>533</v>
      </c>
      <c r="D422" s="68" t="s">
        <v>2743</v>
      </c>
      <c r="E422" s="68">
        <v>26</v>
      </c>
      <c r="F422" s="68">
        <v>150010026925</v>
      </c>
      <c r="G422" s="78">
        <v>50000</v>
      </c>
      <c r="H422" s="68" t="s">
        <v>2860</v>
      </c>
      <c r="I422" s="68">
        <v>0</v>
      </c>
      <c r="J422" s="54">
        <v>43719</v>
      </c>
      <c r="K422" s="68">
        <v>42</v>
      </c>
      <c r="L422" s="68" t="s">
        <v>2061</v>
      </c>
    </row>
    <row r="423" spans="1:12" s="68" customFormat="1">
      <c r="A423" s="68">
        <v>422150100</v>
      </c>
      <c r="B423" s="68" t="s">
        <v>2756</v>
      </c>
      <c r="C423" s="68">
        <v>533</v>
      </c>
      <c r="D423" s="68" t="s">
        <v>2743</v>
      </c>
      <c r="E423" s="68">
        <v>1</v>
      </c>
      <c r="F423" s="68">
        <v>530040008165</v>
      </c>
      <c r="G423" s="78">
        <v>119100</v>
      </c>
      <c r="H423" s="68" t="s">
        <v>4280</v>
      </c>
      <c r="I423" s="68">
        <v>0</v>
      </c>
      <c r="J423" s="54">
        <v>43720</v>
      </c>
      <c r="K423" s="68">
        <v>42</v>
      </c>
      <c r="L423" s="68" t="s">
        <v>2061</v>
      </c>
    </row>
    <row r="424" spans="1:12" s="68" customFormat="1">
      <c r="A424" s="68">
        <v>422150100</v>
      </c>
      <c r="B424" s="68" t="s">
        <v>2756</v>
      </c>
      <c r="C424" s="68">
        <v>533</v>
      </c>
      <c r="D424" s="68" t="s">
        <v>2743</v>
      </c>
      <c r="E424" s="68">
        <v>26</v>
      </c>
      <c r="F424" s="68">
        <v>1309</v>
      </c>
      <c r="G424" s="78">
        <v>10000</v>
      </c>
      <c r="H424" s="68" t="s">
        <v>2861</v>
      </c>
      <c r="I424" s="68">
        <v>0</v>
      </c>
      <c r="J424" s="54">
        <v>43721</v>
      </c>
      <c r="K424" s="68">
        <v>42</v>
      </c>
      <c r="L424" s="68" t="s">
        <v>2061</v>
      </c>
    </row>
    <row r="425" spans="1:12" s="68" customFormat="1">
      <c r="A425" s="68">
        <v>422150100</v>
      </c>
      <c r="B425" s="68" t="s">
        <v>2756</v>
      </c>
      <c r="C425" s="68">
        <v>533</v>
      </c>
      <c r="D425" s="68" t="s">
        <v>2743</v>
      </c>
      <c r="E425" s="68">
        <v>26</v>
      </c>
      <c r="F425" s="68">
        <v>1309</v>
      </c>
      <c r="G425" s="78">
        <v>80000</v>
      </c>
      <c r="H425" s="68" t="s">
        <v>2862</v>
      </c>
      <c r="I425" s="68">
        <v>0</v>
      </c>
      <c r="J425" s="54">
        <v>43721</v>
      </c>
      <c r="K425" s="68">
        <v>42</v>
      </c>
      <c r="L425" s="68" t="s">
        <v>2061</v>
      </c>
    </row>
    <row r="426" spans="1:12" s="68" customFormat="1">
      <c r="A426" s="68">
        <v>422150100</v>
      </c>
      <c r="B426" s="68" t="s">
        <v>2756</v>
      </c>
      <c r="C426" s="68">
        <v>533</v>
      </c>
      <c r="D426" s="68" t="s">
        <v>2743</v>
      </c>
      <c r="E426" s="68">
        <v>26</v>
      </c>
      <c r="F426" s="68">
        <v>3161</v>
      </c>
      <c r="G426" s="78">
        <v>50000</v>
      </c>
      <c r="H426" s="68" t="s">
        <v>2863</v>
      </c>
      <c r="I426" s="68">
        <v>0</v>
      </c>
      <c r="J426" s="54">
        <v>43722</v>
      </c>
      <c r="K426" s="68">
        <v>42</v>
      </c>
      <c r="L426" s="68" t="s">
        <v>2061</v>
      </c>
    </row>
    <row r="427" spans="1:12" s="68" customFormat="1">
      <c r="A427" s="68">
        <v>422150100</v>
      </c>
      <c r="B427" s="68" t="s">
        <v>2756</v>
      </c>
      <c r="C427" s="68">
        <v>533</v>
      </c>
      <c r="D427" s="68" t="s">
        <v>2743</v>
      </c>
      <c r="E427" s="68">
        <v>26</v>
      </c>
      <c r="F427" s="68">
        <v>6031</v>
      </c>
      <c r="G427" s="78">
        <v>10000</v>
      </c>
      <c r="H427" s="68" t="s">
        <v>2864</v>
      </c>
      <c r="I427" s="68">
        <v>0</v>
      </c>
      <c r="J427" s="54">
        <v>43722</v>
      </c>
      <c r="K427" s="68">
        <v>42</v>
      </c>
      <c r="L427" s="68" t="s">
        <v>2061</v>
      </c>
    </row>
    <row r="428" spans="1:12" s="68" customFormat="1">
      <c r="A428" s="68">
        <v>422150100</v>
      </c>
      <c r="B428" s="68" t="s">
        <v>2756</v>
      </c>
      <c r="C428" s="68">
        <v>533</v>
      </c>
      <c r="D428" s="68" t="s">
        <v>2743</v>
      </c>
      <c r="E428" s="68">
        <v>26</v>
      </c>
      <c r="F428" s="68">
        <v>47896</v>
      </c>
      <c r="G428" s="78">
        <v>4000</v>
      </c>
      <c r="H428" s="68" t="s">
        <v>2863</v>
      </c>
      <c r="I428" s="68">
        <v>0</v>
      </c>
      <c r="J428" s="54">
        <v>43722</v>
      </c>
      <c r="K428" s="68">
        <v>42</v>
      </c>
      <c r="L428" s="68" t="s">
        <v>2061</v>
      </c>
    </row>
    <row r="429" spans="1:12" s="68" customFormat="1">
      <c r="A429" s="68">
        <v>422150100</v>
      </c>
      <c r="B429" s="68" t="s">
        <v>2756</v>
      </c>
      <c r="C429" s="68">
        <v>533</v>
      </c>
      <c r="D429" s="68" t="s">
        <v>2743</v>
      </c>
      <c r="E429" s="68">
        <v>1</v>
      </c>
      <c r="F429" s="68">
        <v>60030438918</v>
      </c>
      <c r="G429" s="78">
        <v>14000</v>
      </c>
      <c r="H429" s="68" t="s">
        <v>4281</v>
      </c>
      <c r="I429" s="68">
        <v>0</v>
      </c>
      <c r="J429" s="54">
        <v>43722</v>
      </c>
      <c r="K429" s="68">
        <v>42</v>
      </c>
      <c r="L429" s="68" t="s">
        <v>2061</v>
      </c>
    </row>
    <row r="430" spans="1:12" s="68" customFormat="1">
      <c r="A430" s="68">
        <v>422150100</v>
      </c>
      <c r="B430" s="68" t="s">
        <v>2756</v>
      </c>
      <c r="C430" s="68">
        <v>533</v>
      </c>
      <c r="D430" s="68" t="s">
        <v>2743</v>
      </c>
      <c r="E430" s="68">
        <v>26</v>
      </c>
      <c r="F430" s="68">
        <v>506</v>
      </c>
      <c r="G430" s="78">
        <v>20000</v>
      </c>
      <c r="H430" s="68" t="s">
        <v>2630</v>
      </c>
      <c r="I430" s="68">
        <v>0</v>
      </c>
      <c r="J430" s="54">
        <v>43724</v>
      </c>
      <c r="K430" s="68">
        <v>42</v>
      </c>
      <c r="L430" s="68" t="s">
        <v>2061</v>
      </c>
    </row>
    <row r="431" spans="1:12" s="68" customFormat="1">
      <c r="A431" s="68">
        <v>422150100</v>
      </c>
      <c r="B431" s="68" t="s">
        <v>2756</v>
      </c>
      <c r="C431" s="68">
        <v>533</v>
      </c>
      <c r="D431" s="68" t="s">
        <v>2743</v>
      </c>
      <c r="E431" s="68">
        <v>26</v>
      </c>
      <c r="F431" s="68">
        <v>6035</v>
      </c>
      <c r="G431" s="78">
        <v>10000</v>
      </c>
      <c r="H431" s="68" t="s">
        <v>2865</v>
      </c>
      <c r="I431" s="68">
        <v>0</v>
      </c>
      <c r="J431" s="54">
        <v>43724</v>
      </c>
      <c r="K431" s="68">
        <v>42</v>
      </c>
      <c r="L431" s="68" t="s">
        <v>2061</v>
      </c>
    </row>
    <row r="432" spans="1:12" s="68" customFormat="1">
      <c r="A432" s="68">
        <v>422150100</v>
      </c>
      <c r="B432" s="68" t="s">
        <v>2756</v>
      </c>
      <c r="C432" s="68">
        <v>533</v>
      </c>
      <c r="D432" s="68" t="s">
        <v>2743</v>
      </c>
      <c r="E432" s="68">
        <v>1</v>
      </c>
      <c r="F432" s="68">
        <v>60030439494</v>
      </c>
      <c r="G432" s="78">
        <v>14000</v>
      </c>
      <c r="H432" s="68" t="s">
        <v>4282</v>
      </c>
      <c r="I432" s="68">
        <v>0</v>
      </c>
      <c r="J432" s="54">
        <v>43724</v>
      </c>
      <c r="K432" s="68">
        <v>42</v>
      </c>
      <c r="L432" s="68" t="s">
        <v>2061</v>
      </c>
    </row>
    <row r="433" spans="1:12" s="68" customFormat="1">
      <c r="A433" s="68">
        <v>422150100</v>
      </c>
      <c r="B433" s="68" t="s">
        <v>2756</v>
      </c>
      <c r="C433" s="68">
        <v>533</v>
      </c>
      <c r="D433" s="68" t="s">
        <v>2743</v>
      </c>
      <c r="E433" s="68">
        <v>26</v>
      </c>
      <c r="F433" s="68">
        <v>190919</v>
      </c>
      <c r="G433" s="78">
        <v>80000</v>
      </c>
      <c r="H433" s="68" t="s">
        <v>2866</v>
      </c>
      <c r="I433" s="68">
        <v>0</v>
      </c>
      <c r="J433" s="54">
        <v>43727</v>
      </c>
      <c r="K433" s="68">
        <v>42</v>
      </c>
      <c r="L433" s="68" t="s">
        <v>2061</v>
      </c>
    </row>
    <row r="434" spans="1:12" s="68" customFormat="1">
      <c r="A434" s="68">
        <v>422150100</v>
      </c>
      <c r="B434" s="68" t="s">
        <v>2756</v>
      </c>
      <c r="C434" s="68">
        <v>533</v>
      </c>
      <c r="D434" s="68" t="s">
        <v>2743</v>
      </c>
      <c r="E434" s="68">
        <v>1</v>
      </c>
      <c r="F434" s="68">
        <v>6001251083</v>
      </c>
      <c r="G434" s="78">
        <v>50000</v>
      </c>
      <c r="H434" s="68" t="s">
        <v>4283</v>
      </c>
      <c r="I434" s="68">
        <v>0</v>
      </c>
      <c r="J434" s="54">
        <v>43727</v>
      </c>
      <c r="K434" s="68">
        <v>42</v>
      </c>
      <c r="L434" s="68" t="s">
        <v>2061</v>
      </c>
    </row>
    <row r="435" spans="1:12" s="68" customFormat="1">
      <c r="A435" s="68">
        <v>422150100</v>
      </c>
      <c r="B435" s="68" t="s">
        <v>2756</v>
      </c>
      <c r="C435" s="68">
        <v>533</v>
      </c>
      <c r="D435" s="68" t="s">
        <v>2743</v>
      </c>
      <c r="E435" s="68">
        <v>1</v>
      </c>
      <c r="F435" s="68">
        <v>10030069762</v>
      </c>
      <c r="G435" s="78">
        <v>30000</v>
      </c>
      <c r="H435" s="68" t="s">
        <v>4284</v>
      </c>
      <c r="I435" s="68">
        <v>0</v>
      </c>
      <c r="J435" s="54">
        <v>43727</v>
      </c>
      <c r="K435" s="68">
        <v>42</v>
      </c>
      <c r="L435" s="68" t="s">
        <v>2061</v>
      </c>
    </row>
    <row r="436" spans="1:12" s="68" customFormat="1">
      <c r="A436" s="68">
        <v>422150100</v>
      </c>
      <c r="B436" s="68" t="s">
        <v>2756</v>
      </c>
      <c r="C436" s="68">
        <v>533</v>
      </c>
      <c r="D436" s="68" t="s">
        <v>2743</v>
      </c>
      <c r="E436" s="68">
        <v>1</v>
      </c>
      <c r="F436" s="68">
        <v>60070594317</v>
      </c>
      <c r="G436" s="78">
        <v>50000</v>
      </c>
      <c r="H436" s="68" t="s">
        <v>4283</v>
      </c>
      <c r="I436" s="68">
        <v>0</v>
      </c>
      <c r="J436" s="54">
        <v>43727</v>
      </c>
      <c r="K436" s="68">
        <v>42</v>
      </c>
      <c r="L436" s="68" t="s">
        <v>2061</v>
      </c>
    </row>
    <row r="437" spans="1:12" s="68" customFormat="1">
      <c r="A437" s="68">
        <v>422150100</v>
      </c>
      <c r="B437" s="68" t="s">
        <v>2756</v>
      </c>
      <c r="C437" s="68">
        <v>533</v>
      </c>
      <c r="D437" s="68" t="s">
        <v>2743</v>
      </c>
      <c r="E437" s="68">
        <v>1</v>
      </c>
      <c r="F437" s="68">
        <v>10020091801</v>
      </c>
      <c r="G437" s="78">
        <v>9091</v>
      </c>
      <c r="H437" s="68" t="s">
        <v>4273</v>
      </c>
      <c r="I437" s="68">
        <v>0</v>
      </c>
      <c r="J437" s="54">
        <v>43732</v>
      </c>
      <c r="K437" s="68">
        <v>42</v>
      </c>
      <c r="L437" s="68" t="s">
        <v>2061</v>
      </c>
    </row>
    <row r="438" spans="1:12" s="68" customFormat="1">
      <c r="A438" s="68">
        <v>422150100</v>
      </c>
      <c r="B438" s="68" t="s">
        <v>2756</v>
      </c>
      <c r="C438" s="68">
        <v>533</v>
      </c>
      <c r="D438" s="68" t="s">
        <v>2743</v>
      </c>
      <c r="E438" s="68">
        <v>26</v>
      </c>
      <c r="F438" s="68">
        <v>10030641637</v>
      </c>
      <c r="G438" s="78">
        <v>2400</v>
      </c>
      <c r="H438" s="68" t="s">
        <v>2867</v>
      </c>
      <c r="I438" s="68">
        <v>0</v>
      </c>
      <c r="J438" s="54">
        <v>43732</v>
      </c>
      <c r="K438" s="68">
        <v>42</v>
      </c>
      <c r="L438" s="68" t="s">
        <v>2061</v>
      </c>
    </row>
    <row r="439" spans="1:12" s="68" customFormat="1">
      <c r="A439" s="68">
        <v>422150100</v>
      </c>
      <c r="B439" s="68" t="s">
        <v>2756</v>
      </c>
      <c r="C439" s="68">
        <v>533</v>
      </c>
      <c r="D439" s="68" t="s">
        <v>2743</v>
      </c>
      <c r="E439" s="68">
        <v>1</v>
      </c>
      <c r="F439" s="68">
        <v>10010006620</v>
      </c>
      <c r="G439" s="78">
        <v>9091</v>
      </c>
      <c r="H439" s="68" t="s">
        <v>4285</v>
      </c>
      <c r="I439" s="68">
        <v>0</v>
      </c>
      <c r="J439" s="54">
        <v>43734</v>
      </c>
      <c r="K439" s="68">
        <v>42</v>
      </c>
      <c r="L439" s="68" t="s">
        <v>2061</v>
      </c>
    </row>
    <row r="440" spans="1:12" s="68" customFormat="1">
      <c r="A440" s="68">
        <v>422150100</v>
      </c>
      <c r="B440" s="68" t="s">
        <v>2756</v>
      </c>
      <c r="C440" s="68">
        <v>533</v>
      </c>
      <c r="D440" s="68" t="s">
        <v>2743</v>
      </c>
      <c r="E440" s="68">
        <v>26</v>
      </c>
      <c r="F440" s="68">
        <v>7887</v>
      </c>
      <c r="G440" s="78">
        <v>80000</v>
      </c>
      <c r="H440" s="68" t="s">
        <v>2868</v>
      </c>
      <c r="I440" s="68">
        <v>0</v>
      </c>
      <c r="J440" s="54">
        <v>43738</v>
      </c>
      <c r="K440" s="68">
        <v>42</v>
      </c>
      <c r="L440" s="68" t="s">
        <v>2061</v>
      </c>
    </row>
    <row r="441" spans="1:12" s="68" customFormat="1">
      <c r="A441" s="68">
        <v>422150100</v>
      </c>
      <c r="B441" s="68" t="s">
        <v>2756</v>
      </c>
      <c r="C441" s="68">
        <v>533</v>
      </c>
      <c r="D441" s="68" t="s">
        <v>2743</v>
      </c>
      <c r="E441" s="68">
        <v>26</v>
      </c>
      <c r="F441" s="68">
        <v>2728</v>
      </c>
      <c r="G441" s="78">
        <v>80000</v>
      </c>
      <c r="H441" s="68" t="s">
        <v>2869</v>
      </c>
      <c r="I441" s="68">
        <v>0</v>
      </c>
      <c r="J441" s="54">
        <v>43741</v>
      </c>
      <c r="K441" s="68">
        <v>42</v>
      </c>
      <c r="L441" s="68" t="s">
        <v>2061</v>
      </c>
    </row>
    <row r="442" spans="1:12" s="68" customFormat="1">
      <c r="A442" s="68">
        <v>422150100</v>
      </c>
      <c r="B442" s="68" t="s">
        <v>2756</v>
      </c>
      <c r="C442" s="68">
        <v>533</v>
      </c>
      <c r="D442" s="68" t="s">
        <v>2743</v>
      </c>
      <c r="E442" s="68">
        <v>26</v>
      </c>
      <c r="F442" s="68">
        <v>3071</v>
      </c>
      <c r="G442" s="78">
        <v>20000</v>
      </c>
      <c r="H442" s="68" t="s">
        <v>2870</v>
      </c>
      <c r="I442" s="68">
        <v>0</v>
      </c>
      <c r="J442" s="54">
        <v>43741</v>
      </c>
      <c r="K442" s="68">
        <v>42</v>
      </c>
      <c r="L442" s="68" t="s">
        <v>2061</v>
      </c>
    </row>
    <row r="443" spans="1:12" s="68" customFormat="1">
      <c r="A443" s="68">
        <v>422150100</v>
      </c>
      <c r="B443" s="68" t="s">
        <v>2756</v>
      </c>
      <c r="C443" s="68">
        <v>533</v>
      </c>
      <c r="D443" s="68" t="s">
        <v>2743</v>
      </c>
      <c r="E443" s="68">
        <v>26</v>
      </c>
      <c r="F443" s="68">
        <v>7398</v>
      </c>
      <c r="G443" s="78">
        <v>20000</v>
      </c>
      <c r="H443" s="68" t="s">
        <v>2870</v>
      </c>
      <c r="I443" s="68">
        <v>0</v>
      </c>
      <c r="J443" s="54">
        <v>43741</v>
      </c>
      <c r="K443" s="68">
        <v>42</v>
      </c>
      <c r="L443" s="68" t="s">
        <v>2061</v>
      </c>
    </row>
    <row r="444" spans="1:12" s="68" customFormat="1">
      <c r="A444" s="68">
        <v>422150100</v>
      </c>
      <c r="B444" s="68" t="s">
        <v>2756</v>
      </c>
      <c r="C444" s="68">
        <v>533</v>
      </c>
      <c r="D444" s="68" t="s">
        <v>2743</v>
      </c>
      <c r="E444" s="68">
        <v>1</v>
      </c>
      <c r="F444" s="68">
        <v>60020001503</v>
      </c>
      <c r="G444" s="78">
        <v>14000</v>
      </c>
      <c r="H444" s="68" t="s">
        <v>2870</v>
      </c>
      <c r="I444" s="68">
        <v>0</v>
      </c>
      <c r="J444" s="54">
        <v>43741</v>
      </c>
      <c r="K444" s="68">
        <v>42</v>
      </c>
      <c r="L444" s="68" t="s">
        <v>2061</v>
      </c>
    </row>
    <row r="445" spans="1:12" s="68" customFormat="1">
      <c r="A445" s="68">
        <v>422150100</v>
      </c>
      <c r="B445" s="68" t="s">
        <v>2756</v>
      </c>
      <c r="C445" s="68">
        <v>533</v>
      </c>
      <c r="D445" s="68" t="s">
        <v>2743</v>
      </c>
      <c r="E445" s="68">
        <v>1</v>
      </c>
      <c r="F445" s="68">
        <v>60030000175</v>
      </c>
      <c r="G445" s="78">
        <v>14000</v>
      </c>
      <c r="H445" s="68" t="s">
        <v>2870</v>
      </c>
      <c r="I445" s="68">
        <v>0</v>
      </c>
      <c r="J445" s="54">
        <v>43741</v>
      </c>
      <c r="K445" s="68">
        <v>42</v>
      </c>
      <c r="L445" s="68" t="s">
        <v>2061</v>
      </c>
    </row>
    <row r="446" spans="1:12" s="68" customFormat="1">
      <c r="A446" s="68">
        <v>422150100</v>
      </c>
      <c r="B446" s="68" t="s">
        <v>2756</v>
      </c>
      <c r="C446" s="68">
        <v>533</v>
      </c>
      <c r="D446" s="68" t="s">
        <v>2743</v>
      </c>
      <c r="E446" s="68">
        <v>1</v>
      </c>
      <c r="F446" s="68">
        <v>60070001408</v>
      </c>
      <c r="G446" s="78">
        <v>14000</v>
      </c>
      <c r="H446" s="68" t="s">
        <v>2870</v>
      </c>
      <c r="I446" s="68">
        <v>0</v>
      </c>
      <c r="J446" s="54">
        <v>43741</v>
      </c>
      <c r="K446" s="68">
        <v>42</v>
      </c>
      <c r="L446" s="68" t="s">
        <v>2061</v>
      </c>
    </row>
    <row r="447" spans="1:12" s="68" customFormat="1">
      <c r="A447" s="68">
        <v>422150100</v>
      </c>
      <c r="B447" s="68" t="s">
        <v>2756</v>
      </c>
      <c r="C447" s="68">
        <v>533</v>
      </c>
      <c r="D447" s="68" t="s">
        <v>2743</v>
      </c>
      <c r="E447" s="68">
        <v>1</v>
      </c>
      <c r="F447" s="68">
        <v>60080000101</v>
      </c>
      <c r="G447" s="78">
        <v>14000</v>
      </c>
      <c r="H447" s="68" t="s">
        <v>2870</v>
      </c>
      <c r="I447" s="68">
        <v>0</v>
      </c>
      <c r="J447" s="54">
        <v>43741</v>
      </c>
      <c r="K447" s="68">
        <v>42</v>
      </c>
      <c r="L447" s="68" t="s">
        <v>2061</v>
      </c>
    </row>
    <row r="448" spans="1:12" s="68" customFormat="1">
      <c r="A448" s="68">
        <v>422150100</v>
      </c>
      <c r="B448" s="68" t="s">
        <v>2756</v>
      </c>
      <c r="C448" s="68">
        <v>533</v>
      </c>
      <c r="D448" s="68" t="s">
        <v>2743</v>
      </c>
      <c r="E448" s="68">
        <v>26</v>
      </c>
      <c r="F448" s="68">
        <v>7667</v>
      </c>
      <c r="G448" s="78">
        <v>80000</v>
      </c>
      <c r="H448" s="68" t="s">
        <v>2871</v>
      </c>
      <c r="I448" s="68">
        <v>0</v>
      </c>
      <c r="J448" s="54">
        <v>43742</v>
      </c>
      <c r="K448" s="68">
        <v>42</v>
      </c>
      <c r="L448" s="68" t="s">
        <v>2061</v>
      </c>
    </row>
    <row r="449" spans="1:12" s="68" customFormat="1">
      <c r="A449" s="68">
        <v>422150100</v>
      </c>
      <c r="B449" s="68" t="s">
        <v>2756</v>
      </c>
      <c r="C449" s="68">
        <v>533</v>
      </c>
      <c r="D449" s="68" t="s">
        <v>2743</v>
      </c>
      <c r="E449" s="68">
        <v>1</v>
      </c>
      <c r="F449" s="68">
        <v>10010000154</v>
      </c>
      <c r="G449" s="78">
        <v>181818</v>
      </c>
      <c r="H449" s="68" t="s">
        <v>4286</v>
      </c>
      <c r="I449" s="68">
        <v>0</v>
      </c>
      <c r="J449" s="54">
        <v>43742</v>
      </c>
      <c r="K449" s="68">
        <v>42</v>
      </c>
      <c r="L449" s="68" t="s">
        <v>2061</v>
      </c>
    </row>
    <row r="450" spans="1:12" s="68" customFormat="1">
      <c r="A450" s="68">
        <v>422150100</v>
      </c>
      <c r="B450" s="68" t="s">
        <v>2756</v>
      </c>
      <c r="C450" s="68">
        <v>533</v>
      </c>
      <c r="D450" s="68" t="s">
        <v>2743</v>
      </c>
      <c r="E450" s="68">
        <v>1</v>
      </c>
      <c r="F450" s="68">
        <v>10010014877</v>
      </c>
      <c r="G450" s="78">
        <v>10909</v>
      </c>
      <c r="H450" s="68" t="s">
        <v>4287</v>
      </c>
      <c r="I450" s="68">
        <v>0</v>
      </c>
      <c r="J450" s="54">
        <v>43742</v>
      </c>
      <c r="K450" s="68">
        <v>42</v>
      </c>
      <c r="L450" s="68" t="s">
        <v>2061</v>
      </c>
    </row>
    <row r="451" spans="1:12" s="68" customFormat="1">
      <c r="A451" s="68">
        <v>422150100</v>
      </c>
      <c r="B451" s="68" t="s">
        <v>2756</v>
      </c>
      <c r="C451" s="68">
        <v>533</v>
      </c>
      <c r="D451" s="68" t="s">
        <v>2743</v>
      </c>
      <c r="E451" s="68">
        <v>26</v>
      </c>
      <c r="F451" s="68">
        <v>2214</v>
      </c>
      <c r="G451" s="78">
        <v>80000</v>
      </c>
      <c r="H451" s="68" t="s">
        <v>2872</v>
      </c>
      <c r="I451" s="68">
        <v>0</v>
      </c>
      <c r="J451" s="54">
        <v>43747</v>
      </c>
      <c r="K451" s="68">
        <v>42</v>
      </c>
      <c r="L451" s="68" t="s">
        <v>2061</v>
      </c>
    </row>
    <row r="452" spans="1:12" s="68" customFormat="1">
      <c r="A452" s="68">
        <v>422150100</v>
      </c>
      <c r="B452" s="68" t="s">
        <v>2756</v>
      </c>
      <c r="C452" s="68">
        <v>533</v>
      </c>
      <c r="D452" s="68" t="s">
        <v>2743</v>
      </c>
      <c r="E452" s="68">
        <v>26</v>
      </c>
      <c r="F452" s="68">
        <v>9869</v>
      </c>
      <c r="G452" s="78">
        <v>10000</v>
      </c>
      <c r="H452" s="68" t="s">
        <v>2845</v>
      </c>
      <c r="I452" s="68">
        <v>0</v>
      </c>
      <c r="J452" s="54">
        <v>43749</v>
      </c>
      <c r="K452" s="68">
        <v>42</v>
      </c>
      <c r="L452" s="68" t="s">
        <v>2061</v>
      </c>
    </row>
    <row r="453" spans="1:12" s="68" customFormat="1">
      <c r="A453" s="68">
        <v>422150100</v>
      </c>
      <c r="B453" s="68" t="s">
        <v>2756</v>
      </c>
      <c r="C453" s="68">
        <v>533</v>
      </c>
      <c r="D453" s="68" t="s">
        <v>2743</v>
      </c>
      <c r="E453" s="68">
        <v>26</v>
      </c>
      <c r="F453" s="68">
        <v>32052</v>
      </c>
      <c r="G453" s="78">
        <v>2400</v>
      </c>
      <c r="H453" s="68" t="s">
        <v>2873</v>
      </c>
      <c r="I453" s="68">
        <v>0</v>
      </c>
      <c r="J453" s="54">
        <v>43749</v>
      </c>
      <c r="K453" s="68">
        <v>42</v>
      </c>
      <c r="L453" s="68" t="s">
        <v>2061</v>
      </c>
    </row>
    <row r="454" spans="1:12" s="68" customFormat="1">
      <c r="A454" s="68">
        <v>422150100</v>
      </c>
      <c r="B454" s="68" t="s">
        <v>2756</v>
      </c>
      <c r="C454" s="68">
        <v>533</v>
      </c>
      <c r="D454" s="68" t="s">
        <v>2743</v>
      </c>
      <c r="E454" s="68">
        <v>1</v>
      </c>
      <c r="F454" s="68">
        <v>10010000382</v>
      </c>
      <c r="G454" s="78">
        <v>9091</v>
      </c>
      <c r="H454" s="68" t="s">
        <v>4288</v>
      </c>
      <c r="I454" s="68">
        <v>0</v>
      </c>
      <c r="J454" s="54">
        <v>43749</v>
      </c>
      <c r="K454" s="68">
        <v>42</v>
      </c>
      <c r="L454" s="68" t="s">
        <v>2061</v>
      </c>
    </row>
    <row r="455" spans="1:12" s="68" customFormat="1">
      <c r="A455" s="68">
        <v>422150100</v>
      </c>
      <c r="B455" s="68" t="s">
        <v>2756</v>
      </c>
      <c r="C455" s="68">
        <v>533</v>
      </c>
      <c r="D455" s="68" t="s">
        <v>2743</v>
      </c>
      <c r="E455" s="68">
        <v>1</v>
      </c>
      <c r="F455" s="68">
        <v>10010000384</v>
      </c>
      <c r="G455" s="78">
        <v>9091</v>
      </c>
      <c r="H455" s="68" t="s">
        <v>4289</v>
      </c>
      <c r="I455" s="68">
        <v>0</v>
      </c>
      <c r="J455" s="54">
        <v>43749</v>
      </c>
      <c r="K455" s="68">
        <v>42</v>
      </c>
      <c r="L455" s="68" t="s">
        <v>2061</v>
      </c>
    </row>
    <row r="456" spans="1:12" s="68" customFormat="1">
      <c r="A456" s="68">
        <v>422150100</v>
      </c>
      <c r="B456" s="68" t="s">
        <v>2756</v>
      </c>
      <c r="C456" s="68">
        <v>533</v>
      </c>
      <c r="D456" s="68" t="s">
        <v>2743</v>
      </c>
      <c r="E456" s="68">
        <v>1</v>
      </c>
      <c r="F456" s="68">
        <v>10010006689</v>
      </c>
      <c r="G456" s="78">
        <v>9091</v>
      </c>
      <c r="H456" s="68" t="s">
        <v>4290</v>
      </c>
      <c r="I456" s="68">
        <v>0</v>
      </c>
      <c r="J456" s="54">
        <v>43749</v>
      </c>
      <c r="K456" s="68">
        <v>42</v>
      </c>
      <c r="L456" s="68" t="s">
        <v>2061</v>
      </c>
    </row>
    <row r="457" spans="1:12" s="68" customFormat="1">
      <c r="A457" s="68">
        <v>422150100</v>
      </c>
      <c r="B457" s="68" t="s">
        <v>2756</v>
      </c>
      <c r="C457" s="68">
        <v>533</v>
      </c>
      <c r="D457" s="68" t="s">
        <v>2743</v>
      </c>
      <c r="E457" s="68">
        <v>26</v>
      </c>
      <c r="F457" s="68">
        <v>10020001267</v>
      </c>
      <c r="G457" s="78">
        <v>50000</v>
      </c>
      <c r="H457" s="68" t="s">
        <v>2874</v>
      </c>
      <c r="I457" s="68">
        <v>0</v>
      </c>
      <c r="J457" s="54">
        <v>43749</v>
      </c>
      <c r="K457" s="68">
        <v>42</v>
      </c>
      <c r="L457" s="68" t="s">
        <v>2061</v>
      </c>
    </row>
    <row r="458" spans="1:12" s="68" customFormat="1">
      <c r="A458" s="68">
        <v>422150100</v>
      </c>
      <c r="B458" s="68" t="s">
        <v>2756</v>
      </c>
      <c r="C458" s="68">
        <v>533</v>
      </c>
      <c r="D458" s="68" t="s">
        <v>2743</v>
      </c>
      <c r="E458" s="68">
        <v>1</v>
      </c>
      <c r="F458" s="68">
        <v>60030010199</v>
      </c>
      <c r="G458" s="78">
        <v>14000</v>
      </c>
      <c r="H458" s="68" t="s">
        <v>2845</v>
      </c>
      <c r="I458" s="68">
        <v>0</v>
      </c>
      <c r="J458" s="54">
        <v>43749</v>
      </c>
      <c r="K458" s="68">
        <v>42</v>
      </c>
      <c r="L458" s="68" t="s">
        <v>2061</v>
      </c>
    </row>
    <row r="459" spans="1:12" s="68" customFormat="1">
      <c r="A459" s="68">
        <v>422150100</v>
      </c>
      <c r="B459" s="68" t="s">
        <v>2756</v>
      </c>
      <c r="C459" s="68">
        <v>533</v>
      </c>
      <c r="D459" s="68" t="s">
        <v>2743</v>
      </c>
      <c r="E459" s="68">
        <v>26</v>
      </c>
      <c r="F459" s="68">
        <v>5818</v>
      </c>
      <c r="G459" s="78">
        <v>80000</v>
      </c>
      <c r="H459" s="68" t="s">
        <v>2875</v>
      </c>
      <c r="I459" s="68">
        <v>0</v>
      </c>
      <c r="J459" s="54">
        <v>43759</v>
      </c>
      <c r="K459" s="68">
        <v>42</v>
      </c>
      <c r="L459" s="68" t="s">
        <v>2061</v>
      </c>
    </row>
    <row r="460" spans="1:12" s="68" customFormat="1">
      <c r="A460" s="68">
        <v>422150100</v>
      </c>
      <c r="B460" s="68" t="s">
        <v>2756</v>
      </c>
      <c r="C460" s="68">
        <v>533</v>
      </c>
      <c r="D460" s="68" t="s">
        <v>2743</v>
      </c>
      <c r="E460" s="68">
        <v>26</v>
      </c>
      <c r="F460" s="68">
        <v>1944</v>
      </c>
      <c r="G460" s="78">
        <v>80000</v>
      </c>
      <c r="H460" s="68" t="s">
        <v>2876</v>
      </c>
      <c r="I460" s="68">
        <v>0</v>
      </c>
      <c r="J460" s="54">
        <v>43763</v>
      </c>
      <c r="K460" s="68">
        <v>42</v>
      </c>
      <c r="L460" s="68" t="s">
        <v>2061</v>
      </c>
    </row>
    <row r="461" spans="1:12" s="68" customFormat="1">
      <c r="A461" s="68">
        <v>422150100</v>
      </c>
      <c r="B461" s="68" t="s">
        <v>2756</v>
      </c>
      <c r="C461" s="68">
        <v>533</v>
      </c>
      <c r="D461" s="68" t="s">
        <v>2743</v>
      </c>
      <c r="E461" s="68">
        <v>1</v>
      </c>
      <c r="F461" s="68">
        <v>10010020817</v>
      </c>
      <c r="G461" s="78">
        <v>43636</v>
      </c>
      <c r="H461" s="68" t="s">
        <v>4291</v>
      </c>
      <c r="I461" s="68">
        <v>0</v>
      </c>
      <c r="J461" s="54">
        <v>43763</v>
      </c>
      <c r="K461" s="68">
        <v>42</v>
      </c>
      <c r="L461" s="68" t="s">
        <v>2061</v>
      </c>
    </row>
    <row r="462" spans="1:12" s="68" customFormat="1">
      <c r="A462" s="68">
        <v>422150100</v>
      </c>
      <c r="B462" s="68" t="s">
        <v>2756</v>
      </c>
      <c r="C462" s="68">
        <v>533</v>
      </c>
      <c r="D462" s="68" t="s">
        <v>2743</v>
      </c>
      <c r="E462" s="68">
        <v>26</v>
      </c>
      <c r="F462" s="68">
        <v>3062</v>
      </c>
      <c r="G462" s="78">
        <v>80000</v>
      </c>
      <c r="H462" s="68" t="s">
        <v>2877</v>
      </c>
      <c r="I462" s="68">
        <v>0</v>
      </c>
      <c r="J462" s="54">
        <v>43773</v>
      </c>
      <c r="K462" s="68">
        <v>42</v>
      </c>
      <c r="L462" s="68" t="s">
        <v>2061</v>
      </c>
    </row>
    <row r="463" spans="1:12" s="68" customFormat="1">
      <c r="A463" s="68">
        <v>422150100</v>
      </c>
      <c r="B463" s="68" t="s">
        <v>2756</v>
      </c>
      <c r="C463" s="68">
        <v>533</v>
      </c>
      <c r="D463" s="68" t="s">
        <v>2743</v>
      </c>
      <c r="E463" s="68">
        <v>1</v>
      </c>
      <c r="F463" s="68">
        <v>10010022927</v>
      </c>
      <c r="G463" s="78">
        <v>10909</v>
      </c>
      <c r="H463" s="68" t="s">
        <v>4292</v>
      </c>
      <c r="I463" s="68">
        <v>0</v>
      </c>
      <c r="J463" s="54">
        <v>43774</v>
      </c>
      <c r="K463" s="68">
        <v>42</v>
      </c>
      <c r="L463" s="68" t="s">
        <v>2061</v>
      </c>
    </row>
    <row r="464" spans="1:12" s="68" customFormat="1">
      <c r="A464" s="68">
        <v>422150100</v>
      </c>
      <c r="B464" s="68" t="s">
        <v>2756</v>
      </c>
      <c r="C464" s="68">
        <v>533</v>
      </c>
      <c r="D464" s="68" t="s">
        <v>2743</v>
      </c>
      <c r="E464" s="68">
        <v>1</v>
      </c>
      <c r="F464" s="68">
        <v>280030004219</v>
      </c>
      <c r="G464" s="78">
        <v>13636</v>
      </c>
      <c r="H464" s="68" t="s">
        <v>4293</v>
      </c>
      <c r="I464" s="68">
        <v>0</v>
      </c>
      <c r="J464" s="54">
        <v>43775</v>
      </c>
      <c r="K464" s="68">
        <v>42</v>
      </c>
      <c r="L464" s="68" t="s">
        <v>2061</v>
      </c>
    </row>
    <row r="465" spans="1:12" s="68" customFormat="1">
      <c r="A465" s="68">
        <v>422150100</v>
      </c>
      <c r="B465" s="68" t="s">
        <v>2756</v>
      </c>
      <c r="C465" s="68">
        <v>533</v>
      </c>
      <c r="D465" s="68" t="s">
        <v>2743</v>
      </c>
      <c r="E465" s="68">
        <v>26</v>
      </c>
      <c r="F465" s="68">
        <v>711</v>
      </c>
      <c r="G465" s="78">
        <v>80000</v>
      </c>
      <c r="H465" s="68" t="s">
        <v>2842</v>
      </c>
      <c r="I465" s="68">
        <v>0</v>
      </c>
      <c r="J465" s="54">
        <v>43776</v>
      </c>
      <c r="K465" s="68">
        <v>42</v>
      </c>
      <c r="L465" s="68" t="s">
        <v>2061</v>
      </c>
    </row>
    <row r="466" spans="1:12" s="68" customFormat="1">
      <c r="A466" s="68">
        <v>422150100</v>
      </c>
      <c r="B466" s="68" t="s">
        <v>2756</v>
      </c>
      <c r="C466" s="68">
        <v>533</v>
      </c>
      <c r="D466" s="68" t="s">
        <v>2743</v>
      </c>
      <c r="E466" s="68">
        <v>26</v>
      </c>
      <c r="F466" s="68">
        <v>77914</v>
      </c>
      <c r="G466" s="78">
        <v>2400</v>
      </c>
      <c r="H466" s="68" t="s">
        <v>2878</v>
      </c>
      <c r="I466" s="68">
        <v>0</v>
      </c>
      <c r="J466" s="54">
        <v>43776</v>
      </c>
      <c r="K466" s="68">
        <v>42</v>
      </c>
      <c r="L466" s="68" t="s">
        <v>2061</v>
      </c>
    </row>
    <row r="467" spans="1:12" s="68" customFormat="1">
      <c r="A467" s="68">
        <v>422150100</v>
      </c>
      <c r="B467" s="68" t="s">
        <v>2756</v>
      </c>
      <c r="C467" s="68">
        <v>533</v>
      </c>
      <c r="D467" s="68" t="s">
        <v>2743</v>
      </c>
      <c r="E467" s="68">
        <v>26</v>
      </c>
      <c r="F467" s="68">
        <v>2115869</v>
      </c>
      <c r="G467" s="78">
        <v>10000</v>
      </c>
      <c r="H467" s="68" t="s">
        <v>2845</v>
      </c>
      <c r="I467" s="68">
        <v>0</v>
      </c>
      <c r="J467" s="54">
        <v>43776</v>
      </c>
      <c r="K467" s="68">
        <v>42</v>
      </c>
      <c r="L467" s="68" t="s">
        <v>2061</v>
      </c>
    </row>
    <row r="468" spans="1:12" s="68" customFormat="1">
      <c r="A468" s="68">
        <v>422150100</v>
      </c>
      <c r="B468" s="68" t="s">
        <v>2756</v>
      </c>
      <c r="C468" s="68">
        <v>533</v>
      </c>
      <c r="D468" s="68" t="s">
        <v>2743</v>
      </c>
      <c r="E468" s="68">
        <v>26</v>
      </c>
      <c r="F468" s="68">
        <v>10020003199</v>
      </c>
      <c r="G468" s="78">
        <v>50000</v>
      </c>
      <c r="H468" s="68" t="s">
        <v>2879</v>
      </c>
      <c r="I468" s="68">
        <v>0</v>
      </c>
      <c r="J468" s="54">
        <v>43776</v>
      </c>
      <c r="K468" s="68">
        <v>42</v>
      </c>
      <c r="L468" s="68" t="s">
        <v>2061</v>
      </c>
    </row>
    <row r="469" spans="1:12" s="68" customFormat="1">
      <c r="A469" s="68">
        <v>422150100</v>
      </c>
      <c r="B469" s="68" t="s">
        <v>2756</v>
      </c>
      <c r="C469" s="68">
        <v>533</v>
      </c>
      <c r="D469" s="68" t="s">
        <v>2743</v>
      </c>
      <c r="E469" s="68">
        <v>1</v>
      </c>
      <c r="F469" s="68">
        <v>50010010904</v>
      </c>
      <c r="G469" s="78">
        <v>7273</v>
      </c>
      <c r="H469" s="68" t="s">
        <v>4294</v>
      </c>
      <c r="I469" s="68">
        <v>0</v>
      </c>
      <c r="J469" s="54">
        <v>43776</v>
      </c>
      <c r="K469" s="68">
        <v>42</v>
      </c>
      <c r="L469" s="68" t="s">
        <v>2061</v>
      </c>
    </row>
    <row r="470" spans="1:12" s="68" customFormat="1">
      <c r="A470" s="68">
        <v>422150100</v>
      </c>
      <c r="B470" s="68" t="s">
        <v>2756</v>
      </c>
      <c r="C470" s="68">
        <v>533</v>
      </c>
      <c r="D470" s="68" t="s">
        <v>2743</v>
      </c>
      <c r="E470" s="68">
        <v>1</v>
      </c>
      <c r="F470" s="68">
        <v>60030041812</v>
      </c>
      <c r="G470" s="78">
        <v>14000</v>
      </c>
      <c r="H470" s="68" t="s">
        <v>2845</v>
      </c>
      <c r="I470" s="68">
        <v>0</v>
      </c>
      <c r="J470" s="54">
        <v>43776</v>
      </c>
      <c r="K470" s="68">
        <v>42</v>
      </c>
      <c r="L470" s="68" t="s">
        <v>2061</v>
      </c>
    </row>
    <row r="471" spans="1:12" s="68" customFormat="1">
      <c r="A471" s="68">
        <v>422150100</v>
      </c>
      <c r="B471" s="68" t="s">
        <v>2756</v>
      </c>
      <c r="C471" s="68">
        <v>533</v>
      </c>
      <c r="D471" s="68" t="s">
        <v>2743</v>
      </c>
      <c r="E471" s="68">
        <v>26</v>
      </c>
      <c r="F471" s="68">
        <v>2733</v>
      </c>
      <c r="G471" s="78">
        <v>80000</v>
      </c>
      <c r="H471" s="68" t="s">
        <v>2880</v>
      </c>
      <c r="I471" s="68">
        <v>0</v>
      </c>
      <c r="J471" s="54">
        <v>43781</v>
      </c>
      <c r="K471" s="68">
        <v>42</v>
      </c>
      <c r="L471" s="68" t="s">
        <v>2061</v>
      </c>
    </row>
    <row r="472" spans="1:12" s="68" customFormat="1">
      <c r="A472" s="68">
        <v>422150100</v>
      </c>
      <c r="B472" s="68" t="s">
        <v>2756</v>
      </c>
      <c r="C472" s="68">
        <v>533</v>
      </c>
      <c r="D472" s="68" t="s">
        <v>2743</v>
      </c>
      <c r="E472" s="68">
        <v>1</v>
      </c>
      <c r="F472" s="68">
        <v>10020092361</v>
      </c>
      <c r="G472" s="78">
        <v>9091</v>
      </c>
      <c r="H472" s="68" t="s">
        <v>4290</v>
      </c>
      <c r="I472" s="68">
        <v>0</v>
      </c>
      <c r="J472" s="54">
        <v>43781</v>
      </c>
      <c r="K472" s="68">
        <v>42</v>
      </c>
      <c r="L472" s="68" t="s">
        <v>2061</v>
      </c>
    </row>
    <row r="473" spans="1:12" s="68" customFormat="1">
      <c r="A473" s="68">
        <v>422150100</v>
      </c>
      <c r="B473" s="68" t="s">
        <v>2756</v>
      </c>
      <c r="C473" s="68">
        <v>533</v>
      </c>
      <c r="D473" s="68" t="s">
        <v>2743</v>
      </c>
      <c r="E473" s="68">
        <v>1</v>
      </c>
      <c r="F473" s="68">
        <v>530040010612</v>
      </c>
      <c r="G473" s="78">
        <v>119100</v>
      </c>
      <c r="H473" s="68" t="s">
        <v>4295</v>
      </c>
      <c r="I473" s="68">
        <v>0</v>
      </c>
      <c r="J473" s="54">
        <v>43781</v>
      </c>
      <c r="K473" s="68">
        <v>42</v>
      </c>
      <c r="L473" s="68" t="s">
        <v>2061</v>
      </c>
    </row>
    <row r="474" spans="1:12" s="68" customFormat="1">
      <c r="A474" s="68">
        <v>422150100</v>
      </c>
      <c r="B474" s="68" t="s">
        <v>2756</v>
      </c>
      <c r="C474" s="68">
        <v>533</v>
      </c>
      <c r="D474" s="68" t="s">
        <v>2743</v>
      </c>
      <c r="E474" s="68">
        <v>26</v>
      </c>
      <c r="F474" s="68">
        <v>2945816</v>
      </c>
      <c r="G474" s="78">
        <v>40000</v>
      </c>
      <c r="H474" s="68" t="s">
        <v>2881</v>
      </c>
      <c r="I474" s="68">
        <v>0</v>
      </c>
      <c r="J474" s="54">
        <v>43783</v>
      </c>
      <c r="K474" s="68">
        <v>42</v>
      </c>
      <c r="L474" s="68" t="s">
        <v>2061</v>
      </c>
    </row>
    <row r="475" spans="1:12" s="68" customFormat="1">
      <c r="A475" s="68">
        <v>422150100</v>
      </c>
      <c r="B475" s="68" t="s">
        <v>2756</v>
      </c>
      <c r="C475" s="68">
        <v>533</v>
      </c>
      <c r="D475" s="68" t="s">
        <v>2743</v>
      </c>
      <c r="E475" s="68">
        <v>26</v>
      </c>
      <c r="F475" s="68">
        <v>175</v>
      </c>
      <c r="G475" s="78">
        <v>20000</v>
      </c>
      <c r="H475" s="68" t="s">
        <v>2882</v>
      </c>
      <c r="I475" s="68">
        <v>0</v>
      </c>
      <c r="J475" s="54">
        <v>43784</v>
      </c>
      <c r="K475" s="68">
        <v>42</v>
      </c>
      <c r="L475" s="68" t="s">
        <v>2061</v>
      </c>
    </row>
    <row r="476" spans="1:12" s="68" customFormat="1">
      <c r="A476" s="68">
        <v>422150100</v>
      </c>
      <c r="B476" s="68" t="s">
        <v>2756</v>
      </c>
      <c r="C476" s="68">
        <v>533</v>
      </c>
      <c r="D476" s="68" t="s">
        <v>2743</v>
      </c>
      <c r="E476" s="68">
        <v>1</v>
      </c>
      <c r="F476" s="68">
        <v>60030053435</v>
      </c>
      <c r="G476" s="78">
        <v>14000</v>
      </c>
      <c r="H476" s="68" t="s">
        <v>4296</v>
      </c>
      <c r="I476" s="68">
        <v>0</v>
      </c>
      <c r="J476" s="54">
        <v>43784</v>
      </c>
      <c r="K476" s="68">
        <v>42</v>
      </c>
      <c r="L476" s="68" t="s">
        <v>2061</v>
      </c>
    </row>
    <row r="477" spans="1:12" s="68" customFormat="1">
      <c r="A477" s="68">
        <v>422150100</v>
      </c>
      <c r="B477" s="68" t="s">
        <v>2756</v>
      </c>
      <c r="C477" s="68">
        <v>533</v>
      </c>
      <c r="D477" s="68" t="s">
        <v>2743</v>
      </c>
      <c r="E477" s="68">
        <v>1</v>
      </c>
      <c r="F477" s="68">
        <v>60060027341</v>
      </c>
      <c r="G477" s="78">
        <v>14000</v>
      </c>
      <c r="H477" s="68" t="s">
        <v>4297</v>
      </c>
      <c r="I477" s="68">
        <v>0</v>
      </c>
      <c r="J477" s="54">
        <v>43784</v>
      </c>
      <c r="K477" s="68">
        <v>42</v>
      </c>
      <c r="L477" s="68" t="s">
        <v>2061</v>
      </c>
    </row>
    <row r="478" spans="1:12" s="68" customFormat="1">
      <c r="A478" s="68">
        <v>422150100</v>
      </c>
      <c r="B478" s="68" t="s">
        <v>2756</v>
      </c>
      <c r="C478" s="68">
        <v>533</v>
      </c>
      <c r="D478" s="68" t="s">
        <v>2743</v>
      </c>
      <c r="E478" s="68">
        <v>1</v>
      </c>
      <c r="F478" s="68">
        <v>10010005109</v>
      </c>
      <c r="G478" s="78">
        <v>41909</v>
      </c>
      <c r="H478" s="68" t="s">
        <v>4298</v>
      </c>
      <c r="I478" s="68">
        <v>0</v>
      </c>
      <c r="J478" s="54">
        <v>43787</v>
      </c>
      <c r="K478" s="68">
        <v>42</v>
      </c>
      <c r="L478" s="68" t="s">
        <v>2061</v>
      </c>
    </row>
    <row r="479" spans="1:12" s="68" customFormat="1">
      <c r="A479" s="68">
        <v>422150100</v>
      </c>
      <c r="B479" s="68" t="s">
        <v>2756</v>
      </c>
      <c r="C479" s="68">
        <v>533</v>
      </c>
      <c r="D479" s="68" t="s">
        <v>2743</v>
      </c>
      <c r="E479" s="68">
        <v>1</v>
      </c>
      <c r="F479" s="68">
        <v>10020002892</v>
      </c>
      <c r="G479" s="78">
        <v>6364</v>
      </c>
      <c r="H479" s="68" t="s">
        <v>4299</v>
      </c>
      <c r="I479" s="68">
        <v>0</v>
      </c>
      <c r="J479" s="54">
        <v>43787</v>
      </c>
      <c r="K479" s="68">
        <v>42</v>
      </c>
      <c r="L479" s="68" t="s">
        <v>2061</v>
      </c>
    </row>
    <row r="480" spans="1:12" s="68" customFormat="1">
      <c r="A480" s="68">
        <v>422150100</v>
      </c>
      <c r="B480" s="68" t="s">
        <v>2756</v>
      </c>
      <c r="C480" s="68">
        <v>533</v>
      </c>
      <c r="D480" s="68" t="s">
        <v>2743</v>
      </c>
      <c r="E480" s="68">
        <v>1</v>
      </c>
      <c r="F480" s="68">
        <v>10010000057</v>
      </c>
      <c r="G480" s="78">
        <v>34038</v>
      </c>
      <c r="H480" s="68" t="s">
        <v>4300</v>
      </c>
      <c r="I480" s="68">
        <v>0</v>
      </c>
      <c r="J480" s="54">
        <v>43789</v>
      </c>
      <c r="K480" s="68">
        <v>42</v>
      </c>
      <c r="L480" s="68" t="s">
        <v>2061</v>
      </c>
    </row>
    <row r="481" spans="1:12" s="68" customFormat="1">
      <c r="A481" s="68">
        <v>422150100</v>
      </c>
      <c r="B481" s="68" t="s">
        <v>2756</v>
      </c>
      <c r="C481" s="68">
        <v>533</v>
      </c>
      <c r="D481" s="68" t="s">
        <v>2743</v>
      </c>
      <c r="E481" s="68">
        <v>26</v>
      </c>
      <c r="F481" s="68">
        <v>2366</v>
      </c>
      <c r="G481" s="78">
        <v>240000</v>
      </c>
      <c r="H481" s="68" t="s">
        <v>2883</v>
      </c>
      <c r="I481" s="68">
        <v>0</v>
      </c>
      <c r="J481" s="54">
        <v>43794</v>
      </c>
      <c r="K481" s="68">
        <v>42</v>
      </c>
      <c r="L481" s="68" t="s">
        <v>2061</v>
      </c>
    </row>
    <row r="482" spans="1:12" s="68" customFormat="1">
      <c r="A482" s="68">
        <v>422150100</v>
      </c>
      <c r="B482" s="68" t="s">
        <v>2756</v>
      </c>
      <c r="C482" s="68">
        <v>533</v>
      </c>
      <c r="D482" s="68" t="s">
        <v>2743</v>
      </c>
      <c r="E482" s="68">
        <v>26</v>
      </c>
      <c r="F482" s="68">
        <v>2511</v>
      </c>
      <c r="G482" s="78">
        <v>80000</v>
      </c>
      <c r="H482" s="68" t="s">
        <v>2884</v>
      </c>
      <c r="I482" s="68">
        <v>0</v>
      </c>
      <c r="J482" s="54">
        <v>43794</v>
      </c>
      <c r="K482" s="68">
        <v>42</v>
      </c>
      <c r="L482" s="68" t="s">
        <v>2061</v>
      </c>
    </row>
    <row r="483" spans="1:12" s="68" customFormat="1">
      <c r="A483" s="68">
        <v>422150100</v>
      </c>
      <c r="B483" s="68" t="s">
        <v>2756</v>
      </c>
      <c r="C483" s="68">
        <v>533</v>
      </c>
      <c r="D483" s="68" t="s">
        <v>2743</v>
      </c>
      <c r="E483" s="68">
        <v>1</v>
      </c>
      <c r="F483" s="68">
        <v>60010030898</v>
      </c>
      <c r="G483" s="78">
        <v>50000</v>
      </c>
      <c r="H483" s="68" t="s">
        <v>2883</v>
      </c>
      <c r="I483" s="68">
        <v>0</v>
      </c>
      <c r="J483" s="54">
        <v>43794</v>
      </c>
      <c r="K483" s="68">
        <v>42</v>
      </c>
      <c r="L483" s="68" t="s">
        <v>2061</v>
      </c>
    </row>
    <row r="484" spans="1:12" s="68" customFormat="1">
      <c r="A484" s="68">
        <v>422150100</v>
      </c>
      <c r="B484" s="68" t="s">
        <v>2756</v>
      </c>
      <c r="C484" s="68">
        <v>533</v>
      </c>
      <c r="D484" s="68" t="s">
        <v>2743</v>
      </c>
      <c r="E484" s="68">
        <v>1</v>
      </c>
      <c r="F484" s="68">
        <v>60080522992</v>
      </c>
      <c r="G484" s="78">
        <v>50000</v>
      </c>
      <c r="H484" s="68" t="s">
        <v>2883</v>
      </c>
      <c r="I484" s="68">
        <v>0</v>
      </c>
      <c r="J484" s="54">
        <v>43794</v>
      </c>
      <c r="K484" s="68">
        <v>42</v>
      </c>
      <c r="L484" s="68" t="s">
        <v>2061</v>
      </c>
    </row>
    <row r="485" spans="1:12" s="68" customFormat="1">
      <c r="A485" s="68">
        <v>422150100</v>
      </c>
      <c r="B485" s="68" t="s">
        <v>2756</v>
      </c>
      <c r="C485" s="68">
        <v>533</v>
      </c>
      <c r="D485" s="68" t="s">
        <v>2743</v>
      </c>
      <c r="E485" s="68">
        <v>26</v>
      </c>
      <c r="F485" s="68">
        <v>3278</v>
      </c>
      <c r="G485" s="78">
        <v>80000</v>
      </c>
      <c r="H485" s="68" t="s">
        <v>2885</v>
      </c>
      <c r="I485" s="68">
        <v>0</v>
      </c>
      <c r="J485" s="54">
        <v>43798</v>
      </c>
      <c r="K485" s="68">
        <v>42</v>
      </c>
      <c r="L485" s="68" t="s">
        <v>2061</v>
      </c>
    </row>
    <row r="486" spans="1:12" s="68" customFormat="1">
      <c r="A486" s="68">
        <v>422150100</v>
      </c>
      <c r="B486" s="68" t="s">
        <v>2756</v>
      </c>
      <c r="C486" s="68">
        <v>533</v>
      </c>
      <c r="D486" s="68" t="s">
        <v>2743</v>
      </c>
      <c r="E486" s="68">
        <v>26</v>
      </c>
      <c r="F486" s="68">
        <v>6043</v>
      </c>
      <c r="G486" s="78">
        <v>10000</v>
      </c>
      <c r="H486" s="68" t="s">
        <v>2886</v>
      </c>
      <c r="I486" s="68">
        <v>0</v>
      </c>
      <c r="J486" s="54">
        <v>43798</v>
      </c>
      <c r="K486" s="68">
        <v>42</v>
      </c>
      <c r="L486" s="68" t="s">
        <v>2061</v>
      </c>
    </row>
    <row r="487" spans="1:12" s="68" customFormat="1">
      <c r="A487" s="68">
        <v>422150100</v>
      </c>
      <c r="B487" s="68" t="s">
        <v>2756</v>
      </c>
      <c r="C487" s="68">
        <v>533</v>
      </c>
      <c r="D487" s="68" t="s">
        <v>2743</v>
      </c>
      <c r="E487" s="68">
        <v>26</v>
      </c>
      <c r="F487" s="68">
        <v>6505</v>
      </c>
      <c r="G487" s="78">
        <v>10000</v>
      </c>
      <c r="H487" s="68" t="s">
        <v>2887</v>
      </c>
      <c r="I487" s="68">
        <v>0</v>
      </c>
      <c r="J487" s="54">
        <v>43798</v>
      </c>
      <c r="K487" s="68">
        <v>42</v>
      </c>
      <c r="L487" s="68" t="s">
        <v>2061</v>
      </c>
    </row>
    <row r="488" spans="1:12" s="68" customFormat="1">
      <c r="A488" s="68">
        <v>422150100</v>
      </c>
      <c r="B488" s="68" t="s">
        <v>2756</v>
      </c>
      <c r="C488" s="68">
        <v>533</v>
      </c>
      <c r="D488" s="68" t="s">
        <v>2743</v>
      </c>
      <c r="E488" s="68">
        <v>26</v>
      </c>
      <c r="F488" s="68">
        <v>10070002942</v>
      </c>
      <c r="G488" s="78">
        <v>50000</v>
      </c>
      <c r="H488" s="68" t="s">
        <v>2888</v>
      </c>
      <c r="I488" s="68">
        <v>0</v>
      </c>
      <c r="J488" s="54">
        <v>43798</v>
      </c>
      <c r="K488" s="68">
        <v>42</v>
      </c>
      <c r="L488" s="68" t="s">
        <v>2061</v>
      </c>
    </row>
    <row r="489" spans="1:12" s="68" customFormat="1">
      <c r="A489" s="68">
        <v>422150100</v>
      </c>
      <c r="B489" s="68" t="s">
        <v>2756</v>
      </c>
      <c r="C489" s="68">
        <v>533</v>
      </c>
      <c r="D489" s="68" t="s">
        <v>2743</v>
      </c>
      <c r="E489" s="68">
        <v>26</v>
      </c>
      <c r="F489" s="68">
        <v>11300464997</v>
      </c>
      <c r="G489" s="78">
        <v>3600</v>
      </c>
      <c r="H489" s="68" t="s">
        <v>2889</v>
      </c>
      <c r="I489" s="68">
        <v>0</v>
      </c>
      <c r="J489" s="54">
        <v>43798</v>
      </c>
      <c r="K489" s="68">
        <v>42</v>
      </c>
      <c r="L489" s="68" t="s">
        <v>2061</v>
      </c>
    </row>
    <row r="490" spans="1:12" s="68" customFormat="1">
      <c r="A490" s="68">
        <v>422150100</v>
      </c>
      <c r="B490" s="68" t="s">
        <v>2756</v>
      </c>
      <c r="C490" s="68">
        <v>533</v>
      </c>
      <c r="D490" s="68" t="s">
        <v>2743</v>
      </c>
      <c r="E490" s="68">
        <v>1</v>
      </c>
      <c r="F490" s="68">
        <v>60030068625</v>
      </c>
      <c r="G490" s="78">
        <v>14000</v>
      </c>
      <c r="H490" s="68" t="s">
        <v>2886</v>
      </c>
      <c r="I490" s="68">
        <v>0</v>
      </c>
      <c r="J490" s="54">
        <v>43798</v>
      </c>
      <c r="K490" s="68">
        <v>42</v>
      </c>
      <c r="L490" s="68" t="s">
        <v>2061</v>
      </c>
    </row>
    <row r="491" spans="1:12" s="68" customFormat="1">
      <c r="A491" s="68">
        <v>422150100</v>
      </c>
      <c r="B491" s="68" t="s">
        <v>2756</v>
      </c>
      <c r="C491" s="68">
        <v>533</v>
      </c>
      <c r="D491" s="68" t="s">
        <v>2743</v>
      </c>
      <c r="E491" s="68">
        <v>26</v>
      </c>
      <c r="F491" s="68">
        <v>5858</v>
      </c>
      <c r="G491" s="78">
        <v>80000</v>
      </c>
      <c r="H491" s="68" t="s">
        <v>2890</v>
      </c>
      <c r="I491" s="68">
        <v>0</v>
      </c>
      <c r="J491" s="54">
        <v>43809</v>
      </c>
      <c r="K491" s="68">
        <v>42</v>
      </c>
      <c r="L491" s="68" t="s">
        <v>2061</v>
      </c>
    </row>
    <row r="492" spans="1:12" s="68" customFormat="1">
      <c r="A492" s="68">
        <v>422150100</v>
      </c>
      <c r="B492" s="68" t="s">
        <v>2756</v>
      </c>
      <c r="C492" s="68">
        <v>533</v>
      </c>
      <c r="D492" s="68" t="s">
        <v>2743</v>
      </c>
      <c r="E492" s="68">
        <v>26</v>
      </c>
      <c r="F492" s="68">
        <v>1652627</v>
      </c>
      <c r="G492" s="78">
        <v>80000</v>
      </c>
      <c r="H492" s="68" t="s">
        <v>2891</v>
      </c>
      <c r="I492" s="68">
        <v>0</v>
      </c>
      <c r="J492" s="54">
        <v>43809</v>
      </c>
      <c r="K492" s="68">
        <v>42</v>
      </c>
      <c r="L492" s="68" t="s">
        <v>2061</v>
      </c>
    </row>
    <row r="493" spans="1:12" s="68" customFormat="1">
      <c r="A493" s="68">
        <v>422150100</v>
      </c>
      <c r="B493" s="68" t="s">
        <v>2756</v>
      </c>
      <c r="C493" s="68">
        <v>533</v>
      </c>
      <c r="D493" s="68" t="s">
        <v>2743</v>
      </c>
      <c r="E493" s="68">
        <v>1</v>
      </c>
      <c r="F493" s="68">
        <v>10020093608</v>
      </c>
      <c r="G493" s="78">
        <v>9091</v>
      </c>
      <c r="H493" s="68" t="s">
        <v>4301</v>
      </c>
      <c r="I493" s="68">
        <v>0</v>
      </c>
      <c r="J493" s="54">
        <v>43809</v>
      </c>
      <c r="K493" s="68">
        <v>42</v>
      </c>
      <c r="L493" s="68" t="s">
        <v>2061</v>
      </c>
    </row>
    <row r="494" spans="1:12" s="68" customFormat="1">
      <c r="A494" s="68">
        <v>422150100</v>
      </c>
      <c r="B494" s="68" t="s">
        <v>2756</v>
      </c>
      <c r="C494" s="68">
        <v>533</v>
      </c>
      <c r="D494" s="68" t="s">
        <v>2743</v>
      </c>
      <c r="E494" s="68">
        <v>1</v>
      </c>
      <c r="F494" s="68">
        <v>60010037602</v>
      </c>
      <c r="G494" s="78">
        <v>50000</v>
      </c>
      <c r="H494" s="68" t="s">
        <v>4302</v>
      </c>
      <c r="I494" s="68">
        <v>0</v>
      </c>
      <c r="J494" s="54">
        <v>43809</v>
      </c>
      <c r="K494" s="68">
        <v>42</v>
      </c>
      <c r="L494" s="68" t="s">
        <v>2061</v>
      </c>
    </row>
    <row r="495" spans="1:12" s="68" customFormat="1">
      <c r="A495" s="68">
        <v>422150100</v>
      </c>
      <c r="B495" s="68" t="s">
        <v>2756</v>
      </c>
      <c r="C495" s="68">
        <v>533</v>
      </c>
      <c r="D495" s="68" t="s">
        <v>2743</v>
      </c>
      <c r="E495" s="68">
        <v>1</v>
      </c>
      <c r="F495" s="68">
        <v>60100004663</v>
      </c>
      <c r="G495" s="78">
        <v>50000</v>
      </c>
      <c r="H495" s="68" t="s">
        <v>4303</v>
      </c>
      <c r="I495" s="68">
        <v>0</v>
      </c>
      <c r="J495" s="54">
        <v>43809</v>
      </c>
      <c r="K495" s="68">
        <v>42</v>
      </c>
      <c r="L495" s="68" t="s">
        <v>2061</v>
      </c>
    </row>
    <row r="496" spans="1:12" s="68" customFormat="1">
      <c r="A496" s="68">
        <v>422150100</v>
      </c>
      <c r="B496" s="68" t="s">
        <v>2756</v>
      </c>
      <c r="C496" s="68">
        <v>533</v>
      </c>
      <c r="D496" s="68" t="s">
        <v>2743</v>
      </c>
      <c r="E496" s="68">
        <v>26</v>
      </c>
      <c r="F496" s="68">
        <v>8205</v>
      </c>
      <c r="G496" s="78">
        <v>80000</v>
      </c>
      <c r="H496" s="68" t="s">
        <v>2892</v>
      </c>
      <c r="I496" s="68">
        <v>0</v>
      </c>
      <c r="J496" s="54">
        <v>43812</v>
      </c>
      <c r="K496" s="68">
        <v>42</v>
      </c>
      <c r="L496" s="68" t="s">
        <v>2061</v>
      </c>
    </row>
    <row r="497" spans="1:12" s="68" customFormat="1">
      <c r="A497" s="68">
        <v>422150100</v>
      </c>
      <c r="B497" s="68" t="s">
        <v>2756</v>
      </c>
      <c r="C497" s="68">
        <v>533</v>
      </c>
      <c r="D497" s="68" t="s">
        <v>2743</v>
      </c>
      <c r="E497" s="68">
        <v>26</v>
      </c>
      <c r="F497" s="68">
        <v>131219</v>
      </c>
      <c r="G497" s="78">
        <v>25000</v>
      </c>
      <c r="H497" s="68" t="s">
        <v>2893</v>
      </c>
      <c r="I497" s="68">
        <v>0</v>
      </c>
      <c r="J497" s="54">
        <v>43815</v>
      </c>
      <c r="K497" s="68">
        <v>42</v>
      </c>
      <c r="L497" s="68" t="s">
        <v>2061</v>
      </c>
    </row>
    <row r="498" spans="1:12" s="68" customFormat="1">
      <c r="A498" s="68">
        <v>422150100</v>
      </c>
      <c r="B498" s="68" t="s">
        <v>2756</v>
      </c>
      <c r="C498" s="68">
        <v>533</v>
      </c>
      <c r="D498" s="68" t="s">
        <v>2743</v>
      </c>
      <c r="E498" s="68">
        <v>26</v>
      </c>
      <c r="F498" s="68">
        <v>2566</v>
      </c>
      <c r="G498" s="78">
        <v>10000</v>
      </c>
      <c r="H498" s="68" t="s">
        <v>2894</v>
      </c>
      <c r="I498" s="68">
        <v>0</v>
      </c>
      <c r="J498" s="54">
        <v>43818</v>
      </c>
      <c r="K498" s="68">
        <v>42</v>
      </c>
      <c r="L498" s="68" t="s">
        <v>2061</v>
      </c>
    </row>
    <row r="499" spans="1:12" s="68" customFormat="1">
      <c r="A499" s="68">
        <v>422150100</v>
      </c>
      <c r="B499" s="68" t="s">
        <v>2756</v>
      </c>
      <c r="C499" s="68">
        <v>533</v>
      </c>
      <c r="D499" s="68" t="s">
        <v>2743</v>
      </c>
      <c r="E499" s="68">
        <v>1</v>
      </c>
      <c r="F499" s="68">
        <v>20030004696</v>
      </c>
      <c r="G499" s="78">
        <v>9091</v>
      </c>
      <c r="H499" s="68" t="s">
        <v>4304</v>
      </c>
      <c r="I499" s="68">
        <v>0</v>
      </c>
      <c r="J499" s="54">
        <v>43818</v>
      </c>
      <c r="K499" s="68">
        <v>42</v>
      </c>
      <c r="L499" s="68" t="s">
        <v>2061</v>
      </c>
    </row>
    <row r="500" spans="1:12" s="68" customFormat="1">
      <c r="A500" s="68">
        <v>422150100</v>
      </c>
      <c r="B500" s="68" t="s">
        <v>2756</v>
      </c>
      <c r="C500" s="68">
        <v>533</v>
      </c>
      <c r="D500" s="68" t="s">
        <v>2743</v>
      </c>
      <c r="E500" s="68">
        <v>1</v>
      </c>
      <c r="F500" s="68">
        <v>280020001626</v>
      </c>
      <c r="G500" s="78">
        <v>119100</v>
      </c>
      <c r="H500" s="68" t="s">
        <v>4305</v>
      </c>
      <c r="I500" s="68">
        <v>0</v>
      </c>
      <c r="J500" s="54">
        <v>43818</v>
      </c>
      <c r="K500" s="68">
        <v>42</v>
      </c>
      <c r="L500" s="68" t="s">
        <v>2061</v>
      </c>
    </row>
    <row r="501" spans="1:12" s="68" customFormat="1">
      <c r="A501" s="68">
        <v>422150100</v>
      </c>
      <c r="B501" s="68" t="s">
        <v>2756</v>
      </c>
      <c r="C501" s="68">
        <v>533</v>
      </c>
      <c r="D501" s="68" t="s">
        <v>2743</v>
      </c>
      <c r="E501" s="68">
        <v>26</v>
      </c>
      <c r="F501" s="68">
        <v>231219</v>
      </c>
      <c r="G501" s="78">
        <v>20000</v>
      </c>
      <c r="H501" s="68" t="s">
        <v>2895</v>
      </c>
      <c r="I501" s="68">
        <v>0</v>
      </c>
      <c r="J501" s="54">
        <v>43825</v>
      </c>
      <c r="K501" s="68">
        <v>42</v>
      </c>
      <c r="L501" s="68" t="s">
        <v>2061</v>
      </c>
    </row>
    <row r="502" spans="1:12" s="68" customFormat="1">
      <c r="A502" s="68">
        <v>422150100</v>
      </c>
      <c r="B502" s="68" t="s">
        <v>2756</v>
      </c>
      <c r="C502" s="68">
        <v>533</v>
      </c>
      <c r="D502" s="68" t="s">
        <v>2743</v>
      </c>
      <c r="E502" s="68">
        <v>26</v>
      </c>
      <c r="F502" s="68">
        <v>6518</v>
      </c>
      <c r="G502" s="78">
        <v>80000</v>
      </c>
      <c r="H502" s="68" t="s">
        <v>2896</v>
      </c>
      <c r="I502" s="68">
        <v>0</v>
      </c>
      <c r="J502" s="54">
        <v>43826</v>
      </c>
      <c r="K502" s="68">
        <v>42</v>
      </c>
      <c r="L502" s="68" t="s">
        <v>2061</v>
      </c>
    </row>
    <row r="503" spans="1:12" s="68" customFormat="1">
      <c r="A503" s="68">
        <v>422150100</v>
      </c>
      <c r="B503" s="68" t="s">
        <v>2756</v>
      </c>
      <c r="C503" s="68">
        <v>533</v>
      </c>
      <c r="D503" s="68" t="s">
        <v>2743</v>
      </c>
      <c r="E503" s="68">
        <v>26</v>
      </c>
      <c r="F503" s="68">
        <v>301219</v>
      </c>
      <c r="G503" s="78">
        <v>80000</v>
      </c>
      <c r="H503" s="68" t="s">
        <v>2897</v>
      </c>
      <c r="I503" s="68">
        <v>0</v>
      </c>
      <c r="J503" s="54">
        <v>43829</v>
      </c>
      <c r="K503" s="68">
        <v>42</v>
      </c>
      <c r="L503" s="68" t="s">
        <v>2061</v>
      </c>
    </row>
    <row r="504" spans="1:12" s="68" customFormat="1">
      <c r="A504" s="68">
        <v>422150100</v>
      </c>
      <c r="B504" s="68" t="s">
        <v>2756</v>
      </c>
      <c r="C504" s="68">
        <v>533</v>
      </c>
      <c r="D504" s="68" t="s">
        <v>2743</v>
      </c>
      <c r="E504" s="68">
        <v>2</v>
      </c>
      <c r="F504" s="68">
        <v>10130017874</v>
      </c>
      <c r="G504" s="78">
        <v>139000</v>
      </c>
      <c r="H504" s="68" t="s">
        <v>4306</v>
      </c>
      <c r="I504" s="68">
        <v>0</v>
      </c>
      <c r="J504" s="54">
        <v>43530</v>
      </c>
      <c r="L504" s="68" t="s">
        <v>2076</v>
      </c>
    </row>
    <row r="505" spans="1:12" s="68" customFormat="1">
      <c r="A505" s="68">
        <v>422150100</v>
      </c>
      <c r="B505" s="68" t="s">
        <v>2756</v>
      </c>
      <c r="C505" s="68">
        <v>533</v>
      </c>
      <c r="D505" s="68" t="s">
        <v>2743</v>
      </c>
      <c r="E505" s="68">
        <v>2</v>
      </c>
      <c r="F505" s="68">
        <v>10130021360</v>
      </c>
      <c r="G505" s="78">
        <v>139000</v>
      </c>
      <c r="H505" s="68" t="s">
        <v>4307</v>
      </c>
      <c r="I505" s="68">
        <v>0</v>
      </c>
      <c r="J505" s="54">
        <v>43602</v>
      </c>
      <c r="L505" s="68" t="s">
        <v>2076</v>
      </c>
    </row>
    <row r="506" spans="1:12" s="68" customFormat="1">
      <c r="A506" s="68">
        <v>422150400</v>
      </c>
      <c r="B506" s="68" t="s">
        <v>2898</v>
      </c>
      <c r="C506" s="68">
        <v>746</v>
      </c>
      <c r="D506" s="68" t="s">
        <v>4308</v>
      </c>
      <c r="E506" s="68">
        <v>26</v>
      </c>
      <c r="F506" s="68">
        <v>1068703</v>
      </c>
      <c r="G506" s="78">
        <v>5000</v>
      </c>
      <c r="H506" s="68" t="s">
        <v>2899</v>
      </c>
      <c r="I506" s="68">
        <v>0</v>
      </c>
      <c r="J506" s="54">
        <v>43602</v>
      </c>
      <c r="K506" s="68">
        <v>62</v>
      </c>
      <c r="L506" s="68" t="s">
        <v>4309</v>
      </c>
    </row>
    <row r="507" spans="1:12" s="68" customFormat="1">
      <c r="A507" s="68">
        <v>422150400</v>
      </c>
      <c r="B507" s="68" t="s">
        <v>2898</v>
      </c>
      <c r="C507" s="68">
        <v>746</v>
      </c>
      <c r="D507" s="68" t="s">
        <v>4308</v>
      </c>
      <c r="E507" s="68">
        <v>26</v>
      </c>
      <c r="F507" s="68">
        <v>1242917</v>
      </c>
      <c r="G507" s="78">
        <v>5000</v>
      </c>
      <c r="H507" s="68" t="s">
        <v>2899</v>
      </c>
      <c r="I507" s="68">
        <v>0</v>
      </c>
      <c r="J507" s="54">
        <v>43602</v>
      </c>
      <c r="K507" s="68">
        <v>62</v>
      </c>
      <c r="L507" s="68" t="s">
        <v>4309</v>
      </c>
    </row>
    <row r="508" spans="1:12" s="68" customFormat="1">
      <c r="A508" s="68">
        <v>422150400</v>
      </c>
      <c r="B508" s="68" t="s">
        <v>2898</v>
      </c>
      <c r="C508" s="68">
        <v>746</v>
      </c>
      <c r="D508" s="68" t="s">
        <v>4308</v>
      </c>
      <c r="E508" s="68">
        <v>1</v>
      </c>
      <c r="F508" s="68">
        <v>10010000225</v>
      </c>
      <c r="G508" s="78">
        <v>41818</v>
      </c>
      <c r="H508" s="68" t="s">
        <v>4310</v>
      </c>
      <c r="I508" s="68">
        <v>0</v>
      </c>
      <c r="J508" s="54">
        <v>43602</v>
      </c>
      <c r="K508" s="68">
        <v>62</v>
      </c>
      <c r="L508" s="68" t="s">
        <v>4309</v>
      </c>
    </row>
    <row r="509" spans="1:12" s="68" customFormat="1">
      <c r="A509" s="68">
        <v>422150400</v>
      </c>
      <c r="B509" s="68" t="s">
        <v>2898</v>
      </c>
      <c r="C509" s="68">
        <v>746</v>
      </c>
      <c r="D509" s="68" t="s">
        <v>4308</v>
      </c>
      <c r="E509" s="68">
        <v>26</v>
      </c>
      <c r="F509" s="68">
        <v>1168203</v>
      </c>
      <c r="G509" s="78">
        <v>5000</v>
      </c>
      <c r="H509" s="68" t="s">
        <v>2900</v>
      </c>
      <c r="I509" s="68">
        <v>0</v>
      </c>
      <c r="J509" s="54">
        <v>43636</v>
      </c>
      <c r="K509" s="68">
        <v>62</v>
      </c>
      <c r="L509" s="68" t="s">
        <v>4309</v>
      </c>
    </row>
    <row r="510" spans="1:12" s="68" customFormat="1">
      <c r="A510" s="68">
        <v>422150400</v>
      </c>
      <c r="B510" s="68" t="s">
        <v>2898</v>
      </c>
      <c r="C510" s="68">
        <v>746</v>
      </c>
      <c r="D510" s="68" t="s">
        <v>4308</v>
      </c>
      <c r="E510" s="68">
        <v>26</v>
      </c>
      <c r="F510" s="68">
        <v>1353519</v>
      </c>
      <c r="G510" s="78">
        <v>5000</v>
      </c>
      <c r="H510" s="68" t="s">
        <v>2900</v>
      </c>
      <c r="I510" s="68">
        <v>0</v>
      </c>
      <c r="J510" s="54">
        <v>43636</v>
      </c>
      <c r="K510" s="68">
        <v>62</v>
      </c>
      <c r="L510" s="68" t="s">
        <v>4309</v>
      </c>
    </row>
    <row r="511" spans="1:12" s="68" customFormat="1">
      <c r="A511" s="68">
        <v>422150400</v>
      </c>
      <c r="B511" s="68" t="s">
        <v>2898</v>
      </c>
      <c r="C511" s="68">
        <v>746</v>
      </c>
      <c r="D511" s="68" t="s">
        <v>4308</v>
      </c>
      <c r="E511" s="68">
        <v>1</v>
      </c>
      <c r="F511" s="68">
        <v>10050000875</v>
      </c>
      <c r="G511" s="78">
        <v>27273</v>
      </c>
      <c r="H511" s="68" t="s">
        <v>4310</v>
      </c>
      <c r="I511" s="68">
        <v>0</v>
      </c>
      <c r="J511" s="54">
        <v>43714</v>
      </c>
      <c r="K511" s="68">
        <v>62</v>
      </c>
      <c r="L511" s="68" t="s">
        <v>4309</v>
      </c>
    </row>
    <row r="512" spans="1:12" s="68" customFormat="1">
      <c r="A512" s="68">
        <v>422150400</v>
      </c>
      <c r="B512" s="68" t="s">
        <v>2898</v>
      </c>
      <c r="C512" s="68">
        <v>746</v>
      </c>
      <c r="D512" s="68" t="s">
        <v>4308</v>
      </c>
      <c r="E512" s="68">
        <v>1</v>
      </c>
      <c r="F512" s="68">
        <v>20010000008</v>
      </c>
      <c r="G512" s="78">
        <v>54545</v>
      </c>
      <c r="H512" s="68" t="s">
        <v>4311</v>
      </c>
      <c r="I512" s="68">
        <v>0</v>
      </c>
      <c r="J512" s="54">
        <v>43734</v>
      </c>
      <c r="K512" s="68">
        <v>62</v>
      </c>
      <c r="L512" s="68" t="s">
        <v>4309</v>
      </c>
    </row>
    <row r="513" spans="1:12" s="68" customFormat="1">
      <c r="A513" s="68">
        <v>422150400</v>
      </c>
      <c r="B513" s="68" t="s">
        <v>2898</v>
      </c>
      <c r="C513" s="68">
        <v>746</v>
      </c>
      <c r="D513" s="68" t="s">
        <v>4308</v>
      </c>
      <c r="E513" s="68">
        <v>26</v>
      </c>
      <c r="F513" s="68">
        <v>1519476</v>
      </c>
      <c r="G513" s="78">
        <v>5000</v>
      </c>
      <c r="H513" s="68" t="s">
        <v>2901</v>
      </c>
      <c r="I513" s="68">
        <v>0</v>
      </c>
      <c r="J513" s="54">
        <v>43782</v>
      </c>
      <c r="K513" s="68">
        <v>62</v>
      </c>
      <c r="L513" s="68" t="s">
        <v>4309</v>
      </c>
    </row>
    <row r="514" spans="1:12" s="68" customFormat="1">
      <c r="A514" s="68">
        <v>422150400</v>
      </c>
      <c r="B514" s="68" t="s">
        <v>2898</v>
      </c>
      <c r="C514" s="68">
        <v>746</v>
      </c>
      <c r="D514" s="68" t="s">
        <v>4308</v>
      </c>
      <c r="E514" s="68">
        <v>26</v>
      </c>
      <c r="F514" s="68">
        <v>1745116</v>
      </c>
      <c r="G514" s="78">
        <v>5000</v>
      </c>
      <c r="H514" s="68" t="s">
        <v>2901</v>
      </c>
      <c r="I514" s="68">
        <v>0</v>
      </c>
      <c r="J514" s="54">
        <v>43782</v>
      </c>
      <c r="K514" s="68">
        <v>62</v>
      </c>
      <c r="L514" s="68" t="s">
        <v>4309</v>
      </c>
    </row>
    <row r="515" spans="1:12" s="68" customFormat="1">
      <c r="A515" s="68">
        <v>422150400</v>
      </c>
      <c r="B515" s="68" t="s">
        <v>2898</v>
      </c>
      <c r="C515" s="68">
        <v>746</v>
      </c>
      <c r="D515" s="68" t="s">
        <v>4308</v>
      </c>
      <c r="E515" s="68">
        <v>26</v>
      </c>
      <c r="F515" s="68">
        <v>1874441</v>
      </c>
      <c r="G515" s="78">
        <v>5000</v>
      </c>
      <c r="H515" s="68" t="s">
        <v>2900</v>
      </c>
      <c r="I515" s="68">
        <v>0</v>
      </c>
      <c r="J515" s="54">
        <v>43825</v>
      </c>
      <c r="K515" s="68">
        <v>62</v>
      </c>
      <c r="L515" s="68" t="s">
        <v>4309</v>
      </c>
    </row>
    <row r="516" spans="1:12" s="68" customFormat="1">
      <c r="A516" s="68">
        <v>422150400</v>
      </c>
      <c r="B516" s="68" t="s">
        <v>2898</v>
      </c>
      <c r="C516" s="68">
        <v>1717</v>
      </c>
      <c r="D516" s="68" t="s">
        <v>4312</v>
      </c>
      <c r="E516" s="68">
        <v>1</v>
      </c>
      <c r="F516" s="68">
        <v>10010001193</v>
      </c>
      <c r="G516" s="78">
        <v>1150000</v>
      </c>
      <c r="H516" s="68" t="s">
        <v>4313</v>
      </c>
      <c r="I516" s="68">
        <v>0</v>
      </c>
      <c r="J516" s="54">
        <v>43759</v>
      </c>
      <c r="K516" s="68">
        <v>8</v>
      </c>
      <c r="L516" s="68" t="s">
        <v>2262</v>
      </c>
    </row>
    <row r="517" spans="1:12" s="68" customFormat="1">
      <c r="A517" s="68">
        <v>422150400</v>
      </c>
      <c r="B517" s="68" t="s">
        <v>2898</v>
      </c>
      <c r="C517" s="68">
        <v>1717</v>
      </c>
      <c r="D517" s="68" t="s">
        <v>4312</v>
      </c>
      <c r="E517" s="68">
        <v>1</v>
      </c>
      <c r="F517" s="68">
        <v>10010003532</v>
      </c>
      <c r="G517" s="78">
        <v>1709091</v>
      </c>
      <c r="H517" s="68" t="s">
        <v>4314</v>
      </c>
      <c r="I517" s="68">
        <v>0</v>
      </c>
      <c r="J517" s="54">
        <v>43655</v>
      </c>
      <c r="K517" s="68">
        <v>32</v>
      </c>
      <c r="L517" s="68" t="s">
        <v>2237</v>
      </c>
    </row>
    <row r="518" spans="1:12" s="68" customFormat="1">
      <c r="A518" s="68">
        <v>422150500</v>
      </c>
      <c r="B518" s="68" t="s">
        <v>2576</v>
      </c>
      <c r="C518" s="68">
        <v>592</v>
      </c>
      <c r="D518" s="68" t="s">
        <v>2577</v>
      </c>
      <c r="E518" s="68">
        <v>1</v>
      </c>
      <c r="F518" s="68">
        <v>70010000401</v>
      </c>
      <c r="G518" s="78">
        <v>54545</v>
      </c>
      <c r="H518" s="68" t="s">
        <v>4315</v>
      </c>
      <c r="I518" s="68">
        <v>0</v>
      </c>
      <c r="J518" s="54">
        <v>43826</v>
      </c>
      <c r="K518" s="68">
        <v>3</v>
      </c>
      <c r="L518" s="68" t="s">
        <v>2099</v>
      </c>
    </row>
    <row r="519" spans="1:12" s="68" customFormat="1">
      <c r="A519" s="68">
        <v>422150500</v>
      </c>
      <c r="B519" s="68" t="s">
        <v>2576</v>
      </c>
      <c r="C519" s="68">
        <v>592</v>
      </c>
      <c r="D519" s="68" t="s">
        <v>2577</v>
      </c>
      <c r="E519" s="68">
        <v>1</v>
      </c>
      <c r="F519" s="68">
        <v>10010000713</v>
      </c>
      <c r="G519" s="78">
        <v>181818</v>
      </c>
      <c r="H519" s="68" t="s">
        <v>4316</v>
      </c>
      <c r="I519" s="68">
        <v>0</v>
      </c>
      <c r="J519" s="54">
        <v>43708</v>
      </c>
      <c r="K519" s="68">
        <v>30</v>
      </c>
      <c r="L519" s="68" t="s">
        <v>4317</v>
      </c>
    </row>
    <row r="520" spans="1:12" s="68" customFormat="1">
      <c r="A520" s="68">
        <v>422150500</v>
      </c>
      <c r="B520" s="68" t="s">
        <v>2576</v>
      </c>
      <c r="C520" s="68">
        <v>592</v>
      </c>
      <c r="D520" s="68" t="s">
        <v>2577</v>
      </c>
      <c r="E520" s="68">
        <v>1</v>
      </c>
      <c r="F520" s="68">
        <v>10010000150</v>
      </c>
      <c r="G520" s="78">
        <v>181818</v>
      </c>
      <c r="H520" s="68" t="s">
        <v>4318</v>
      </c>
      <c r="I520" s="68">
        <v>0</v>
      </c>
      <c r="J520" s="54">
        <v>43738</v>
      </c>
      <c r="K520" s="68">
        <v>30</v>
      </c>
      <c r="L520" s="68" t="s">
        <v>4317</v>
      </c>
    </row>
    <row r="521" spans="1:12" s="68" customFormat="1">
      <c r="A521" s="68">
        <v>422150500</v>
      </c>
      <c r="B521" s="68" t="s">
        <v>2576</v>
      </c>
      <c r="C521" s="68">
        <v>592</v>
      </c>
      <c r="D521" s="68" t="s">
        <v>2577</v>
      </c>
      <c r="E521" s="68">
        <v>1</v>
      </c>
      <c r="F521" s="68">
        <v>10010001765</v>
      </c>
      <c r="G521" s="78">
        <v>454545</v>
      </c>
      <c r="H521" s="68" t="s">
        <v>4314</v>
      </c>
      <c r="I521" s="68">
        <v>0</v>
      </c>
      <c r="J521" s="54">
        <v>43560</v>
      </c>
      <c r="K521" s="68">
        <v>31</v>
      </c>
      <c r="L521" s="68" t="s">
        <v>2348</v>
      </c>
    </row>
    <row r="522" spans="1:12" s="68" customFormat="1">
      <c r="A522" s="68">
        <v>422150500</v>
      </c>
      <c r="B522" s="68" t="s">
        <v>2576</v>
      </c>
      <c r="C522" s="68">
        <v>592</v>
      </c>
      <c r="D522" s="68" t="s">
        <v>2577</v>
      </c>
      <c r="E522" s="68">
        <v>1</v>
      </c>
      <c r="F522" s="68">
        <v>1001000019</v>
      </c>
      <c r="G522" s="78">
        <v>454545</v>
      </c>
      <c r="H522" s="68" t="s">
        <v>4319</v>
      </c>
      <c r="I522" s="68">
        <v>0</v>
      </c>
      <c r="J522" s="54">
        <v>43644</v>
      </c>
      <c r="K522" s="68">
        <v>32</v>
      </c>
      <c r="L522" s="68" t="s">
        <v>2237</v>
      </c>
    </row>
    <row r="523" spans="1:12" s="68" customFormat="1">
      <c r="A523" s="68">
        <v>422150500</v>
      </c>
      <c r="B523" s="68" t="s">
        <v>2576</v>
      </c>
      <c r="C523" s="68">
        <v>592</v>
      </c>
      <c r="D523" s="68" t="s">
        <v>2577</v>
      </c>
      <c r="E523" s="68">
        <v>1</v>
      </c>
      <c r="F523" s="68">
        <v>10010006555</v>
      </c>
      <c r="G523" s="78">
        <v>27273</v>
      </c>
      <c r="H523" s="68" t="s">
        <v>4320</v>
      </c>
      <c r="I523" s="68">
        <v>0</v>
      </c>
      <c r="J523" s="54">
        <v>43490</v>
      </c>
      <c r="K523" s="68">
        <v>62</v>
      </c>
      <c r="L523" s="68" t="s">
        <v>4309</v>
      </c>
    </row>
    <row r="524" spans="1:12" s="68" customFormat="1">
      <c r="A524" s="68">
        <v>422150500</v>
      </c>
      <c r="B524" s="68" t="s">
        <v>2576</v>
      </c>
      <c r="C524" s="68">
        <v>592</v>
      </c>
      <c r="D524" s="68" t="s">
        <v>2577</v>
      </c>
      <c r="E524" s="68">
        <v>1</v>
      </c>
      <c r="F524" s="68">
        <v>10010000062</v>
      </c>
      <c r="G524" s="78">
        <v>136364</v>
      </c>
      <c r="H524" s="68" t="s">
        <v>4321</v>
      </c>
      <c r="I524" s="68">
        <v>0</v>
      </c>
      <c r="J524" s="54">
        <v>43521</v>
      </c>
      <c r="K524" s="68">
        <v>62</v>
      </c>
      <c r="L524" s="68" t="s">
        <v>4309</v>
      </c>
    </row>
    <row r="525" spans="1:12" s="68" customFormat="1">
      <c r="A525" s="68">
        <v>422150500</v>
      </c>
      <c r="B525" s="68" t="s">
        <v>2576</v>
      </c>
      <c r="C525" s="68">
        <v>592</v>
      </c>
      <c r="D525" s="68" t="s">
        <v>2577</v>
      </c>
      <c r="E525" s="68">
        <v>1</v>
      </c>
      <c r="F525" s="68">
        <v>10010000064</v>
      </c>
      <c r="G525" s="78">
        <v>136364</v>
      </c>
      <c r="H525" s="68" t="s">
        <v>4322</v>
      </c>
      <c r="I525" s="68">
        <v>0</v>
      </c>
      <c r="J525" s="54">
        <v>43524</v>
      </c>
      <c r="K525" s="68">
        <v>62</v>
      </c>
      <c r="L525" s="68" t="s">
        <v>4309</v>
      </c>
    </row>
    <row r="526" spans="1:12" s="68" customFormat="1">
      <c r="A526" s="68">
        <v>422150500</v>
      </c>
      <c r="B526" s="68" t="s">
        <v>2576</v>
      </c>
      <c r="C526" s="68">
        <v>592</v>
      </c>
      <c r="D526" s="68" t="s">
        <v>2577</v>
      </c>
      <c r="E526" s="68">
        <v>1</v>
      </c>
      <c r="F526" s="68">
        <v>10010001282</v>
      </c>
      <c r="G526" s="78">
        <v>18182</v>
      </c>
      <c r="H526" s="68" t="s">
        <v>2579</v>
      </c>
      <c r="I526" s="68">
        <v>0</v>
      </c>
      <c r="J526" s="54">
        <v>43524</v>
      </c>
      <c r="K526" s="68">
        <v>62</v>
      </c>
      <c r="L526" s="68" t="s">
        <v>4309</v>
      </c>
    </row>
    <row r="527" spans="1:12" s="68" customFormat="1">
      <c r="A527" s="68">
        <v>422150500</v>
      </c>
      <c r="B527" s="68" t="s">
        <v>2576</v>
      </c>
      <c r="C527" s="68">
        <v>592</v>
      </c>
      <c r="D527" s="68" t="s">
        <v>2577</v>
      </c>
      <c r="E527" s="68">
        <v>1</v>
      </c>
      <c r="F527" s="68">
        <v>10010001658</v>
      </c>
      <c r="G527" s="78">
        <v>18182</v>
      </c>
      <c r="H527" s="68" t="s">
        <v>4323</v>
      </c>
      <c r="I527" s="68">
        <v>0</v>
      </c>
      <c r="J527" s="54">
        <v>43525</v>
      </c>
      <c r="K527" s="68">
        <v>62</v>
      </c>
      <c r="L527" s="68" t="s">
        <v>4309</v>
      </c>
    </row>
    <row r="528" spans="1:12" s="68" customFormat="1">
      <c r="A528" s="68">
        <v>422150500</v>
      </c>
      <c r="B528" s="68" t="s">
        <v>2576</v>
      </c>
      <c r="C528" s="68">
        <v>592</v>
      </c>
      <c r="D528" s="68" t="s">
        <v>2577</v>
      </c>
      <c r="E528" s="68">
        <v>1</v>
      </c>
      <c r="F528" s="68">
        <v>10010001959</v>
      </c>
      <c r="G528" s="78">
        <v>18182</v>
      </c>
      <c r="H528" s="68" t="s">
        <v>4324</v>
      </c>
      <c r="I528" s="68">
        <v>0</v>
      </c>
      <c r="J528" s="54">
        <v>43550</v>
      </c>
      <c r="K528" s="68">
        <v>62</v>
      </c>
      <c r="L528" s="68" t="s">
        <v>4309</v>
      </c>
    </row>
    <row r="529" spans="1:12" s="68" customFormat="1">
      <c r="A529" s="68">
        <v>422150500</v>
      </c>
      <c r="B529" s="68" t="s">
        <v>2576</v>
      </c>
      <c r="C529" s="68">
        <v>592</v>
      </c>
      <c r="D529" s="68" t="s">
        <v>2577</v>
      </c>
      <c r="E529" s="68">
        <v>1</v>
      </c>
      <c r="F529" s="68">
        <v>10010000680</v>
      </c>
      <c r="G529" s="78">
        <v>181818</v>
      </c>
      <c r="H529" s="68" t="s">
        <v>4314</v>
      </c>
      <c r="I529" s="68">
        <v>0</v>
      </c>
      <c r="J529" s="54">
        <v>43553</v>
      </c>
      <c r="K529" s="68">
        <v>62</v>
      </c>
      <c r="L529" s="68" t="s">
        <v>4309</v>
      </c>
    </row>
    <row r="530" spans="1:12" s="68" customFormat="1">
      <c r="A530" s="68">
        <v>422150500</v>
      </c>
      <c r="B530" s="68" t="s">
        <v>2576</v>
      </c>
      <c r="C530" s="68">
        <v>592</v>
      </c>
      <c r="D530" s="68" t="s">
        <v>2577</v>
      </c>
      <c r="E530" s="68">
        <v>1</v>
      </c>
      <c r="F530" s="68">
        <v>10010001699</v>
      </c>
      <c r="G530" s="78">
        <v>18182</v>
      </c>
      <c r="H530" s="68" t="s">
        <v>2579</v>
      </c>
      <c r="I530" s="68">
        <v>0</v>
      </c>
      <c r="J530" s="54">
        <v>43554</v>
      </c>
      <c r="K530" s="68">
        <v>62</v>
      </c>
      <c r="L530" s="68" t="s">
        <v>4309</v>
      </c>
    </row>
    <row r="531" spans="1:12" s="68" customFormat="1">
      <c r="A531" s="68">
        <v>422150500</v>
      </c>
      <c r="B531" s="68" t="s">
        <v>2576</v>
      </c>
      <c r="C531" s="68">
        <v>592</v>
      </c>
      <c r="D531" s="68" t="s">
        <v>2577</v>
      </c>
      <c r="E531" s="68">
        <v>1</v>
      </c>
      <c r="F531" s="68">
        <v>10010000682</v>
      </c>
      <c r="G531" s="78">
        <v>136364</v>
      </c>
      <c r="H531" s="68" t="s">
        <v>4314</v>
      </c>
      <c r="I531" s="68">
        <v>0</v>
      </c>
      <c r="J531" s="54">
        <v>43565</v>
      </c>
      <c r="K531" s="68">
        <v>62</v>
      </c>
      <c r="L531" s="68" t="s">
        <v>4309</v>
      </c>
    </row>
    <row r="532" spans="1:12" s="68" customFormat="1">
      <c r="A532" s="68">
        <v>422150500</v>
      </c>
      <c r="B532" s="68" t="s">
        <v>2576</v>
      </c>
      <c r="C532" s="68">
        <v>592</v>
      </c>
      <c r="D532" s="68" t="s">
        <v>2577</v>
      </c>
      <c r="E532" s="68">
        <v>26</v>
      </c>
      <c r="F532" s="68">
        <v>108389</v>
      </c>
      <c r="G532" s="78">
        <v>25000</v>
      </c>
      <c r="H532" s="68" t="s">
        <v>2578</v>
      </c>
      <c r="I532" s="68">
        <v>0</v>
      </c>
      <c r="J532" s="54">
        <v>43567</v>
      </c>
      <c r="K532" s="68">
        <v>62</v>
      </c>
      <c r="L532" s="68" t="s">
        <v>4309</v>
      </c>
    </row>
    <row r="533" spans="1:12" s="68" customFormat="1">
      <c r="A533" s="68">
        <v>422150500</v>
      </c>
      <c r="B533" s="68" t="s">
        <v>2576</v>
      </c>
      <c r="C533" s="68">
        <v>592</v>
      </c>
      <c r="D533" s="68" t="s">
        <v>2577</v>
      </c>
      <c r="E533" s="68">
        <v>1</v>
      </c>
      <c r="F533" s="68">
        <v>10010000077</v>
      </c>
      <c r="G533" s="78">
        <v>181818</v>
      </c>
      <c r="H533" s="68" t="s">
        <v>4325</v>
      </c>
      <c r="I533" s="68">
        <v>0</v>
      </c>
      <c r="J533" s="54">
        <v>43571</v>
      </c>
      <c r="K533" s="68">
        <v>62</v>
      </c>
      <c r="L533" s="68" t="s">
        <v>4309</v>
      </c>
    </row>
    <row r="534" spans="1:12" s="68" customFormat="1">
      <c r="A534" s="68">
        <v>422150500</v>
      </c>
      <c r="B534" s="68" t="s">
        <v>2576</v>
      </c>
      <c r="C534" s="68">
        <v>592</v>
      </c>
      <c r="D534" s="68" t="s">
        <v>2577</v>
      </c>
      <c r="E534" s="68">
        <v>1</v>
      </c>
      <c r="F534" s="68">
        <v>10010000686</v>
      </c>
      <c r="G534" s="78">
        <v>363636</v>
      </c>
      <c r="H534" s="68" t="s">
        <v>4326</v>
      </c>
      <c r="I534" s="68">
        <v>0</v>
      </c>
      <c r="J534" s="54">
        <v>43577</v>
      </c>
      <c r="K534" s="68">
        <v>62</v>
      </c>
      <c r="L534" s="68" t="s">
        <v>4309</v>
      </c>
    </row>
    <row r="535" spans="1:12" s="68" customFormat="1">
      <c r="A535" s="68">
        <v>422150500</v>
      </c>
      <c r="B535" s="68" t="s">
        <v>2576</v>
      </c>
      <c r="C535" s="68">
        <v>592</v>
      </c>
      <c r="D535" s="68" t="s">
        <v>2577</v>
      </c>
      <c r="E535" s="68">
        <v>1</v>
      </c>
      <c r="F535" s="68">
        <v>10010000080</v>
      </c>
      <c r="G535" s="78">
        <v>181818</v>
      </c>
      <c r="H535" s="68" t="s">
        <v>4327</v>
      </c>
      <c r="I535" s="68">
        <v>0</v>
      </c>
      <c r="J535" s="54">
        <v>43579</v>
      </c>
      <c r="K535" s="68">
        <v>62</v>
      </c>
      <c r="L535" s="68" t="s">
        <v>4309</v>
      </c>
    </row>
    <row r="536" spans="1:12" s="68" customFormat="1">
      <c r="A536" s="68">
        <v>422150500</v>
      </c>
      <c r="B536" s="68" t="s">
        <v>2576</v>
      </c>
      <c r="C536" s="68">
        <v>592</v>
      </c>
      <c r="D536" s="68" t="s">
        <v>2577</v>
      </c>
      <c r="E536" s="68">
        <v>26</v>
      </c>
      <c r="F536" s="68">
        <v>120250</v>
      </c>
      <c r="G536" s="78">
        <v>20000</v>
      </c>
      <c r="H536" s="68" t="s">
        <v>2579</v>
      </c>
      <c r="I536" s="68">
        <v>0</v>
      </c>
      <c r="J536" s="54">
        <v>43588</v>
      </c>
      <c r="K536" s="68">
        <v>62</v>
      </c>
      <c r="L536" s="68" t="s">
        <v>4309</v>
      </c>
    </row>
    <row r="537" spans="1:12" s="68" customFormat="1">
      <c r="A537" s="68">
        <v>422150500</v>
      </c>
      <c r="B537" s="68" t="s">
        <v>2576</v>
      </c>
      <c r="C537" s="68">
        <v>592</v>
      </c>
      <c r="D537" s="68" t="s">
        <v>2577</v>
      </c>
      <c r="E537" s="68">
        <v>26</v>
      </c>
      <c r="F537" s="68">
        <v>120251</v>
      </c>
      <c r="G537" s="78">
        <v>50000</v>
      </c>
      <c r="H537" s="68" t="s">
        <v>2580</v>
      </c>
      <c r="I537" s="68">
        <v>0</v>
      </c>
      <c r="J537" s="54">
        <v>43588</v>
      </c>
      <c r="K537" s="68">
        <v>62</v>
      </c>
      <c r="L537" s="68" t="s">
        <v>4309</v>
      </c>
    </row>
    <row r="538" spans="1:12" s="68" customFormat="1">
      <c r="A538" s="68">
        <v>422150500</v>
      </c>
      <c r="B538" s="68" t="s">
        <v>2576</v>
      </c>
      <c r="C538" s="68">
        <v>592</v>
      </c>
      <c r="D538" s="68" t="s">
        <v>2577</v>
      </c>
      <c r="E538" s="68">
        <v>1</v>
      </c>
      <c r="F538" s="68">
        <v>280030001203</v>
      </c>
      <c r="G538" s="78">
        <v>13636</v>
      </c>
      <c r="H538" s="68" t="s">
        <v>4328</v>
      </c>
      <c r="I538" s="68">
        <v>0</v>
      </c>
      <c r="J538" s="54">
        <v>43601</v>
      </c>
      <c r="K538" s="68">
        <v>62</v>
      </c>
      <c r="L538" s="68" t="s">
        <v>4309</v>
      </c>
    </row>
    <row r="539" spans="1:12" s="68" customFormat="1">
      <c r="A539" s="68">
        <v>422150500</v>
      </c>
      <c r="B539" s="68" t="s">
        <v>2576</v>
      </c>
      <c r="C539" s="68">
        <v>592</v>
      </c>
      <c r="D539" s="68" t="s">
        <v>2577</v>
      </c>
      <c r="E539" s="68">
        <v>26</v>
      </c>
      <c r="F539" s="68">
        <v>70140004844</v>
      </c>
      <c r="G539" s="78">
        <v>10000</v>
      </c>
      <c r="H539" s="68" t="s">
        <v>2581</v>
      </c>
      <c r="I539" s="68">
        <v>0</v>
      </c>
      <c r="J539" s="54">
        <v>43608</v>
      </c>
      <c r="K539" s="68">
        <v>62</v>
      </c>
      <c r="L539" s="68" t="s">
        <v>4309</v>
      </c>
    </row>
    <row r="540" spans="1:12" s="68" customFormat="1">
      <c r="A540" s="68">
        <v>422150500</v>
      </c>
      <c r="B540" s="68" t="s">
        <v>2576</v>
      </c>
      <c r="C540" s="68">
        <v>592</v>
      </c>
      <c r="D540" s="68" t="s">
        <v>2577</v>
      </c>
      <c r="E540" s="68">
        <v>26</v>
      </c>
      <c r="F540" s="68">
        <v>686233</v>
      </c>
      <c r="G540" s="78">
        <v>20000</v>
      </c>
      <c r="H540" s="68" t="s">
        <v>2582</v>
      </c>
      <c r="I540" s="68">
        <v>0</v>
      </c>
      <c r="J540" s="54">
        <v>43613</v>
      </c>
      <c r="K540" s="68">
        <v>62</v>
      </c>
      <c r="L540" s="68" t="s">
        <v>4309</v>
      </c>
    </row>
    <row r="541" spans="1:12" s="68" customFormat="1">
      <c r="A541" s="68">
        <v>422150500</v>
      </c>
      <c r="B541" s="68" t="s">
        <v>2576</v>
      </c>
      <c r="C541" s="68">
        <v>592</v>
      </c>
      <c r="D541" s="68" t="s">
        <v>2577</v>
      </c>
      <c r="E541" s="68">
        <v>1</v>
      </c>
      <c r="F541" s="68">
        <v>10010009595</v>
      </c>
      <c r="G541" s="78">
        <v>61818</v>
      </c>
      <c r="H541" s="68" t="s">
        <v>4329</v>
      </c>
      <c r="I541" s="68">
        <v>0</v>
      </c>
      <c r="J541" s="54">
        <v>43614</v>
      </c>
      <c r="K541" s="68">
        <v>62</v>
      </c>
      <c r="L541" s="68" t="s">
        <v>4309</v>
      </c>
    </row>
    <row r="542" spans="1:12" s="68" customFormat="1">
      <c r="A542" s="68">
        <v>422150500</v>
      </c>
      <c r="B542" s="68" t="s">
        <v>2576</v>
      </c>
      <c r="C542" s="68">
        <v>592</v>
      </c>
      <c r="D542" s="68" t="s">
        <v>2577</v>
      </c>
      <c r="E542" s="68">
        <v>1</v>
      </c>
      <c r="F542" s="68">
        <v>10010000105</v>
      </c>
      <c r="G542" s="78">
        <v>136364</v>
      </c>
      <c r="H542" s="68" t="s">
        <v>4330</v>
      </c>
      <c r="I542" s="68">
        <v>0</v>
      </c>
      <c r="J542" s="54">
        <v>43616</v>
      </c>
      <c r="K542" s="68">
        <v>62</v>
      </c>
      <c r="L542" s="68" t="s">
        <v>4309</v>
      </c>
    </row>
    <row r="543" spans="1:12" s="68" customFormat="1">
      <c r="A543" s="68">
        <v>422150500</v>
      </c>
      <c r="B543" s="68" t="s">
        <v>2576</v>
      </c>
      <c r="C543" s="68">
        <v>592</v>
      </c>
      <c r="D543" s="68" t="s">
        <v>2577</v>
      </c>
      <c r="E543" s="68">
        <v>1</v>
      </c>
      <c r="F543" s="68">
        <v>10010000107</v>
      </c>
      <c r="G543" s="78">
        <v>363636</v>
      </c>
      <c r="H543" s="68" t="s">
        <v>4331</v>
      </c>
      <c r="I543" s="68">
        <v>0</v>
      </c>
      <c r="J543" s="54">
        <v>43616</v>
      </c>
      <c r="K543" s="68">
        <v>62</v>
      </c>
      <c r="L543" s="68" t="s">
        <v>4309</v>
      </c>
    </row>
    <row r="544" spans="1:12" s="68" customFormat="1">
      <c r="A544" s="68">
        <v>422150500</v>
      </c>
      <c r="B544" s="68" t="s">
        <v>2576</v>
      </c>
      <c r="C544" s="68">
        <v>592</v>
      </c>
      <c r="D544" s="68" t="s">
        <v>2577</v>
      </c>
      <c r="E544" s="68">
        <v>1</v>
      </c>
      <c r="F544" s="68">
        <v>10010186719</v>
      </c>
      <c r="G544" s="78">
        <v>31818</v>
      </c>
      <c r="H544" s="68" t="s">
        <v>4332</v>
      </c>
      <c r="I544" s="68">
        <v>0</v>
      </c>
      <c r="J544" s="54">
        <v>43616</v>
      </c>
      <c r="K544" s="68">
        <v>62</v>
      </c>
      <c r="L544" s="68" t="s">
        <v>4309</v>
      </c>
    </row>
    <row r="545" spans="1:12" s="68" customFormat="1">
      <c r="A545" s="68">
        <v>422150500</v>
      </c>
      <c r="B545" s="68" t="s">
        <v>2576</v>
      </c>
      <c r="C545" s="68">
        <v>592</v>
      </c>
      <c r="D545" s="68" t="s">
        <v>2577</v>
      </c>
      <c r="E545" s="68">
        <v>1</v>
      </c>
      <c r="F545" s="68">
        <v>10010000358</v>
      </c>
      <c r="G545" s="78">
        <v>200000</v>
      </c>
      <c r="H545" s="68" t="s">
        <v>4314</v>
      </c>
      <c r="I545" s="68">
        <v>0</v>
      </c>
      <c r="J545" s="54">
        <v>43627</v>
      </c>
      <c r="K545" s="68">
        <v>62</v>
      </c>
      <c r="L545" s="68" t="s">
        <v>4309</v>
      </c>
    </row>
    <row r="546" spans="1:12" s="68" customFormat="1">
      <c r="A546" s="68">
        <v>422150500</v>
      </c>
      <c r="B546" s="68" t="s">
        <v>2576</v>
      </c>
      <c r="C546" s="68">
        <v>592</v>
      </c>
      <c r="D546" s="68" t="s">
        <v>2577</v>
      </c>
      <c r="E546" s="68">
        <v>26</v>
      </c>
      <c r="F546" s="68">
        <v>122068</v>
      </c>
      <c r="G546" s="78">
        <v>40000</v>
      </c>
      <c r="H546" s="68" t="s">
        <v>2583</v>
      </c>
      <c r="I546" s="68">
        <v>0</v>
      </c>
      <c r="J546" s="54">
        <v>43628</v>
      </c>
      <c r="K546" s="68">
        <v>62</v>
      </c>
      <c r="L546" s="68" t="s">
        <v>4309</v>
      </c>
    </row>
    <row r="547" spans="1:12" s="68" customFormat="1">
      <c r="A547" s="68">
        <v>422150500</v>
      </c>
      <c r="B547" s="68" t="s">
        <v>2576</v>
      </c>
      <c r="C547" s="68">
        <v>592</v>
      </c>
      <c r="D547" s="68" t="s">
        <v>2577</v>
      </c>
      <c r="E547" s="68">
        <v>1</v>
      </c>
      <c r="F547" s="68">
        <v>10010000109</v>
      </c>
      <c r="G547" s="78">
        <v>136364</v>
      </c>
      <c r="H547" s="68" t="s">
        <v>4333</v>
      </c>
      <c r="I547" s="68">
        <v>0</v>
      </c>
      <c r="J547" s="54">
        <v>43630</v>
      </c>
      <c r="K547" s="68">
        <v>62</v>
      </c>
      <c r="L547" s="68" t="s">
        <v>4309</v>
      </c>
    </row>
    <row r="548" spans="1:12" s="68" customFormat="1">
      <c r="A548" s="68">
        <v>422150500</v>
      </c>
      <c r="B548" s="68" t="s">
        <v>2576</v>
      </c>
      <c r="C548" s="68">
        <v>592</v>
      </c>
      <c r="D548" s="68" t="s">
        <v>2577</v>
      </c>
      <c r="E548" s="68">
        <v>1</v>
      </c>
      <c r="F548" s="68">
        <v>10010000110</v>
      </c>
      <c r="G548" s="78">
        <v>136364</v>
      </c>
      <c r="H548" s="68" t="s">
        <v>4334</v>
      </c>
      <c r="I548" s="68">
        <v>0</v>
      </c>
      <c r="J548" s="54">
        <v>43630</v>
      </c>
      <c r="K548" s="68">
        <v>62</v>
      </c>
      <c r="L548" s="68" t="s">
        <v>4309</v>
      </c>
    </row>
    <row r="549" spans="1:12" s="68" customFormat="1">
      <c r="A549" s="68">
        <v>422150500</v>
      </c>
      <c r="B549" s="68" t="s">
        <v>2576</v>
      </c>
      <c r="C549" s="68">
        <v>592</v>
      </c>
      <c r="D549" s="68" t="s">
        <v>2577</v>
      </c>
      <c r="E549" s="68">
        <v>1</v>
      </c>
      <c r="F549" s="68">
        <v>280030001672</v>
      </c>
      <c r="G549" s="78">
        <v>13636</v>
      </c>
      <c r="H549" s="68" t="s">
        <v>4335</v>
      </c>
      <c r="I549" s="68">
        <v>0</v>
      </c>
      <c r="J549" s="54">
        <v>43630</v>
      </c>
      <c r="K549" s="68">
        <v>62</v>
      </c>
      <c r="L549" s="68" t="s">
        <v>4309</v>
      </c>
    </row>
    <row r="550" spans="1:12" s="68" customFormat="1">
      <c r="A550" s="68">
        <v>422150500</v>
      </c>
      <c r="B550" s="68" t="s">
        <v>2576</v>
      </c>
      <c r="C550" s="68">
        <v>592</v>
      </c>
      <c r="D550" s="68" t="s">
        <v>2577</v>
      </c>
      <c r="E550" s="68">
        <v>1</v>
      </c>
      <c r="F550" s="68">
        <v>280030001699</v>
      </c>
      <c r="G550" s="78">
        <v>18182</v>
      </c>
      <c r="H550" s="68" t="s">
        <v>4336</v>
      </c>
      <c r="I550" s="68">
        <v>0</v>
      </c>
      <c r="J550" s="54">
        <v>43634</v>
      </c>
      <c r="K550" s="68">
        <v>62</v>
      </c>
      <c r="L550" s="68" t="s">
        <v>4309</v>
      </c>
    </row>
    <row r="551" spans="1:12" s="68" customFormat="1">
      <c r="A551" s="68">
        <v>422150500</v>
      </c>
      <c r="B551" s="68" t="s">
        <v>2576</v>
      </c>
      <c r="C551" s="68">
        <v>592</v>
      </c>
      <c r="D551" s="68" t="s">
        <v>2577</v>
      </c>
      <c r="E551" s="68">
        <v>1</v>
      </c>
      <c r="F551" s="68">
        <v>280030001999</v>
      </c>
      <c r="G551" s="78">
        <v>27273</v>
      </c>
      <c r="H551" s="68" t="s">
        <v>4336</v>
      </c>
      <c r="I551" s="68">
        <v>0</v>
      </c>
      <c r="J551" s="54">
        <v>43666</v>
      </c>
      <c r="K551" s="68">
        <v>62</v>
      </c>
      <c r="L551" s="68" t="s">
        <v>4309</v>
      </c>
    </row>
    <row r="552" spans="1:12" s="68" customFormat="1">
      <c r="A552" s="68">
        <v>422150500</v>
      </c>
      <c r="B552" s="68" t="s">
        <v>2576</v>
      </c>
      <c r="C552" s="68">
        <v>592</v>
      </c>
      <c r="D552" s="68" t="s">
        <v>2577</v>
      </c>
      <c r="E552" s="68">
        <v>1</v>
      </c>
      <c r="F552" s="68">
        <v>10010000140</v>
      </c>
      <c r="G552" s="78">
        <v>136364</v>
      </c>
      <c r="H552" s="68" t="s">
        <v>4337</v>
      </c>
      <c r="I552" s="68">
        <v>0</v>
      </c>
      <c r="J552" s="54">
        <v>43714</v>
      </c>
      <c r="K552" s="68">
        <v>62</v>
      </c>
      <c r="L552" s="68" t="s">
        <v>4309</v>
      </c>
    </row>
    <row r="553" spans="1:12" s="68" customFormat="1">
      <c r="A553" s="68">
        <v>422150500</v>
      </c>
      <c r="B553" s="68" t="s">
        <v>2576</v>
      </c>
      <c r="C553" s="68">
        <v>592</v>
      </c>
      <c r="D553" s="68" t="s">
        <v>2577</v>
      </c>
      <c r="E553" s="68">
        <v>1</v>
      </c>
      <c r="F553" s="68">
        <v>10010000141</v>
      </c>
      <c r="G553" s="78">
        <v>136364</v>
      </c>
      <c r="H553" s="68" t="s">
        <v>4338</v>
      </c>
      <c r="I553" s="68">
        <v>0</v>
      </c>
      <c r="J553" s="54">
        <v>43714</v>
      </c>
      <c r="K553" s="68">
        <v>62</v>
      </c>
      <c r="L553" s="68" t="s">
        <v>4309</v>
      </c>
    </row>
    <row r="554" spans="1:12" s="68" customFormat="1">
      <c r="A554" s="68">
        <v>422150500</v>
      </c>
      <c r="B554" s="68" t="s">
        <v>2576</v>
      </c>
      <c r="C554" s="68">
        <v>592</v>
      </c>
      <c r="D554" s="68" t="s">
        <v>2577</v>
      </c>
      <c r="E554" s="68">
        <v>1</v>
      </c>
      <c r="F554" s="68">
        <v>10010000142</v>
      </c>
      <c r="G554" s="78">
        <v>136364</v>
      </c>
      <c r="H554" s="68" t="s">
        <v>4339</v>
      </c>
      <c r="I554" s="68">
        <v>0</v>
      </c>
      <c r="J554" s="54">
        <v>43714</v>
      </c>
      <c r="K554" s="68">
        <v>62</v>
      </c>
      <c r="L554" s="68" t="s">
        <v>4309</v>
      </c>
    </row>
    <row r="555" spans="1:12" s="68" customFormat="1">
      <c r="A555" s="68">
        <v>422150500</v>
      </c>
      <c r="B555" s="68" t="s">
        <v>2576</v>
      </c>
      <c r="C555" s="68">
        <v>592</v>
      </c>
      <c r="D555" s="68" t="s">
        <v>2577</v>
      </c>
      <c r="E555" s="68">
        <v>1</v>
      </c>
      <c r="F555" s="68">
        <v>10010000146</v>
      </c>
      <c r="G555" s="78">
        <v>136364</v>
      </c>
      <c r="H555" s="68" t="s">
        <v>4340</v>
      </c>
      <c r="I555" s="68">
        <v>0</v>
      </c>
      <c r="J555" s="54">
        <v>43733</v>
      </c>
      <c r="K555" s="68">
        <v>62</v>
      </c>
      <c r="L555" s="68" t="s">
        <v>4309</v>
      </c>
    </row>
    <row r="556" spans="1:12" s="68" customFormat="1">
      <c r="A556" s="68">
        <v>422150500</v>
      </c>
      <c r="B556" s="68" t="s">
        <v>2576</v>
      </c>
      <c r="C556" s="68">
        <v>592</v>
      </c>
      <c r="D556" s="68" t="s">
        <v>2577</v>
      </c>
      <c r="E556" s="68">
        <v>1</v>
      </c>
      <c r="F556" s="68">
        <v>10010000147</v>
      </c>
      <c r="G556" s="78">
        <v>318182</v>
      </c>
      <c r="H556" s="68" t="s">
        <v>4341</v>
      </c>
      <c r="I556" s="68">
        <v>0</v>
      </c>
      <c r="J556" s="54">
        <v>43733</v>
      </c>
      <c r="K556" s="68">
        <v>62</v>
      </c>
      <c r="L556" s="68" t="s">
        <v>4309</v>
      </c>
    </row>
    <row r="557" spans="1:12" s="68" customFormat="1">
      <c r="A557" s="68">
        <v>422150500</v>
      </c>
      <c r="B557" s="68" t="s">
        <v>2576</v>
      </c>
      <c r="C557" s="68">
        <v>592</v>
      </c>
      <c r="D557" s="68" t="s">
        <v>2577</v>
      </c>
      <c r="E557" s="68">
        <v>1</v>
      </c>
      <c r="F557" s="68">
        <v>10010000152</v>
      </c>
      <c r="G557" s="78">
        <v>363636</v>
      </c>
      <c r="H557" s="68" t="s">
        <v>4342</v>
      </c>
      <c r="I557" s="68">
        <v>0</v>
      </c>
      <c r="J557" s="54">
        <v>43752</v>
      </c>
      <c r="K557" s="68">
        <v>62</v>
      </c>
      <c r="L557" s="68" t="s">
        <v>4309</v>
      </c>
    </row>
    <row r="558" spans="1:12" s="68" customFormat="1">
      <c r="A558" s="68">
        <v>422150500</v>
      </c>
      <c r="B558" s="68" t="s">
        <v>2576</v>
      </c>
      <c r="C558" s="68">
        <v>592</v>
      </c>
      <c r="D558" s="68" t="s">
        <v>2577</v>
      </c>
      <c r="E558" s="68">
        <v>1</v>
      </c>
      <c r="F558" s="68">
        <v>10010000153</v>
      </c>
      <c r="G558" s="78">
        <v>136364</v>
      </c>
      <c r="H558" s="68" t="s">
        <v>4343</v>
      </c>
      <c r="I558" s="68">
        <v>0</v>
      </c>
      <c r="J558" s="54">
        <v>43752</v>
      </c>
      <c r="K558" s="68">
        <v>62</v>
      </c>
      <c r="L558" s="68" t="s">
        <v>4309</v>
      </c>
    </row>
    <row r="559" spans="1:12" s="68" customFormat="1">
      <c r="A559" s="68">
        <v>422150500</v>
      </c>
      <c r="B559" s="68" t="s">
        <v>2576</v>
      </c>
      <c r="C559" s="68">
        <v>592</v>
      </c>
      <c r="D559" s="68" t="s">
        <v>2577</v>
      </c>
      <c r="E559" s="68">
        <v>1</v>
      </c>
      <c r="F559" s="68">
        <v>10010006020</v>
      </c>
      <c r="G559" s="78">
        <v>136364</v>
      </c>
      <c r="H559" s="68" t="s">
        <v>4344</v>
      </c>
      <c r="I559" s="68">
        <v>0</v>
      </c>
      <c r="J559" s="54">
        <v>43768</v>
      </c>
      <c r="K559" s="68">
        <v>62</v>
      </c>
      <c r="L559" s="68" t="s">
        <v>4309</v>
      </c>
    </row>
    <row r="560" spans="1:12" s="68" customFormat="1">
      <c r="A560" s="68">
        <v>422150500</v>
      </c>
      <c r="B560" s="68" t="s">
        <v>2576</v>
      </c>
      <c r="C560" s="68">
        <v>592</v>
      </c>
      <c r="D560" s="68" t="s">
        <v>2577</v>
      </c>
      <c r="E560" s="68">
        <v>1</v>
      </c>
      <c r="F560" s="68">
        <v>10010000158</v>
      </c>
      <c r="G560" s="78">
        <v>181818</v>
      </c>
      <c r="H560" s="68" t="s">
        <v>4314</v>
      </c>
      <c r="I560" s="68">
        <v>0</v>
      </c>
      <c r="J560" s="54">
        <v>43769</v>
      </c>
      <c r="K560" s="68">
        <v>62</v>
      </c>
      <c r="L560" s="68" t="s">
        <v>4309</v>
      </c>
    </row>
    <row r="561" spans="1:12" s="68" customFormat="1">
      <c r="A561" s="68">
        <v>422150500</v>
      </c>
      <c r="B561" s="68" t="s">
        <v>2576</v>
      </c>
      <c r="C561" s="68">
        <v>592</v>
      </c>
      <c r="D561" s="68" t="s">
        <v>2577</v>
      </c>
      <c r="E561" s="68">
        <v>1</v>
      </c>
      <c r="F561" s="68">
        <v>10010000159</v>
      </c>
      <c r="G561" s="78">
        <v>545455</v>
      </c>
      <c r="H561" s="68" t="s">
        <v>4314</v>
      </c>
      <c r="I561" s="68">
        <v>0</v>
      </c>
      <c r="J561" s="54">
        <v>43769</v>
      </c>
      <c r="K561" s="68">
        <v>62</v>
      </c>
      <c r="L561" s="68" t="s">
        <v>4309</v>
      </c>
    </row>
    <row r="562" spans="1:12" s="68" customFormat="1">
      <c r="A562" s="68">
        <v>422150500</v>
      </c>
      <c r="B562" s="68" t="s">
        <v>2576</v>
      </c>
      <c r="C562" s="68">
        <v>592</v>
      </c>
      <c r="D562" s="68" t="s">
        <v>2577</v>
      </c>
      <c r="E562" s="68">
        <v>1</v>
      </c>
      <c r="F562" s="68">
        <v>10010000163</v>
      </c>
      <c r="G562" s="78">
        <v>136364</v>
      </c>
      <c r="H562" s="68" t="s">
        <v>4314</v>
      </c>
      <c r="I562" s="68">
        <v>0</v>
      </c>
      <c r="J562" s="54">
        <v>43769</v>
      </c>
      <c r="K562" s="68">
        <v>62</v>
      </c>
      <c r="L562" s="68" t="s">
        <v>4309</v>
      </c>
    </row>
    <row r="563" spans="1:12" s="68" customFormat="1">
      <c r="A563" s="68">
        <v>422150500</v>
      </c>
      <c r="B563" s="68" t="s">
        <v>2576</v>
      </c>
      <c r="C563" s="68">
        <v>592</v>
      </c>
      <c r="D563" s="68" t="s">
        <v>2577</v>
      </c>
      <c r="E563" s="68">
        <v>1</v>
      </c>
      <c r="F563" s="68">
        <v>10010005074</v>
      </c>
      <c r="G563" s="78">
        <v>22727</v>
      </c>
      <c r="H563" s="68" t="s">
        <v>4345</v>
      </c>
      <c r="I563" s="68">
        <v>0</v>
      </c>
      <c r="J563" s="54">
        <v>43769</v>
      </c>
      <c r="K563" s="68">
        <v>62</v>
      </c>
      <c r="L563" s="68" t="s">
        <v>4309</v>
      </c>
    </row>
    <row r="564" spans="1:12" s="68" customFormat="1">
      <c r="A564" s="68">
        <v>422150500</v>
      </c>
      <c r="B564" s="68" t="s">
        <v>2576</v>
      </c>
      <c r="C564" s="68">
        <v>592</v>
      </c>
      <c r="D564" s="68" t="s">
        <v>2577</v>
      </c>
      <c r="E564" s="68">
        <v>1</v>
      </c>
      <c r="F564" s="68">
        <v>280030003990</v>
      </c>
      <c r="G564" s="78">
        <v>18182</v>
      </c>
      <c r="H564" s="68" t="s">
        <v>4336</v>
      </c>
      <c r="I564" s="68">
        <v>0</v>
      </c>
      <c r="J564" s="54">
        <v>43769</v>
      </c>
      <c r="K564" s="68">
        <v>62</v>
      </c>
      <c r="L564" s="68" t="s">
        <v>4309</v>
      </c>
    </row>
    <row r="565" spans="1:12" s="68" customFormat="1">
      <c r="A565" s="68">
        <v>422150500</v>
      </c>
      <c r="B565" s="68" t="s">
        <v>2576</v>
      </c>
      <c r="C565" s="68">
        <v>592</v>
      </c>
      <c r="D565" s="68" t="s">
        <v>2577</v>
      </c>
      <c r="E565" s="68">
        <v>1</v>
      </c>
      <c r="F565" s="68">
        <v>10010000167</v>
      </c>
      <c r="G565" s="78">
        <v>181818</v>
      </c>
      <c r="H565" s="68" t="s">
        <v>4314</v>
      </c>
      <c r="I565" s="68">
        <v>0</v>
      </c>
      <c r="J565" s="54">
        <v>43781</v>
      </c>
      <c r="K565" s="68">
        <v>62</v>
      </c>
      <c r="L565" s="68" t="s">
        <v>4309</v>
      </c>
    </row>
    <row r="566" spans="1:12" s="68" customFormat="1">
      <c r="A566" s="68">
        <v>422150500</v>
      </c>
      <c r="B566" s="68" t="s">
        <v>2576</v>
      </c>
      <c r="C566" s="68">
        <v>592</v>
      </c>
      <c r="D566" s="68" t="s">
        <v>2577</v>
      </c>
      <c r="E566" s="68">
        <v>26</v>
      </c>
      <c r="F566" s="68">
        <v>1626160</v>
      </c>
      <c r="G566" s="78">
        <v>5000</v>
      </c>
      <c r="H566" s="68" t="s">
        <v>4346</v>
      </c>
      <c r="I566" s="68">
        <v>0</v>
      </c>
      <c r="J566" s="54">
        <v>43825</v>
      </c>
      <c r="K566" s="68">
        <v>62</v>
      </c>
      <c r="L566" s="68" t="s">
        <v>4309</v>
      </c>
    </row>
    <row r="567" spans="1:12" s="68" customFormat="1">
      <c r="A567" s="68">
        <v>422150500</v>
      </c>
      <c r="B567" s="68" t="s">
        <v>2576</v>
      </c>
      <c r="C567" s="68">
        <v>592</v>
      </c>
      <c r="D567" s="68" t="s">
        <v>2577</v>
      </c>
      <c r="E567" s="68">
        <v>1</v>
      </c>
      <c r="F567" s="68">
        <v>280030005025</v>
      </c>
      <c r="G567" s="78">
        <v>22727</v>
      </c>
      <c r="H567" s="68" t="s">
        <v>4336</v>
      </c>
      <c r="I567" s="68">
        <v>0</v>
      </c>
      <c r="J567" s="54">
        <v>43826</v>
      </c>
      <c r="K567" s="68">
        <v>62</v>
      </c>
      <c r="L567" s="68" t="s">
        <v>4309</v>
      </c>
    </row>
    <row r="568" spans="1:12" s="68" customFormat="1">
      <c r="A568" s="68">
        <v>422150500</v>
      </c>
      <c r="B568" s="68" t="s">
        <v>2576</v>
      </c>
      <c r="C568" s="68">
        <v>592</v>
      </c>
      <c r="D568" s="68" t="s">
        <v>2577</v>
      </c>
      <c r="E568" s="68">
        <v>1</v>
      </c>
      <c r="F568" s="68">
        <v>10010000175</v>
      </c>
      <c r="G568" s="78">
        <v>136364</v>
      </c>
      <c r="H568" s="68" t="s">
        <v>4314</v>
      </c>
      <c r="I568" s="68">
        <v>0</v>
      </c>
      <c r="J568" s="54">
        <v>43830</v>
      </c>
      <c r="K568" s="68">
        <v>62</v>
      </c>
      <c r="L568" s="68" t="s">
        <v>4309</v>
      </c>
    </row>
    <row r="569" spans="1:12" s="68" customFormat="1">
      <c r="A569" s="68">
        <v>422150500</v>
      </c>
      <c r="B569" s="68" t="s">
        <v>2576</v>
      </c>
      <c r="C569" s="68">
        <v>592</v>
      </c>
      <c r="D569" s="68" t="s">
        <v>2577</v>
      </c>
      <c r="E569" s="68">
        <v>1</v>
      </c>
      <c r="F569" s="68">
        <v>10010000176</v>
      </c>
      <c r="G569" s="78">
        <v>181818</v>
      </c>
      <c r="H569" s="68" t="s">
        <v>4314</v>
      </c>
      <c r="I569" s="68">
        <v>0</v>
      </c>
      <c r="J569" s="54">
        <v>43830</v>
      </c>
      <c r="K569" s="68">
        <v>62</v>
      </c>
      <c r="L569" s="68" t="s">
        <v>4309</v>
      </c>
    </row>
    <row r="570" spans="1:12" s="68" customFormat="1">
      <c r="A570" s="68">
        <v>422150500</v>
      </c>
      <c r="B570" s="68" t="s">
        <v>2576</v>
      </c>
      <c r="C570" s="68">
        <v>592</v>
      </c>
      <c r="D570" s="68" t="s">
        <v>2577</v>
      </c>
      <c r="E570" s="68">
        <v>1</v>
      </c>
      <c r="F570" s="68">
        <v>10010000178</v>
      </c>
      <c r="G570" s="78">
        <v>181818</v>
      </c>
      <c r="H570" s="68" t="s">
        <v>4314</v>
      </c>
      <c r="I570" s="68">
        <v>0</v>
      </c>
      <c r="J570" s="54">
        <v>43830</v>
      </c>
      <c r="K570" s="68">
        <v>62</v>
      </c>
      <c r="L570" s="68" t="s">
        <v>4309</v>
      </c>
    </row>
    <row r="571" spans="1:12" s="68" customFormat="1">
      <c r="A571" s="68">
        <v>422150500</v>
      </c>
      <c r="B571" s="68" t="s">
        <v>2576</v>
      </c>
      <c r="C571" s="68">
        <v>592</v>
      </c>
      <c r="D571" s="68" t="s">
        <v>2577</v>
      </c>
      <c r="E571" s="68">
        <v>1</v>
      </c>
      <c r="F571" s="68">
        <v>10010000179</v>
      </c>
      <c r="G571" s="78">
        <v>181818</v>
      </c>
      <c r="H571" s="68" t="s">
        <v>4314</v>
      </c>
      <c r="I571" s="68">
        <v>0</v>
      </c>
      <c r="J571" s="54">
        <v>43830</v>
      </c>
      <c r="K571" s="68">
        <v>62</v>
      </c>
      <c r="L571" s="68" t="s">
        <v>4309</v>
      </c>
    </row>
    <row r="572" spans="1:12" s="68" customFormat="1">
      <c r="A572" s="68">
        <v>422150500</v>
      </c>
      <c r="B572" s="68" t="s">
        <v>2576</v>
      </c>
      <c r="C572" s="68">
        <v>592</v>
      </c>
      <c r="D572" s="68" t="s">
        <v>2577</v>
      </c>
      <c r="E572" s="68">
        <v>1</v>
      </c>
      <c r="F572" s="68">
        <v>10010000182</v>
      </c>
      <c r="G572" s="78">
        <v>136364</v>
      </c>
      <c r="H572" s="68" t="s">
        <v>4314</v>
      </c>
      <c r="I572" s="68">
        <v>0</v>
      </c>
      <c r="J572" s="54">
        <v>43830</v>
      </c>
      <c r="K572" s="68">
        <v>62</v>
      </c>
      <c r="L572" s="68" t="s">
        <v>4309</v>
      </c>
    </row>
    <row r="573" spans="1:12" s="68" customFormat="1">
      <c r="A573" s="68">
        <v>422150500</v>
      </c>
      <c r="B573" s="68" t="s">
        <v>2576</v>
      </c>
      <c r="C573" s="68">
        <v>592</v>
      </c>
      <c r="D573" s="68" t="s">
        <v>2577</v>
      </c>
      <c r="E573" s="68">
        <v>1</v>
      </c>
      <c r="F573" s="68">
        <v>10010010259</v>
      </c>
      <c r="G573" s="78">
        <v>18182</v>
      </c>
      <c r="H573" s="68" t="s">
        <v>4336</v>
      </c>
      <c r="I573" s="68">
        <v>0</v>
      </c>
      <c r="J573" s="54">
        <v>43830</v>
      </c>
      <c r="K573" s="68">
        <v>62</v>
      </c>
      <c r="L573" s="68" t="s">
        <v>4309</v>
      </c>
    </row>
    <row r="574" spans="1:12" s="68" customFormat="1">
      <c r="A574" s="68">
        <v>422150500</v>
      </c>
      <c r="B574" s="68" t="s">
        <v>2576</v>
      </c>
      <c r="C574" s="68">
        <v>592</v>
      </c>
      <c r="D574" s="68" t="s">
        <v>2577</v>
      </c>
      <c r="E574" s="68">
        <v>1</v>
      </c>
      <c r="F574" s="68">
        <v>280030004786</v>
      </c>
      <c r="G574" s="78">
        <v>54545</v>
      </c>
      <c r="H574" s="68" t="s">
        <v>4336</v>
      </c>
      <c r="I574" s="68">
        <v>0</v>
      </c>
      <c r="J574" s="54">
        <v>43830</v>
      </c>
      <c r="K574" s="68">
        <v>62</v>
      </c>
      <c r="L574" s="68" t="s">
        <v>4309</v>
      </c>
    </row>
    <row r="575" spans="1:12" s="68" customFormat="1">
      <c r="A575" s="68">
        <v>422150500</v>
      </c>
      <c r="B575" s="68" t="s">
        <v>2576</v>
      </c>
      <c r="C575" s="68">
        <v>592</v>
      </c>
      <c r="D575" s="68" t="s">
        <v>2577</v>
      </c>
      <c r="E575" s="68">
        <v>1</v>
      </c>
      <c r="F575" s="68">
        <v>280030004822</v>
      </c>
      <c r="G575" s="78">
        <v>36364</v>
      </c>
      <c r="H575" s="68" t="s">
        <v>4336</v>
      </c>
      <c r="I575" s="68">
        <v>0</v>
      </c>
      <c r="J575" s="54">
        <v>43830</v>
      </c>
      <c r="K575" s="68">
        <v>62</v>
      </c>
      <c r="L575" s="68" t="s">
        <v>4309</v>
      </c>
    </row>
    <row r="576" spans="1:12" s="68" customFormat="1">
      <c r="A576" s="68">
        <v>422150500</v>
      </c>
      <c r="B576" s="68" t="s">
        <v>2576</v>
      </c>
      <c r="C576" s="68">
        <v>746</v>
      </c>
      <c r="D576" s="68" t="s">
        <v>4308</v>
      </c>
      <c r="E576" s="68">
        <v>26</v>
      </c>
      <c r="F576" s="68">
        <v>857000</v>
      </c>
      <c r="G576" s="78">
        <v>5000</v>
      </c>
      <c r="H576" s="68" t="s">
        <v>2902</v>
      </c>
      <c r="I576" s="68">
        <v>0</v>
      </c>
      <c r="J576" s="54">
        <v>43490</v>
      </c>
      <c r="K576" s="68">
        <v>62</v>
      </c>
      <c r="L576" s="68" t="s">
        <v>4309</v>
      </c>
    </row>
    <row r="577" spans="1:12" s="68" customFormat="1">
      <c r="A577" s="68">
        <v>422150500</v>
      </c>
      <c r="B577" s="68" t="s">
        <v>2576</v>
      </c>
      <c r="C577" s="68">
        <v>746</v>
      </c>
      <c r="D577" s="68" t="s">
        <v>4308</v>
      </c>
      <c r="E577" s="68">
        <v>26</v>
      </c>
      <c r="F577" s="68">
        <v>1377332</v>
      </c>
      <c r="G577" s="78">
        <v>5000</v>
      </c>
      <c r="H577" s="68" t="s">
        <v>2902</v>
      </c>
      <c r="I577" s="68">
        <v>0</v>
      </c>
      <c r="J577" s="54">
        <v>43490</v>
      </c>
      <c r="K577" s="68">
        <v>62</v>
      </c>
      <c r="L577" s="68" t="s">
        <v>4309</v>
      </c>
    </row>
    <row r="578" spans="1:12" s="68" customFormat="1">
      <c r="A578" s="68">
        <v>422150500</v>
      </c>
      <c r="B578" s="68" t="s">
        <v>2576</v>
      </c>
      <c r="C578" s="68">
        <v>746</v>
      </c>
      <c r="D578" s="68" t="s">
        <v>4308</v>
      </c>
      <c r="E578" s="68">
        <v>26</v>
      </c>
      <c r="F578" s="68">
        <v>1591366</v>
      </c>
      <c r="G578" s="78">
        <v>5000</v>
      </c>
      <c r="H578" s="68" t="s">
        <v>2902</v>
      </c>
      <c r="I578" s="68">
        <v>0</v>
      </c>
      <c r="J578" s="54">
        <v>43490</v>
      </c>
      <c r="K578" s="68">
        <v>62</v>
      </c>
      <c r="L578" s="68" t="s">
        <v>4309</v>
      </c>
    </row>
    <row r="579" spans="1:12" s="68" customFormat="1">
      <c r="A579" s="68">
        <v>422150500</v>
      </c>
      <c r="B579" s="68" t="s">
        <v>2576</v>
      </c>
      <c r="C579" s="68">
        <v>746</v>
      </c>
      <c r="D579" s="68" t="s">
        <v>4308</v>
      </c>
      <c r="E579" s="68">
        <v>26</v>
      </c>
      <c r="F579" s="68">
        <v>1592331</v>
      </c>
      <c r="G579" s="78">
        <v>5000</v>
      </c>
      <c r="H579" s="68" t="s">
        <v>2903</v>
      </c>
      <c r="I579" s="68">
        <v>0</v>
      </c>
      <c r="J579" s="54">
        <v>43490</v>
      </c>
      <c r="K579" s="68">
        <v>62</v>
      </c>
      <c r="L579" s="68" t="s">
        <v>4309</v>
      </c>
    </row>
    <row r="580" spans="1:12" s="68" customFormat="1">
      <c r="A580" s="68">
        <v>422150500</v>
      </c>
      <c r="B580" s="68" t="s">
        <v>2576</v>
      </c>
      <c r="C580" s="68">
        <v>746</v>
      </c>
      <c r="D580" s="68" t="s">
        <v>4308</v>
      </c>
      <c r="E580" s="68">
        <v>26</v>
      </c>
      <c r="F580" s="68">
        <v>2259605</v>
      </c>
      <c r="G580" s="78">
        <v>5000</v>
      </c>
      <c r="H580" s="68" t="s">
        <v>2904</v>
      </c>
      <c r="I580" s="68">
        <v>0</v>
      </c>
      <c r="J580" s="54">
        <v>43490</v>
      </c>
      <c r="K580" s="68">
        <v>62</v>
      </c>
      <c r="L580" s="68" t="s">
        <v>4309</v>
      </c>
    </row>
    <row r="581" spans="1:12" s="68" customFormat="1">
      <c r="A581" s="68">
        <v>422150500</v>
      </c>
      <c r="B581" s="68" t="s">
        <v>2576</v>
      </c>
      <c r="C581" s="68">
        <v>746</v>
      </c>
      <c r="D581" s="68" t="s">
        <v>4308</v>
      </c>
      <c r="E581" s="68">
        <v>26</v>
      </c>
      <c r="F581" s="68">
        <v>2450038</v>
      </c>
      <c r="G581" s="78">
        <v>5000</v>
      </c>
      <c r="H581" s="68" t="s">
        <v>2902</v>
      </c>
      <c r="I581" s="68">
        <v>0</v>
      </c>
      <c r="J581" s="54">
        <v>43490</v>
      </c>
      <c r="K581" s="68">
        <v>62</v>
      </c>
      <c r="L581" s="68" t="s">
        <v>4309</v>
      </c>
    </row>
    <row r="582" spans="1:12" s="68" customFormat="1">
      <c r="A582" s="68">
        <v>422150500</v>
      </c>
      <c r="B582" s="68" t="s">
        <v>2576</v>
      </c>
      <c r="C582" s="68">
        <v>746</v>
      </c>
      <c r="D582" s="68" t="s">
        <v>4308</v>
      </c>
      <c r="E582" s="68">
        <v>26</v>
      </c>
      <c r="F582" s="68">
        <v>2841557</v>
      </c>
      <c r="G582" s="78">
        <v>5000</v>
      </c>
      <c r="H582" s="68" t="s">
        <v>2902</v>
      </c>
      <c r="I582" s="68">
        <v>0</v>
      </c>
      <c r="J582" s="54">
        <v>43490</v>
      </c>
      <c r="K582" s="68">
        <v>62</v>
      </c>
      <c r="L582" s="68" t="s">
        <v>4309</v>
      </c>
    </row>
    <row r="583" spans="1:12" s="68" customFormat="1">
      <c r="A583" s="68">
        <v>422150500</v>
      </c>
      <c r="B583" s="68" t="s">
        <v>2576</v>
      </c>
      <c r="C583" s="68">
        <v>746</v>
      </c>
      <c r="D583" s="68" t="s">
        <v>4308</v>
      </c>
      <c r="E583" s="68">
        <v>26</v>
      </c>
      <c r="F583" s="68">
        <v>1107383</v>
      </c>
      <c r="G583" s="78">
        <v>5000</v>
      </c>
      <c r="H583" s="68" t="s">
        <v>2905</v>
      </c>
      <c r="I583" s="68">
        <v>0</v>
      </c>
      <c r="J583" s="54">
        <v>43511</v>
      </c>
      <c r="K583" s="68">
        <v>62</v>
      </c>
      <c r="L583" s="68" t="s">
        <v>4309</v>
      </c>
    </row>
    <row r="584" spans="1:12" s="68" customFormat="1">
      <c r="A584" s="68">
        <v>422150500</v>
      </c>
      <c r="B584" s="68" t="s">
        <v>2576</v>
      </c>
      <c r="C584" s="68">
        <v>746</v>
      </c>
      <c r="D584" s="68" t="s">
        <v>4308</v>
      </c>
      <c r="E584" s="68">
        <v>26</v>
      </c>
      <c r="F584" s="68">
        <v>1625071</v>
      </c>
      <c r="G584" s="78">
        <v>5000</v>
      </c>
      <c r="H584" s="68" t="s">
        <v>2905</v>
      </c>
      <c r="I584" s="68">
        <v>0</v>
      </c>
      <c r="J584" s="54">
        <v>43511</v>
      </c>
      <c r="K584" s="68">
        <v>62</v>
      </c>
      <c r="L584" s="68" t="s">
        <v>4309</v>
      </c>
    </row>
    <row r="585" spans="1:12" s="68" customFormat="1">
      <c r="A585" s="68">
        <v>422150500</v>
      </c>
      <c r="B585" s="68" t="s">
        <v>2576</v>
      </c>
      <c r="C585" s="68">
        <v>746</v>
      </c>
      <c r="D585" s="68" t="s">
        <v>4308</v>
      </c>
      <c r="E585" s="68">
        <v>1</v>
      </c>
      <c r="F585" s="68">
        <v>10010000527</v>
      </c>
      <c r="G585" s="78">
        <v>50000</v>
      </c>
      <c r="H585" s="68" t="s">
        <v>4310</v>
      </c>
      <c r="I585" s="68">
        <v>0</v>
      </c>
      <c r="J585" s="54">
        <v>43511</v>
      </c>
      <c r="K585" s="68">
        <v>62</v>
      </c>
      <c r="L585" s="68" t="s">
        <v>4309</v>
      </c>
    </row>
    <row r="586" spans="1:12" s="68" customFormat="1">
      <c r="A586" s="68">
        <v>422150500</v>
      </c>
      <c r="B586" s="68" t="s">
        <v>2576</v>
      </c>
      <c r="C586" s="68">
        <v>746</v>
      </c>
      <c r="D586" s="68" t="s">
        <v>4308</v>
      </c>
      <c r="E586" s="68">
        <v>1</v>
      </c>
      <c r="F586" s="68">
        <v>10020001303</v>
      </c>
      <c r="G586" s="78">
        <v>30000</v>
      </c>
      <c r="H586" s="68" t="s">
        <v>4310</v>
      </c>
      <c r="I586" s="68">
        <v>0</v>
      </c>
      <c r="J586" s="54">
        <v>43521</v>
      </c>
      <c r="K586" s="68">
        <v>62</v>
      </c>
      <c r="L586" s="68" t="s">
        <v>4309</v>
      </c>
    </row>
    <row r="587" spans="1:12" s="68" customFormat="1">
      <c r="A587" s="68">
        <v>422150500</v>
      </c>
      <c r="B587" s="68" t="s">
        <v>2576</v>
      </c>
      <c r="C587" s="68">
        <v>746</v>
      </c>
      <c r="D587" s="68" t="s">
        <v>4308</v>
      </c>
      <c r="E587" s="68">
        <v>26</v>
      </c>
      <c r="F587" s="68">
        <v>1453593</v>
      </c>
      <c r="G587" s="78">
        <v>5000</v>
      </c>
      <c r="H587" s="68" t="s">
        <v>2906</v>
      </c>
      <c r="I587" s="68">
        <v>0</v>
      </c>
      <c r="J587" s="54">
        <v>43522</v>
      </c>
      <c r="K587" s="68">
        <v>62</v>
      </c>
      <c r="L587" s="68" t="s">
        <v>4309</v>
      </c>
    </row>
    <row r="588" spans="1:12" s="68" customFormat="1">
      <c r="A588" s="68">
        <v>422150500</v>
      </c>
      <c r="B588" s="68" t="s">
        <v>2576</v>
      </c>
      <c r="C588" s="68">
        <v>746</v>
      </c>
      <c r="D588" s="68" t="s">
        <v>4308</v>
      </c>
      <c r="E588" s="68">
        <v>26</v>
      </c>
      <c r="F588" s="68">
        <v>1641152</v>
      </c>
      <c r="G588" s="78">
        <v>5000</v>
      </c>
      <c r="H588" s="68" t="s">
        <v>2907</v>
      </c>
      <c r="I588" s="68">
        <v>0</v>
      </c>
      <c r="J588" s="54">
        <v>43522</v>
      </c>
      <c r="K588" s="68">
        <v>62</v>
      </c>
      <c r="L588" s="68" t="s">
        <v>4309</v>
      </c>
    </row>
    <row r="589" spans="1:12" s="68" customFormat="1">
      <c r="A589" s="68">
        <v>422150500</v>
      </c>
      <c r="B589" s="68" t="s">
        <v>2576</v>
      </c>
      <c r="C589" s="68">
        <v>746</v>
      </c>
      <c r="D589" s="68" t="s">
        <v>4308</v>
      </c>
      <c r="E589" s="68">
        <v>1</v>
      </c>
      <c r="F589" s="68">
        <v>10090033932</v>
      </c>
      <c r="G589" s="78">
        <v>9091</v>
      </c>
      <c r="H589" s="68" t="s">
        <v>4347</v>
      </c>
      <c r="I589" s="68">
        <v>0</v>
      </c>
      <c r="J589" s="54">
        <v>43522</v>
      </c>
      <c r="K589" s="68">
        <v>62</v>
      </c>
      <c r="L589" s="68" t="s">
        <v>4309</v>
      </c>
    </row>
    <row r="590" spans="1:12" s="68" customFormat="1">
      <c r="A590" s="68">
        <v>422150500</v>
      </c>
      <c r="B590" s="68" t="s">
        <v>2576</v>
      </c>
      <c r="C590" s="68">
        <v>746</v>
      </c>
      <c r="D590" s="68" t="s">
        <v>4308</v>
      </c>
      <c r="E590" s="68">
        <v>1</v>
      </c>
      <c r="F590" s="68">
        <v>10010001426</v>
      </c>
      <c r="G590" s="78">
        <v>45455</v>
      </c>
      <c r="H590" s="68" t="s">
        <v>4310</v>
      </c>
      <c r="I590" s="68">
        <v>0</v>
      </c>
      <c r="J590" s="54">
        <v>43524</v>
      </c>
      <c r="K590" s="68">
        <v>62</v>
      </c>
      <c r="L590" s="68" t="s">
        <v>4309</v>
      </c>
    </row>
    <row r="591" spans="1:12" s="68" customFormat="1">
      <c r="A591" s="68">
        <v>422150500</v>
      </c>
      <c r="B591" s="68" t="s">
        <v>2576</v>
      </c>
      <c r="C591" s="68">
        <v>746</v>
      </c>
      <c r="D591" s="68" t="s">
        <v>4308</v>
      </c>
      <c r="E591" s="68">
        <v>26</v>
      </c>
      <c r="F591" s="68">
        <v>1477917</v>
      </c>
      <c r="G591" s="78">
        <v>5000</v>
      </c>
      <c r="H591" s="68" t="s">
        <v>2908</v>
      </c>
      <c r="I591" s="68">
        <v>0</v>
      </c>
      <c r="J591" s="54">
        <v>43535</v>
      </c>
      <c r="K591" s="68">
        <v>62</v>
      </c>
      <c r="L591" s="68" t="s">
        <v>4309</v>
      </c>
    </row>
    <row r="592" spans="1:12" s="68" customFormat="1">
      <c r="A592" s="68">
        <v>422150500</v>
      </c>
      <c r="B592" s="68" t="s">
        <v>2576</v>
      </c>
      <c r="C592" s="68">
        <v>746</v>
      </c>
      <c r="D592" s="68" t="s">
        <v>4308</v>
      </c>
      <c r="E592" s="68">
        <v>26</v>
      </c>
      <c r="F592" s="68">
        <v>1664075</v>
      </c>
      <c r="G592" s="78">
        <v>5000</v>
      </c>
      <c r="H592" s="68" t="s">
        <v>2909</v>
      </c>
      <c r="I592" s="68">
        <v>0</v>
      </c>
      <c r="J592" s="54">
        <v>43535</v>
      </c>
      <c r="K592" s="68">
        <v>62</v>
      </c>
      <c r="L592" s="68" t="s">
        <v>4309</v>
      </c>
    </row>
    <row r="593" spans="1:12" s="68" customFormat="1">
      <c r="A593" s="68">
        <v>422150500</v>
      </c>
      <c r="B593" s="68" t="s">
        <v>2576</v>
      </c>
      <c r="C593" s="68">
        <v>746</v>
      </c>
      <c r="D593" s="68" t="s">
        <v>4308</v>
      </c>
      <c r="E593" s="68">
        <v>26</v>
      </c>
      <c r="F593" s="68">
        <v>1491456</v>
      </c>
      <c r="G593" s="78">
        <v>5000</v>
      </c>
      <c r="H593" s="68" t="s">
        <v>2910</v>
      </c>
      <c r="I593" s="68">
        <v>0</v>
      </c>
      <c r="J593" s="54">
        <v>43554</v>
      </c>
      <c r="K593" s="68">
        <v>62</v>
      </c>
      <c r="L593" s="68" t="s">
        <v>4309</v>
      </c>
    </row>
    <row r="594" spans="1:12" s="68" customFormat="1">
      <c r="A594" s="68">
        <v>422150500</v>
      </c>
      <c r="B594" s="68" t="s">
        <v>2576</v>
      </c>
      <c r="C594" s="68">
        <v>746</v>
      </c>
      <c r="D594" s="68" t="s">
        <v>4308</v>
      </c>
      <c r="E594" s="68">
        <v>26</v>
      </c>
      <c r="F594" s="68">
        <v>1676512</v>
      </c>
      <c r="G594" s="78">
        <v>5000</v>
      </c>
      <c r="H594" s="68" t="s">
        <v>2911</v>
      </c>
      <c r="I594" s="68">
        <v>0</v>
      </c>
      <c r="J594" s="54">
        <v>43554</v>
      </c>
      <c r="K594" s="68">
        <v>62</v>
      </c>
      <c r="L594" s="68" t="s">
        <v>4309</v>
      </c>
    </row>
    <row r="595" spans="1:12" s="68" customFormat="1">
      <c r="A595" s="68">
        <v>422150500</v>
      </c>
      <c r="B595" s="68" t="s">
        <v>2576</v>
      </c>
      <c r="C595" s="68">
        <v>746</v>
      </c>
      <c r="D595" s="68" t="s">
        <v>4308</v>
      </c>
      <c r="E595" s="68">
        <v>1</v>
      </c>
      <c r="F595" s="68">
        <v>10040000279</v>
      </c>
      <c r="G595" s="78">
        <v>50000</v>
      </c>
      <c r="H595" s="68" t="s">
        <v>4310</v>
      </c>
      <c r="I595" s="68">
        <v>0</v>
      </c>
      <c r="J595" s="54">
        <v>43557</v>
      </c>
      <c r="K595" s="68">
        <v>62</v>
      </c>
      <c r="L595" s="68" t="s">
        <v>4309</v>
      </c>
    </row>
    <row r="596" spans="1:12" s="68" customFormat="1">
      <c r="A596" s="68">
        <v>422150500</v>
      </c>
      <c r="B596" s="68" t="s">
        <v>2576</v>
      </c>
      <c r="C596" s="68">
        <v>746</v>
      </c>
      <c r="D596" s="68" t="s">
        <v>4308</v>
      </c>
      <c r="E596" s="68">
        <v>26</v>
      </c>
      <c r="F596" s="68">
        <v>1009356</v>
      </c>
      <c r="G596" s="78">
        <v>5000</v>
      </c>
      <c r="H596" s="68" t="s">
        <v>2912</v>
      </c>
      <c r="I596" s="68">
        <v>0</v>
      </c>
      <c r="J596" s="54">
        <v>43571</v>
      </c>
      <c r="K596" s="68">
        <v>62</v>
      </c>
      <c r="L596" s="68" t="s">
        <v>4309</v>
      </c>
    </row>
    <row r="597" spans="1:12" s="68" customFormat="1">
      <c r="A597" s="68">
        <v>422150500</v>
      </c>
      <c r="B597" s="68" t="s">
        <v>2576</v>
      </c>
      <c r="C597" s="68">
        <v>746</v>
      </c>
      <c r="D597" s="68" t="s">
        <v>4308</v>
      </c>
      <c r="E597" s="68">
        <v>26</v>
      </c>
      <c r="F597" s="68">
        <v>1527245</v>
      </c>
      <c r="G597" s="78">
        <v>5000</v>
      </c>
      <c r="H597" s="68" t="s">
        <v>2912</v>
      </c>
      <c r="I597" s="68">
        <v>0</v>
      </c>
      <c r="J597" s="54">
        <v>43571</v>
      </c>
      <c r="K597" s="68">
        <v>62</v>
      </c>
      <c r="L597" s="68" t="s">
        <v>4309</v>
      </c>
    </row>
    <row r="598" spans="1:12" s="68" customFormat="1">
      <c r="A598" s="68">
        <v>422150500</v>
      </c>
      <c r="B598" s="68" t="s">
        <v>2576</v>
      </c>
      <c r="C598" s="68">
        <v>746</v>
      </c>
      <c r="D598" s="68" t="s">
        <v>4308</v>
      </c>
      <c r="E598" s="68">
        <v>26</v>
      </c>
      <c r="F598" s="68">
        <v>1191970</v>
      </c>
      <c r="G598" s="78">
        <v>5000</v>
      </c>
      <c r="H598" s="68" t="s">
        <v>2912</v>
      </c>
      <c r="I598" s="68">
        <v>0</v>
      </c>
      <c r="J598" s="54">
        <v>43579</v>
      </c>
      <c r="K598" s="68">
        <v>62</v>
      </c>
      <c r="L598" s="68" t="s">
        <v>4309</v>
      </c>
    </row>
    <row r="599" spans="1:12" s="68" customFormat="1">
      <c r="A599" s="68">
        <v>422150500</v>
      </c>
      <c r="B599" s="68" t="s">
        <v>2576</v>
      </c>
      <c r="C599" s="68">
        <v>746</v>
      </c>
      <c r="D599" s="68" t="s">
        <v>4308</v>
      </c>
      <c r="E599" s="68">
        <v>26</v>
      </c>
      <c r="F599" s="68">
        <v>1695207</v>
      </c>
      <c r="G599" s="78">
        <v>5000</v>
      </c>
      <c r="H599" s="68" t="s">
        <v>2912</v>
      </c>
      <c r="I599" s="68">
        <v>0</v>
      </c>
      <c r="J599" s="54">
        <v>43579</v>
      </c>
      <c r="K599" s="68">
        <v>62</v>
      </c>
      <c r="L599" s="68" t="s">
        <v>4309</v>
      </c>
    </row>
    <row r="600" spans="1:12" s="68" customFormat="1">
      <c r="A600" s="68">
        <v>422150500</v>
      </c>
      <c r="B600" s="68" t="s">
        <v>2576</v>
      </c>
      <c r="C600" s="68">
        <v>1708</v>
      </c>
      <c r="D600" s="68" t="s">
        <v>2913</v>
      </c>
      <c r="E600" s="68">
        <v>26</v>
      </c>
      <c r="F600" s="68">
        <v>1455915</v>
      </c>
      <c r="G600" s="78">
        <v>5000</v>
      </c>
      <c r="H600" s="68" t="s">
        <v>2912</v>
      </c>
      <c r="I600" s="68">
        <v>0</v>
      </c>
      <c r="J600" s="54">
        <v>43752</v>
      </c>
      <c r="K600" s="68">
        <v>62</v>
      </c>
      <c r="L600" s="68" t="s">
        <v>4309</v>
      </c>
    </row>
    <row r="601" spans="1:12" s="68" customFormat="1">
      <c r="A601" s="68">
        <v>422150500</v>
      </c>
      <c r="B601" s="68" t="s">
        <v>2576</v>
      </c>
      <c r="C601" s="68">
        <v>1708</v>
      </c>
      <c r="D601" s="68" t="s">
        <v>2913</v>
      </c>
      <c r="E601" s="68">
        <v>26</v>
      </c>
      <c r="F601" s="68">
        <v>1665379</v>
      </c>
      <c r="G601" s="78">
        <v>5000</v>
      </c>
      <c r="H601" s="68" t="s">
        <v>2912</v>
      </c>
      <c r="I601" s="68">
        <v>0</v>
      </c>
      <c r="J601" s="54">
        <v>43752</v>
      </c>
      <c r="K601" s="68">
        <v>62</v>
      </c>
      <c r="L601" s="68" t="s">
        <v>4309</v>
      </c>
    </row>
    <row r="602" spans="1:12" s="68" customFormat="1">
      <c r="A602" s="68">
        <v>422150500</v>
      </c>
      <c r="B602" s="68" t="s">
        <v>2576</v>
      </c>
      <c r="C602" s="68">
        <v>1708</v>
      </c>
      <c r="D602" s="68" t="s">
        <v>2913</v>
      </c>
      <c r="E602" s="68">
        <v>26</v>
      </c>
      <c r="F602" s="68">
        <v>1623048</v>
      </c>
      <c r="G602" s="78">
        <v>5000</v>
      </c>
      <c r="H602" s="68" t="s">
        <v>2900</v>
      </c>
      <c r="I602" s="68">
        <v>0</v>
      </c>
      <c r="J602" s="54">
        <v>43826</v>
      </c>
      <c r="K602" s="68">
        <v>62</v>
      </c>
      <c r="L602" s="68" t="s">
        <v>4309</v>
      </c>
    </row>
    <row r="603" spans="1:12" s="68" customFormat="1">
      <c r="A603" s="68">
        <v>422150500</v>
      </c>
      <c r="B603" s="68" t="s">
        <v>2576</v>
      </c>
      <c r="C603" s="68">
        <v>1708</v>
      </c>
      <c r="D603" s="68" t="s">
        <v>2913</v>
      </c>
      <c r="E603" s="68">
        <v>26</v>
      </c>
      <c r="F603" s="68">
        <v>1871436</v>
      </c>
      <c r="G603" s="78">
        <v>5000</v>
      </c>
      <c r="H603" s="68" t="s">
        <v>2900</v>
      </c>
      <c r="I603" s="68">
        <v>0</v>
      </c>
      <c r="J603" s="54">
        <v>43826</v>
      </c>
      <c r="K603" s="68">
        <v>62</v>
      </c>
      <c r="L603" s="68" t="s">
        <v>4309</v>
      </c>
    </row>
    <row r="604" spans="1:12" s="68" customFormat="1">
      <c r="A604" s="68">
        <v>422150500</v>
      </c>
      <c r="B604" s="68" t="s">
        <v>2576</v>
      </c>
      <c r="C604" s="68">
        <v>1708</v>
      </c>
      <c r="D604" s="68" t="s">
        <v>2913</v>
      </c>
      <c r="E604" s="68">
        <v>26</v>
      </c>
      <c r="F604" s="68">
        <v>1206</v>
      </c>
      <c r="G604" s="78">
        <v>5000</v>
      </c>
      <c r="H604" s="68" t="s">
        <v>2914</v>
      </c>
      <c r="I604" s="68">
        <v>0</v>
      </c>
      <c r="J604" s="54">
        <v>43830</v>
      </c>
      <c r="K604" s="68">
        <v>62</v>
      </c>
      <c r="L604" s="68" t="s">
        <v>4309</v>
      </c>
    </row>
    <row r="605" spans="1:12" s="68" customFormat="1">
      <c r="A605" s="68">
        <v>422150500</v>
      </c>
      <c r="B605" s="68" t="s">
        <v>2576</v>
      </c>
      <c r="C605" s="68">
        <v>1708</v>
      </c>
      <c r="D605" s="68" t="s">
        <v>2913</v>
      </c>
      <c r="E605" s="68">
        <v>26</v>
      </c>
      <c r="F605" s="68">
        <v>8315</v>
      </c>
      <c r="G605" s="78">
        <v>5000</v>
      </c>
      <c r="H605" s="68" t="s">
        <v>2914</v>
      </c>
      <c r="I605" s="68">
        <v>0</v>
      </c>
      <c r="J605" s="54">
        <v>43830</v>
      </c>
      <c r="K605" s="68">
        <v>62</v>
      </c>
      <c r="L605" s="68" t="s">
        <v>4309</v>
      </c>
    </row>
    <row r="606" spans="1:12" s="68" customFormat="1">
      <c r="A606" s="68">
        <v>422150500</v>
      </c>
      <c r="B606" s="68" t="s">
        <v>2576</v>
      </c>
      <c r="C606" s="68">
        <v>1708</v>
      </c>
      <c r="D606" s="68" t="s">
        <v>2913</v>
      </c>
      <c r="E606" s="68">
        <v>26</v>
      </c>
      <c r="F606" s="68">
        <v>2636858</v>
      </c>
      <c r="G606" s="78">
        <v>5000</v>
      </c>
      <c r="H606" s="68" t="s">
        <v>2915</v>
      </c>
      <c r="I606" s="68">
        <v>0</v>
      </c>
      <c r="J606" s="54">
        <v>43830</v>
      </c>
      <c r="K606" s="68">
        <v>62</v>
      </c>
      <c r="L606" s="68" t="s">
        <v>4309</v>
      </c>
    </row>
    <row r="607" spans="1:12" s="68" customFormat="1">
      <c r="A607" s="68">
        <v>422150500</v>
      </c>
      <c r="B607" s="68" t="s">
        <v>2576</v>
      </c>
      <c r="C607" s="68">
        <v>1708</v>
      </c>
      <c r="D607" s="68" t="s">
        <v>2913</v>
      </c>
      <c r="E607" s="68">
        <v>26</v>
      </c>
      <c r="F607" s="68">
        <v>3642131</v>
      </c>
      <c r="G607" s="78">
        <v>5000</v>
      </c>
      <c r="H607" s="68" t="s">
        <v>2915</v>
      </c>
      <c r="I607" s="68">
        <v>0</v>
      </c>
      <c r="J607" s="54">
        <v>43830</v>
      </c>
      <c r="K607" s="68">
        <v>62</v>
      </c>
      <c r="L607" s="68" t="s">
        <v>4309</v>
      </c>
    </row>
    <row r="608" spans="1:12" ht="14" thickBot="1">
      <c r="G608" s="79">
        <f>SUM(G220:G607)</f>
        <v>24180373</v>
      </c>
    </row>
    <row r="611" spans="1:12" s="68" customFormat="1">
      <c r="A611" s="68">
        <v>431040100</v>
      </c>
      <c r="B611" s="68" t="s">
        <v>4348</v>
      </c>
      <c r="C611" s="68">
        <v>496</v>
      </c>
      <c r="D611" s="68" t="s">
        <v>4349</v>
      </c>
      <c r="E611" s="68">
        <v>1</v>
      </c>
      <c r="F611" s="68">
        <v>10010005021</v>
      </c>
      <c r="G611" s="78">
        <v>2500000</v>
      </c>
      <c r="H611" s="68" t="s">
        <v>4350</v>
      </c>
      <c r="I611" s="68">
        <v>0</v>
      </c>
      <c r="J611" s="54">
        <v>43768</v>
      </c>
      <c r="K611" s="68">
        <v>37</v>
      </c>
      <c r="L611" s="68" t="s">
        <v>2017</v>
      </c>
    </row>
    <row r="612" spans="1:12" s="68" customFormat="1">
      <c r="A612" s="68">
        <v>431040100</v>
      </c>
      <c r="B612" s="68" t="s">
        <v>4348</v>
      </c>
      <c r="C612" s="68">
        <v>496</v>
      </c>
      <c r="D612" s="68" t="s">
        <v>4349</v>
      </c>
      <c r="E612" s="68">
        <v>2</v>
      </c>
      <c r="F612" s="68">
        <v>10010004904</v>
      </c>
      <c r="G612" s="78">
        <v>18000000</v>
      </c>
      <c r="H612" s="68" t="s">
        <v>4351</v>
      </c>
      <c r="I612" s="68">
        <v>0</v>
      </c>
      <c r="J612" s="54">
        <v>43686</v>
      </c>
      <c r="L612" s="68" t="s">
        <v>2076</v>
      </c>
    </row>
    <row r="613" spans="1:12" s="68" customFormat="1">
      <c r="A613" s="68">
        <v>431040100</v>
      </c>
      <c r="B613" s="68" t="s">
        <v>4348</v>
      </c>
      <c r="C613" s="68">
        <v>498</v>
      </c>
      <c r="D613" s="68" t="s">
        <v>4352</v>
      </c>
      <c r="E613" s="68">
        <v>1</v>
      </c>
      <c r="F613" s="68">
        <v>10010562578</v>
      </c>
      <c r="G613" s="78">
        <v>8715993</v>
      </c>
      <c r="H613" s="68" t="s">
        <v>4353</v>
      </c>
      <c r="I613" s="68">
        <v>0</v>
      </c>
      <c r="J613" s="54">
        <v>43482</v>
      </c>
      <c r="K613" s="68">
        <v>4</v>
      </c>
      <c r="L613" s="68" t="s">
        <v>2354</v>
      </c>
    </row>
    <row r="614" spans="1:12" s="68" customFormat="1">
      <c r="A614" s="68">
        <v>431040100</v>
      </c>
      <c r="B614" s="68" t="s">
        <v>4348</v>
      </c>
      <c r="C614" s="68">
        <v>498</v>
      </c>
      <c r="D614" s="68" t="s">
        <v>4352</v>
      </c>
      <c r="E614" s="68">
        <v>1</v>
      </c>
      <c r="F614" s="68">
        <v>10050007025</v>
      </c>
      <c r="G614" s="78">
        <v>272727</v>
      </c>
      <c r="H614" s="68" t="s">
        <v>4354</v>
      </c>
      <c r="I614" s="68">
        <v>0</v>
      </c>
      <c r="J614" s="54">
        <v>43502</v>
      </c>
      <c r="K614" s="68">
        <v>4</v>
      </c>
      <c r="L614" s="68" t="s">
        <v>2354</v>
      </c>
    </row>
    <row r="615" spans="1:12" s="68" customFormat="1">
      <c r="A615" s="68">
        <v>431040100</v>
      </c>
      <c r="B615" s="68" t="s">
        <v>4348</v>
      </c>
      <c r="C615" s="68">
        <v>498</v>
      </c>
      <c r="D615" s="68" t="s">
        <v>4352</v>
      </c>
      <c r="E615" s="68">
        <v>1</v>
      </c>
      <c r="F615" s="68">
        <v>10010662082</v>
      </c>
      <c r="G615" s="78">
        <v>16666667</v>
      </c>
      <c r="H615" s="68" t="s">
        <v>4355</v>
      </c>
      <c r="I615" s="68">
        <v>0</v>
      </c>
      <c r="J615" s="54">
        <v>43798</v>
      </c>
      <c r="K615" s="68">
        <v>4</v>
      </c>
      <c r="L615" s="68" t="s">
        <v>2354</v>
      </c>
    </row>
    <row r="616" spans="1:12" s="68" customFormat="1">
      <c r="A616" s="68">
        <v>431040100</v>
      </c>
      <c r="B616" s="68" t="s">
        <v>4348</v>
      </c>
      <c r="C616" s="68">
        <v>498</v>
      </c>
      <c r="D616" s="68" t="s">
        <v>4352</v>
      </c>
      <c r="E616" s="68">
        <v>1</v>
      </c>
      <c r="F616" s="68">
        <v>10010672721</v>
      </c>
      <c r="G616" s="78">
        <v>16666667</v>
      </c>
      <c r="H616" s="68" t="s">
        <v>4356</v>
      </c>
      <c r="I616" s="68">
        <v>0</v>
      </c>
      <c r="J616" s="54">
        <v>43823</v>
      </c>
      <c r="K616" s="68">
        <v>4</v>
      </c>
      <c r="L616" s="68" t="s">
        <v>2354</v>
      </c>
    </row>
    <row r="617" spans="1:12" s="68" customFormat="1">
      <c r="A617" s="68">
        <v>431040100</v>
      </c>
      <c r="B617" s="68" t="s">
        <v>4348</v>
      </c>
      <c r="C617" s="68">
        <v>498</v>
      </c>
      <c r="D617" s="68" t="s">
        <v>4352</v>
      </c>
      <c r="E617" s="68">
        <v>1</v>
      </c>
      <c r="F617" s="68">
        <v>10010609056</v>
      </c>
      <c r="G617" s="78">
        <v>16666667</v>
      </c>
      <c r="H617" s="68" t="s">
        <v>4357</v>
      </c>
      <c r="I617" s="68">
        <v>0</v>
      </c>
      <c r="J617" s="54">
        <v>43640</v>
      </c>
      <c r="K617" s="68">
        <v>8</v>
      </c>
      <c r="L617" s="68" t="s">
        <v>2262</v>
      </c>
    </row>
    <row r="618" spans="1:12" ht="14" thickBot="1">
      <c r="G618" s="79">
        <f>SUM(G611:G617)</f>
        <v>79488721</v>
      </c>
    </row>
    <row r="621" spans="1:12" s="68" customFormat="1">
      <c r="A621" s="68">
        <v>422700100</v>
      </c>
      <c r="B621" s="68" t="s">
        <v>2614</v>
      </c>
      <c r="C621" s="68">
        <v>962</v>
      </c>
      <c r="D621" s="68" t="s">
        <v>2615</v>
      </c>
      <c r="E621" s="68">
        <v>1</v>
      </c>
      <c r="F621" s="68">
        <v>10080001078</v>
      </c>
      <c r="G621" s="78">
        <v>2024815</v>
      </c>
      <c r="H621" s="68" t="s">
        <v>4358</v>
      </c>
      <c r="I621" s="68">
        <v>0</v>
      </c>
      <c r="J621" s="54">
        <v>43622</v>
      </c>
      <c r="K621" s="68">
        <v>3</v>
      </c>
      <c r="L621" s="68" t="s">
        <v>2099</v>
      </c>
    </row>
    <row r="622" spans="1:12" s="68" customFormat="1">
      <c r="A622" s="68">
        <v>422700100</v>
      </c>
      <c r="B622" s="68" t="s">
        <v>2614</v>
      </c>
      <c r="C622" s="68">
        <v>962</v>
      </c>
      <c r="D622" s="68" t="s">
        <v>2615</v>
      </c>
      <c r="E622" s="68">
        <v>1</v>
      </c>
      <c r="F622" s="68">
        <v>10010089791</v>
      </c>
      <c r="G622" s="78">
        <v>4545</v>
      </c>
      <c r="H622" s="68" t="s">
        <v>4359</v>
      </c>
      <c r="I622" s="68">
        <v>0</v>
      </c>
      <c r="J622" s="54">
        <v>43682</v>
      </c>
      <c r="K622" s="68">
        <v>37</v>
      </c>
      <c r="L622" s="68" t="s">
        <v>2017</v>
      </c>
    </row>
    <row r="623" spans="1:12" s="68" customFormat="1">
      <c r="A623" s="68">
        <v>422700100</v>
      </c>
      <c r="B623" s="68" t="s">
        <v>2614</v>
      </c>
      <c r="C623" s="68">
        <v>962</v>
      </c>
      <c r="D623" s="68" t="s">
        <v>2615</v>
      </c>
      <c r="E623" s="68">
        <v>1</v>
      </c>
      <c r="F623" s="68">
        <v>10020000933</v>
      </c>
      <c r="G623" s="78">
        <v>272727</v>
      </c>
      <c r="H623" s="68" t="s">
        <v>4360</v>
      </c>
      <c r="I623" s="68">
        <v>0</v>
      </c>
      <c r="J623" s="54">
        <v>43483</v>
      </c>
      <c r="K623" s="68">
        <v>42</v>
      </c>
      <c r="L623" s="68" t="s">
        <v>2061</v>
      </c>
    </row>
    <row r="624" spans="1:12" s="68" customFormat="1">
      <c r="A624" s="68">
        <v>422700100</v>
      </c>
      <c r="B624" s="68" t="s">
        <v>2614</v>
      </c>
      <c r="C624" s="68">
        <v>962</v>
      </c>
      <c r="D624" s="68" t="s">
        <v>2615</v>
      </c>
      <c r="E624" s="68">
        <v>1</v>
      </c>
      <c r="F624" s="68">
        <v>10090043102</v>
      </c>
      <c r="G624" s="78">
        <v>45182</v>
      </c>
      <c r="H624" s="68" t="s">
        <v>4361</v>
      </c>
      <c r="I624" s="68">
        <v>0</v>
      </c>
      <c r="J624" s="54">
        <v>43487</v>
      </c>
      <c r="K624" s="68">
        <v>42</v>
      </c>
      <c r="L624" s="68" t="s">
        <v>2061</v>
      </c>
    </row>
    <row r="625" spans="1:12" s="68" customFormat="1">
      <c r="A625" s="68">
        <v>422700100</v>
      </c>
      <c r="B625" s="68" t="s">
        <v>2614</v>
      </c>
      <c r="C625" s="68">
        <v>962</v>
      </c>
      <c r="D625" s="68" t="s">
        <v>2615</v>
      </c>
      <c r="E625" s="68">
        <v>1</v>
      </c>
      <c r="F625" s="68">
        <v>10220015773</v>
      </c>
      <c r="G625" s="78">
        <v>136273</v>
      </c>
      <c r="H625" s="68" t="s">
        <v>4361</v>
      </c>
      <c r="I625" s="68">
        <v>0</v>
      </c>
      <c r="J625" s="54">
        <v>43487</v>
      </c>
      <c r="K625" s="68">
        <v>42</v>
      </c>
      <c r="L625" s="68" t="s">
        <v>2061</v>
      </c>
    </row>
    <row r="626" spans="1:12" s="68" customFormat="1">
      <c r="A626" s="68">
        <v>422700100</v>
      </c>
      <c r="B626" s="68" t="s">
        <v>2614</v>
      </c>
      <c r="C626" s="68">
        <v>962</v>
      </c>
      <c r="D626" s="68" t="s">
        <v>2615</v>
      </c>
      <c r="E626" s="68">
        <v>1</v>
      </c>
      <c r="F626" s="68">
        <v>10160029315</v>
      </c>
      <c r="G626" s="78">
        <v>181364</v>
      </c>
      <c r="H626" s="68" t="s">
        <v>4362</v>
      </c>
      <c r="I626" s="68">
        <v>0</v>
      </c>
      <c r="J626" s="54">
        <v>43511</v>
      </c>
      <c r="K626" s="68">
        <v>42</v>
      </c>
      <c r="L626" s="68" t="s">
        <v>2061</v>
      </c>
    </row>
    <row r="627" spans="1:12" s="68" customFormat="1">
      <c r="A627" s="68">
        <v>422700100</v>
      </c>
      <c r="B627" s="68" t="s">
        <v>2614</v>
      </c>
      <c r="C627" s="68">
        <v>962</v>
      </c>
      <c r="D627" s="68" t="s">
        <v>2615</v>
      </c>
      <c r="E627" s="68">
        <v>1</v>
      </c>
      <c r="F627" s="68">
        <v>10010001957</v>
      </c>
      <c r="G627" s="78">
        <v>109091</v>
      </c>
      <c r="H627" s="68" t="s">
        <v>4363</v>
      </c>
      <c r="I627" s="68">
        <v>0</v>
      </c>
      <c r="J627" s="54">
        <v>43521</v>
      </c>
      <c r="K627" s="68">
        <v>42</v>
      </c>
      <c r="L627" s="68" t="s">
        <v>2061</v>
      </c>
    </row>
    <row r="628" spans="1:12" s="68" customFormat="1">
      <c r="A628" s="68">
        <v>422700100</v>
      </c>
      <c r="B628" s="68" t="s">
        <v>2614</v>
      </c>
      <c r="C628" s="68">
        <v>962</v>
      </c>
      <c r="D628" s="68" t="s">
        <v>2615</v>
      </c>
      <c r="E628" s="68">
        <v>1</v>
      </c>
      <c r="F628" s="68">
        <v>10010078526</v>
      </c>
      <c r="G628" s="78">
        <v>5455</v>
      </c>
      <c r="H628" s="68" t="s">
        <v>4364</v>
      </c>
      <c r="I628" s="68">
        <v>0</v>
      </c>
      <c r="J628" s="54">
        <v>43529</v>
      </c>
      <c r="K628" s="68">
        <v>42</v>
      </c>
      <c r="L628" s="68" t="s">
        <v>2061</v>
      </c>
    </row>
    <row r="629" spans="1:12" s="68" customFormat="1">
      <c r="A629" s="68">
        <v>422700100</v>
      </c>
      <c r="B629" s="68" t="s">
        <v>2614</v>
      </c>
      <c r="C629" s="68">
        <v>962</v>
      </c>
      <c r="D629" s="68" t="s">
        <v>2615</v>
      </c>
      <c r="E629" s="68">
        <v>1</v>
      </c>
      <c r="F629" s="68">
        <v>20190002196</v>
      </c>
      <c r="G629" s="78">
        <v>70455</v>
      </c>
      <c r="H629" s="68" t="s">
        <v>4365</v>
      </c>
      <c r="I629" s="68">
        <v>0</v>
      </c>
      <c r="J629" s="54">
        <v>43532</v>
      </c>
      <c r="K629" s="68">
        <v>42</v>
      </c>
      <c r="L629" s="68" t="s">
        <v>2061</v>
      </c>
    </row>
    <row r="630" spans="1:12" s="68" customFormat="1">
      <c r="A630" s="68">
        <v>422700100</v>
      </c>
      <c r="B630" s="68" t="s">
        <v>2614</v>
      </c>
      <c r="C630" s="68">
        <v>962</v>
      </c>
      <c r="D630" s="68" t="s">
        <v>2615</v>
      </c>
      <c r="E630" s="68">
        <v>1</v>
      </c>
      <c r="F630" s="68">
        <v>10010000608</v>
      </c>
      <c r="G630" s="78">
        <v>300000</v>
      </c>
      <c r="H630" s="68" t="s">
        <v>4366</v>
      </c>
      <c r="I630" s="68">
        <v>0</v>
      </c>
      <c r="J630" s="54">
        <v>43544</v>
      </c>
      <c r="K630" s="68">
        <v>42</v>
      </c>
      <c r="L630" s="68" t="s">
        <v>2061</v>
      </c>
    </row>
    <row r="631" spans="1:12" s="68" customFormat="1">
      <c r="A631" s="68">
        <v>422700100</v>
      </c>
      <c r="B631" s="68" t="s">
        <v>2614</v>
      </c>
      <c r="C631" s="68">
        <v>962</v>
      </c>
      <c r="D631" s="68" t="s">
        <v>2615</v>
      </c>
      <c r="E631" s="68">
        <v>1</v>
      </c>
      <c r="F631" s="68">
        <v>10010000618</v>
      </c>
      <c r="G631" s="78">
        <v>218182</v>
      </c>
      <c r="H631" s="68" t="s">
        <v>4367</v>
      </c>
      <c r="I631" s="68">
        <v>0</v>
      </c>
      <c r="J631" s="54">
        <v>43551</v>
      </c>
      <c r="K631" s="68">
        <v>42</v>
      </c>
      <c r="L631" s="68" t="s">
        <v>2061</v>
      </c>
    </row>
    <row r="632" spans="1:12" s="68" customFormat="1">
      <c r="A632" s="68">
        <v>422700100</v>
      </c>
      <c r="B632" s="68" t="s">
        <v>2614</v>
      </c>
      <c r="C632" s="68">
        <v>962</v>
      </c>
      <c r="D632" s="68" t="s">
        <v>2615</v>
      </c>
      <c r="E632" s="68">
        <v>1</v>
      </c>
      <c r="F632" s="68">
        <v>10150029226</v>
      </c>
      <c r="G632" s="78">
        <v>39273</v>
      </c>
      <c r="H632" s="68" t="s">
        <v>4368</v>
      </c>
      <c r="I632" s="68">
        <v>0</v>
      </c>
      <c r="J632" s="54">
        <v>43553</v>
      </c>
      <c r="K632" s="68">
        <v>42</v>
      </c>
      <c r="L632" s="68" t="s">
        <v>2061</v>
      </c>
    </row>
    <row r="633" spans="1:12" s="68" customFormat="1">
      <c r="A633" s="68">
        <v>422700100</v>
      </c>
      <c r="B633" s="68" t="s">
        <v>2614</v>
      </c>
      <c r="C633" s="68">
        <v>962</v>
      </c>
      <c r="D633" s="68" t="s">
        <v>2615</v>
      </c>
      <c r="E633" s="68">
        <v>1</v>
      </c>
      <c r="F633" s="68">
        <v>10150031516</v>
      </c>
      <c r="G633" s="78">
        <v>163545</v>
      </c>
      <c r="H633" s="68" t="s">
        <v>4361</v>
      </c>
      <c r="I633" s="68">
        <v>0</v>
      </c>
      <c r="J633" s="54">
        <v>43555</v>
      </c>
      <c r="K633" s="68">
        <v>42</v>
      </c>
      <c r="L633" s="68" t="s">
        <v>2061</v>
      </c>
    </row>
    <row r="634" spans="1:12" s="68" customFormat="1">
      <c r="A634" s="68">
        <v>422700100</v>
      </c>
      <c r="B634" s="68" t="s">
        <v>2614</v>
      </c>
      <c r="C634" s="68">
        <v>962</v>
      </c>
      <c r="D634" s="68" t="s">
        <v>2615</v>
      </c>
      <c r="E634" s="68">
        <v>1</v>
      </c>
      <c r="F634" s="68">
        <v>40020002472</v>
      </c>
      <c r="G634" s="78">
        <v>212727</v>
      </c>
      <c r="H634" s="68" t="s">
        <v>4369</v>
      </c>
      <c r="I634" s="68">
        <v>0</v>
      </c>
      <c r="J634" s="54">
        <v>43566</v>
      </c>
      <c r="K634" s="68">
        <v>42</v>
      </c>
      <c r="L634" s="68" t="s">
        <v>2061</v>
      </c>
    </row>
    <row r="635" spans="1:12" s="68" customFormat="1">
      <c r="A635" s="68">
        <v>422700100</v>
      </c>
      <c r="B635" s="68" t="s">
        <v>2614</v>
      </c>
      <c r="C635" s="68">
        <v>962</v>
      </c>
      <c r="D635" s="68" t="s">
        <v>2615</v>
      </c>
      <c r="E635" s="68">
        <v>1</v>
      </c>
      <c r="F635" s="68">
        <v>10010011864</v>
      </c>
      <c r="G635" s="78">
        <v>18182</v>
      </c>
      <c r="H635" s="68" t="s">
        <v>4370</v>
      </c>
      <c r="I635" s="68">
        <v>0</v>
      </c>
      <c r="J635" s="54">
        <v>43584</v>
      </c>
      <c r="K635" s="68">
        <v>42</v>
      </c>
      <c r="L635" s="68" t="s">
        <v>2061</v>
      </c>
    </row>
    <row r="636" spans="1:12" s="68" customFormat="1">
      <c r="A636" s="68">
        <v>422700100</v>
      </c>
      <c r="B636" s="68" t="s">
        <v>2614</v>
      </c>
      <c r="C636" s="68">
        <v>962</v>
      </c>
      <c r="D636" s="68" t="s">
        <v>2615</v>
      </c>
      <c r="E636" s="68">
        <v>1</v>
      </c>
      <c r="F636" s="68">
        <v>10120049820</v>
      </c>
      <c r="G636" s="78">
        <v>39273</v>
      </c>
      <c r="H636" s="68" t="s">
        <v>4368</v>
      </c>
      <c r="I636" s="68">
        <v>0</v>
      </c>
      <c r="J636" s="54">
        <v>43585</v>
      </c>
      <c r="K636" s="68">
        <v>42</v>
      </c>
      <c r="L636" s="68" t="s">
        <v>2061</v>
      </c>
    </row>
    <row r="637" spans="1:12" s="68" customFormat="1">
      <c r="A637" s="68">
        <v>422700100</v>
      </c>
      <c r="B637" s="68" t="s">
        <v>2614</v>
      </c>
      <c r="C637" s="68">
        <v>962</v>
      </c>
      <c r="D637" s="68" t="s">
        <v>2615</v>
      </c>
      <c r="E637" s="68">
        <v>1</v>
      </c>
      <c r="F637" s="68">
        <v>10150034324</v>
      </c>
      <c r="G637" s="78">
        <v>45182</v>
      </c>
      <c r="H637" s="68" t="s">
        <v>4361</v>
      </c>
      <c r="I637" s="68">
        <v>0</v>
      </c>
      <c r="J637" s="54">
        <v>43593</v>
      </c>
      <c r="K637" s="68">
        <v>42</v>
      </c>
      <c r="L637" s="68" t="s">
        <v>2061</v>
      </c>
    </row>
    <row r="638" spans="1:12" s="68" customFormat="1">
      <c r="A638" s="68">
        <v>422700100</v>
      </c>
      <c r="B638" s="68" t="s">
        <v>2614</v>
      </c>
      <c r="C638" s="68">
        <v>962</v>
      </c>
      <c r="D638" s="68" t="s">
        <v>2615</v>
      </c>
      <c r="E638" s="68">
        <v>1</v>
      </c>
      <c r="F638" s="68">
        <v>10020001132</v>
      </c>
      <c r="G638" s="78">
        <v>16364</v>
      </c>
      <c r="H638" s="68" t="s">
        <v>4371</v>
      </c>
      <c r="I638" s="68">
        <v>0</v>
      </c>
      <c r="J638" s="54">
        <v>43595</v>
      </c>
      <c r="K638" s="68">
        <v>42</v>
      </c>
      <c r="L638" s="68" t="s">
        <v>2061</v>
      </c>
    </row>
    <row r="639" spans="1:12" s="68" customFormat="1">
      <c r="A639" s="68">
        <v>422700100</v>
      </c>
      <c r="B639" s="68" t="s">
        <v>2614</v>
      </c>
      <c r="C639" s="68">
        <v>962</v>
      </c>
      <c r="D639" s="68" t="s">
        <v>2615</v>
      </c>
      <c r="E639" s="68">
        <v>1</v>
      </c>
      <c r="F639" s="68">
        <v>130010110072</v>
      </c>
      <c r="G639" s="78">
        <v>45098</v>
      </c>
      <c r="H639" s="68" t="s">
        <v>4372</v>
      </c>
      <c r="I639" s="68">
        <v>0</v>
      </c>
      <c r="J639" s="54">
        <v>43598</v>
      </c>
      <c r="K639" s="68">
        <v>42</v>
      </c>
      <c r="L639" s="68" t="s">
        <v>2061</v>
      </c>
    </row>
    <row r="640" spans="1:12" s="68" customFormat="1">
      <c r="A640" s="68">
        <v>422700100</v>
      </c>
      <c r="B640" s="68" t="s">
        <v>2614</v>
      </c>
      <c r="C640" s="68">
        <v>962</v>
      </c>
      <c r="D640" s="68" t="s">
        <v>2615</v>
      </c>
      <c r="E640" s="68">
        <v>1</v>
      </c>
      <c r="F640" s="68">
        <v>10080053441</v>
      </c>
      <c r="G640" s="78">
        <v>39273</v>
      </c>
      <c r="H640" s="68" t="s">
        <v>4373</v>
      </c>
      <c r="I640" s="68">
        <v>0</v>
      </c>
      <c r="J640" s="54">
        <v>43606</v>
      </c>
      <c r="K640" s="68">
        <v>42</v>
      </c>
      <c r="L640" s="68" t="s">
        <v>2061</v>
      </c>
    </row>
    <row r="641" spans="1:12" s="68" customFormat="1">
      <c r="A641" s="68">
        <v>422700100</v>
      </c>
      <c r="B641" s="68" t="s">
        <v>2614</v>
      </c>
      <c r="C641" s="68">
        <v>962</v>
      </c>
      <c r="D641" s="68" t="s">
        <v>2615</v>
      </c>
      <c r="E641" s="68">
        <v>1</v>
      </c>
      <c r="F641" s="68">
        <v>10020001068</v>
      </c>
      <c r="G641" s="78">
        <v>345455</v>
      </c>
      <c r="H641" s="68" t="s">
        <v>4374</v>
      </c>
      <c r="I641" s="68">
        <v>0</v>
      </c>
      <c r="J641" s="54">
        <v>43609</v>
      </c>
      <c r="K641" s="68">
        <v>42</v>
      </c>
      <c r="L641" s="68" t="s">
        <v>2061</v>
      </c>
    </row>
    <row r="642" spans="1:12" s="68" customFormat="1">
      <c r="A642" s="68">
        <v>422700100</v>
      </c>
      <c r="B642" s="68" t="s">
        <v>2614</v>
      </c>
      <c r="C642" s="68">
        <v>962</v>
      </c>
      <c r="D642" s="68" t="s">
        <v>2615</v>
      </c>
      <c r="E642" s="68">
        <v>1</v>
      </c>
      <c r="F642" s="68">
        <v>10010084405</v>
      </c>
      <c r="G642" s="78">
        <v>31818</v>
      </c>
      <c r="H642" s="68" t="s">
        <v>4375</v>
      </c>
      <c r="I642" s="68">
        <v>0</v>
      </c>
      <c r="J642" s="54">
        <v>43613</v>
      </c>
      <c r="K642" s="68">
        <v>42</v>
      </c>
      <c r="L642" s="68" t="s">
        <v>2061</v>
      </c>
    </row>
    <row r="643" spans="1:12" s="68" customFormat="1">
      <c r="A643" s="68">
        <v>422700100</v>
      </c>
      <c r="B643" s="68" t="s">
        <v>2614</v>
      </c>
      <c r="C643" s="68">
        <v>962</v>
      </c>
      <c r="D643" s="68" t="s">
        <v>2615</v>
      </c>
      <c r="E643" s="68">
        <v>1</v>
      </c>
      <c r="F643" s="68">
        <v>20010004917</v>
      </c>
      <c r="G643" s="78">
        <v>318182</v>
      </c>
      <c r="H643" s="68" t="s">
        <v>4376</v>
      </c>
      <c r="I643" s="68">
        <v>0</v>
      </c>
      <c r="J643" s="54">
        <v>43614</v>
      </c>
      <c r="K643" s="68">
        <v>42</v>
      </c>
      <c r="L643" s="68" t="s">
        <v>2061</v>
      </c>
    </row>
    <row r="644" spans="1:12" s="68" customFormat="1">
      <c r="A644" s="68">
        <v>422700100</v>
      </c>
      <c r="B644" s="68" t="s">
        <v>2614</v>
      </c>
      <c r="C644" s="68">
        <v>962</v>
      </c>
      <c r="D644" s="68" t="s">
        <v>2615</v>
      </c>
      <c r="E644" s="68">
        <v>1</v>
      </c>
      <c r="F644" s="68">
        <v>10010000693</v>
      </c>
      <c r="G644" s="78">
        <v>345455</v>
      </c>
      <c r="H644" s="68" t="s">
        <v>4377</v>
      </c>
      <c r="I644" s="68">
        <v>0</v>
      </c>
      <c r="J644" s="54">
        <v>43616</v>
      </c>
      <c r="K644" s="68">
        <v>42</v>
      </c>
      <c r="L644" s="68" t="s">
        <v>2061</v>
      </c>
    </row>
    <row r="645" spans="1:12" s="68" customFormat="1">
      <c r="A645" s="68">
        <v>422700100</v>
      </c>
      <c r="B645" s="68" t="s">
        <v>2614</v>
      </c>
      <c r="C645" s="68">
        <v>962</v>
      </c>
      <c r="D645" s="68" t="s">
        <v>2615</v>
      </c>
      <c r="E645" s="68">
        <v>1</v>
      </c>
      <c r="F645" s="68">
        <v>10100069189</v>
      </c>
      <c r="G645" s="78">
        <v>198409</v>
      </c>
      <c r="H645" s="68" t="s">
        <v>4378</v>
      </c>
      <c r="I645" s="68">
        <v>0</v>
      </c>
      <c r="J645" s="54">
        <v>43616</v>
      </c>
      <c r="K645" s="68">
        <v>42</v>
      </c>
      <c r="L645" s="68" t="s">
        <v>2061</v>
      </c>
    </row>
    <row r="646" spans="1:12" s="68" customFormat="1">
      <c r="A646" s="68">
        <v>422700100</v>
      </c>
      <c r="B646" s="68" t="s">
        <v>2614</v>
      </c>
      <c r="C646" s="68">
        <v>962</v>
      </c>
      <c r="D646" s="68" t="s">
        <v>2615</v>
      </c>
      <c r="E646" s="68">
        <v>1</v>
      </c>
      <c r="F646" s="68">
        <v>10210007855</v>
      </c>
      <c r="G646" s="78">
        <v>208159</v>
      </c>
      <c r="H646" s="68" t="s">
        <v>4115</v>
      </c>
      <c r="I646" s="68">
        <v>0</v>
      </c>
      <c r="J646" s="54">
        <v>43616</v>
      </c>
      <c r="K646" s="68">
        <v>42</v>
      </c>
      <c r="L646" s="68" t="s">
        <v>2061</v>
      </c>
    </row>
    <row r="647" spans="1:12" s="68" customFormat="1">
      <c r="A647" s="68">
        <v>422700100</v>
      </c>
      <c r="B647" s="68" t="s">
        <v>2614</v>
      </c>
      <c r="C647" s="68">
        <v>962</v>
      </c>
      <c r="D647" s="68" t="s">
        <v>2615</v>
      </c>
      <c r="E647" s="68">
        <v>1</v>
      </c>
      <c r="F647" s="68">
        <v>10010009916</v>
      </c>
      <c r="G647" s="78">
        <v>190909</v>
      </c>
      <c r="H647" s="68" t="s">
        <v>4361</v>
      </c>
      <c r="I647" s="68">
        <v>0</v>
      </c>
      <c r="J647" s="54">
        <v>43640</v>
      </c>
      <c r="K647" s="68">
        <v>42</v>
      </c>
      <c r="L647" s="68" t="s">
        <v>2061</v>
      </c>
    </row>
    <row r="648" spans="1:12" s="68" customFormat="1">
      <c r="A648" s="68">
        <v>422700100</v>
      </c>
      <c r="B648" s="68" t="s">
        <v>2614</v>
      </c>
      <c r="C648" s="68">
        <v>962</v>
      </c>
      <c r="D648" s="68" t="s">
        <v>2615</v>
      </c>
      <c r="E648" s="68">
        <v>1</v>
      </c>
      <c r="F648" s="68">
        <v>10010086674</v>
      </c>
      <c r="G648" s="78">
        <v>47727</v>
      </c>
      <c r="H648" s="68" t="s">
        <v>4379</v>
      </c>
      <c r="I648" s="68">
        <v>0</v>
      </c>
      <c r="J648" s="54">
        <v>43643</v>
      </c>
      <c r="K648" s="68">
        <v>42</v>
      </c>
      <c r="L648" s="68" t="s">
        <v>2061</v>
      </c>
    </row>
    <row r="649" spans="1:12" s="68" customFormat="1">
      <c r="A649" s="68">
        <v>422700100</v>
      </c>
      <c r="B649" s="68" t="s">
        <v>2614</v>
      </c>
      <c r="C649" s="68">
        <v>962</v>
      </c>
      <c r="D649" s="68" t="s">
        <v>2615</v>
      </c>
      <c r="E649" s="68">
        <v>1</v>
      </c>
      <c r="F649" s="68">
        <v>50010440499</v>
      </c>
      <c r="G649" s="78">
        <v>46409</v>
      </c>
      <c r="H649" s="68" t="s">
        <v>4380</v>
      </c>
      <c r="I649" s="68">
        <v>0</v>
      </c>
      <c r="J649" s="54">
        <v>43652</v>
      </c>
      <c r="K649" s="68">
        <v>42</v>
      </c>
      <c r="L649" s="68" t="s">
        <v>2061</v>
      </c>
    </row>
    <row r="650" spans="1:12" s="68" customFormat="1">
      <c r="A650" s="68">
        <v>422700100</v>
      </c>
      <c r="B650" s="68" t="s">
        <v>2614</v>
      </c>
      <c r="C650" s="68">
        <v>962</v>
      </c>
      <c r="D650" s="68" t="s">
        <v>2615</v>
      </c>
      <c r="E650" s="68">
        <v>1</v>
      </c>
      <c r="F650" s="68">
        <v>10010000707</v>
      </c>
      <c r="G650" s="78">
        <v>318182</v>
      </c>
      <c r="H650" s="68" t="s">
        <v>4381</v>
      </c>
      <c r="I650" s="68">
        <v>0</v>
      </c>
      <c r="J650" s="54">
        <v>43654</v>
      </c>
      <c r="K650" s="68">
        <v>42</v>
      </c>
      <c r="L650" s="68" t="s">
        <v>2061</v>
      </c>
    </row>
    <row r="651" spans="1:12" s="68" customFormat="1">
      <c r="A651" s="68">
        <v>422700100</v>
      </c>
      <c r="B651" s="68" t="s">
        <v>2614</v>
      </c>
      <c r="C651" s="68">
        <v>962</v>
      </c>
      <c r="D651" s="68" t="s">
        <v>2615</v>
      </c>
      <c r="E651" s="68">
        <v>1</v>
      </c>
      <c r="F651" s="68">
        <v>10010032262</v>
      </c>
      <c r="G651" s="78">
        <v>90909</v>
      </c>
      <c r="H651" s="68" t="s">
        <v>4382</v>
      </c>
      <c r="I651" s="68">
        <v>0</v>
      </c>
      <c r="J651" s="54">
        <v>43654</v>
      </c>
      <c r="K651" s="68">
        <v>42</v>
      </c>
      <c r="L651" s="68" t="s">
        <v>2061</v>
      </c>
    </row>
    <row r="652" spans="1:12" s="68" customFormat="1">
      <c r="A652" s="68">
        <v>422700100</v>
      </c>
      <c r="B652" s="68" t="s">
        <v>2614</v>
      </c>
      <c r="C652" s="68">
        <v>962</v>
      </c>
      <c r="D652" s="68" t="s">
        <v>2615</v>
      </c>
      <c r="E652" s="68">
        <v>1</v>
      </c>
      <c r="F652" s="68">
        <v>10010087829</v>
      </c>
      <c r="G652" s="78">
        <v>65455</v>
      </c>
      <c r="H652" s="68" t="s">
        <v>4383</v>
      </c>
      <c r="I652" s="68">
        <v>0</v>
      </c>
      <c r="J652" s="54">
        <v>43661</v>
      </c>
      <c r="K652" s="68">
        <v>42</v>
      </c>
      <c r="L652" s="68" t="s">
        <v>2061</v>
      </c>
    </row>
    <row r="653" spans="1:12" s="68" customFormat="1">
      <c r="A653" s="68">
        <v>422700100</v>
      </c>
      <c r="B653" s="68" t="s">
        <v>2614</v>
      </c>
      <c r="C653" s="68">
        <v>962</v>
      </c>
      <c r="D653" s="68" t="s">
        <v>2615</v>
      </c>
      <c r="E653" s="68">
        <v>1</v>
      </c>
      <c r="F653" s="68">
        <v>10130052133</v>
      </c>
      <c r="G653" s="78">
        <v>198545</v>
      </c>
      <c r="H653" s="68" t="s">
        <v>4368</v>
      </c>
      <c r="I653" s="68">
        <v>0</v>
      </c>
      <c r="J653" s="54">
        <v>43671</v>
      </c>
      <c r="K653" s="68">
        <v>42</v>
      </c>
      <c r="L653" s="68" t="s">
        <v>2061</v>
      </c>
    </row>
    <row r="654" spans="1:12" s="68" customFormat="1">
      <c r="A654" s="68">
        <v>422700100</v>
      </c>
      <c r="B654" s="68" t="s">
        <v>2614</v>
      </c>
      <c r="C654" s="68">
        <v>962</v>
      </c>
      <c r="D654" s="68" t="s">
        <v>2615</v>
      </c>
      <c r="E654" s="68">
        <v>1</v>
      </c>
      <c r="F654" s="68">
        <v>10060000569</v>
      </c>
      <c r="G654" s="78">
        <v>198545</v>
      </c>
      <c r="H654" s="68" t="s">
        <v>4384</v>
      </c>
      <c r="I654" s="68">
        <v>0</v>
      </c>
      <c r="J654" s="54">
        <v>43682</v>
      </c>
      <c r="K654" s="68">
        <v>42</v>
      </c>
      <c r="L654" s="68" t="s">
        <v>2061</v>
      </c>
    </row>
    <row r="655" spans="1:12" s="68" customFormat="1">
      <c r="A655" s="68">
        <v>422700100</v>
      </c>
      <c r="B655" s="68" t="s">
        <v>2614</v>
      </c>
      <c r="C655" s="68">
        <v>962</v>
      </c>
      <c r="D655" s="68" t="s">
        <v>2615</v>
      </c>
      <c r="E655" s="68">
        <v>1</v>
      </c>
      <c r="F655" s="68">
        <v>10010015681</v>
      </c>
      <c r="G655" s="78">
        <v>222727</v>
      </c>
      <c r="H655" s="68" t="s">
        <v>4385</v>
      </c>
      <c r="I655" s="68">
        <v>0</v>
      </c>
      <c r="J655" s="54">
        <v>43690</v>
      </c>
      <c r="K655" s="68">
        <v>42</v>
      </c>
      <c r="L655" s="68" t="s">
        <v>2061</v>
      </c>
    </row>
    <row r="656" spans="1:12" s="68" customFormat="1">
      <c r="A656" s="68">
        <v>422700100</v>
      </c>
      <c r="B656" s="68" t="s">
        <v>2614</v>
      </c>
      <c r="C656" s="68">
        <v>962</v>
      </c>
      <c r="D656" s="68" t="s">
        <v>2615</v>
      </c>
      <c r="E656" s="68">
        <v>1</v>
      </c>
      <c r="F656" s="68">
        <v>10040028239</v>
      </c>
      <c r="G656" s="78">
        <v>67273</v>
      </c>
      <c r="H656" s="68" t="s">
        <v>4386</v>
      </c>
      <c r="I656" s="68">
        <v>0</v>
      </c>
      <c r="J656" s="54">
        <v>43691</v>
      </c>
      <c r="K656" s="68">
        <v>42</v>
      </c>
      <c r="L656" s="68" t="s">
        <v>2061</v>
      </c>
    </row>
    <row r="657" spans="1:12" s="68" customFormat="1">
      <c r="A657" s="68">
        <v>422700100</v>
      </c>
      <c r="B657" s="68" t="s">
        <v>2614</v>
      </c>
      <c r="C657" s="68">
        <v>962</v>
      </c>
      <c r="D657" s="68" t="s">
        <v>2615</v>
      </c>
      <c r="E657" s="68">
        <v>1</v>
      </c>
      <c r="F657" s="68">
        <v>10010006148</v>
      </c>
      <c r="G657" s="78">
        <v>227273</v>
      </c>
      <c r="H657" s="68" t="s">
        <v>4387</v>
      </c>
      <c r="I657" s="68">
        <v>0</v>
      </c>
      <c r="J657" s="54">
        <v>43708</v>
      </c>
      <c r="K657" s="68">
        <v>42</v>
      </c>
      <c r="L657" s="68" t="s">
        <v>2061</v>
      </c>
    </row>
    <row r="658" spans="1:12" s="68" customFormat="1">
      <c r="A658" s="68">
        <v>422700100</v>
      </c>
      <c r="B658" s="68" t="s">
        <v>2614</v>
      </c>
      <c r="C658" s="68">
        <v>962</v>
      </c>
      <c r="D658" s="68" t="s">
        <v>2615</v>
      </c>
      <c r="E658" s="68">
        <v>1</v>
      </c>
      <c r="F658" s="68">
        <v>10110005262</v>
      </c>
      <c r="G658" s="78">
        <v>195682</v>
      </c>
      <c r="H658" s="68" t="s">
        <v>4373</v>
      </c>
      <c r="I658" s="68">
        <v>0</v>
      </c>
      <c r="J658" s="54">
        <v>43708</v>
      </c>
      <c r="K658" s="68">
        <v>42</v>
      </c>
      <c r="L658" s="68" t="s">
        <v>2061</v>
      </c>
    </row>
    <row r="659" spans="1:12" s="68" customFormat="1">
      <c r="A659" s="68">
        <v>422700100</v>
      </c>
      <c r="B659" s="68" t="s">
        <v>2614</v>
      </c>
      <c r="C659" s="68">
        <v>962</v>
      </c>
      <c r="D659" s="68" t="s">
        <v>2615</v>
      </c>
      <c r="E659" s="68">
        <v>1</v>
      </c>
      <c r="F659" s="68">
        <v>10010092126</v>
      </c>
      <c r="G659" s="78">
        <v>8182</v>
      </c>
      <c r="H659" s="68" t="s">
        <v>4388</v>
      </c>
      <c r="I659" s="68">
        <v>0</v>
      </c>
      <c r="J659" s="54">
        <v>43713</v>
      </c>
      <c r="K659" s="68">
        <v>42</v>
      </c>
      <c r="L659" s="68" t="s">
        <v>2061</v>
      </c>
    </row>
    <row r="660" spans="1:12" s="68" customFormat="1">
      <c r="A660" s="68">
        <v>422700100</v>
      </c>
      <c r="B660" s="68" t="s">
        <v>2614</v>
      </c>
      <c r="C660" s="68">
        <v>962</v>
      </c>
      <c r="D660" s="68" t="s">
        <v>2615</v>
      </c>
      <c r="E660" s="68">
        <v>1</v>
      </c>
      <c r="F660" s="68">
        <v>10130007944</v>
      </c>
      <c r="G660" s="78">
        <v>198591</v>
      </c>
      <c r="H660" s="68" t="s">
        <v>4389</v>
      </c>
      <c r="I660" s="68">
        <v>0</v>
      </c>
      <c r="J660" s="54">
        <v>43724</v>
      </c>
      <c r="K660" s="68">
        <v>42</v>
      </c>
      <c r="L660" s="68" t="s">
        <v>2061</v>
      </c>
    </row>
    <row r="661" spans="1:12" s="68" customFormat="1">
      <c r="A661" s="68">
        <v>422700100</v>
      </c>
      <c r="B661" s="68" t="s">
        <v>2614</v>
      </c>
      <c r="C661" s="68">
        <v>962</v>
      </c>
      <c r="D661" s="68" t="s">
        <v>2615</v>
      </c>
      <c r="E661" s="68">
        <v>1</v>
      </c>
      <c r="F661" s="68">
        <v>10010094115</v>
      </c>
      <c r="G661" s="78">
        <v>39545</v>
      </c>
      <c r="H661" s="68" t="s">
        <v>4390</v>
      </c>
      <c r="I661" s="68">
        <v>0</v>
      </c>
      <c r="J661" s="54">
        <v>43739</v>
      </c>
      <c r="K661" s="68">
        <v>42</v>
      </c>
      <c r="L661" s="68" t="s">
        <v>2061</v>
      </c>
    </row>
    <row r="662" spans="1:12" s="68" customFormat="1">
      <c r="A662" s="68">
        <v>422700100</v>
      </c>
      <c r="B662" s="68" t="s">
        <v>2614</v>
      </c>
      <c r="C662" s="68">
        <v>962</v>
      </c>
      <c r="D662" s="68" t="s">
        <v>2615</v>
      </c>
      <c r="E662" s="68">
        <v>1</v>
      </c>
      <c r="F662" s="68">
        <v>10010002425</v>
      </c>
      <c r="G662" s="78">
        <v>54545</v>
      </c>
      <c r="H662" s="68" t="s">
        <v>4391</v>
      </c>
      <c r="I662" s="68">
        <v>0</v>
      </c>
      <c r="J662" s="54">
        <v>43747</v>
      </c>
      <c r="K662" s="68">
        <v>42</v>
      </c>
      <c r="L662" s="68" t="s">
        <v>2061</v>
      </c>
    </row>
    <row r="663" spans="1:12" s="68" customFormat="1">
      <c r="A663" s="68">
        <v>422700100</v>
      </c>
      <c r="B663" s="68" t="s">
        <v>2614</v>
      </c>
      <c r="C663" s="68">
        <v>962</v>
      </c>
      <c r="D663" s="68" t="s">
        <v>2615</v>
      </c>
      <c r="E663" s="68">
        <v>1</v>
      </c>
      <c r="F663" s="68">
        <v>10010003515</v>
      </c>
      <c r="G663" s="78">
        <v>220909</v>
      </c>
      <c r="H663" s="68" t="s">
        <v>4392</v>
      </c>
      <c r="I663" s="68">
        <v>0</v>
      </c>
      <c r="J663" s="54">
        <v>43756</v>
      </c>
      <c r="K663" s="68">
        <v>42</v>
      </c>
      <c r="L663" s="68" t="s">
        <v>2061</v>
      </c>
    </row>
    <row r="664" spans="1:12" s="68" customFormat="1">
      <c r="A664" s="68">
        <v>422700100</v>
      </c>
      <c r="B664" s="68" t="s">
        <v>2614</v>
      </c>
      <c r="C664" s="68">
        <v>962</v>
      </c>
      <c r="D664" s="68" t="s">
        <v>2615</v>
      </c>
      <c r="E664" s="68">
        <v>1</v>
      </c>
      <c r="F664" s="68">
        <v>10010046806</v>
      </c>
      <c r="G664" s="78">
        <v>212727</v>
      </c>
      <c r="H664" s="68" t="s">
        <v>4392</v>
      </c>
      <c r="I664" s="68">
        <v>0</v>
      </c>
      <c r="J664" s="54">
        <v>43756</v>
      </c>
      <c r="K664" s="68">
        <v>42</v>
      </c>
      <c r="L664" s="68" t="s">
        <v>2061</v>
      </c>
    </row>
    <row r="665" spans="1:12" s="68" customFormat="1">
      <c r="A665" s="68">
        <v>422700100</v>
      </c>
      <c r="B665" s="68" t="s">
        <v>2614</v>
      </c>
      <c r="C665" s="68">
        <v>962</v>
      </c>
      <c r="D665" s="68" t="s">
        <v>2615</v>
      </c>
      <c r="E665" s="68">
        <v>1</v>
      </c>
      <c r="F665" s="68">
        <v>10150014929</v>
      </c>
      <c r="G665" s="78">
        <v>198591</v>
      </c>
      <c r="H665" s="68" t="s">
        <v>4393</v>
      </c>
      <c r="I665" s="68">
        <v>0</v>
      </c>
      <c r="J665" s="54">
        <v>43756</v>
      </c>
      <c r="K665" s="68">
        <v>42</v>
      </c>
      <c r="L665" s="68" t="s">
        <v>2061</v>
      </c>
    </row>
    <row r="666" spans="1:12" s="68" customFormat="1">
      <c r="A666" s="68">
        <v>422700100</v>
      </c>
      <c r="B666" s="68" t="s">
        <v>2614</v>
      </c>
      <c r="C666" s="68">
        <v>962</v>
      </c>
      <c r="D666" s="68" t="s">
        <v>2615</v>
      </c>
      <c r="E666" s="68">
        <v>1</v>
      </c>
      <c r="F666" s="68">
        <v>10010006355</v>
      </c>
      <c r="G666" s="78">
        <v>72727</v>
      </c>
      <c r="H666" s="68" t="s">
        <v>4394</v>
      </c>
      <c r="I666" s="68">
        <v>0</v>
      </c>
      <c r="J666" s="54">
        <v>43759</v>
      </c>
      <c r="K666" s="68">
        <v>42</v>
      </c>
      <c r="L666" s="68" t="s">
        <v>2061</v>
      </c>
    </row>
    <row r="667" spans="1:12" s="68" customFormat="1">
      <c r="A667" s="68">
        <v>422700100</v>
      </c>
      <c r="B667" s="68" t="s">
        <v>2614</v>
      </c>
      <c r="C667" s="68">
        <v>962</v>
      </c>
      <c r="D667" s="68" t="s">
        <v>2615</v>
      </c>
      <c r="E667" s="68">
        <v>1</v>
      </c>
      <c r="F667" s="68">
        <v>10010096180</v>
      </c>
      <c r="G667" s="78">
        <v>48182</v>
      </c>
      <c r="H667" s="68" t="s">
        <v>4395</v>
      </c>
      <c r="I667" s="68">
        <v>0</v>
      </c>
      <c r="J667" s="54">
        <v>43766</v>
      </c>
      <c r="K667" s="68">
        <v>42</v>
      </c>
      <c r="L667" s="68" t="s">
        <v>2061</v>
      </c>
    </row>
    <row r="668" spans="1:12" s="68" customFormat="1">
      <c r="A668" s="68">
        <v>422700100</v>
      </c>
      <c r="B668" s="68" t="s">
        <v>2614</v>
      </c>
      <c r="C668" s="68">
        <v>962</v>
      </c>
      <c r="D668" s="68" t="s">
        <v>2615</v>
      </c>
      <c r="E668" s="68">
        <v>1</v>
      </c>
      <c r="F668" s="68">
        <v>50010465609</v>
      </c>
      <c r="G668" s="78">
        <v>340909</v>
      </c>
      <c r="H668" s="68" t="s">
        <v>4396</v>
      </c>
      <c r="I668" s="68">
        <v>0</v>
      </c>
      <c r="J668" s="54">
        <v>43766</v>
      </c>
      <c r="K668" s="68">
        <v>42</v>
      </c>
      <c r="L668" s="68" t="s">
        <v>2061</v>
      </c>
    </row>
    <row r="669" spans="1:12" s="68" customFormat="1">
      <c r="A669" s="68">
        <v>422700100</v>
      </c>
      <c r="B669" s="68" t="s">
        <v>2614</v>
      </c>
      <c r="C669" s="68">
        <v>962</v>
      </c>
      <c r="D669" s="68" t="s">
        <v>2615</v>
      </c>
      <c r="E669" s="68">
        <v>1</v>
      </c>
      <c r="F669" s="68">
        <v>10010096404</v>
      </c>
      <c r="G669" s="78">
        <v>22727</v>
      </c>
      <c r="H669" s="68" t="s">
        <v>4397</v>
      </c>
      <c r="I669" s="68">
        <v>0</v>
      </c>
      <c r="J669" s="54">
        <v>43768</v>
      </c>
      <c r="K669" s="68">
        <v>42</v>
      </c>
      <c r="L669" s="68" t="s">
        <v>2061</v>
      </c>
    </row>
    <row r="670" spans="1:12" s="68" customFormat="1">
      <c r="A670" s="68">
        <v>422700100</v>
      </c>
      <c r="B670" s="68" t="s">
        <v>2614</v>
      </c>
      <c r="C670" s="68">
        <v>962</v>
      </c>
      <c r="D670" s="68" t="s">
        <v>2615</v>
      </c>
      <c r="E670" s="68">
        <v>1</v>
      </c>
      <c r="F670" s="68">
        <v>10100019907</v>
      </c>
      <c r="G670" s="78">
        <v>170455</v>
      </c>
      <c r="H670" s="68" t="s">
        <v>4398</v>
      </c>
      <c r="I670" s="68">
        <v>0</v>
      </c>
      <c r="J670" s="54">
        <v>43773</v>
      </c>
      <c r="K670" s="68">
        <v>42</v>
      </c>
      <c r="L670" s="68" t="s">
        <v>2061</v>
      </c>
    </row>
    <row r="671" spans="1:12" s="68" customFormat="1">
      <c r="A671" s="68">
        <v>422700100</v>
      </c>
      <c r="B671" s="68" t="s">
        <v>2614</v>
      </c>
      <c r="C671" s="68">
        <v>962</v>
      </c>
      <c r="D671" s="68" t="s">
        <v>2615</v>
      </c>
      <c r="E671" s="68">
        <v>1</v>
      </c>
      <c r="F671" s="68">
        <v>10010097137</v>
      </c>
      <c r="G671" s="78">
        <v>21364</v>
      </c>
      <c r="H671" s="68" t="s">
        <v>4399</v>
      </c>
      <c r="I671" s="68">
        <v>0</v>
      </c>
      <c r="J671" s="54">
        <v>43781</v>
      </c>
      <c r="K671" s="68">
        <v>42</v>
      </c>
      <c r="L671" s="68" t="s">
        <v>2061</v>
      </c>
    </row>
    <row r="672" spans="1:12" s="68" customFormat="1">
      <c r="A672" s="68">
        <v>422700100</v>
      </c>
      <c r="B672" s="68" t="s">
        <v>2614</v>
      </c>
      <c r="C672" s="68">
        <v>962</v>
      </c>
      <c r="D672" s="68" t="s">
        <v>2615</v>
      </c>
      <c r="E672" s="68">
        <v>1</v>
      </c>
      <c r="F672" s="68">
        <v>10030000738</v>
      </c>
      <c r="G672" s="78">
        <v>63636</v>
      </c>
      <c r="H672" s="68" t="s">
        <v>4400</v>
      </c>
      <c r="I672" s="68">
        <v>0</v>
      </c>
      <c r="J672" s="54">
        <v>43781</v>
      </c>
      <c r="K672" s="68">
        <v>42</v>
      </c>
      <c r="L672" s="68" t="s">
        <v>2061</v>
      </c>
    </row>
    <row r="673" spans="1:12" s="68" customFormat="1">
      <c r="A673" s="68">
        <v>422700100</v>
      </c>
      <c r="B673" s="68" t="s">
        <v>2614</v>
      </c>
      <c r="C673" s="68">
        <v>962</v>
      </c>
      <c r="D673" s="68" t="s">
        <v>2615</v>
      </c>
      <c r="E673" s="68">
        <v>1</v>
      </c>
      <c r="F673" s="68">
        <v>10010097352</v>
      </c>
      <c r="G673" s="78">
        <v>58182</v>
      </c>
      <c r="H673" s="68" t="s">
        <v>4401</v>
      </c>
      <c r="I673" s="68">
        <v>0</v>
      </c>
      <c r="J673" s="54">
        <v>43782</v>
      </c>
      <c r="K673" s="68">
        <v>42</v>
      </c>
      <c r="L673" s="68" t="s">
        <v>2061</v>
      </c>
    </row>
    <row r="674" spans="1:12" s="68" customFormat="1">
      <c r="A674" s="68">
        <v>422700100</v>
      </c>
      <c r="B674" s="68" t="s">
        <v>2614</v>
      </c>
      <c r="C674" s="68">
        <v>962</v>
      </c>
      <c r="D674" s="68" t="s">
        <v>2615</v>
      </c>
      <c r="E674" s="68">
        <v>1</v>
      </c>
      <c r="F674" s="68">
        <v>180070045948</v>
      </c>
      <c r="G674" s="78">
        <v>49576</v>
      </c>
      <c r="H674" s="68" t="s">
        <v>4402</v>
      </c>
      <c r="I674" s="68">
        <v>0</v>
      </c>
      <c r="J674" s="54">
        <v>43782</v>
      </c>
      <c r="K674" s="68">
        <v>42</v>
      </c>
      <c r="L674" s="68" t="s">
        <v>2061</v>
      </c>
    </row>
    <row r="675" spans="1:12" s="68" customFormat="1">
      <c r="A675" s="68">
        <v>422700100</v>
      </c>
      <c r="B675" s="68" t="s">
        <v>2614</v>
      </c>
      <c r="C675" s="68">
        <v>962</v>
      </c>
      <c r="D675" s="68" t="s">
        <v>2615</v>
      </c>
      <c r="E675" s="68">
        <v>1</v>
      </c>
      <c r="F675" s="68">
        <v>10140023756</v>
      </c>
      <c r="G675" s="78">
        <v>170455</v>
      </c>
      <c r="H675" s="68" t="s">
        <v>4398</v>
      </c>
      <c r="I675" s="68">
        <v>0</v>
      </c>
      <c r="J675" s="54">
        <v>43801</v>
      </c>
      <c r="K675" s="68">
        <v>42</v>
      </c>
      <c r="L675" s="68" t="s">
        <v>2061</v>
      </c>
    </row>
    <row r="676" spans="1:12" s="68" customFormat="1">
      <c r="A676" s="68">
        <v>422700100</v>
      </c>
      <c r="B676" s="68" t="s">
        <v>2614</v>
      </c>
      <c r="C676" s="68">
        <v>962</v>
      </c>
      <c r="D676" s="68" t="s">
        <v>2615</v>
      </c>
      <c r="E676" s="68">
        <v>26</v>
      </c>
      <c r="F676" s="68">
        <v>2670</v>
      </c>
      <c r="G676" s="78">
        <v>10000</v>
      </c>
      <c r="H676" s="68" t="s">
        <v>2616</v>
      </c>
      <c r="I676" s="68">
        <v>0</v>
      </c>
      <c r="J676" s="54">
        <v>43809</v>
      </c>
      <c r="K676" s="68">
        <v>42</v>
      </c>
      <c r="L676" s="68" t="s">
        <v>2061</v>
      </c>
    </row>
    <row r="677" spans="1:12" s="68" customFormat="1">
      <c r="A677" s="68">
        <v>422700100</v>
      </c>
      <c r="B677" s="68" t="s">
        <v>2614</v>
      </c>
      <c r="C677" s="68">
        <v>962</v>
      </c>
      <c r="D677" s="68" t="s">
        <v>2615</v>
      </c>
      <c r="E677" s="68">
        <v>1</v>
      </c>
      <c r="F677" s="68">
        <v>10010002731</v>
      </c>
      <c r="G677" s="78">
        <v>527273</v>
      </c>
      <c r="H677" s="68" t="s">
        <v>4403</v>
      </c>
      <c r="I677" s="68">
        <v>0</v>
      </c>
      <c r="J677" s="54">
        <v>43826</v>
      </c>
      <c r="K677" s="68">
        <v>42</v>
      </c>
      <c r="L677" s="68" t="s">
        <v>2061</v>
      </c>
    </row>
    <row r="678" spans="1:12" s="68" customFormat="1">
      <c r="A678" s="68">
        <v>422700100</v>
      </c>
      <c r="B678" s="68" t="s">
        <v>2614</v>
      </c>
      <c r="C678" s="68">
        <v>962</v>
      </c>
      <c r="D678" s="68" t="s">
        <v>2615</v>
      </c>
      <c r="E678" s="68">
        <v>1</v>
      </c>
      <c r="F678" s="68">
        <v>10010100298</v>
      </c>
      <c r="G678" s="78">
        <v>134182</v>
      </c>
      <c r="H678" s="68" t="s">
        <v>4404</v>
      </c>
      <c r="I678" s="68">
        <v>0</v>
      </c>
      <c r="J678" s="54">
        <v>43826</v>
      </c>
      <c r="K678" s="68">
        <v>42</v>
      </c>
      <c r="L678" s="68" t="s">
        <v>2061</v>
      </c>
    </row>
    <row r="679" spans="1:12" s="68" customFormat="1">
      <c r="A679" s="68">
        <v>422700100</v>
      </c>
      <c r="B679" s="68" t="s">
        <v>2614</v>
      </c>
      <c r="C679" s="68">
        <v>962</v>
      </c>
      <c r="D679" s="68" t="s">
        <v>2615</v>
      </c>
      <c r="E679" s="68">
        <v>1</v>
      </c>
      <c r="F679" s="68">
        <v>10010056165</v>
      </c>
      <c r="G679" s="78">
        <v>27273</v>
      </c>
      <c r="H679" s="68" t="s">
        <v>4405</v>
      </c>
      <c r="I679" s="68">
        <v>0</v>
      </c>
      <c r="J679" s="54">
        <v>43829</v>
      </c>
      <c r="K679" s="68">
        <v>42</v>
      </c>
      <c r="L679" s="68" t="s">
        <v>2061</v>
      </c>
    </row>
    <row r="680" spans="1:12" s="68" customFormat="1">
      <c r="A680" s="68">
        <v>422700100</v>
      </c>
      <c r="B680" s="68" t="s">
        <v>2614</v>
      </c>
      <c r="C680" s="68">
        <v>962</v>
      </c>
      <c r="D680" s="68" t="s">
        <v>2615</v>
      </c>
      <c r="E680" s="68">
        <v>2</v>
      </c>
      <c r="F680" s="68">
        <v>70010038082</v>
      </c>
      <c r="G680" s="78">
        <v>295455</v>
      </c>
      <c r="H680" s="68" t="s">
        <v>4406</v>
      </c>
      <c r="I680" s="68">
        <v>0</v>
      </c>
      <c r="J680" s="54">
        <v>43511</v>
      </c>
      <c r="L680" s="68" t="s">
        <v>2076</v>
      </c>
    </row>
    <row r="681" spans="1:12" s="68" customFormat="1">
      <c r="A681" s="68">
        <v>422700100</v>
      </c>
      <c r="B681" s="68" t="s">
        <v>2614</v>
      </c>
      <c r="C681" s="68">
        <v>962</v>
      </c>
      <c r="D681" s="68" t="s">
        <v>2615</v>
      </c>
      <c r="E681" s="68">
        <v>2</v>
      </c>
      <c r="F681" s="68">
        <v>60020121948</v>
      </c>
      <c r="G681" s="78">
        <v>293636</v>
      </c>
      <c r="H681" s="68" t="s">
        <v>4407</v>
      </c>
      <c r="I681" s="68">
        <v>0</v>
      </c>
      <c r="J681" s="54">
        <v>43812</v>
      </c>
      <c r="L681" s="68" t="s">
        <v>2076</v>
      </c>
    </row>
    <row r="682" spans="1:12" s="68" customFormat="1">
      <c r="A682" s="68">
        <v>422700200</v>
      </c>
      <c r="B682" s="68" t="s">
        <v>4408</v>
      </c>
      <c r="C682" s="68">
        <v>963</v>
      </c>
      <c r="D682" s="68" t="s">
        <v>4409</v>
      </c>
      <c r="E682" s="68">
        <v>1</v>
      </c>
      <c r="F682" s="68">
        <v>260020008543</v>
      </c>
      <c r="G682" s="78">
        <v>33636</v>
      </c>
      <c r="H682" s="68" t="s">
        <v>4410</v>
      </c>
      <c r="I682" s="68">
        <v>0</v>
      </c>
      <c r="J682" s="54">
        <v>43472</v>
      </c>
      <c r="K682" s="68">
        <v>3</v>
      </c>
      <c r="L682" s="68" t="s">
        <v>2099</v>
      </c>
    </row>
    <row r="683" spans="1:12" s="68" customFormat="1">
      <c r="A683" s="68">
        <v>422700200</v>
      </c>
      <c r="B683" s="68" t="s">
        <v>4408</v>
      </c>
      <c r="C683" s="68">
        <v>963</v>
      </c>
      <c r="D683" s="68" t="s">
        <v>4409</v>
      </c>
      <c r="E683" s="68">
        <v>1</v>
      </c>
      <c r="F683" s="68">
        <v>160590001431</v>
      </c>
      <c r="G683" s="78">
        <v>33925</v>
      </c>
      <c r="H683" s="68" t="s">
        <v>4411</v>
      </c>
      <c r="I683" s="68">
        <v>0</v>
      </c>
      <c r="J683" s="54">
        <v>43480</v>
      </c>
      <c r="K683" s="68">
        <v>3</v>
      </c>
      <c r="L683" s="68" t="s">
        <v>2099</v>
      </c>
    </row>
    <row r="684" spans="1:12" s="68" customFormat="1">
      <c r="A684" s="68">
        <v>422700200</v>
      </c>
      <c r="B684" s="68" t="s">
        <v>4408</v>
      </c>
      <c r="C684" s="68">
        <v>963</v>
      </c>
      <c r="D684" s="68" t="s">
        <v>4409</v>
      </c>
      <c r="E684" s="68">
        <v>1</v>
      </c>
      <c r="F684" s="68">
        <v>10060001209</v>
      </c>
      <c r="G684" s="78">
        <v>13636</v>
      </c>
      <c r="H684" s="68" t="s">
        <v>4412</v>
      </c>
      <c r="I684" s="68">
        <v>0</v>
      </c>
      <c r="J684" s="54">
        <v>43521</v>
      </c>
      <c r="K684" s="68">
        <v>3</v>
      </c>
      <c r="L684" s="68" t="s">
        <v>2099</v>
      </c>
    </row>
    <row r="685" spans="1:12" s="68" customFormat="1">
      <c r="A685" s="68">
        <v>422700200</v>
      </c>
      <c r="B685" s="68" t="s">
        <v>4408</v>
      </c>
      <c r="C685" s="68">
        <v>963</v>
      </c>
      <c r="D685" s="68" t="s">
        <v>4409</v>
      </c>
      <c r="E685" s="68">
        <v>1</v>
      </c>
      <c r="F685" s="68">
        <v>10010035445</v>
      </c>
      <c r="G685" s="78">
        <v>27273</v>
      </c>
      <c r="H685" s="68" t="s">
        <v>4413</v>
      </c>
      <c r="I685" s="68">
        <v>0</v>
      </c>
      <c r="J685" s="54">
        <v>43644</v>
      </c>
      <c r="K685" s="68">
        <v>3</v>
      </c>
      <c r="L685" s="68" t="s">
        <v>2099</v>
      </c>
    </row>
    <row r="686" spans="1:12" s="68" customFormat="1">
      <c r="A686" s="68">
        <v>422700200</v>
      </c>
      <c r="B686" s="68" t="s">
        <v>4408</v>
      </c>
      <c r="C686" s="68">
        <v>963</v>
      </c>
      <c r="D686" s="68" t="s">
        <v>4409</v>
      </c>
      <c r="E686" s="68">
        <v>1</v>
      </c>
      <c r="F686" s="68">
        <v>160600023160</v>
      </c>
      <c r="G686" s="78">
        <v>23543</v>
      </c>
      <c r="H686" s="68" t="s">
        <v>4414</v>
      </c>
      <c r="I686" s="68">
        <v>0</v>
      </c>
      <c r="J686" s="54">
        <v>43656</v>
      </c>
      <c r="K686" s="68">
        <v>3</v>
      </c>
      <c r="L686" s="68" t="s">
        <v>2099</v>
      </c>
    </row>
    <row r="687" spans="1:12" s="68" customFormat="1">
      <c r="A687" s="68">
        <v>422700200</v>
      </c>
      <c r="B687" s="68" t="s">
        <v>4408</v>
      </c>
      <c r="C687" s="68">
        <v>963</v>
      </c>
      <c r="D687" s="68" t="s">
        <v>4409</v>
      </c>
      <c r="E687" s="68">
        <v>1</v>
      </c>
      <c r="F687" s="68">
        <v>10020004407</v>
      </c>
      <c r="G687" s="78">
        <v>40455</v>
      </c>
      <c r="H687" s="68" t="s">
        <v>4415</v>
      </c>
      <c r="I687" s="68">
        <v>0</v>
      </c>
      <c r="J687" s="54">
        <v>43784</v>
      </c>
      <c r="K687" s="68">
        <v>6</v>
      </c>
      <c r="L687" s="68" t="s">
        <v>2210</v>
      </c>
    </row>
    <row r="688" spans="1:12" s="68" customFormat="1">
      <c r="A688" s="68">
        <v>422700200</v>
      </c>
      <c r="B688" s="68" t="s">
        <v>4408</v>
      </c>
      <c r="C688" s="68">
        <v>963</v>
      </c>
      <c r="D688" s="68" t="s">
        <v>4409</v>
      </c>
      <c r="E688" s="68">
        <v>1</v>
      </c>
      <c r="F688" s="68">
        <v>10020004412</v>
      </c>
      <c r="G688" s="78">
        <v>10909</v>
      </c>
      <c r="H688" s="68" t="s">
        <v>4416</v>
      </c>
      <c r="I688" s="68">
        <v>0</v>
      </c>
      <c r="J688" s="54">
        <v>43785</v>
      </c>
      <c r="K688" s="68">
        <v>6</v>
      </c>
      <c r="L688" s="68" t="s">
        <v>2210</v>
      </c>
    </row>
    <row r="689" spans="1:12" s="68" customFormat="1">
      <c r="A689" s="68">
        <v>422700200</v>
      </c>
      <c r="B689" s="68" t="s">
        <v>4408</v>
      </c>
      <c r="C689" s="68">
        <v>963</v>
      </c>
      <c r="D689" s="68" t="s">
        <v>4409</v>
      </c>
      <c r="E689" s="68">
        <v>1</v>
      </c>
      <c r="F689" s="68">
        <v>10010000993</v>
      </c>
      <c r="G689" s="78">
        <v>1159091</v>
      </c>
      <c r="H689" s="68" t="s">
        <v>4417</v>
      </c>
      <c r="I689" s="68">
        <v>0</v>
      </c>
      <c r="J689" s="54">
        <v>43612</v>
      </c>
      <c r="K689" s="68">
        <v>37</v>
      </c>
      <c r="L689" s="68" t="s">
        <v>2017</v>
      </c>
    </row>
    <row r="690" spans="1:12" s="68" customFormat="1">
      <c r="A690" s="68">
        <v>422700300</v>
      </c>
      <c r="B690" s="68" t="s">
        <v>4418</v>
      </c>
      <c r="C690" s="68">
        <v>964</v>
      </c>
      <c r="D690" s="68" t="s">
        <v>4419</v>
      </c>
      <c r="E690" s="68">
        <v>1</v>
      </c>
      <c r="F690" s="68">
        <v>141080006585</v>
      </c>
      <c r="G690" s="78">
        <v>119820</v>
      </c>
      <c r="H690" s="68" t="s">
        <v>4420</v>
      </c>
      <c r="I690" s="68">
        <v>0</v>
      </c>
      <c r="J690" s="54">
        <v>43474</v>
      </c>
      <c r="K690" s="68">
        <v>4</v>
      </c>
      <c r="L690" s="68" t="s">
        <v>2354</v>
      </c>
    </row>
    <row r="691" spans="1:12" s="68" customFormat="1">
      <c r="A691" s="68">
        <v>422700300</v>
      </c>
      <c r="B691" s="68" t="s">
        <v>4418</v>
      </c>
      <c r="C691" s="68">
        <v>964</v>
      </c>
      <c r="D691" s="68" t="s">
        <v>4419</v>
      </c>
      <c r="E691" s="68">
        <v>1</v>
      </c>
      <c r="F691" s="68">
        <v>141100017939</v>
      </c>
      <c r="G691" s="78">
        <v>67203</v>
      </c>
      <c r="H691" s="68" t="s">
        <v>4421</v>
      </c>
      <c r="I691" s="68">
        <v>0</v>
      </c>
      <c r="J691" s="54">
        <v>43554</v>
      </c>
      <c r="K691" s="68">
        <v>4</v>
      </c>
      <c r="L691" s="68" t="s">
        <v>2354</v>
      </c>
    </row>
    <row r="692" spans="1:12" s="68" customFormat="1">
      <c r="A692" s="68">
        <v>422700300</v>
      </c>
      <c r="B692" s="68" t="s">
        <v>4418</v>
      </c>
      <c r="C692" s="68">
        <v>964</v>
      </c>
      <c r="D692" s="68" t="s">
        <v>4419</v>
      </c>
      <c r="E692" s="68">
        <v>1</v>
      </c>
      <c r="F692" s="68">
        <v>140810058662</v>
      </c>
      <c r="G692" s="78">
        <v>30573</v>
      </c>
      <c r="H692" s="68" t="s">
        <v>4422</v>
      </c>
      <c r="I692" s="68">
        <v>0</v>
      </c>
      <c r="J692" s="54">
        <v>43579</v>
      </c>
      <c r="K692" s="68">
        <v>4</v>
      </c>
      <c r="L692" s="68" t="s">
        <v>2354</v>
      </c>
    </row>
    <row r="693" spans="1:12" s="68" customFormat="1">
      <c r="A693" s="68">
        <v>422700300</v>
      </c>
      <c r="B693" s="68" t="s">
        <v>4418</v>
      </c>
      <c r="C693" s="68">
        <v>964</v>
      </c>
      <c r="D693" s="68" t="s">
        <v>4419</v>
      </c>
      <c r="E693" s="68">
        <v>1</v>
      </c>
      <c r="F693" s="68">
        <v>141120019075</v>
      </c>
      <c r="G693" s="78">
        <v>287336</v>
      </c>
      <c r="H693" s="68" t="s">
        <v>4423</v>
      </c>
      <c r="I693" s="68">
        <v>0</v>
      </c>
      <c r="J693" s="54">
        <v>43579</v>
      </c>
      <c r="K693" s="68">
        <v>4</v>
      </c>
      <c r="L693" s="68" t="s">
        <v>2354</v>
      </c>
    </row>
    <row r="694" spans="1:12" s="68" customFormat="1">
      <c r="A694" s="68">
        <v>422700300</v>
      </c>
      <c r="B694" s="68" t="s">
        <v>4418</v>
      </c>
      <c r="C694" s="68">
        <v>964</v>
      </c>
      <c r="D694" s="68" t="s">
        <v>4419</v>
      </c>
      <c r="E694" s="68">
        <v>1</v>
      </c>
      <c r="F694" s="68">
        <v>141130045909</v>
      </c>
      <c r="G694" s="78">
        <v>176870</v>
      </c>
      <c r="H694" s="68" t="s">
        <v>4424</v>
      </c>
      <c r="I694" s="68">
        <v>0</v>
      </c>
      <c r="J694" s="54">
        <v>43777</v>
      </c>
      <c r="K694" s="68">
        <v>4</v>
      </c>
      <c r="L694" s="68" t="s">
        <v>2354</v>
      </c>
    </row>
    <row r="695" spans="1:12" s="68" customFormat="1">
      <c r="A695" s="68">
        <v>422700300</v>
      </c>
      <c r="B695" s="68" t="s">
        <v>4418</v>
      </c>
      <c r="C695" s="68">
        <v>964</v>
      </c>
      <c r="D695" s="68" t="s">
        <v>4419</v>
      </c>
      <c r="E695" s="68">
        <v>1</v>
      </c>
      <c r="F695" s="68">
        <v>141080057506</v>
      </c>
      <c r="G695" s="78">
        <v>77209</v>
      </c>
      <c r="H695" s="68" t="s">
        <v>4425</v>
      </c>
      <c r="I695" s="68">
        <v>0</v>
      </c>
      <c r="J695" s="54">
        <v>43785</v>
      </c>
      <c r="K695" s="68">
        <v>4</v>
      </c>
      <c r="L695" s="68" t="s">
        <v>2354</v>
      </c>
    </row>
    <row r="696" spans="1:12" s="68" customFormat="1">
      <c r="A696" s="68">
        <v>422700300</v>
      </c>
      <c r="B696" s="68" t="s">
        <v>4418</v>
      </c>
      <c r="C696" s="68">
        <v>964</v>
      </c>
      <c r="D696" s="68" t="s">
        <v>4419</v>
      </c>
      <c r="E696" s="68">
        <v>1</v>
      </c>
      <c r="F696" s="68">
        <v>141090012751</v>
      </c>
      <c r="G696" s="78">
        <v>26343</v>
      </c>
      <c r="H696" s="68">
        <v>141090012751</v>
      </c>
      <c r="I696" s="68">
        <v>0</v>
      </c>
      <c r="J696" s="54">
        <v>43511</v>
      </c>
      <c r="K696" s="68">
        <v>8</v>
      </c>
      <c r="L696" s="68" t="s">
        <v>2262</v>
      </c>
    </row>
    <row r="697" spans="1:12" s="68" customFormat="1">
      <c r="A697" s="68">
        <v>422700300</v>
      </c>
      <c r="B697" s="68" t="s">
        <v>4418</v>
      </c>
      <c r="C697" s="68">
        <v>964</v>
      </c>
      <c r="D697" s="68" t="s">
        <v>4419</v>
      </c>
      <c r="E697" s="68">
        <v>1</v>
      </c>
      <c r="F697" s="68">
        <v>141110012819</v>
      </c>
      <c r="G697" s="78">
        <v>80981</v>
      </c>
      <c r="H697" s="68" t="s">
        <v>4420</v>
      </c>
      <c r="I697" s="68">
        <v>0</v>
      </c>
      <c r="J697" s="54">
        <v>43523</v>
      </c>
      <c r="K697" s="68">
        <v>8</v>
      </c>
      <c r="L697" s="68" t="s">
        <v>2262</v>
      </c>
    </row>
    <row r="698" spans="1:12" s="68" customFormat="1">
      <c r="A698" s="68">
        <v>422700300</v>
      </c>
      <c r="B698" s="68" t="s">
        <v>4418</v>
      </c>
      <c r="C698" s="68">
        <v>964</v>
      </c>
      <c r="D698" s="68" t="s">
        <v>4419</v>
      </c>
      <c r="E698" s="68">
        <v>1</v>
      </c>
      <c r="F698" s="68">
        <v>10020006153</v>
      </c>
      <c r="G698" s="78">
        <v>286364</v>
      </c>
      <c r="H698" s="68" t="s">
        <v>4426</v>
      </c>
      <c r="I698" s="68">
        <v>0</v>
      </c>
      <c r="J698" s="54">
        <v>43593</v>
      </c>
      <c r="K698" s="68">
        <v>8</v>
      </c>
      <c r="L698" s="68" t="s">
        <v>2262</v>
      </c>
    </row>
    <row r="699" spans="1:12" s="68" customFormat="1">
      <c r="A699" s="68">
        <v>422700300</v>
      </c>
      <c r="B699" s="68" t="s">
        <v>4418</v>
      </c>
      <c r="C699" s="68">
        <v>964</v>
      </c>
      <c r="D699" s="68" t="s">
        <v>4419</v>
      </c>
      <c r="E699" s="68">
        <v>1</v>
      </c>
      <c r="F699" s="68">
        <v>141100023572</v>
      </c>
      <c r="G699" s="78">
        <v>41619</v>
      </c>
      <c r="H699" s="68" t="s">
        <v>4427</v>
      </c>
      <c r="I699" s="68">
        <v>0</v>
      </c>
      <c r="J699" s="54">
        <v>43594</v>
      </c>
      <c r="K699" s="68">
        <v>8</v>
      </c>
      <c r="L699" s="68" t="s">
        <v>2262</v>
      </c>
    </row>
    <row r="700" spans="1:12" s="68" customFormat="1">
      <c r="A700" s="68">
        <v>422700300</v>
      </c>
      <c r="B700" s="68" t="s">
        <v>4418</v>
      </c>
      <c r="C700" s="68">
        <v>964</v>
      </c>
      <c r="D700" s="68" t="s">
        <v>4419</v>
      </c>
      <c r="E700" s="68">
        <v>1</v>
      </c>
      <c r="F700" s="68">
        <v>141080030371</v>
      </c>
      <c r="G700" s="78">
        <v>41543</v>
      </c>
      <c r="H700" s="68" t="s">
        <v>4421</v>
      </c>
      <c r="I700" s="68">
        <v>0</v>
      </c>
      <c r="J700" s="54">
        <v>43613</v>
      </c>
      <c r="K700" s="68">
        <v>8</v>
      </c>
      <c r="L700" s="68" t="s">
        <v>2262</v>
      </c>
    </row>
    <row r="701" spans="1:12" s="68" customFormat="1">
      <c r="A701" s="68">
        <v>422700300</v>
      </c>
      <c r="B701" s="68" t="s">
        <v>4418</v>
      </c>
      <c r="C701" s="68">
        <v>964</v>
      </c>
      <c r="D701" s="68" t="s">
        <v>4419</v>
      </c>
      <c r="E701" s="68">
        <v>1</v>
      </c>
      <c r="F701" s="68">
        <v>141080033266</v>
      </c>
      <c r="G701" s="78">
        <v>15924</v>
      </c>
      <c r="H701" s="68" t="s">
        <v>4428</v>
      </c>
      <c r="I701" s="68">
        <v>0</v>
      </c>
      <c r="J701" s="54">
        <v>43634</v>
      </c>
      <c r="K701" s="68">
        <v>8</v>
      </c>
      <c r="L701" s="68" t="s">
        <v>2262</v>
      </c>
    </row>
    <row r="702" spans="1:12" s="68" customFormat="1">
      <c r="A702" s="68">
        <v>422700300</v>
      </c>
      <c r="B702" s="68" t="s">
        <v>4418</v>
      </c>
      <c r="C702" s="68">
        <v>964</v>
      </c>
      <c r="D702" s="68" t="s">
        <v>4419</v>
      </c>
      <c r="E702" s="68">
        <v>1</v>
      </c>
      <c r="F702" s="68">
        <v>141080033266</v>
      </c>
      <c r="G702" s="78">
        <v>14700</v>
      </c>
      <c r="H702" s="68" t="s">
        <v>4428</v>
      </c>
      <c r="I702" s="68">
        <v>0</v>
      </c>
      <c r="J702" s="54">
        <v>43634</v>
      </c>
      <c r="K702" s="68">
        <v>8</v>
      </c>
      <c r="L702" s="68" t="s">
        <v>2262</v>
      </c>
    </row>
    <row r="703" spans="1:12" s="68" customFormat="1">
      <c r="A703" s="68">
        <v>422700300</v>
      </c>
      <c r="B703" s="68" t="s">
        <v>4418</v>
      </c>
      <c r="C703" s="68">
        <v>964</v>
      </c>
      <c r="D703" s="68" t="s">
        <v>4419</v>
      </c>
      <c r="E703" s="68">
        <v>1</v>
      </c>
      <c r="F703" s="68">
        <v>141110028799</v>
      </c>
      <c r="G703" s="78">
        <v>41629</v>
      </c>
      <c r="H703" s="68" t="s">
        <v>4429</v>
      </c>
      <c r="I703" s="68">
        <v>0</v>
      </c>
      <c r="J703" s="54">
        <v>43634</v>
      </c>
      <c r="K703" s="68">
        <v>8</v>
      </c>
      <c r="L703" s="68" t="s">
        <v>2262</v>
      </c>
    </row>
    <row r="704" spans="1:12" s="68" customFormat="1">
      <c r="A704" s="68">
        <v>422700300</v>
      </c>
      <c r="B704" s="68" t="s">
        <v>4418</v>
      </c>
      <c r="C704" s="68">
        <v>964</v>
      </c>
      <c r="D704" s="68" t="s">
        <v>4419</v>
      </c>
      <c r="E704" s="68">
        <v>1</v>
      </c>
      <c r="F704" s="68">
        <v>10010037080</v>
      </c>
      <c r="G704" s="78">
        <v>109091</v>
      </c>
      <c r="H704" s="68" t="s">
        <v>4430</v>
      </c>
      <c r="I704" s="68">
        <v>0</v>
      </c>
      <c r="J704" s="54">
        <v>43752</v>
      </c>
      <c r="K704" s="68">
        <v>8</v>
      </c>
      <c r="L704" s="68" t="s">
        <v>2262</v>
      </c>
    </row>
    <row r="705" spans="1:12" s="68" customFormat="1">
      <c r="A705" s="68">
        <v>422700300</v>
      </c>
      <c r="B705" s="68" t="s">
        <v>4418</v>
      </c>
      <c r="C705" s="68">
        <v>964</v>
      </c>
      <c r="D705" s="68" t="s">
        <v>4419</v>
      </c>
      <c r="E705" s="68">
        <v>1</v>
      </c>
      <c r="F705" s="68">
        <v>10010001722</v>
      </c>
      <c r="G705" s="78">
        <v>245455</v>
      </c>
      <c r="H705" s="68" t="s">
        <v>4431</v>
      </c>
      <c r="I705" s="68">
        <v>0</v>
      </c>
      <c r="J705" s="54">
        <v>43771</v>
      </c>
      <c r="K705" s="68">
        <v>8</v>
      </c>
      <c r="L705" s="68" t="s">
        <v>2262</v>
      </c>
    </row>
    <row r="706" spans="1:12" s="68" customFormat="1">
      <c r="A706" s="68">
        <v>422700300</v>
      </c>
      <c r="B706" s="68" t="s">
        <v>4418</v>
      </c>
      <c r="C706" s="68">
        <v>964</v>
      </c>
      <c r="D706" s="68" t="s">
        <v>4419</v>
      </c>
      <c r="E706" s="68">
        <v>1</v>
      </c>
      <c r="F706" s="68">
        <v>80090082332</v>
      </c>
      <c r="G706" s="78">
        <v>631773</v>
      </c>
      <c r="H706" s="68" t="s">
        <v>4432</v>
      </c>
      <c r="I706" s="68">
        <v>0</v>
      </c>
      <c r="J706" s="54">
        <v>43771</v>
      </c>
      <c r="K706" s="68">
        <v>8</v>
      </c>
      <c r="L706" s="68" t="s">
        <v>2262</v>
      </c>
    </row>
    <row r="707" spans="1:12" s="68" customFormat="1">
      <c r="A707" s="68">
        <v>422700300</v>
      </c>
      <c r="B707" s="68" t="s">
        <v>4418</v>
      </c>
      <c r="C707" s="68">
        <v>964</v>
      </c>
      <c r="D707" s="68" t="s">
        <v>4419</v>
      </c>
      <c r="E707" s="68">
        <v>1</v>
      </c>
      <c r="F707" s="68">
        <v>160800036444</v>
      </c>
      <c r="G707" s="78">
        <v>52170</v>
      </c>
      <c r="H707" s="68" t="s">
        <v>4433</v>
      </c>
      <c r="I707" s="68">
        <v>0</v>
      </c>
      <c r="J707" s="54">
        <v>43774</v>
      </c>
      <c r="K707" s="68">
        <v>8</v>
      </c>
      <c r="L707" s="68" t="s">
        <v>2262</v>
      </c>
    </row>
    <row r="708" spans="1:12" s="68" customFormat="1">
      <c r="A708" s="68">
        <v>422700300</v>
      </c>
      <c r="B708" s="68" t="s">
        <v>4418</v>
      </c>
      <c r="C708" s="68">
        <v>964</v>
      </c>
      <c r="D708" s="68" t="s">
        <v>4419</v>
      </c>
      <c r="E708" s="68">
        <v>1</v>
      </c>
      <c r="F708" s="68">
        <v>10180009125</v>
      </c>
      <c r="G708" s="78">
        <v>132273</v>
      </c>
      <c r="H708" s="68" t="s">
        <v>4434</v>
      </c>
      <c r="I708" s="68">
        <v>0</v>
      </c>
      <c r="J708" s="54">
        <v>43823</v>
      </c>
      <c r="K708" s="68">
        <v>48</v>
      </c>
      <c r="L708" s="68" t="s">
        <v>4435</v>
      </c>
    </row>
    <row r="709" spans="1:12" s="68" customFormat="1">
      <c r="A709" s="68">
        <v>422700300</v>
      </c>
      <c r="B709" s="68" t="s">
        <v>4418</v>
      </c>
      <c r="C709" s="68">
        <v>964</v>
      </c>
      <c r="D709" s="68" t="s">
        <v>4419</v>
      </c>
      <c r="E709" s="68">
        <v>2</v>
      </c>
      <c r="F709" s="68">
        <v>10010184600</v>
      </c>
      <c r="G709" s="78">
        <v>7273</v>
      </c>
      <c r="H709" s="68" t="s">
        <v>4436</v>
      </c>
      <c r="I709" s="68">
        <v>0</v>
      </c>
      <c r="J709" s="54">
        <v>43616</v>
      </c>
      <c r="L709" s="68" t="s">
        <v>2076</v>
      </c>
    </row>
    <row r="710" spans="1:12" s="68" customFormat="1">
      <c r="A710" s="68">
        <v>422700400</v>
      </c>
      <c r="B710" s="68" t="s">
        <v>3100</v>
      </c>
      <c r="C710" s="68">
        <v>965</v>
      </c>
      <c r="D710" s="68" t="s">
        <v>3101</v>
      </c>
      <c r="E710" s="68">
        <v>1</v>
      </c>
      <c r="F710" s="68">
        <v>270020040348</v>
      </c>
      <c r="G710" s="78">
        <v>65458</v>
      </c>
      <c r="H710" s="68" t="s">
        <v>4437</v>
      </c>
      <c r="I710" s="68">
        <v>0</v>
      </c>
      <c r="J710" s="54">
        <v>43491</v>
      </c>
      <c r="K710" s="68">
        <v>31</v>
      </c>
      <c r="L710" s="68" t="s">
        <v>2348</v>
      </c>
    </row>
    <row r="711" spans="1:12" s="68" customFormat="1">
      <c r="A711" s="68">
        <v>422700400</v>
      </c>
      <c r="B711" s="68" t="s">
        <v>3100</v>
      </c>
      <c r="C711" s="68">
        <v>965</v>
      </c>
      <c r="D711" s="68" t="s">
        <v>3101</v>
      </c>
      <c r="E711" s="68">
        <v>1</v>
      </c>
      <c r="F711" s="68">
        <v>160070028893</v>
      </c>
      <c r="G711" s="78">
        <v>59764</v>
      </c>
      <c r="H711" s="68" t="s">
        <v>4438</v>
      </c>
      <c r="I711" s="68">
        <v>0</v>
      </c>
      <c r="J711" s="54">
        <v>43584</v>
      </c>
      <c r="K711" s="68">
        <v>31</v>
      </c>
      <c r="L711" s="68" t="s">
        <v>2348</v>
      </c>
    </row>
    <row r="712" spans="1:12" s="68" customFormat="1">
      <c r="A712" s="68">
        <v>422700400</v>
      </c>
      <c r="B712" s="68" t="s">
        <v>3100</v>
      </c>
      <c r="C712" s="68">
        <v>965</v>
      </c>
      <c r="D712" s="68" t="s">
        <v>3101</v>
      </c>
      <c r="E712" s="68">
        <v>1</v>
      </c>
      <c r="F712" s="68">
        <v>80010021456</v>
      </c>
      <c r="G712" s="78">
        <v>73191</v>
      </c>
      <c r="H712" s="68" t="s">
        <v>4439</v>
      </c>
      <c r="I712" s="68">
        <v>0</v>
      </c>
      <c r="J712" s="54">
        <v>43587</v>
      </c>
      <c r="K712" s="68">
        <v>31</v>
      </c>
      <c r="L712" s="68" t="s">
        <v>2348</v>
      </c>
    </row>
    <row r="713" spans="1:12" s="68" customFormat="1">
      <c r="A713" s="68">
        <v>422700400</v>
      </c>
      <c r="B713" s="68" t="s">
        <v>3100</v>
      </c>
      <c r="C713" s="68">
        <v>965</v>
      </c>
      <c r="D713" s="68" t="s">
        <v>3101</v>
      </c>
      <c r="E713" s="68">
        <v>1</v>
      </c>
      <c r="F713" s="68">
        <v>80010021487</v>
      </c>
      <c r="G713" s="78">
        <v>52909</v>
      </c>
      <c r="H713" s="68" t="s">
        <v>4440</v>
      </c>
      <c r="I713" s="68">
        <v>0</v>
      </c>
      <c r="J713" s="54">
        <v>43587</v>
      </c>
      <c r="K713" s="68">
        <v>31</v>
      </c>
      <c r="L713" s="68" t="s">
        <v>2348</v>
      </c>
    </row>
    <row r="714" spans="1:12" s="68" customFormat="1">
      <c r="A714" s="68">
        <v>422700400</v>
      </c>
      <c r="B714" s="68" t="s">
        <v>3100</v>
      </c>
      <c r="C714" s="68">
        <v>965</v>
      </c>
      <c r="D714" s="68" t="s">
        <v>3101</v>
      </c>
      <c r="E714" s="68">
        <v>1</v>
      </c>
      <c r="F714" s="68">
        <v>80010021497</v>
      </c>
      <c r="G714" s="78">
        <v>6878</v>
      </c>
      <c r="H714" s="68" t="s">
        <v>4441</v>
      </c>
      <c r="I714" s="68">
        <v>0</v>
      </c>
      <c r="J714" s="54">
        <v>43587</v>
      </c>
      <c r="K714" s="68">
        <v>31</v>
      </c>
      <c r="L714" s="68" t="s">
        <v>2348</v>
      </c>
    </row>
    <row r="715" spans="1:12" s="68" customFormat="1">
      <c r="A715" s="68">
        <v>422700400</v>
      </c>
      <c r="B715" s="68" t="s">
        <v>3100</v>
      </c>
      <c r="C715" s="68">
        <v>965</v>
      </c>
      <c r="D715" s="68" t="s">
        <v>3101</v>
      </c>
      <c r="E715" s="68">
        <v>1</v>
      </c>
      <c r="F715" s="68">
        <v>80010021524</v>
      </c>
      <c r="G715" s="78">
        <v>51182</v>
      </c>
      <c r="H715" s="68" t="s">
        <v>4442</v>
      </c>
      <c r="I715" s="68">
        <v>0</v>
      </c>
      <c r="J715" s="54">
        <v>43587</v>
      </c>
      <c r="K715" s="68">
        <v>31</v>
      </c>
      <c r="L715" s="68" t="s">
        <v>2348</v>
      </c>
    </row>
    <row r="716" spans="1:12" s="68" customFormat="1">
      <c r="A716" s="68">
        <v>422700400</v>
      </c>
      <c r="B716" s="68" t="s">
        <v>3100</v>
      </c>
      <c r="C716" s="68">
        <v>965</v>
      </c>
      <c r="D716" s="68" t="s">
        <v>3101</v>
      </c>
      <c r="E716" s="68">
        <v>1</v>
      </c>
      <c r="F716" s="68">
        <v>160410019164</v>
      </c>
      <c r="G716" s="78">
        <v>44564</v>
      </c>
      <c r="H716" s="68" t="s">
        <v>4443</v>
      </c>
      <c r="I716" s="68">
        <v>0</v>
      </c>
      <c r="J716" s="54">
        <v>43587</v>
      </c>
      <c r="K716" s="68">
        <v>31</v>
      </c>
      <c r="L716" s="68" t="s">
        <v>2348</v>
      </c>
    </row>
    <row r="717" spans="1:12" s="68" customFormat="1">
      <c r="A717" s="68">
        <v>422700400</v>
      </c>
      <c r="B717" s="68" t="s">
        <v>3100</v>
      </c>
      <c r="C717" s="68">
        <v>965</v>
      </c>
      <c r="D717" s="68" t="s">
        <v>3101</v>
      </c>
      <c r="E717" s="68">
        <v>1</v>
      </c>
      <c r="F717" s="68">
        <v>10060003380</v>
      </c>
      <c r="G717" s="78">
        <v>2727</v>
      </c>
      <c r="H717" s="68" t="s">
        <v>4412</v>
      </c>
      <c r="I717" s="68">
        <v>0</v>
      </c>
      <c r="J717" s="54">
        <v>43677</v>
      </c>
      <c r="K717" s="68">
        <v>31</v>
      </c>
      <c r="L717" s="68" t="s">
        <v>2348</v>
      </c>
    </row>
    <row r="718" spans="1:12" s="68" customFormat="1">
      <c r="A718" s="68">
        <v>422700400</v>
      </c>
      <c r="B718" s="68" t="s">
        <v>3100</v>
      </c>
      <c r="C718" s="68">
        <v>965</v>
      </c>
      <c r="D718" s="68" t="s">
        <v>3101</v>
      </c>
      <c r="E718" s="68">
        <v>26</v>
      </c>
      <c r="F718" s="68">
        <v>63706</v>
      </c>
      <c r="G718" s="78">
        <v>30000</v>
      </c>
      <c r="H718" s="68" t="s">
        <v>2636</v>
      </c>
      <c r="I718" s="68">
        <v>0</v>
      </c>
      <c r="J718" s="54">
        <v>43535</v>
      </c>
      <c r="K718" s="68">
        <v>32</v>
      </c>
      <c r="L718" s="68" t="s">
        <v>2237</v>
      </c>
    </row>
    <row r="719" spans="1:12" s="68" customFormat="1">
      <c r="A719" s="68">
        <v>422700400</v>
      </c>
      <c r="B719" s="68" t="s">
        <v>3100</v>
      </c>
      <c r="C719" s="68">
        <v>965</v>
      </c>
      <c r="D719" s="68" t="s">
        <v>3101</v>
      </c>
      <c r="E719" s="68">
        <v>1</v>
      </c>
      <c r="F719" s="68">
        <v>10010176006</v>
      </c>
      <c r="G719" s="78">
        <v>30000</v>
      </c>
      <c r="H719" s="68" t="s">
        <v>2636</v>
      </c>
      <c r="I719" s="68">
        <v>0</v>
      </c>
      <c r="J719" s="54">
        <v>43535</v>
      </c>
      <c r="K719" s="68">
        <v>32</v>
      </c>
      <c r="L719" s="68" t="s">
        <v>2237</v>
      </c>
    </row>
    <row r="720" spans="1:12" s="68" customFormat="1">
      <c r="A720" s="68">
        <v>422700400</v>
      </c>
      <c r="B720" s="68" t="s">
        <v>3100</v>
      </c>
      <c r="C720" s="68">
        <v>965</v>
      </c>
      <c r="D720" s="68" t="s">
        <v>3101</v>
      </c>
      <c r="E720" s="68">
        <v>2</v>
      </c>
      <c r="F720" s="68">
        <v>210060022820</v>
      </c>
      <c r="G720" s="78">
        <v>1932</v>
      </c>
      <c r="H720" s="68" t="s">
        <v>3489</v>
      </c>
      <c r="I720" s="68">
        <v>0</v>
      </c>
      <c r="J720" s="54">
        <v>43578</v>
      </c>
      <c r="L720" s="68" t="s">
        <v>2076</v>
      </c>
    </row>
    <row r="721" spans="1:12" s="68" customFormat="1">
      <c r="A721" s="68">
        <v>422700400</v>
      </c>
      <c r="B721" s="68" t="s">
        <v>3100</v>
      </c>
      <c r="C721" s="68">
        <v>965</v>
      </c>
      <c r="D721" s="68" t="s">
        <v>3101</v>
      </c>
      <c r="E721" s="68">
        <v>2</v>
      </c>
      <c r="F721" s="68">
        <v>210050020642</v>
      </c>
      <c r="G721" s="78">
        <v>43273</v>
      </c>
      <c r="H721" s="68" t="s">
        <v>4444</v>
      </c>
      <c r="I721" s="68">
        <v>0</v>
      </c>
      <c r="J721" s="54">
        <v>43587</v>
      </c>
      <c r="L721" s="68" t="s">
        <v>2076</v>
      </c>
    </row>
    <row r="722" spans="1:12" s="68" customFormat="1">
      <c r="A722" s="68">
        <v>422700400</v>
      </c>
      <c r="B722" s="68" t="s">
        <v>3100</v>
      </c>
      <c r="C722" s="68">
        <v>965</v>
      </c>
      <c r="D722" s="68" t="s">
        <v>3101</v>
      </c>
      <c r="E722" s="68">
        <v>2</v>
      </c>
      <c r="F722" s="68">
        <v>210090010898</v>
      </c>
      <c r="G722" s="78">
        <v>23024</v>
      </c>
      <c r="H722" s="68" t="s">
        <v>4445</v>
      </c>
      <c r="I722" s="68">
        <v>0</v>
      </c>
      <c r="J722" s="54">
        <v>43587</v>
      </c>
      <c r="L722" s="68" t="s">
        <v>2076</v>
      </c>
    </row>
    <row r="723" spans="1:12" s="68" customFormat="1">
      <c r="A723" s="68">
        <v>422700500</v>
      </c>
      <c r="B723" s="68" t="s">
        <v>2617</v>
      </c>
      <c r="C723" s="68">
        <v>966</v>
      </c>
      <c r="D723" s="68" t="s">
        <v>2618</v>
      </c>
      <c r="E723" s="68">
        <v>1</v>
      </c>
      <c r="F723" s="68">
        <v>10010020910</v>
      </c>
      <c r="G723" s="78">
        <v>13636</v>
      </c>
      <c r="H723" s="68" t="s">
        <v>4446</v>
      </c>
      <c r="I723" s="68">
        <v>0</v>
      </c>
      <c r="J723" s="54">
        <v>43616</v>
      </c>
      <c r="K723" s="68">
        <v>30</v>
      </c>
      <c r="L723" s="68" t="s">
        <v>4317</v>
      </c>
    </row>
    <row r="724" spans="1:12" s="68" customFormat="1">
      <c r="A724" s="68">
        <v>422700500</v>
      </c>
      <c r="B724" s="68" t="s">
        <v>2617</v>
      </c>
      <c r="C724" s="68">
        <v>966</v>
      </c>
      <c r="D724" s="68" t="s">
        <v>2618</v>
      </c>
      <c r="E724" s="68">
        <v>1</v>
      </c>
      <c r="F724" s="68">
        <v>10010001365</v>
      </c>
      <c r="G724" s="78">
        <v>18182</v>
      </c>
      <c r="H724" s="68" t="s">
        <v>4447</v>
      </c>
      <c r="I724" s="68">
        <v>0</v>
      </c>
      <c r="J724" s="54">
        <v>43708</v>
      </c>
      <c r="K724" s="68">
        <v>30</v>
      </c>
      <c r="L724" s="68" t="s">
        <v>4317</v>
      </c>
    </row>
    <row r="725" spans="1:12" s="68" customFormat="1">
      <c r="A725" s="68">
        <v>422700500</v>
      </c>
      <c r="B725" s="68" t="s">
        <v>2617</v>
      </c>
      <c r="C725" s="68">
        <v>966</v>
      </c>
      <c r="D725" s="68" t="s">
        <v>2618</v>
      </c>
      <c r="E725" s="68">
        <v>1</v>
      </c>
      <c r="F725" s="68">
        <v>10010093475</v>
      </c>
      <c r="G725" s="78">
        <v>16364</v>
      </c>
      <c r="H725" s="68" t="s">
        <v>4448</v>
      </c>
      <c r="I725" s="68">
        <v>0</v>
      </c>
      <c r="J725" s="54">
        <v>43738</v>
      </c>
      <c r="K725" s="68">
        <v>30</v>
      </c>
      <c r="L725" s="68" t="s">
        <v>4317</v>
      </c>
    </row>
    <row r="726" spans="1:12" s="68" customFormat="1">
      <c r="A726" s="68">
        <v>422700500</v>
      </c>
      <c r="B726" s="68" t="s">
        <v>2617</v>
      </c>
      <c r="C726" s="68">
        <v>966</v>
      </c>
      <c r="D726" s="68" t="s">
        <v>2618</v>
      </c>
      <c r="E726" s="68">
        <v>1</v>
      </c>
      <c r="F726" s="68">
        <v>10010106963</v>
      </c>
      <c r="G726" s="78">
        <v>51818</v>
      </c>
      <c r="H726" s="68" t="s">
        <v>4449</v>
      </c>
      <c r="I726" s="68">
        <v>0</v>
      </c>
      <c r="J726" s="54">
        <v>43738</v>
      </c>
      <c r="K726" s="68">
        <v>30</v>
      </c>
      <c r="L726" s="68" t="s">
        <v>4317</v>
      </c>
    </row>
    <row r="727" spans="1:12" s="68" customFormat="1">
      <c r="A727" s="68">
        <v>422700500</v>
      </c>
      <c r="B727" s="68" t="s">
        <v>2617</v>
      </c>
      <c r="C727" s="68">
        <v>966</v>
      </c>
      <c r="D727" s="68" t="s">
        <v>2618</v>
      </c>
      <c r="E727" s="68">
        <v>1</v>
      </c>
      <c r="F727" s="68">
        <v>40010132006</v>
      </c>
      <c r="G727" s="78">
        <v>33545</v>
      </c>
      <c r="H727" s="68" t="s">
        <v>4450</v>
      </c>
      <c r="I727" s="68">
        <v>0</v>
      </c>
      <c r="J727" s="54">
        <v>43738</v>
      </c>
      <c r="K727" s="68">
        <v>30</v>
      </c>
      <c r="L727" s="68" t="s">
        <v>4317</v>
      </c>
    </row>
    <row r="728" spans="1:12" s="68" customFormat="1">
      <c r="A728" s="68">
        <v>422700500</v>
      </c>
      <c r="B728" s="68" t="s">
        <v>2617</v>
      </c>
      <c r="C728" s="68">
        <v>966</v>
      </c>
      <c r="D728" s="68" t="s">
        <v>2618</v>
      </c>
      <c r="E728" s="68">
        <v>1</v>
      </c>
      <c r="F728" s="68">
        <v>10010073524</v>
      </c>
      <c r="G728" s="78">
        <v>27273</v>
      </c>
      <c r="H728" s="68" t="s">
        <v>4451</v>
      </c>
      <c r="I728" s="68">
        <v>0</v>
      </c>
      <c r="J728" s="54">
        <v>43468</v>
      </c>
      <c r="K728" s="68">
        <v>62</v>
      </c>
      <c r="L728" s="68" t="s">
        <v>4309</v>
      </c>
    </row>
    <row r="729" spans="1:12" s="68" customFormat="1">
      <c r="A729" s="68">
        <v>422700500</v>
      </c>
      <c r="B729" s="68" t="s">
        <v>2617</v>
      </c>
      <c r="C729" s="68">
        <v>966</v>
      </c>
      <c r="D729" s="68" t="s">
        <v>2618</v>
      </c>
      <c r="E729" s="68">
        <v>1</v>
      </c>
      <c r="F729" s="68">
        <v>10010007479</v>
      </c>
      <c r="G729" s="78">
        <v>118182</v>
      </c>
      <c r="H729" s="68" t="s">
        <v>4452</v>
      </c>
      <c r="I729" s="68">
        <v>0</v>
      </c>
      <c r="J729" s="54">
        <v>43469</v>
      </c>
      <c r="K729" s="68">
        <v>62</v>
      </c>
      <c r="L729" s="68" t="s">
        <v>4309</v>
      </c>
    </row>
    <row r="730" spans="1:12" s="68" customFormat="1">
      <c r="A730" s="68">
        <v>422700500</v>
      </c>
      <c r="B730" s="68" t="s">
        <v>2617</v>
      </c>
      <c r="C730" s="68">
        <v>966</v>
      </c>
      <c r="D730" s="68" t="s">
        <v>2618</v>
      </c>
      <c r="E730" s="68">
        <v>1</v>
      </c>
      <c r="F730" s="68">
        <v>10010007541</v>
      </c>
      <c r="G730" s="78">
        <v>54545</v>
      </c>
      <c r="H730" s="68" t="s">
        <v>4453</v>
      </c>
      <c r="I730" s="68">
        <v>0</v>
      </c>
      <c r="J730" s="54">
        <v>43474</v>
      </c>
      <c r="K730" s="68">
        <v>62</v>
      </c>
      <c r="L730" s="68" t="s">
        <v>4309</v>
      </c>
    </row>
    <row r="731" spans="1:12" s="68" customFormat="1">
      <c r="A731" s="68">
        <v>422700500</v>
      </c>
      <c r="B731" s="68" t="s">
        <v>2617</v>
      </c>
      <c r="C731" s="68">
        <v>966</v>
      </c>
      <c r="D731" s="68" t="s">
        <v>2618</v>
      </c>
      <c r="E731" s="68">
        <v>1</v>
      </c>
      <c r="F731" s="68">
        <v>10010029305</v>
      </c>
      <c r="G731" s="78">
        <v>36364</v>
      </c>
      <c r="H731" s="68" t="s">
        <v>4454</v>
      </c>
      <c r="I731" s="68">
        <v>0</v>
      </c>
      <c r="J731" s="54">
        <v>43475</v>
      </c>
      <c r="K731" s="68">
        <v>62</v>
      </c>
      <c r="L731" s="68" t="s">
        <v>4309</v>
      </c>
    </row>
    <row r="732" spans="1:12" s="68" customFormat="1">
      <c r="A732" s="68">
        <v>422700500</v>
      </c>
      <c r="B732" s="68" t="s">
        <v>2617</v>
      </c>
      <c r="C732" s="68">
        <v>966</v>
      </c>
      <c r="D732" s="68" t="s">
        <v>2618</v>
      </c>
      <c r="E732" s="68">
        <v>1</v>
      </c>
      <c r="F732" s="68">
        <v>50010403029</v>
      </c>
      <c r="G732" s="78">
        <v>13000</v>
      </c>
      <c r="H732" s="68" t="s">
        <v>4455</v>
      </c>
      <c r="I732" s="68">
        <v>0</v>
      </c>
      <c r="J732" s="54">
        <v>43480</v>
      </c>
      <c r="K732" s="68">
        <v>62</v>
      </c>
      <c r="L732" s="68" t="s">
        <v>4309</v>
      </c>
    </row>
    <row r="733" spans="1:12" s="68" customFormat="1">
      <c r="A733" s="68">
        <v>422700500</v>
      </c>
      <c r="B733" s="68" t="s">
        <v>2617</v>
      </c>
      <c r="C733" s="68">
        <v>966</v>
      </c>
      <c r="D733" s="68" t="s">
        <v>2618</v>
      </c>
      <c r="E733" s="68">
        <v>1</v>
      </c>
      <c r="F733" s="68">
        <v>10010027751</v>
      </c>
      <c r="G733" s="78">
        <v>40000</v>
      </c>
      <c r="H733" s="68" t="s">
        <v>4456</v>
      </c>
      <c r="I733" s="68">
        <v>0</v>
      </c>
      <c r="J733" s="54">
        <v>43482</v>
      </c>
      <c r="K733" s="68">
        <v>62</v>
      </c>
      <c r="L733" s="68" t="s">
        <v>4309</v>
      </c>
    </row>
    <row r="734" spans="1:12" s="68" customFormat="1">
      <c r="A734" s="68">
        <v>422700500</v>
      </c>
      <c r="B734" s="68" t="s">
        <v>2617</v>
      </c>
      <c r="C734" s="68">
        <v>966</v>
      </c>
      <c r="D734" s="68" t="s">
        <v>2618</v>
      </c>
      <c r="E734" s="68">
        <v>1</v>
      </c>
      <c r="F734" s="68">
        <v>20010093232</v>
      </c>
      <c r="G734" s="78">
        <v>263636</v>
      </c>
      <c r="H734" s="68" t="s">
        <v>4457</v>
      </c>
      <c r="I734" s="68">
        <v>0</v>
      </c>
      <c r="J734" s="54">
        <v>43482</v>
      </c>
      <c r="K734" s="68">
        <v>62</v>
      </c>
      <c r="L734" s="68" t="s">
        <v>4309</v>
      </c>
    </row>
    <row r="735" spans="1:12" s="68" customFormat="1">
      <c r="A735" s="68">
        <v>422700500</v>
      </c>
      <c r="B735" s="68" t="s">
        <v>2617</v>
      </c>
      <c r="C735" s="68">
        <v>966</v>
      </c>
      <c r="D735" s="68" t="s">
        <v>2618</v>
      </c>
      <c r="E735" s="68">
        <v>1</v>
      </c>
      <c r="F735" s="68">
        <v>70010036530</v>
      </c>
      <c r="G735" s="78">
        <v>64091</v>
      </c>
      <c r="H735" s="68" t="s">
        <v>4458</v>
      </c>
      <c r="I735" s="68">
        <v>0</v>
      </c>
      <c r="J735" s="54">
        <v>43482</v>
      </c>
      <c r="K735" s="68">
        <v>62</v>
      </c>
      <c r="L735" s="68" t="s">
        <v>4309</v>
      </c>
    </row>
    <row r="736" spans="1:12" s="68" customFormat="1">
      <c r="A736" s="68">
        <v>422700500</v>
      </c>
      <c r="B736" s="68" t="s">
        <v>2617</v>
      </c>
      <c r="C736" s="68">
        <v>966</v>
      </c>
      <c r="D736" s="68" t="s">
        <v>2618</v>
      </c>
      <c r="E736" s="68">
        <v>1</v>
      </c>
      <c r="F736" s="68">
        <v>10010029490</v>
      </c>
      <c r="G736" s="78">
        <v>63636</v>
      </c>
      <c r="H736" s="68" t="s">
        <v>4459</v>
      </c>
      <c r="I736" s="68">
        <v>0</v>
      </c>
      <c r="J736" s="54">
        <v>43490</v>
      </c>
      <c r="K736" s="68">
        <v>62</v>
      </c>
      <c r="L736" s="68" t="s">
        <v>4309</v>
      </c>
    </row>
    <row r="737" spans="1:12" s="68" customFormat="1">
      <c r="A737" s="68">
        <v>422700500</v>
      </c>
      <c r="B737" s="68" t="s">
        <v>2617</v>
      </c>
      <c r="C737" s="68">
        <v>966</v>
      </c>
      <c r="D737" s="68" t="s">
        <v>2618</v>
      </c>
      <c r="E737" s="68">
        <v>1</v>
      </c>
      <c r="F737" s="68">
        <v>10010075381</v>
      </c>
      <c r="G737" s="78">
        <v>8182</v>
      </c>
      <c r="H737" s="68" t="s">
        <v>4460</v>
      </c>
      <c r="I737" s="68">
        <v>0</v>
      </c>
      <c r="J737" s="54">
        <v>43490</v>
      </c>
      <c r="K737" s="68">
        <v>62</v>
      </c>
      <c r="L737" s="68" t="s">
        <v>4309</v>
      </c>
    </row>
    <row r="738" spans="1:12" s="68" customFormat="1">
      <c r="A738" s="68">
        <v>422700500</v>
      </c>
      <c r="B738" s="68" t="s">
        <v>2617</v>
      </c>
      <c r="C738" s="68">
        <v>966</v>
      </c>
      <c r="D738" s="68" t="s">
        <v>2618</v>
      </c>
      <c r="E738" s="68">
        <v>1</v>
      </c>
      <c r="F738" s="68">
        <v>80090013928</v>
      </c>
      <c r="G738" s="78">
        <v>50190</v>
      </c>
      <c r="H738" s="68" t="s">
        <v>4461</v>
      </c>
      <c r="I738" s="68">
        <v>0</v>
      </c>
      <c r="J738" s="54">
        <v>43490</v>
      </c>
      <c r="K738" s="68">
        <v>62</v>
      </c>
      <c r="L738" s="68" t="s">
        <v>4309</v>
      </c>
    </row>
    <row r="739" spans="1:12" s="68" customFormat="1">
      <c r="A739" s="68">
        <v>422700500</v>
      </c>
      <c r="B739" s="68" t="s">
        <v>2617</v>
      </c>
      <c r="C739" s="68">
        <v>966</v>
      </c>
      <c r="D739" s="68" t="s">
        <v>2618</v>
      </c>
      <c r="E739" s="68">
        <v>1</v>
      </c>
      <c r="F739" s="68">
        <v>10010075867</v>
      </c>
      <c r="G739" s="78">
        <v>111364</v>
      </c>
      <c r="H739" s="68" t="s">
        <v>4462</v>
      </c>
      <c r="I739" s="68">
        <v>0</v>
      </c>
      <c r="J739" s="54">
        <v>43496</v>
      </c>
      <c r="K739" s="68">
        <v>62</v>
      </c>
      <c r="L739" s="68" t="s">
        <v>4309</v>
      </c>
    </row>
    <row r="740" spans="1:12" s="68" customFormat="1">
      <c r="A740" s="68">
        <v>422700500</v>
      </c>
      <c r="B740" s="68" t="s">
        <v>2617</v>
      </c>
      <c r="C740" s="68">
        <v>966</v>
      </c>
      <c r="D740" s="68" t="s">
        <v>2618</v>
      </c>
      <c r="E740" s="68">
        <v>1</v>
      </c>
      <c r="F740" s="68">
        <v>50010407836</v>
      </c>
      <c r="G740" s="78">
        <v>10227</v>
      </c>
      <c r="H740" s="68" t="s">
        <v>4463</v>
      </c>
      <c r="I740" s="68">
        <v>0</v>
      </c>
      <c r="J740" s="54">
        <v>43496</v>
      </c>
      <c r="K740" s="68">
        <v>62</v>
      </c>
      <c r="L740" s="68" t="s">
        <v>4309</v>
      </c>
    </row>
    <row r="741" spans="1:12" s="68" customFormat="1">
      <c r="A741" s="68">
        <v>422700500</v>
      </c>
      <c r="B741" s="68" t="s">
        <v>2617</v>
      </c>
      <c r="C741" s="68">
        <v>966</v>
      </c>
      <c r="D741" s="68" t="s">
        <v>2618</v>
      </c>
      <c r="E741" s="68">
        <v>1</v>
      </c>
      <c r="F741" s="68">
        <v>10010076177</v>
      </c>
      <c r="G741" s="78">
        <v>15455</v>
      </c>
      <c r="H741" s="68" t="s">
        <v>4464</v>
      </c>
      <c r="I741" s="68">
        <v>0</v>
      </c>
      <c r="J741" s="54">
        <v>43500</v>
      </c>
      <c r="K741" s="68">
        <v>62</v>
      </c>
      <c r="L741" s="68" t="s">
        <v>4309</v>
      </c>
    </row>
    <row r="742" spans="1:12" s="68" customFormat="1">
      <c r="A742" s="68">
        <v>422700500</v>
      </c>
      <c r="B742" s="68" t="s">
        <v>2617</v>
      </c>
      <c r="C742" s="68">
        <v>966</v>
      </c>
      <c r="D742" s="68" t="s">
        <v>2618</v>
      </c>
      <c r="E742" s="68">
        <v>1</v>
      </c>
      <c r="F742" s="68">
        <v>50010409095</v>
      </c>
      <c r="G742" s="78">
        <v>6636</v>
      </c>
      <c r="H742" s="68" t="s">
        <v>4465</v>
      </c>
      <c r="I742" s="68">
        <v>0</v>
      </c>
      <c r="J742" s="54">
        <v>43500</v>
      </c>
      <c r="K742" s="68">
        <v>62</v>
      </c>
      <c r="L742" s="68" t="s">
        <v>4309</v>
      </c>
    </row>
    <row r="743" spans="1:12" s="68" customFormat="1">
      <c r="A743" s="68">
        <v>422700500</v>
      </c>
      <c r="B743" s="68" t="s">
        <v>2617</v>
      </c>
      <c r="C743" s="68">
        <v>966</v>
      </c>
      <c r="D743" s="68" t="s">
        <v>2618</v>
      </c>
      <c r="E743" s="68">
        <v>1</v>
      </c>
      <c r="F743" s="68">
        <v>10010076285</v>
      </c>
      <c r="G743" s="78">
        <v>90909</v>
      </c>
      <c r="H743" s="68" t="s">
        <v>4466</v>
      </c>
      <c r="I743" s="68">
        <v>0</v>
      </c>
      <c r="J743" s="54">
        <v>43501</v>
      </c>
      <c r="K743" s="68">
        <v>62</v>
      </c>
      <c r="L743" s="68" t="s">
        <v>4309</v>
      </c>
    </row>
    <row r="744" spans="1:12" s="68" customFormat="1">
      <c r="A744" s="68">
        <v>422700500</v>
      </c>
      <c r="B744" s="68" t="s">
        <v>2617</v>
      </c>
      <c r="C744" s="68">
        <v>966</v>
      </c>
      <c r="D744" s="68" t="s">
        <v>2618</v>
      </c>
      <c r="E744" s="68">
        <v>1</v>
      </c>
      <c r="F744" s="68">
        <v>50010410766</v>
      </c>
      <c r="G744" s="78">
        <v>112455</v>
      </c>
      <c r="H744" s="68" t="s">
        <v>4467</v>
      </c>
      <c r="I744" s="68">
        <v>0</v>
      </c>
      <c r="J744" s="54">
        <v>43507</v>
      </c>
      <c r="K744" s="68">
        <v>62</v>
      </c>
      <c r="L744" s="68" t="s">
        <v>4309</v>
      </c>
    </row>
    <row r="745" spans="1:12" s="68" customFormat="1">
      <c r="A745" s="68">
        <v>422700500</v>
      </c>
      <c r="B745" s="68" t="s">
        <v>2617</v>
      </c>
      <c r="C745" s="68">
        <v>966</v>
      </c>
      <c r="D745" s="68" t="s">
        <v>2618</v>
      </c>
      <c r="E745" s="68">
        <v>1</v>
      </c>
      <c r="F745" s="68">
        <v>10010077065</v>
      </c>
      <c r="G745" s="78">
        <v>19545</v>
      </c>
      <c r="H745" s="68" t="s">
        <v>4468</v>
      </c>
      <c r="I745" s="68">
        <v>0</v>
      </c>
      <c r="J745" s="54">
        <v>43510</v>
      </c>
      <c r="K745" s="68">
        <v>62</v>
      </c>
      <c r="L745" s="68" t="s">
        <v>4309</v>
      </c>
    </row>
    <row r="746" spans="1:12" s="68" customFormat="1">
      <c r="A746" s="68">
        <v>422700500</v>
      </c>
      <c r="B746" s="68" t="s">
        <v>2617</v>
      </c>
      <c r="C746" s="68">
        <v>966</v>
      </c>
      <c r="D746" s="68" t="s">
        <v>2618</v>
      </c>
      <c r="E746" s="68">
        <v>1</v>
      </c>
      <c r="F746" s="68">
        <v>10010029787</v>
      </c>
      <c r="G746" s="78">
        <v>90909</v>
      </c>
      <c r="H746" s="68" t="s">
        <v>4469</v>
      </c>
      <c r="I746" s="68">
        <v>0</v>
      </c>
      <c r="J746" s="54">
        <v>43514</v>
      </c>
      <c r="K746" s="68">
        <v>62</v>
      </c>
      <c r="L746" s="68" t="s">
        <v>4309</v>
      </c>
    </row>
    <row r="747" spans="1:12" s="68" customFormat="1">
      <c r="A747" s="68">
        <v>422700500</v>
      </c>
      <c r="B747" s="68" t="s">
        <v>2617</v>
      </c>
      <c r="C747" s="68">
        <v>966</v>
      </c>
      <c r="D747" s="68" t="s">
        <v>2618</v>
      </c>
      <c r="E747" s="68">
        <v>1</v>
      </c>
      <c r="F747" s="68">
        <v>10010077509</v>
      </c>
      <c r="G747" s="78">
        <v>45455</v>
      </c>
      <c r="H747" s="68" t="s">
        <v>4470</v>
      </c>
      <c r="I747" s="68">
        <v>0</v>
      </c>
      <c r="J747" s="54">
        <v>43522</v>
      </c>
      <c r="K747" s="68">
        <v>62</v>
      </c>
      <c r="L747" s="68" t="s">
        <v>4309</v>
      </c>
    </row>
    <row r="748" spans="1:12" s="68" customFormat="1">
      <c r="A748" s="68">
        <v>422700500</v>
      </c>
      <c r="B748" s="68" t="s">
        <v>2617</v>
      </c>
      <c r="C748" s="68">
        <v>966</v>
      </c>
      <c r="D748" s="68" t="s">
        <v>2618</v>
      </c>
      <c r="E748" s="68">
        <v>1</v>
      </c>
      <c r="F748" s="68">
        <v>50010412845</v>
      </c>
      <c r="G748" s="78">
        <v>56636</v>
      </c>
      <c r="H748" s="68" t="s">
        <v>4471</v>
      </c>
      <c r="I748" s="68">
        <v>0</v>
      </c>
      <c r="J748" s="54">
        <v>43522</v>
      </c>
      <c r="K748" s="68">
        <v>62</v>
      </c>
      <c r="L748" s="68" t="s">
        <v>4309</v>
      </c>
    </row>
    <row r="749" spans="1:12" s="68" customFormat="1">
      <c r="A749" s="68">
        <v>422700500</v>
      </c>
      <c r="B749" s="68" t="s">
        <v>2617</v>
      </c>
      <c r="C749" s="68">
        <v>966</v>
      </c>
      <c r="D749" s="68" t="s">
        <v>2618</v>
      </c>
      <c r="E749" s="68">
        <v>1</v>
      </c>
      <c r="F749" s="68">
        <v>10010008369</v>
      </c>
      <c r="G749" s="78">
        <v>63636</v>
      </c>
      <c r="H749" s="68" t="s">
        <v>4472</v>
      </c>
      <c r="I749" s="68">
        <v>0</v>
      </c>
      <c r="J749" s="54">
        <v>43524</v>
      </c>
      <c r="K749" s="68">
        <v>62</v>
      </c>
      <c r="L749" s="68" t="s">
        <v>4309</v>
      </c>
    </row>
    <row r="750" spans="1:12" s="68" customFormat="1">
      <c r="A750" s="68">
        <v>422700500</v>
      </c>
      <c r="B750" s="68" t="s">
        <v>2617</v>
      </c>
      <c r="C750" s="68">
        <v>966</v>
      </c>
      <c r="D750" s="68" t="s">
        <v>2618</v>
      </c>
      <c r="E750" s="68">
        <v>1</v>
      </c>
      <c r="F750" s="68">
        <v>10010029808</v>
      </c>
      <c r="G750" s="78">
        <v>127273</v>
      </c>
      <c r="H750" s="68" t="s">
        <v>3489</v>
      </c>
      <c r="I750" s="68">
        <v>0</v>
      </c>
      <c r="J750" s="54">
        <v>43524</v>
      </c>
      <c r="K750" s="68">
        <v>62</v>
      </c>
      <c r="L750" s="68" t="s">
        <v>4309</v>
      </c>
    </row>
    <row r="751" spans="1:12" s="68" customFormat="1">
      <c r="A751" s="68">
        <v>422700500</v>
      </c>
      <c r="B751" s="68" t="s">
        <v>2617</v>
      </c>
      <c r="C751" s="68">
        <v>966</v>
      </c>
      <c r="D751" s="68" t="s">
        <v>2618</v>
      </c>
      <c r="E751" s="68">
        <v>1</v>
      </c>
      <c r="F751" s="68">
        <v>10010029889</v>
      </c>
      <c r="G751" s="78">
        <v>22727</v>
      </c>
      <c r="H751" s="68" t="s">
        <v>4473</v>
      </c>
      <c r="I751" s="68">
        <v>0</v>
      </c>
      <c r="J751" s="54">
        <v>43524</v>
      </c>
      <c r="K751" s="68">
        <v>62</v>
      </c>
      <c r="L751" s="68" t="s">
        <v>4309</v>
      </c>
    </row>
    <row r="752" spans="1:12" s="68" customFormat="1">
      <c r="A752" s="68">
        <v>422700500</v>
      </c>
      <c r="B752" s="68" t="s">
        <v>2617</v>
      </c>
      <c r="C752" s="68">
        <v>966</v>
      </c>
      <c r="D752" s="68" t="s">
        <v>2618</v>
      </c>
      <c r="E752" s="68">
        <v>1</v>
      </c>
      <c r="F752" s="68">
        <v>10010078257</v>
      </c>
      <c r="G752" s="78">
        <v>54545</v>
      </c>
      <c r="H752" s="68" t="s">
        <v>4474</v>
      </c>
      <c r="I752" s="68">
        <v>0</v>
      </c>
      <c r="J752" s="54">
        <v>43524</v>
      </c>
      <c r="K752" s="68">
        <v>62</v>
      </c>
      <c r="L752" s="68" t="s">
        <v>4309</v>
      </c>
    </row>
    <row r="753" spans="1:12" s="68" customFormat="1">
      <c r="A753" s="68">
        <v>422700500</v>
      </c>
      <c r="B753" s="68" t="s">
        <v>2617</v>
      </c>
      <c r="C753" s="68">
        <v>966</v>
      </c>
      <c r="D753" s="68" t="s">
        <v>2618</v>
      </c>
      <c r="E753" s="68">
        <v>1</v>
      </c>
      <c r="F753" s="68">
        <v>10010008444</v>
      </c>
      <c r="G753" s="78">
        <v>181818</v>
      </c>
      <c r="H753" s="68" t="s">
        <v>4453</v>
      </c>
      <c r="I753" s="68">
        <v>0</v>
      </c>
      <c r="J753" s="54">
        <v>43536</v>
      </c>
      <c r="K753" s="68">
        <v>62</v>
      </c>
      <c r="L753" s="68" t="s">
        <v>4309</v>
      </c>
    </row>
    <row r="754" spans="1:12" s="68" customFormat="1">
      <c r="A754" s="68">
        <v>422700500</v>
      </c>
      <c r="B754" s="68" t="s">
        <v>2617</v>
      </c>
      <c r="C754" s="68">
        <v>966</v>
      </c>
      <c r="D754" s="68" t="s">
        <v>2618</v>
      </c>
      <c r="E754" s="68">
        <v>1</v>
      </c>
      <c r="F754" s="68">
        <v>10010078956</v>
      </c>
      <c r="G754" s="78">
        <v>74091</v>
      </c>
      <c r="H754" s="68" t="s">
        <v>4475</v>
      </c>
      <c r="I754" s="68">
        <v>0</v>
      </c>
      <c r="J754" s="54">
        <v>43536</v>
      </c>
      <c r="K754" s="68">
        <v>62</v>
      </c>
      <c r="L754" s="68" t="s">
        <v>4309</v>
      </c>
    </row>
    <row r="755" spans="1:12" s="68" customFormat="1">
      <c r="A755" s="68">
        <v>422700500</v>
      </c>
      <c r="B755" s="68" t="s">
        <v>2617</v>
      </c>
      <c r="C755" s="68">
        <v>966</v>
      </c>
      <c r="D755" s="68" t="s">
        <v>2618</v>
      </c>
      <c r="E755" s="68">
        <v>1</v>
      </c>
      <c r="F755" s="68">
        <v>10010079866</v>
      </c>
      <c r="G755" s="78">
        <v>45000</v>
      </c>
      <c r="H755" s="68" t="s">
        <v>4476</v>
      </c>
      <c r="I755" s="68">
        <v>0</v>
      </c>
      <c r="J755" s="54">
        <v>43546</v>
      </c>
      <c r="K755" s="68">
        <v>62</v>
      </c>
      <c r="L755" s="68" t="s">
        <v>4309</v>
      </c>
    </row>
    <row r="756" spans="1:12" s="68" customFormat="1">
      <c r="A756" s="68">
        <v>422700500</v>
      </c>
      <c r="B756" s="68" t="s">
        <v>2617</v>
      </c>
      <c r="C756" s="68">
        <v>966</v>
      </c>
      <c r="D756" s="68" t="s">
        <v>2618</v>
      </c>
      <c r="E756" s="68">
        <v>1</v>
      </c>
      <c r="F756" s="68">
        <v>10010079557</v>
      </c>
      <c r="G756" s="78">
        <v>139091</v>
      </c>
      <c r="H756" s="68" t="s">
        <v>4477</v>
      </c>
      <c r="I756" s="68">
        <v>0</v>
      </c>
      <c r="J756" s="54">
        <v>43550</v>
      </c>
      <c r="K756" s="68">
        <v>62</v>
      </c>
      <c r="L756" s="68" t="s">
        <v>4309</v>
      </c>
    </row>
    <row r="757" spans="1:12" s="68" customFormat="1">
      <c r="A757" s="68">
        <v>422700500</v>
      </c>
      <c r="B757" s="68" t="s">
        <v>2617</v>
      </c>
      <c r="C757" s="68">
        <v>966</v>
      </c>
      <c r="D757" s="68" t="s">
        <v>2618</v>
      </c>
      <c r="E757" s="68">
        <v>1</v>
      </c>
      <c r="F757" s="68">
        <v>50010420436</v>
      </c>
      <c r="G757" s="78">
        <v>22364</v>
      </c>
      <c r="H757" s="68" t="s">
        <v>4478</v>
      </c>
      <c r="I757" s="68">
        <v>0</v>
      </c>
      <c r="J757" s="54">
        <v>43550</v>
      </c>
      <c r="K757" s="68">
        <v>62</v>
      </c>
      <c r="L757" s="68" t="s">
        <v>4309</v>
      </c>
    </row>
    <row r="758" spans="1:12" s="68" customFormat="1">
      <c r="A758" s="68">
        <v>422700500</v>
      </c>
      <c r="B758" s="68" t="s">
        <v>2617</v>
      </c>
      <c r="C758" s="68">
        <v>966</v>
      </c>
      <c r="D758" s="68" t="s">
        <v>2618</v>
      </c>
      <c r="E758" s="68">
        <v>1</v>
      </c>
      <c r="F758" s="68">
        <v>10010045691</v>
      </c>
      <c r="G758" s="78">
        <v>50000</v>
      </c>
      <c r="H758" s="68" t="s">
        <v>4479</v>
      </c>
      <c r="I758" s="68">
        <v>0</v>
      </c>
      <c r="J758" s="54">
        <v>43551</v>
      </c>
      <c r="K758" s="68">
        <v>62</v>
      </c>
      <c r="L758" s="68" t="s">
        <v>4309</v>
      </c>
    </row>
    <row r="759" spans="1:12" s="68" customFormat="1">
      <c r="A759" s="68">
        <v>422700500</v>
      </c>
      <c r="B759" s="68" t="s">
        <v>2617</v>
      </c>
      <c r="C759" s="68">
        <v>966</v>
      </c>
      <c r="D759" s="68" t="s">
        <v>2618</v>
      </c>
      <c r="E759" s="68">
        <v>1</v>
      </c>
      <c r="F759" s="68">
        <v>10010045692</v>
      </c>
      <c r="G759" s="78">
        <v>20318</v>
      </c>
      <c r="H759" s="68" t="s">
        <v>3382</v>
      </c>
      <c r="I759" s="68">
        <v>0</v>
      </c>
      <c r="J759" s="54">
        <v>43551</v>
      </c>
      <c r="K759" s="68">
        <v>62</v>
      </c>
      <c r="L759" s="68" t="s">
        <v>4309</v>
      </c>
    </row>
    <row r="760" spans="1:12" s="68" customFormat="1">
      <c r="A760" s="68">
        <v>422700500</v>
      </c>
      <c r="B760" s="68" t="s">
        <v>2617</v>
      </c>
      <c r="C760" s="68">
        <v>966</v>
      </c>
      <c r="D760" s="68" t="s">
        <v>2618</v>
      </c>
      <c r="E760" s="68">
        <v>1</v>
      </c>
      <c r="F760" s="68">
        <v>10010008679</v>
      </c>
      <c r="G760" s="78">
        <v>54545</v>
      </c>
      <c r="H760" s="68" t="s">
        <v>4480</v>
      </c>
      <c r="I760" s="68">
        <v>0</v>
      </c>
      <c r="J760" s="54">
        <v>43554</v>
      </c>
      <c r="K760" s="68">
        <v>62</v>
      </c>
      <c r="L760" s="68" t="s">
        <v>4309</v>
      </c>
    </row>
    <row r="761" spans="1:12" s="68" customFormat="1">
      <c r="A761" s="68">
        <v>422700500</v>
      </c>
      <c r="B761" s="68" t="s">
        <v>2617</v>
      </c>
      <c r="C761" s="68">
        <v>966</v>
      </c>
      <c r="D761" s="68" t="s">
        <v>2618</v>
      </c>
      <c r="E761" s="68">
        <v>26</v>
      </c>
      <c r="F761" s="68">
        <v>9</v>
      </c>
      <c r="G761" s="78">
        <v>70000</v>
      </c>
      <c r="H761" s="68" t="s">
        <v>2619</v>
      </c>
      <c r="I761" s="68">
        <v>0</v>
      </c>
      <c r="J761" s="54">
        <v>43556</v>
      </c>
      <c r="K761" s="68">
        <v>62</v>
      </c>
      <c r="L761" s="68" t="s">
        <v>4309</v>
      </c>
    </row>
    <row r="762" spans="1:12" s="68" customFormat="1">
      <c r="A762" s="68">
        <v>422700500</v>
      </c>
      <c r="B762" s="68" t="s">
        <v>2617</v>
      </c>
      <c r="C762" s="68">
        <v>966</v>
      </c>
      <c r="D762" s="68" t="s">
        <v>2618</v>
      </c>
      <c r="E762" s="68">
        <v>1</v>
      </c>
      <c r="F762" s="68">
        <v>20170092829</v>
      </c>
      <c r="G762" s="78">
        <v>38136</v>
      </c>
      <c r="H762" s="68" t="s">
        <v>4481</v>
      </c>
      <c r="I762" s="68">
        <v>0</v>
      </c>
      <c r="J762" s="54">
        <v>43556</v>
      </c>
      <c r="K762" s="68">
        <v>62</v>
      </c>
      <c r="L762" s="68" t="s">
        <v>4309</v>
      </c>
    </row>
    <row r="763" spans="1:12" s="68" customFormat="1">
      <c r="A763" s="68">
        <v>422700500</v>
      </c>
      <c r="B763" s="68" t="s">
        <v>2617</v>
      </c>
      <c r="C763" s="68">
        <v>966</v>
      </c>
      <c r="D763" s="68" t="s">
        <v>2618</v>
      </c>
      <c r="E763" s="68">
        <v>1</v>
      </c>
      <c r="F763" s="68">
        <v>50010421471</v>
      </c>
      <c r="G763" s="78">
        <v>1909</v>
      </c>
      <c r="H763" s="68" t="s">
        <v>4482</v>
      </c>
      <c r="I763" s="68">
        <v>0</v>
      </c>
      <c r="J763" s="54">
        <v>43556</v>
      </c>
      <c r="K763" s="68">
        <v>62</v>
      </c>
      <c r="L763" s="68" t="s">
        <v>4309</v>
      </c>
    </row>
    <row r="764" spans="1:12" s="68" customFormat="1">
      <c r="A764" s="68">
        <v>422700500</v>
      </c>
      <c r="B764" s="68" t="s">
        <v>2617</v>
      </c>
      <c r="C764" s="68">
        <v>966</v>
      </c>
      <c r="D764" s="68" t="s">
        <v>2618</v>
      </c>
      <c r="E764" s="68">
        <v>1</v>
      </c>
      <c r="F764" s="68">
        <v>10010030272</v>
      </c>
      <c r="G764" s="78">
        <v>36364</v>
      </c>
      <c r="H764" s="68" t="s">
        <v>4483</v>
      </c>
      <c r="I764" s="68">
        <v>0</v>
      </c>
      <c r="J764" s="54">
        <v>43567</v>
      </c>
      <c r="K764" s="68">
        <v>62</v>
      </c>
      <c r="L764" s="68" t="s">
        <v>4309</v>
      </c>
    </row>
    <row r="765" spans="1:12" s="68" customFormat="1">
      <c r="A765" s="68">
        <v>422700500</v>
      </c>
      <c r="B765" s="68" t="s">
        <v>2617</v>
      </c>
      <c r="C765" s="68">
        <v>966</v>
      </c>
      <c r="D765" s="68" t="s">
        <v>2618</v>
      </c>
      <c r="E765" s="68">
        <v>1</v>
      </c>
      <c r="F765" s="68">
        <v>50010422054</v>
      </c>
      <c r="G765" s="78">
        <v>28091</v>
      </c>
      <c r="H765" s="68" t="s">
        <v>4484</v>
      </c>
      <c r="I765" s="68">
        <v>0</v>
      </c>
      <c r="J765" s="54">
        <v>43567</v>
      </c>
      <c r="K765" s="68">
        <v>62</v>
      </c>
      <c r="L765" s="68" t="s">
        <v>4309</v>
      </c>
    </row>
    <row r="766" spans="1:12" s="68" customFormat="1">
      <c r="A766" s="68">
        <v>422700500</v>
      </c>
      <c r="B766" s="68" t="s">
        <v>2617</v>
      </c>
      <c r="C766" s="68">
        <v>966</v>
      </c>
      <c r="D766" s="68" t="s">
        <v>2618</v>
      </c>
      <c r="E766" s="68">
        <v>1</v>
      </c>
      <c r="F766" s="68">
        <v>50010422063</v>
      </c>
      <c r="G766" s="78">
        <v>69091</v>
      </c>
      <c r="H766" s="68" t="s">
        <v>4484</v>
      </c>
      <c r="I766" s="68">
        <v>0</v>
      </c>
      <c r="J766" s="54">
        <v>43567</v>
      </c>
      <c r="K766" s="68">
        <v>62</v>
      </c>
      <c r="L766" s="68" t="s">
        <v>4309</v>
      </c>
    </row>
    <row r="767" spans="1:12" s="68" customFormat="1">
      <c r="A767" s="68">
        <v>422700500</v>
      </c>
      <c r="B767" s="68" t="s">
        <v>2617</v>
      </c>
      <c r="C767" s="68">
        <v>966</v>
      </c>
      <c r="D767" s="68" t="s">
        <v>2618</v>
      </c>
      <c r="E767" s="68">
        <v>1</v>
      </c>
      <c r="F767" s="68">
        <v>10010081967</v>
      </c>
      <c r="G767" s="78">
        <v>7273</v>
      </c>
      <c r="H767" s="68" t="s">
        <v>4485</v>
      </c>
      <c r="I767" s="68">
        <v>0</v>
      </c>
      <c r="J767" s="54">
        <v>43577</v>
      </c>
      <c r="K767" s="68">
        <v>62</v>
      </c>
      <c r="L767" s="68" t="s">
        <v>4309</v>
      </c>
    </row>
    <row r="768" spans="1:12" s="68" customFormat="1">
      <c r="A768" s="68">
        <v>422700500</v>
      </c>
      <c r="B768" s="68" t="s">
        <v>2617</v>
      </c>
      <c r="C768" s="68">
        <v>966</v>
      </c>
      <c r="D768" s="68" t="s">
        <v>2618</v>
      </c>
      <c r="E768" s="68">
        <v>1</v>
      </c>
      <c r="F768" s="68">
        <v>10010082034</v>
      </c>
      <c r="G768" s="78">
        <v>40909</v>
      </c>
      <c r="H768" s="68" t="s">
        <v>4486</v>
      </c>
      <c r="I768" s="68">
        <v>0</v>
      </c>
      <c r="J768" s="54">
        <v>43577</v>
      </c>
      <c r="K768" s="68">
        <v>62</v>
      </c>
      <c r="L768" s="68" t="s">
        <v>4309</v>
      </c>
    </row>
    <row r="769" spans="1:12" s="68" customFormat="1">
      <c r="A769" s="68">
        <v>422700500</v>
      </c>
      <c r="B769" s="68" t="s">
        <v>2617</v>
      </c>
      <c r="C769" s="68">
        <v>966</v>
      </c>
      <c r="D769" s="68" t="s">
        <v>2618</v>
      </c>
      <c r="E769" s="68">
        <v>1</v>
      </c>
      <c r="F769" s="68">
        <v>10010081148</v>
      </c>
      <c r="G769" s="78">
        <v>18182</v>
      </c>
      <c r="H769" s="68" t="s">
        <v>4487</v>
      </c>
      <c r="I769" s="68">
        <v>0</v>
      </c>
      <c r="J769" s="54">
        <v>43578</v>
      </c>
      <c r="K769" s="68">
        <v>62</v>
      </c>
      <c r="L769" s="68" t="s">
        <v>4309</v>
      </c>
    </row>
    <row r="770" spans="1:12" s="68" customFormat="1">
      <c r="A770" s="68">
        <v>422700500</v>
      </c>
      <c r="B770" s="68" t="s">
        <v>2617</v>
      </c>
      <c r="C770" s="68">
        <v>966</v>
      </c>
      <c r="D770" s="68" t="s">
        <v>2618</v>
      </c>
      <c r="E770" s="68">
        <v>1</v>
      </c>
      <c r="F770" s="68">
        <v>20010096124</v>
      </c>
      <c r="G770" s="78">
        <v>267273</v>
      </c>
      <c r="H770" s="68" t="s">
        <v>4488</v>
      </c>
      <c r="I770" s="68">
        <v>0</v>
      </c>
      <c r="J770" s="54">
        <v>43578</v>
      </c>
      <c r="K770" s="68">
        <v>62</v>
      </c>
      <c r="L770" s="68" t="s">
        <v>4309</v>
      </c>
    </row>
    <row r="771" spans="1:12" s="68" customFormat="1">
      <c r="A771" s="68">
        <v>422700500</v>
      </c>
      <c r="B771" s="68" t="s">
        <v>2617</v>
      </c>
      <c r="C771" s="68">
        <v>966</v>
      </c>
      <c r="D771" s="68" t="s">
        <v>2618</v>
      </c>
      <c r="E771" s="68">
        <v>1</v>
      </c>
      <c r="F771" s="68">
        <v>10010002141</v>
      </c>
      <c r="G771" s="78">
        <v>90909</v>
      </c>
      <c r="H771" s="68" t="s">
        <v>4489</v>
      </c>
      <c r="I771" s="68">
        <v>0</v>
      </c>
      <c r="J771" s="54">
        <v>43584</v>
      </c>
      <c r="K771" s="68">
        <v>62</v>
      </c>
      <c r="L771" s="68" t="s">
        <v>4309</v>
      </c>
    </row>
    <row r="772" spans="1:12" s="68" customFormat="1">
      <c r="A772" s="68">
        <v>422700500</v>
      </c>
      <c r="B772" s="68" t="s">
        <v>2617</v>
      </c>
      <c r="C772" s="68">
        <v>966</v>
      </c>
      <c r="D772" s="68" t="s">
        <v>2618</v>
      </c>
      <c r="E772" s="68">
        <v>1</v>
      </c>
      <c r="F772" s="68">
        <v>10010030524</v>
      </c>
      <c r="G772" s="78">
        <v>45455</v>
      </c>
      <c r="H772" s="68" t="s">
        <v>4490</v>
      </c>
      <c r="I772" s="68">
        <v>0</v>
      </c>
      <c r="J772" s="54">
        <v>43585</v>
      </c>
      <c r="K772" s="68">
        <v>62</v>
      </c>
      <c r="L772" s="68" t="s">
        <v>4309</v>
      </c>
    </row>
    <row r="773" spans="1:12" s="68" customFormat="1">
      <c r="A773" s="68">
        <v>422700500</v>
      </c>
      <c r="B773" s="68" t="s">
        <v>2617</v>
      </c>
      <c r="C773" s="68">
        <v>966</v>
      </c>
      <c r="D773" s="68" t="s">
        <v>2618</v>
      </c>
      <c r="E773" s="68">
        <v>1</v>
      </c>
      <c r="F773" s="68">
        <v>50010132945</v>
      </c>
      <c r="G773" s="78">
        <v>60000</v>
      </c>
      <c r="H773" s="68" t="s">
        <v>4491</v>
      </c>
      <c r="I773" s="68">
        <v>0</v>
      </c>
      <c r="J773" s="54">
        <v>43585</v>
      </c>
      <c r="K773" s="68">
        <v>62</v>
      </c>
      <c r="L773" s="68" t="s">
        <v>4309</v>
      </c>
    </row>
    <row r="774" spans="1:12" s="68" customFormat="1">
      <c r="A774" s="68">
        <v>422700500</v>
      </c>
      <c r="B774" s="68" t="s">
        <v>2617</v>
      </c>
      <c r="C774" s="68">
        <v>966</v>
      </c>
      <c r="D774" s="68" t="s">
        <v>2618</v>
      </c>
      <c r="E774" s="68">
        <v>1</v>
      </c>
      <c r="F774" s="68">
        <v>10010009103</v>
      </c>
      <c r="G774" s="78">
        <v>54545</v>
      </c>
      <c r="H774" s="68" t="s">
        <v>4492</v>
      </c>
      <c r="I774" s="68">
        <v>0</v>
      </c>
      <c r="J774" s="54">
        <v>43588</v>
      </c>
      <c r="K774" s="68">
        <v>62</v>
      </c>
      <c r="L774" s="68" t="s">
        <v>4309</v>
      </c>
    </row>
    <row r="775" spans="1:12" s="68" customFormat="1">
      <c r="A775" s="68">
        <v>422700500</v>
      </c>
      <c r="B775" s="68" t="s">
        <v>2617</v>
      </c>
      <c r="C775" s="68">
        <v>966</v>
      </c>
      <c r="D775" s="68" t="s">
        <v>2618</v>
      </c>
      <c r="E775" s="68">
        <v>1</v>
      </c>
      <c r="F775" s="68">
        <v>10010030736</v>
      </c>
      <c r="G775" s="78">
        <v>272727</v>
      </c>
      <c r="H775" s="68" t="s">
        <v>4493</v>
      </c>
      <c r="I775" s="68">
        <v>0</v>
      </c>
      <c r="J775" s="54">
        <v>43601</v>
      </c>
      <c r="K775" s="68">
        <v>62</v>
      </c>
      <c r="L775" s="68" t="s">
        <v>4309</v>
      </c>
    </row>
    <row r="776" spans="1:12" s="68" customFormat="1">
      <c r="A776" s="68">
        <v>422700500</v>
      </c>
      <c r="B776" s="68" t="s">
        <v>2617</v>
      </c>
      <c r="C776" s="68">
        <v>966</v>
      </c>
      <c r="D776" s="68" t="s">
        <v>2618</v>
      </c>
      <c r="E776" s="68">
        <v>1</v>
      </c>
      <c r="F776" s="68">
        <v>20010105171</v>
      </c>
      <c r="G776" s="78">
        <v>83182</v>
      </c>
      <c r="H776" s="68" t="s">
        <v>4494</v>
      </c>
      <c r="I776" s="68">
        <v>0</v>
      </c>
      <c r="J776" s="54">
        <v>43601</v>
      </c>
      <c r="K776" s="68">
        <v>62</v>
      </c>
      <c r="L776" s="68" t="s">
        <v>4309</v>
      </c>
    </row>
    <row r="777" spans="1:12" s="68" customFormat="1">
      <c r="A777" s="68">
        <v>422700500</v>
      </c>
      <c r="B777" s="68" t="s">
        <v>2617</v>
      </c>
      <c r="C777" s="68">
        <v>966</v>
      </c>
      <c r="D777" s="68" t="s">
        <v>2618</v>
      </c>
      <c r="E777" s="68">
        <v>1</v>
      </c>
      <c r="F777" s="68">
        <v>10010001732</v>
      </c>
      <c r="G777" s="78">
        <v>9524</v>
      </c>
      <c r="H777" s="68" t="s">
        <v>4495</v>
      </c>
      <c r="I777" s="68">
        <v>0</v>
      </c>
      <c r="J777" s="54">
        <v>43602</v>
      </c>
      <c r="K777" s="68">
        <v>62</v>
      </c>
      <c r="L777" s="68" t="s">
        <v>4309</v>
      </c>
    </row>
    <row r="778" spans="1:12" s="68" customFormat="1">
      <c r="A778" s="68">
        <v>422700500</v>
      </c>
      <c r="B778" s="68" t="s">
        <v>2617</v>
      </c>
      <c r="C778" s="68">
        <v>966</v>
      </c>
      <c r="D778" s="68" t="s">
        <v>2618</v>
      </c>
      <c r="E778" s="68">
        <v>1</v>
      </c>
      <c r="F778" s="68">
        <v>10010001732</v>
      </c>
      <c r="G778" s="78">
        <v>13636</v>
      </c>
      <c r="H778" s="68" t="s">
        <v>4495</v>
      </c>
      <c r="I778" s="68">
        <v>0</v>
      </c>
      <c r="J778" s="54">
        <v>43602</v>
      </c>
      <c r="K778" s="68">
        <v>62</v>
      </c>
      <c r="L778" s="68" t="s">
        <v>4309</v>
      </c>
    </row>
    <row r="779" spans="1:12" s="68" customFormat="1">
      <c r="A779" s="68">
        <v>422700500</v>
      </c>
      <c r="B779" s="68" t="s">
        <v>2617</v>
      </c>
      <c r="C779" s="68">
        <v>966</v>
      </c>
      <c r="D779" s="68" t="s">
        <v>2618</v>
      </c>
      <c r="E779" s="68">
        <v>1</v>
      </c>
      <c r="F779" s="68">
        <v>10010009231</v>
      </c>
      <c r="G779" s="78">
        <v>40909</v>
      </c>
      <c r="H779" s="68" t="s">
        <v>3489</v>
      </c>
      <c r="I779" s="68">
        <v>0</v>
      </c>
      <c r="J779" s="54">
        <v>43602</v>
      </c>
      <c r="K779" s="68">
        <v>62</v>
      </c>
      <c r="L779" s="68" t="s">
        <v>4309</v>
      </c>
    </row>
    <row r="780" spans="1:12" s="68" customFormat="1">
      <c r="A780" s="68">
        <v>422700500</v>
      </c>
      <c r="B780" s="68" t="s">
        <v>2617</v>
      </c>
      <c r="C780" s="68">
        <v>966</v>
      </c>
      <c r="D780" s="68" t="s">
        <v>2618</v>
      </c>
      <c r="E780" s="68">
        <v>1</v>
      </c>
      <c r="F780" s="68">
        <v>10010011118</v>
      </c>
      <c r="G780" s="78">
        <v>32727</v>
      </c>
      <c r="H780" s="68" t="s">
        <v>4496</v>
      </c>
      <c r="I780" s="68">
        <v>0</v>
      </c>
      <c r="J780" s="54">
        <v>43602</v>
      </c>
      <c r="K780" s="68">
        <v>62</v>
      </c>
      <c r="L780" s="68" t="s">
        <v>4309</v>
      </c>
    </row>
    <row r="781" spans="1:12" s="68" customFormat="1">
      <c r="A781" s="68">
        <v>422700500</v>
      </c>
      <c r="B781" s="68" t="s">
        <v>2617</v>
      </c>
      <c r="C781" s="68">
        <v>966</v>
      </c>
      <c r="D781" s="68" t="s">
        <v>2618</v>
      </c>
      <c r="E781" s="68">
        <v>1</v>
      </c>
      <c r="F781" s="68">
        <v>10010083011</v>
      </c>
      <c r="G781" s="78">
        <v>73636</v>
      </c>
      <c r="H781" s="68" t="s">
        <v>4497</v>
      </c>
      <c r="I781" s="68">
        <v>0</v>
      </c>
      <c r="J781" s="54">
        <v>43602</v>
      </c>
      <c r="K781" s="68">
        <v>62</v>
      </c>
      <c r="L781" s="68" t="s">
        <v>4309</v>
      </c>
    </row>
    <row r="782" spans="1:12" s="68" customFormat="1">
      <c r="A782" s="68">
        <v>422700500</v>
      </c>
      <c r="B782" s="68" t="s">
        <v>2617</v>
      </c>
      <c r="C782" s="68">
        <v>966</v>
      </c>
      <c r="D782" s="68" t="s">
        <v>2618</v>
      </c>
      <c r="E782" s="68">
        <v>1</v>
      </c>
      <c r="F782" s="68">
        <v>10010083227</v>
      </c>
      <c r="G782" s="78">
        <v>5909</v>
      </c>
      <c r="H782" s="68" t="s">
        <v>4498</v>
      </c>
      <c r="I782" s="68">
        <v>0</v>
      </c>
      <c r="J782" s="54">
        <v>43602</v>
      </c>
      <c r="K782" s="68">
        <v>62</v>
      </c>
      <c r="L782" s="68" t="s">
        <v>4309</v>
      </c>
    </row>
    <row r="783" spans="1:12" s="68" customFormat="1">
      <c r="A783" s="68">
        <v>422700500</v>
      </c>
      <c r="B783" s="68" t="s">
        <v>2617</v>
      </c>
      <c r="C783" s="68">
        <v>966</v>
      </c>
      <c r="D783" s="68" t="s">
        <v>2618</v>
      </c>
      <c r="E783" s="68">
        <v>1</v>
      </c>
      <c r="F783" s="68">
        <v>10010083379</v>
      </c>
      <c r="G783" s="78">
        <v>5455</v>
      </c>
      <c r="H783" s="68" t="s">
        <v>4499</v>
      </c>
      <c r="I783" s="68">
        <v>0</v>
      </c>
      <c r="J783" s="54">
        <v>43602</v>
      </c>
      <c r="K783" s="68">
        <v>62</v>
      </c>
      <c r="L783" s="68" t="s">
        <v>4309</v>
      </c>
    </row>
    <row r="784" spans="1:12" s="68" customFormat="1">
      <c r="A784" s="68">
        <v>422700500</v>
      </c>
      <c r="B784" s="68" t="s">
        <v>2617</v>
      </c>
      <c r="C784" s="68">
        <v>966</v>
      </c>
      <c r="D784" s="68" t="s">
        <v>2618</v>
      </c>
      <c r="E784" s="68">
        <v>1</v>
      </c>
      <c r="F784" s="68">
        <v>10010083474</v>
      </c>
      <c r="G784" s="78">
        <v>19091</v>
      </c>
      <c r="H784" s="68" t="s">
        <v>4500</v>
      </c>
      <c r="I784" s="68">
        <v>0</v>
      </c>
      <c r="J784" s="54">
        <v>43602</v>
      </c>
      <c r="K784" s="68">
        <v>62</v>
      </c>
      <c r="L784" s="68" t="s">
        <v>4309</v>
      </c>
    </row>
    <row r="785" spans="1:12" s="68" customFormat="1">
      <c r="A785" s="68">
        <v>422700500</v>
      </c>
      <c r="B785" s="68" t="s">
        <v>2617</v>
      </c>
      <c r="C785" s="68">
        <v>966</v>
      </c>
      <c r="D785" s="68" t="s">
        <v>2618</v>
      </c>
      <c r="E785" s="68">
        <v>1</v>
      </c>
      <c r="F785" s="68">
        <v>50010429886</v>
      </c>
      <c r="G785" s="78">
        <v>65364</v>
      </c>
      <c r="H785" s="68" t="s">
        <v>4501</v>
      </c>
      <c r="I785" s="68">
        <v>0</v>
      </c>
      <c r="J785" s="54">
        <v>43602</v>
      </c>
      <c r="K785" s="68">
        <v>62</v>
      </c>
      <c r="L785" s="68" t="s">
        <v>4309</v>
      </c>
    </row>
    <row r="786" spans="1:12" s="68" customFormat="1">
      <c r="A786" s="68">
        <v>422700500</v>
      </c>
      <c r="B786" s="68" t="s">
        <v>2617</v>
      </c>
      <c r="C786" s="68">
        <v>966</v>
      </c>
      <c r="D786" s="68" t="s">
        <v>2618</v>
      </c>
      <c r="E786" s="68">
        <v>26</v>
      </c>
      <c r="F786" s="68">
        <v>27</v>
      </c>
      <c r="G786" s="78">
        <v>150000</v>
      </c>
      <c r="H786" s="68" t="s">
        <v>2620</v>
      </c>
      <c r="I786" s="68">
        <v>0</v>
      </c>
      <c r="J786" s="54">
        <v>43607</v>
      </c>
      <c r="K786" s="68">
        <v>62</v>
      </c>
      <c r="L786" s="68" t="s">
        <v>4309</v>
      </c>
    </row>
    <row r="787" spans="1:12" s="68" customFormat="1">
      <c r="A787" s="68">
        <v>422700500</v>
      </c>
      <c r="B787" s="68" t="s">
        <v>2617</v>
      </c>
      <c r="C787" s="68">
        <v>966</v>
      </c>
      <c r="D787" s="68" t="s">
        <v>2618</v>
      </c>
      <c r="E787" s="68">
        <v>1</v>
      </c>
      <c r="F787" s="68">
        <v>10010009356</v>
      </c>
      <c r="G787" s="78">
        <v>113636</v>
      </c>
      <c r="H787" s="68" t="s">
        <v>4502</v>
      </c>
      <c r="I787" s="68">
        <v>0</v>
      </c>
      <c r="J787" s="54">
        <v>43607</v>
      </c>
      <c r="K787" s="68">
        <v>62</v>
      </c>
      <c r="L787" s="68" t="s">
        <v>4309</v>
      </c>
    </row>
    <row r="788" spans="1:12" s="68" customFormat="1">
      <c r="A788" s="68">
        <v>422700500</v>
      </c>
      <c r="B788" s="68" t="s">
        <v>2617</v>
      </c>
      <c r="C788" s="68">
        <v>966</v>
      </c>
      <c r="D788" s="68" t="s">
        <v>2618</v>
      </c>
      <c r="E788" s="68">
        <v>1</v>
      </c>
      <c r="F788" s="68">
        <v>10010009390</v>
      </c>
      <c r="G788" s="78">
        <v>109091</v>
      </c>
      <c r="H788" s="68" t="s">
        <v>4503</v>
      </c>
      <c r="I788" s="68">
        <v>0</v>
      </c>
      <c r="J788" s="54">
        <v>43607</v>
      </c>
      <c r="K788" s="68">
        <v>62</v>
      </c>
      <c r="L788" s="68" t="s">
        <v>4309</v>
      </c>
    </row>
    <row r="789" spans="1:12" s="68" customFormat="1">
      <c r="A789" s="68">
        <v>422700500</v>
      </c>
      <c r="B789" s="68" t="s">
        <v>2617</v>
      </c>
      <c r="C789" s="68">
        <v>966</v>
      </c>
      <c r="D789" s="68" t="s">
        <v>2618</v>
      </c>
      <c r="E789" s="68">
        <v>1</v>
      </c>
      <c r="F789" s="68">
        <v>10010031069</v>
      </c>
      <c r="G789" s="78">
        <v>63636</v>
      </c>
      <c r="H789" s="68" t="s">
        <v>4504</v>
      </c>
      <c r="I789" s="68">
        <v>0</v>
      </c>
      <c r="J789" s="54">
        <v>43607</v>
      </c>
      <c r="K789" s="68">
        <v>62</v>
      </c>
      <c r="L789" s="68" t="s">
        <v>4309</v>
      </c>
    </row>
    <row r="790" spans="1:12" s="68" customFormat="1">
      <c r="A790" s="68">
        <v>422700500</v>
      </c>
      <c r="B790" s="68" t="s">
        <v>2617</v>
      </c>
      <c r="C790" s="68">
        <v>966</v>
      </c>
      <c r="D790" s="68" t="s">
        <v>2618</v>
      </c>
      <c r="E790" s="68">
        <v>1</v>
      </c>
      <c r="F790" s="68">
        <v>10010083188</v>
      </c>
      <c r="G790" s="78">
        <v>9091</v>
      </c>
      <c r="H790" s="68" t="s">
        <v>4505</v>
      </c>
      <c r="I790" s="68">
        <v>0</v>
      </c>
      <c r="J790" s="54">
        <v>43607</v>
      </c>
      <c r="K790" s="68">
        <v>62</v>
      </c>
      <c r="L790" s="68" t="s">
        <v>4309</v>
      </c>
    </row>
    <row r="791" spans="1:12" s="68" customFormat="1">
      <c r="A791" s="68">
        <v>422700500</v>
      </c>
      <c r="B791" s="68" t="s">
        <v>2617</v>
      </c>
      <c r="C791" s="68">
        <v>966</v>
      </c>
      <c r="D791" s="68" t="s">
        <v>2618</v>
      </c>
      <c r="E791" s="68">
        <v>1</v>
      </c>
      <c r="F791" s="68">
        <v>10010083783</v>
      </c>
      <c r="G791" s="78">
        <v>19955</v>
      </c>
      <c r="H791" s="68" t="s">
        <v>4506</v>
      </c>
      <c r="I791" s="68">
        <v>0</v>
      </c>
      <c r="J791" s="54">
        <v>43607</v>
      </c>
      <c r="K791" s="68">
        <v>62</v>
      </c>
      <c r="L791" s="68" t="s">
        <v>4309</v>
      </c>
    </row>
    <row r="792" spans="1:12" s="68" customFormat="1">
      <c r="A792" s="68">
        <v>422700500</v>
      </c>
      <c r="B792" s="68" t="s">
        <v>2617</v>
      </c>
      <c r="C792" s="68">
        <v>966</v>
      </c>
      <c r="D792" s="68" t="s">
        <v>2618</v>
      </c>
      <c r="E792" s="68">
        <v>1</v>
      </c>
      <c r="F792" s="68">
        <v>10010083861</v>
      </c>
      <c r="G792" s="78">
        <v>38182</v>
      </c>
      <c r="H792" s="68" t="s">
        <v>4507</v>
      </c>
      <c r="I792" s="68">
        <v>0</v>
      </c>
      <c r="J792" s="54">
        <v>43607</v>
      </c>
      <c r="K792" s="68">
        <v>62</v>
      </c>
      <c r="L792" s="68" t="s">
        <v>4309</v>
      </c>
    </row>
    <row r="793" spans="1:12" s="68" customFormat="1">
      <c r="A793" s="68">
        <v>422700500</v>
      </c>
      <c r="B793" s="68" t="s">
        <v>2617</v>
      </c>
      <c r="C793" s="68">
        <v>966</v>
      </c>
      <c r="D793" s="68" t="s">
        <v>2618</v>
      </c>
      <c r="E793" s="68">
        <v>1</v>
      </c>
      <c r="F793" s="68">
        <v>50010427311</v>
      </c>
      <c r="G793" s="78">
        <v>27318</v>
      </c>
      <c r="H793" s="68" t="s">
        <v>4508</v>
      </c>
      <c r="I793" s="68">
        <v>0</v>
      </c>
      <c r="J793" s="54">
        <v>43607</v>
      </c>
      <c r="K793" s="68">
        <v>62</v>
      </c>
      <c r="L793" s="68" t="s">
        <v>4309</v>
      </c>
    </row>
    <row r="794" spans="1:12" s="68" customFormat="1">
      <c r="A794" s="68">
        <v>422700500</v>
      </c>
      <c r="B794" s="68" t="s">
        <v>2617</v>
      </c>
      <c r="C794" s="68">
        <v>966</v>
      </c>
      <c r="D794" s="68" t="s">
        <v>2618</v>
      </c>
      <c r="E794" s="68">
        <v>1</v>
      </c>
      <c r="F794" s="68">
        <v>70010042394</v>
      </c>
      <c r="G794" s="78">
        <v>125455</v>
      </c>
      <c r="H794" s="68" t="s">
        <v>4509</v>
      </c>
      <c r="I794" s="68">
        <v>0</v>
      </c>
      <c r="J794" s="54">
        <v>43607</v>
      </c>
      <c r="K794" s="68">
        <v>62</v>
      </c>
      <c r="L794" s="68" t="s">
        <v>4309</v>
      </c>
    </row>
    <row r="795" spans="1:12" s="68" customFormat="1">
      <c r="A795" s="68">
        <v>422700500</v>
      </c>
      <c r="B795" s="68" t="s">
        <v>2617</v>
      </c>
      <c r="C795" s="68">
        <v>966</v>
      </c>
      <c r="D795" s="68" t="s">
        <v>2618</v>
      </c>
      <c r="E795" s="68">
        <v>1</v>
      </c>
      <c r="F795" s="68">
        <v>10020003847</v>
      </c>
      <c r="G795" s="78">
        <v>122727</v>
      </c>
      <c r="H795" s="68" t="s">
        <v>4510</v>
      </c>
      <c r="I795" s="68">
        <v>0</v>
      </c>
      <c r="J795" s="54">
        <v>43608</v>
      </c>
      <c r="K795" s="68">
        <v>62</v>
      </c>
      <c r="L795" s="68" t="s">
        <v>4309</v>
      </c>
    </row>
    <row r="796" spans="1:12" s="68" customFormat="1">
      <c r="A796" s="68">
        <v>422700500</v>
      </c>
      <c r="B796" s="68" t="s">
        <v>2617</v>
      </c>
      <c r="C796" s="68">
        <v>966</v>
      </c>
      <c r="D796" s="68" t="s">
        <v>2618</v>
      </c>
      <c r="E796" s="68">
        <v>1</v>
      </c>
      <c r="F796" s="68">
        <v>10010000363</v>
      </c>
      <c r="G796" s="78">
        <v>72727</v>
      </c>
      <c r="H796" s="68" t="s">
        <v>4511</v>
      </c>
      <c r="I796" s="68">
        <v>0</v>
      </c>
      <c r="J796" s="54">
        <v>43613</v>
      </c>
      <c r="K796" s="68">
        <v>62</v>
      </c>
      <c r="L796" s="68" t="s">
        <v>4309</v>
      </c>
    </row>
    <row r="797" spans="1:12" s="68" customFormat="1">
      <c r="A797" s="68">
        <v>422700500</v>
      </c>
      <c r="B797" s="68" t="s">
        <v>2617</v>
      </c>
      <c r="C797" s="68">
        <v>966</v>
      </c>
      <c r="D797" s="68" t="s">
        <v>2618</v>
      </c>
      <c r="E797" s="68">
        <v>1</v>
      </c>
      <c r="F797" s="68">
        <v>10010009431</v>
      </c>
      <c r="G797" s="78">
        <v>72727</v>
      </c>
      <c r="H797" s="68" t="s">
        <v>4512</v>
      </c>
      <c r="I797" s="68">
        <v>0</v>
      </c>
      <c r="J797" s="54">
        <v>43613</v>
      </c>
      <c r="K797" s="68">
        <v>62</v>
      </c>
      <c r="L797" s="68" t="s">
        <v>4309</v>
      </c>
    </row>
    <row r="798" spans="1:12" s="68" customFormat="1">
      <c r="A798" s="68">
        <v>422700500</v>
      </c>
      <c r="B798" s="68" t="s">
        <v>2617</v>
      </c>
      <c r="C798" s="68">
        <v>966</v>
      </c>
      <c r="D798" s="68" t="s">
        <v>2618</v>
      </c>
      <c r="E798" s="68">
        <v>1</v>
      </c>
      <c r="F798" s="68">
        <v>10020003853</v>
      </c>
      <c r="G798" s="78">
        <v>81818</v>
      </c>
      <c r="H798" s="68" t="s">
        <v>4513</v>
      </c>
      <c r="I798" s="68">
        <v>0</v>
      </c>
      <c r="J798" s="54">
        <v>43613</v>
      </c>
      <c r="K798" s="68">
        <v>62</v>
      </c>
      <c r="L798" s="68" t="s">
        <v>4309</v>
      </c>
    </row>
    <row r="799" spans="1:12" s="68" customFormat="1">
      <c r="A799" s="68">
        <v>422700500</v>
      </c>
      <c r="B799" s="68" t="s">
        <v>2617</v>
      </c>
      <c r="C799" s="68">
        <v>966</v>
      </c>
      <c r="D799" s="68" t="s">
        <v>2618</v>
      </c>
      <c r="E799" s="68">
        <v>1</v>
      </c>
      <c r="F799" s="68">
        <v>50010431348</v>
      </c>
      <c r="G799" s="78">
        <v>141773</v>
      </c>
      <c r="H799" s="68" t="s">
        <v>4514</v>
      </c>
      <c r="I799" s="68">
        <v>0</v>
      </c>
      <c r="J799" s="54">
        <v>43613</v>
      </c>
      <c r="K799" s="68">
        <v>62</v>
      </c>
      <c r="L799" s="68" t="s">
        <v>4309</v>
      </c>
    </row>
    <row r="800" spans="1:12" s="68" customFormat="1">
      <c r="A800" s="68">
        <v>422700500</v>
      </c>
      <c r="B800" s="68" t="s">
        <v>2617</v>
      </c>
      <c r="C800" s="68">
        <v>966</v>
      </c>
      <c r="D800" s="68" t="s">
        <v>2618</v>
      </c>
      <c r="E800" s="68">
        <v>1</v>
      </c>
      <c r="F800" s="68">
        <v>70010042523</v>
      </c>
      <c r="G800" s="78">
        <v>87273</v>
      </c>
      <c r="H800" s="68" t="s">
        <v>4515</v>
      </c>
      <c r="I800" s="68">
        <v>0</v>
      </c>
      <c r="J800" s="54">
        <v>43614</v>
      </c>
      <c r="K800" s="68">
        <v>62</v>
      </c>
      <c r="L800" s="68" t="s">
        <v>4309</v>
      </c>
    </row>
    <row r="801" spans="1:12" s="68" customFormat="1">
      <c r="A801" s="68">
        <v>422700500</v>
      </c>
      <c r="B801" s="68" t="s">
        <v>2617</v>
      </c>
      <c r="C801" s="68">
        <v>966</v>
      </c>
      <c r="D801" s="68" t="s">
        <v>2618</v>
      </c>
      <c r="E801" s="68">
        <v>1</v>
      </c>
      <c r="F801" s="68">
        <v>70010042526</v>
      </c>
      <c r="G801" s="78">
        <v>31818</v>
      </c>
      <c r="H801" s="68" t="s">
        <v>4516</v>
      </c>
      <c r="I801" s="68">
        <v>0</v>
      </c>
      <c r="J801" s="54">
        <v>43614</v>
      </c>
      <c r="K801" s="68">
        <v>62</v>
      </c>
      <c r="L801" s="68" t="s">
        <v>4309</v>
      </c>
    </row>
    <row r="802" spans="1:12" s="68" customFormat="1">
      <c r="A802" s="68">
        <v>422700500</v>
      </c>
      <c r="B802" s="68" t="s">
        <v>2617</v>
      </c>
      <c r="C802" s="68">
        <v>966</v>
      </c>
      <c r="D802" s="68" t="s">
        <v>2618</v>
      </c>
      <c r="E802" s="68">
        <v>1</v>
      </c>
      <c r="F802" s="68">
        <v>10010009538</v>
      </c>
      <c r="G802" s="78">
        <v>27273</v>
      </c>
      <c r="H802" s="68" t="s">
        <v>4499</v>
      </c>
      <c r="I802" s="68">
        <v>0</v>
      </c>
      <c r="J802" s="54">
        <v>43616</v>
      </c>
      <c r="K802" s="68">
        <v>62</v>
      </c>
      <c r="L802" s="68" t="s">
        <v>4309</v>
      </c>
    </row>
    <row r="803" spans="1:12" s="68" customFormat="1">
      <c r="A803" s="68">
        <v>422700500</v>
      </c>
      <c r="B803" s="68" t="s">
        <v>2617</v>
      </c>
      <c r="C803" s="68">
        <v>966</v>
      </c>
      <c r="D803" s="68" t="s">
        <v>2618</v>
      </c>
      <c r="E803" s="68">
        <v>1</v>
      </c>
      <c r="F803" s="68">
        <v>50010432814</v>
      </c>
      <c r="G803" s="78">
        <v>65273</v>
      </c>
      <c r="H803" s="68" t="s">
        <v>4517</v>
      </c>
      <c r="I803" s="68">
        <v>0</v>
      </c>
      <c r="J803" s="54">
        <v>43616</v>
      </c>
      <c r="K803" s="68">
        <v>62</v>
      </c>
      <c r="L803" s="68" t="s">
        <v>4309</v>
      </c>
    </row>
    <row r="804" spans="1:12" s="68" customFormat="1">
      <c r="A804" s="68">
        <v>422700500</v>
      </c>
      <c r="B804" s="68" t="s">
        <v>2617</v>
      </c>
      <c r="C804" s="68">
        <v>966</v>
      </c>
      <c r="D804" s="68" t="s">
        <v>2618</v>
      </c>
      <c r="E804" s="68">
        <v>1</v>
      </c>
      <c r="F804" s="68">
        <v>10010035082</v>
      </c>
      <c r="G804" s="78">
        <v>19091</v>
      </c>
      <c r="H804" s="68" t="s">
        <v>4518</v>
      </c>
      <c r="I804" s="68">
        <v>0</v>
      </c>
      <c r="J804" s="54">
        <v>43627</v>
      </c>
      <c r="K804" s="68">
        <v>62</v>
      </c>
      <c r="L804" s="68" t="s">
        <v>4309</v>
      </c>
    </row>
    <row r="805" spans="1:12" s="68" customFormat="1">
      <c r="A805" s="68">
        <v>422700500</v>
      </c>
      <c r="B805" s="68" t="s">
        <v>2617</v>
      </c>
      <c r="C805" s="68">
        <v>966</v>
      </c>
      <c r="D805" s="68" t="s">
        <v>2618</v>
      </c>
      <c r="E805" s="68">
        <v>1</v>
      </c>
      <c r="F805" s="68">
        <v>10010048161</v>
      </c>
      <c r="G805" s="78">
        <v>54545</v>
      </c>
      <c r="H805" s="68" t="s">
        <v>4519</v>
      </c>
      <c r="I805" s="68">
        <v>0</v>
      </c>
      <c r="J805" s="54">
        <v>43627</v>
      </c>
      <c r="K805" s="68">
        <v>62</v>
      </c>
      <c r="L805" s="68" t="s">
        <v>4309</v>
      </c>
    </row>
    <row r="806" spans="1:12" s="68" customFormat="1">
      <c r="A806" s="68">
        <v>422700500</v>
      </c>
      <c r="B806" s="68" t="s">
        <v>2617</v>
      </c>
      <c r="C806" s="68">
        <v>966</v>
      </c>
      <c r="D806" s="68" t="s">
        <v>2618</v>
      </c>
      <c r="E806" s="68">
        <v>1</v>
      </c>
      <c r="F806" s="68">
        <v>10010048162</v>
      </c>
      <c r="G806" s="78">
        <v>9091</v>
      </c>
      <c r="H806" s="68" t="s">
        <v>4520</v>
      </c>
      <c r="I806" s="68">
        <v>0</v>
      </c>
      <c r="J806" s="54">
        <v>43627</v>
      </c>
      <c r="K806" s="68">
        <v>62</v>
      </c>
      <c r="L806" s="68" t="s">
        <v>4309</v>
      </c>
    </row>
    <row r="807" spans="1:12" s="68" customFormat="1">
      <c r="A807" s="68">
        <v>422700500</v>
      </c>
      <c r="B807" s="68" t="s">
        <v>2617</v>
      </c>
      <c r="C807" s="68">
        <v>966</v>
      </c>
      <c r="D807" s="68" t="s">
        <v>2618</v>
      </c>
      <c r="E807" s="68">
        <v>1</v>
      </c>
      <c r="F807" s="68">
        <v>40030016795</v>
      </c>
      <c r="G807" s="78">
        <v>134800</v>
      </c>
      <c r="H807" s="68" t="s">
        <v>4521</v>
      </c>
      <c r="I807" s="68">
        <v>0</v>
      </c>
      <c r="J807" s="54">
        <v>43627</v>
      </c>
      <c r="K807" s="68">
        <v>62</v>
      </c>
      <c r="L807" s="68" t="s">
        <v>4309</v>
      </c>
    </row>
    <row r="808" spans="1:12" s="68" customFormat="1">
      <c r="A808" s="68">
        <v>422700500</v>
      </c>
      <c r="B808" s="68" t="s">
        <v>2617</v>
      </c>
      <c r="C808" s="68">
        <v>966</v>
      </c>
      <c r="D808" s="68" t="s">
        <v>2618</v>
      </c>
      <c r="E808" s="68">
        <v>1</v>
      </c>
      <c r="F808" s="68">
        <v>110020002028</v>
      </c>
      <c r="G808" s="78">
        <v>171364</v>
      </c>
      <c r="H808" s="68" t="s">
        <v>4522</v>
      </c>
      <c r="I808" s="68">
        <v>0</v>
      </c>
      <c r="J808" s="54">
        <v>43627</v>
      </c>
      <c r="K808" s="68">
        <v>62</v>
      </c>
      <c r="L808" s="68" t="s">
        <v>4309</v>
      </c>
    </row>
    <row r="809" spans="1:12" s="68" customFormat="1">
      <c r="A809" s="68">
        <v>422700500</v>
      </c>
      <c r="B809" s="68" t="s">
        <v>2617</v>
      </c>
      <c r="C809" s="68">
        <v>966</v>
      </c>
      <c r="D809" s="68" t="s">
        <v>2618</v>
      </c>
      <c r="E809" s="68">
        <v>1</v>
      </c>
      <c r="F809" s="68">
        <v>10060000464</v>
      </c>
      <c r="G809" s="78">
        <v>40909</v>
      </c>
      <c r="H809" s="68" t="s">
        <v>4523</v>
      </c>
      <c r="I809" s="68">
        <v>0</v>
      </c>
      <c r="J809" s="54">
        <v>43628</v>
      </c>
      <c r="K809" s="68">
        <v>62</v>
      </c>
      <c r="L809" s="68" t="s">
        <v>4309</v>
      </c>
    </row>
    <row r="810" spans="1:12" s="68" customFormat="1">
      <c r="A810" s="68">
        <v>422700500</v>
      </c>
      <c r="B810" s="68" t="s">
        <v>2617</v>
      </c>
      <c r="C810" s="68">
        <v>966</v>
      </c>
      <c r="D810" s="68" t="s">
        <v>2618</v>
      </c>
      <c r="E810" s="68">
        <v>1</v>
      </c>
      <c r="F810" s="68">
        <v>10010031067</v>
      </c>
      <c r="G810" s="78">
        <v>200000</v>
      </c>
      <c r="H810" s="68" t="s">
        <v>4524</v>
      </c>
      <c r="I810" s="68">
        <v>0</v>
      </c>
      <c r="J810" s="54">
        <v>43629</v>
      </c>
      <c r="K810" s="68">
        <v>62</v>
      </c>
      <c r="L810" s="68" t="s">
        <v>4309</v>
      </c>
    </row>
    <row r="811" spans="1:12" s="68" customFormat="1">
      <c r="A811" s="68">
        <v>422700500</v>
      </c>
      <c r="B811" s="68" t="s">
        <v>2617</v>
      </c>
      <c r="C811" s="68">
        <v>966</v>
      </c>
      <c r="D811" s="68" t="s">
        <v>2618</v>
      </c>
      <c r="E811" s="68">
        <v>1</v>
      </c>
      <c r="F811" s="68">
        <v>50010433924</v>
      </c>
      <c r="G811" s="78">
        <v>112545</v>
      </c>
      <c r="H811" s="68" t="s">
        <v>4525</v>
      </c>
      <c r="I811" s="68">
        <v>0</v>
      </c>
      <c r="J811" s="54">
        <v>43629</v>
      </c>
      <c r="K811" s="68">
        <v>62</v>
      </c>
      <c r="L811" s="68" t="s">
        <v>4309</v>
      </c>
    </row>
    <row r="812" spans="1:12" s="68" customFormat="1">
      <c r="A812" s="68">
        <v>422700500</v>
      </c>
      <c r="B812" s="68" t="s">
        <v>2617</v>
      </c>
      <c r="C812" s="68">
        <v>966</v>
      </c>
      <c r="D812" s="68" t="s">
        <v>2618</v>
      </c>
      <c r="E812" s="68">
        <v>1</v>
      </c>
      <c r="F812" s="68">
        <v>10010030954</v>
      </c>
      <c r="G812" s="78">
        <v>252727</v>
      </c>
      <c r="H812" s="68" t="s">
        <v>4526</v>
      </c>
      <c r="I812" s="68">
        <v>0</v>
      </c>
      <c r="J812" s="54">
        <v>43630</v>
      </c>
      <c r="K812" s="68">
        <v>62</v>
      </c>
      <c r="L812" s="68" t="s">
        <v>4309</v>
      </c>
    </row>
    <row r="813" spans="1:12" s="68" customFormat="1">
      <c r="A813" s="68">
        <v>422700500</v>
      </c>
      <c r="B813" s="68" t="s">
        <v>2617</v>
      </c>
      <c r="C813" s="68">
        <v>966</v>
      </c>
      <c r="D813" s="68" t="s">
        <v>2618</v>
      </c>
      <c r="E813" s="68">
        <v>1</v>
      </c>
      <c r="F813" s="68">
        <v>10080004631</v>
      </c>
      <c r="G813" s="78">
        <v>18182</v>
      </c>
      <c r="H813" s="68" t="s">
        <v>4527</v>
      </c>
      <c r="I813" s="68">
        <v>0</v>
      </c>
      <c r="J813" s="54">
        <v>43630</v>
      </c>
      <c r="K813" s="68">
        <v>62</v>
      </c>
      <c r="L813" s="68" t="s">
        <v>4309</v>
      </c>
    </row>
    <row r="814" spans="1:12" s="68" customFormat="1">
      <c r="A814" s="68">
        <v>422700500</v>
      </c>
      <c r="B814" s="68" t="s">
        <v>2617</v>
      </c>
      <c r="C814" s="68">
        <v>966</v>
      </c>
      <c r="D814" s="68" t="s">
        <v>2618</v>
      </c>
      <c r="E814" s="68">
        <v>1</v>
      </c>
      <c r="F814" s="68">
        <v>50010135924</v>
      </c>
      <c r="G814" s="78">
        <v>49091</v>
      </c>
      <c r="H814" s="68" t="s">
        <v>4528</v>
      </c>
      <c r="I814" s="68">
        <v>0</v>
      </c>
      <c r="J814" s="54">
        <v>43630</v>
      </c>
      <c r="K814" s="68">
        <v>62</v>
      </c>
      <c r="L814" s="68" t="s">
        <v>4309</v>
      </c>
    </row>
    <row r="815" spans="1:12" s="68" customFormat="1">
      <c r="A815" s="68">
        <v>422700500</v>
      </c>
      <c r="B815" s="68" t="s">
        <v>2617</v>
      </c>
      <c r="C815" s="68">
        <v>966</v>
      </c>
      <c r="D815" s="68" t="s">
        <v>2618</v>
      </c>
      <c r="E815" s="68">
        <v>1</v>
      </c>
      <c r="F815" s="68">
        <v>10010001265</v>
      </c>
      <c r="G815" s="78">
        <v>9091</v>
      </c>
      <c r="H815" s="68" t="s">
        <v>4447</v>
      </c>
      <c r="I815" s="68">
        <v>0</v>
      </c>
      <c r="J815" s="54">
        <v>43634</v>
      </c>
      <c r="K815" s="68">
        <v>62</v>
      </c>
      <c r="L815" s="68" t="s">
        <v>4309</v>
      </c>
    </row>
    <row r="816" spans="1:12" s="68" customFormat="1">
      <c r="A816" s="68">
        <v>422700500</v>
      </c>
      <c r="B816" s="68" t="s">
        <v>2617</v>
      </c>
      <c r="C816" s="68">
        <v>966</v>
      </c>
      <c r="D816" s="68" t="s">
        <v>2618</v>
      </c>
      <c r="E816" s="68">
        <v>1</v>
      </c>
      <c r="F816" s="68">
        <v>10010001266</v>
      </c>
      <c r="G816" s="78">
        <v>9091</v>
      </c>
      <c r="H816" s="68" t="s">
        <v>4447</v>
      </c>
      <c r="I816" s="68">
        <v>0</v>
      </c>
      <c r="J816" s="54">
        <v>43634</v>
      </c>
      <c r="K816" s="68">
        <v>62</v>
      </c>
      <c r="L816" s="68" t="s">
        <v>4309</v>
      </c>
    </row>
    <row r="817" spans="1:12" s="68" customFormat="1">
      <c r="A817" s="68">
        <v>422700500</v>
      </c>
      <c r="B817" s="68" t="s">
        <v>2617</v>
      </c>
      <c r="C817" s="68">
        <v>966</v>
      </c>
      <c r="D817" s="68" t="s">
        <v>2618</v>
      </c>
      <c r="E817" s="68">
        <v>1</v>
      </c>
      <c r="F817" s="68">
        <v>10010009610</v>
      </c>
      <c r="G817" s="78">
        <v>340909</v>
      </c>
      <c r="H817" s="68" t="s">
        <v>4529</v>
      </c>
      <c r="I817" s="68">
        <v>0</v>
      </c>
      <c r="J817" s="54">
        <v>43634</v>
      </c>
      <c r="K817" s="68">
        <v>62</v>
      </c>
      <c r="L817" s="68" t="s">
        <v>4309</v>
      </c>
    </row>
    <row r="818" spans="1:12" s="68" customFormat="1">
      <c r="A818" s="68">
        <v>422700500</v>
      </c>
      <c r="B818" s="68" t="s">
        <v>2617</v>
      </c>
      <c r="C818" s="68">
        <v>966</v>
      </c>
      <c r="D818" s="68" t="s">
        <v>2618</v>
      </c>
      <c r="E818" s="68">
        <v>1</v>
      </c>
      <c r="F818" s="68">
        <v>10010031433</v>
      </c>
      <c r="G818" s="78">
        <v>10909</v>
      </c>
      <c r="H818" s="68" t="s">
        <v>4530</v>
      </c>
      <c r="I818" s="68">
        <v>0</v>
      </c>
      <c r="J818" s="54">
        <v>43634</v>
      </c>
      <c r="K818" s="68">
        <v>62</v>
      </c>
      <c r="L818" s="68" t="s">
        <v>4309</v>
      </c>
    </row>
    <row r="819" spans="1:12" s="68" customFormat="1">
      <c r="A819" s="68">
        <v>422700500</v>
      </c>
      <c r="B819" s="68" t="s">
        <v>2617</v>
      </c>
      <c r="C819" s="68">
        <v>966</v>
      </c>
      <c r="D819" s="68" t="s">
        <v>2618</v>
      </c>
      <c r="E819" s="68">
        <v>1</v>
      </c>
      <c r="F819" s="68">
        <v>10010085099</v>
      </c>
      <c r="G819" s="78">
        <v>86818</v>
      </c>
      <c r="H819" s="68" t="s">
        <v>4531</v>
      </c>
      <c r="I819" s="68">
        <v>0</v>
      </c>
      <c r="J819" s="54">
        <v>43634</v>
      </c>
      <c r="K819" s="68">
        <v>62</v>
      </c>
      <c r="L819" s="68" t="s">
        <v>4309</v>
      </c>
    </row>
    <row r="820" spans="1:12" s="68" customFormat="1">
      <c r="A820" s="68">
        <v>422700500</v>
      </c>
      <c r="B820" s="68" t="s">
        <v>2617</v>
      </c>
      <c r="C820" s="68">
        <v>966</v>
      </c>
      <c r="D820" s="68" t="s">
        <v>2618</v>
      </c>
      <c r="E820" s="68">
        <v>1</v>
      </c>
      <c r="F820" s="68">
        <v>10010085814</v>
      </c>
      <c r="G820" s="78">
        <v>45455</v>
      </c>
      <c r="H820" s="68" t="s">
        <v>4532</v>
      </c>
      <c r="I820" s="68">
        <v>0</v>
      </c>
      <c r="J820" s="54">
        <v>43634</v>
      </c>
      <c r="K820" s="68">
        <v>62</v>
      </c>
      <c r="L820" s="68" t="s">
        <v>4309</v>
      </c>
    </row>
    <row r="821" spans="1:12" s="68" customFormat="1">
      <c r="A821" s="68">
        <v>422700500</v>
      </c>
      <c r="B821" s="68" t="s">
        <v>2617</v>
      </c>
      <c r="C821" s="68">
        <v>966</v>
      </c>
      <c r="D821" s="68" t="s">
        <v>2618</v>
      </c>
      <c r="E821" s="68">
        <v>1</v>
      </c>
      <c r="F821" s="68">
        <v>10040020926</v>
      </c>
      <c r="G821" s="78">
        <v>90455</v>
      </c>
      <c r="H821" s="68" t="s">
        <v>4533</v>
      </c>
      <c r="I821" s="68">
        <v>0</v>
      </c>
      <c r="J821" s="54">
        <v>43634</v>
      </c>
      <c r="K821" s="68">
        <v>62</v>
      </c>
      <c r="L821" s="68" t="s">
        <v>4309</v>
      </c>
    </row>
    <row r="822" spans="1:12" s="68" customFormat="1">
      <c r="A822" s="68">
        <v>422700500</v>
      </c>
      <c r="B822" s="68" t="s">
        <v>2617</v>
      </c>
      <c r="C822" s="68">
        <v>966</v>
      </c>
      <c r="D822" s="68" t="s">
        <v>2618</v>
      </c>
      <c r="E822" s="68">
        <v>1</v>
      </c>
      <c r="F822" s="68">
        <v>10080004718</v>
      </c>
      <c r="G822" s="78">
        <v>36364</v>
      </c>
      <c r="H822" s="68" t="s">
        <v>4534</v>
      </c>
      <c r="I822" s="68">
        <v>0</v>
      </c>
      <c r="J822" s="54">
        <v>43634</v>
      </c>
      <c r="K822" s="68">
        <v>62</v>
      </c>
      <c r="L822" s="68" t="s">
        <v>4309</v>
      </c>
    </row>
    <row r="823" spans="1:12" s="68" customFormat="1">
      <c r="A823" s="68">
        <v>422700500</v>
      </c>
      <c r="B823" s="68" t="s">
        <v>2617</v>
      </c>
      <c r="C823" s="68">
        <v>966</v>
      </c>
      <c r="D823" s="68" t="s">
        <v>2618</v>
      </c>
      <c r="E823" s="68">
        <v>1</v>
      </c>
      <c r="F823" s="68">
        <v>10080004740</v>
      </c>
      <c r="G823" s="78">
        <v>18182</v>
      </c>
      <c r="H823" s="68" t="s">
        <v>4527</v>
      </c>
      <c r="I823" s="68">
        <v>0</v>
      </c>
      <c r="J823" s="54">
        <v>43634</v>
      </c>
      <c r="K823" s="68">
        <v>62</v>
      </c>
      <c r="L823" s="68" t="s">
        <v>4309</v>
      </c>
    </row>
    <row r="824" spans="1:12" s="68" customFormat="1">
      <c r="A824" s="68">
        <v>422700500</v>
      </c>
      <c r="B824" s="68" t="s">
        <v>2617</v>
      </c>
      <c r="C824" s="68">
        <v>966</v>
      </c>
      <c r="D824" s="68" t="s">
        <v>2618</v>
      </c>
      <c r="E824" s="68">
        <v>1</v>
      </c>
      <c r="F824" s="68">
        <v>50010435221</v>
      </c>
      <c r="G824" s="78">
        <v>36545</v>
      </c>
      <c r="H824" s="68" t="s">
        <v>4535</v>
      </c>
      <c r="I824" s="68">
        <v>0</v>
      </c>
      <c r="J824" s="54">
        <v>43634</v>
      </c>
      <c r="K824" s="68">
        <v>62</v>
      </c>
      <c r="L824" s="68" t="s">
        <v>4309</v>
      </c>
    </row>
    <row r="825" spans="1:12" s="68" customFormat="1">
      <c r="A825" s="68">
        <v>422700500</v>
      </c>
      <c r="B825" s="68" t="s">
        <v>2617</v>
      </c>
      <c r="C825" s="68">
        <v>966</v>
      </c>
      <c r="D825" s="68" t="s">
        <v>2618</v>
      </c>
      <c r="E825" s="68">
        <v>1</v>
      </c>
      <c r="F825" s="68">
        <v>10010086140</v>
      </c>
      <c r="G825" s="78">
        <v>11818</v>
      </c>
      <c r="H825" s="68" t="s">
        <v>4536</v>
      </c>
      <c r="I825" s="68">
        <v>0</v>
      </c>
      <c r="J825" s="54">
        <v>43635</v>
      </c>
      <c r="K825" s="68">
        <v>62</v>
      </c>
      <c r="L825" s="68" t="s">
        <v>4309</v>
      </c>
    </row>
    <row r="826" spans="1:12" s="68" customFormat="1">
      <c r="A826" s="68">
        <v>422700500</v>
      </c>
      <c r="B826" s="68" t="s">
        <v>2617</v>
      </c>
      <c r="C826" s="68">
        <v>966</v>
      </c>
      <c r="D826" s="68" t="s">
        <v>2618</v>
      </c>
      <c r="E826" s="68">
        <v>1</v>
      </c>
      <c r="F826" s="68">
        <v>10010031032</v>
      </c>
      <c r="G826" s="78">
        <v>181818</v>
      </c>
      <c r="H826" s="68" t="s">
        <v>4537</v>
      </c>
      <c r="I826" s="68">
        <v>0</v>
      </c>
      <c r="J826" s="54">
        <v>43636</v>
      </c>
      <c r="K826" s="68">
        <v>62</v>
      </c>
      <c r="L826" s="68" t="s">
        <v>4309</v>
      </c>
    </row>
    <row r="827" spans="1:12" s="68" customFormat="1">
      <c r="A827" s="68">
        <v>422700500</v>
      </c>
      <c r="B827" s="68" t="s">
        <v>2617</v>
      </c>
      <c r="C827" s="68">
        <v>966</v>
      </c>
      <c r="D827" s="68" t="s">
        <v>2618</v>
      </c>
      <c r="E827" s="68">
        <v>1</v>
      </c>
      <c r="F827" s="68">
        <v>50010432903</v>
      </c>
      <c r="G827" s="78">
        <v>53545</v>
      </c>
      <c r="H827" s="68" t="s">
        <v>4538</v>
      </c>
      <c r="I827" s="68">
        <v>0</v>
      </c>
      <c r="J827" s="54">
        <v>43636</v>
      </c>
      <c r="K827" s="68">
        <v>62</v>
      </c>
      <c r="L827" s="68" t="s">
        <v>4309</v>
      </c>
    </row>
    <row r="828" spans="1:12" s="68" customFormat="1">
      <c r="A828" s="68">
        <v>422700500</v>
      </c>
      <c r="B828" s="68" t="s">
        <v>2617</v>
      </c>
      <c r="C828" s="68">
        <v>966</v>
      </c>
      <c r="D828" s="68" t="s">
        <v>2618</v>
      </c>
      <c r="E828" s="68">
        <v>1</v>
      </c>
      <c r="F828" s="68">
        <v>50010438373</v>
      </c>
      <c r="G828" s="78">
        <v>58636</v>
      </c>
      <c r="H828" s="68" t="s">
        <v>4539</v>
      </c>
      <c r="I828" s="68">
        <v>0</v>
      </c>
      <c r="J828" s="54">
        <v>43645</v>
      </c>
      <c r="K828" s="68">
        <v>62</v>
      </c>
      <c r="L828" s="68" t="s">
        <v>4309</v>
      </c>
    </row>
    <row r="829" spans="1:12" s="68" customFormat="1">
      <c r="A829" s="68">
        <v>422700500</v>
      </c>
      <c r="B829" s="68" t="s">
        <v>2617</v>
      </c>
      <c r="C829" s="68">
        <v>966</v>
      </c>
      <c r="D829" s="68" t="s">
        <v>2618</v>
      </c>
      <c r="E829" s="68">
        <v>1</v>
      </c>
      <c r="F829" s="68">
        <v>10010000089</v>
      </c>
      <c r="G829" s="78">
        <v>27273</v>
      </c>
      <c r="H829" s="68" t="s">
        <v>4540</v>
      </c>
      <c r="I829" s="68">
        <v>0</v>
      </c>
      <c r="J829" s="54">
        <v>43646</v>
      </c>
      <c r="K829" s="68">
        <v>62</v>
      </c>
      <c r="L829" s="68" t="s">
        <v>4309</v>
      </c>
    </row>
    <row r="830" spans="1:12" s="68" customFormat="1">
      <c r="A830" s="68">
        <v>422700500</v>
      </c>
      <c r="B830" s="68" t="s">
        <v>2617</v>
      </c>
      <c r="C830" s="68">
        <v>966</v>
      </c>
      <c r="D830" s="68" t="s">
        <v>2618</v>
      </c>
      <c r="E830" s="68">
        <v>1</v>
      </c>
      <c r="F830" s="68">
        <v>10010007117</v>
      </c>
      <c r="G830" s="78">
        <v>13636</v>
      </c>
      <c r="H830" s="68" t="s">
        <v>4541</v>
      </c>
      <c r="I830" s="68">
        <v>0</v>
      </c>
      <c r="J830" s="54">
        <v>43646</v>
      </c>
      <c r="K830" s="68">
        <v>62</v>
      </c>
      <c r="L830" s="68" t="s">
        <v>4309</v>
      </c>
    </row>
    <row r="831" spans="1:12" s="68" customFormat="1">
      <c r="A831" s="68">
        <v>422700500</v>
      </c>
      <c r="B831" s="68" t="s">
        <v>2617</v>
      </c>
      <c r="C831" s="68">
        <v>966</v>
      </c>
      <c r="D831" s="68" t="s">
        <v>2618</v>
      </c>
      <c r="E831" s="68">
        <v>1</v>
      </c>
      <c r="F831" s="68">
        <v>10010020059</v>
      </c>
      <c r="G831" s="78">
        <v>90000</v>
      </c>
      <c r="H831" s="68" t="s">
        <v>4542</v>
      </c>
      <c r="I831" s="68">
        <v>0</v>
      </c>
      <c r="J831" s="54">
        <v>43646</v>
      </c>
      <c r="K831" s="68">
        <v>62</v>
      </c>
      <c r="L831" s="68" t="s">
        <v>4309</v>
      </c>
    </row>
    <row r="832" spans="1:12" s="68" customFormat="1">
      <c r="A832" s="68">
        <v>422700500</v>
      </c>
      <c r="B832" s="68" t="s">
        <v>2617</v>
      </c>
      <c r="C832" s="68">
        <v>966</v>
      </c>
      <c r="D832" s="68" t="s">
        <v>2618</v>
      </c>
      <c r="E832" s="68">
        <v>1</v>
      </c>
      <c r="F832" s="68">
        <v>10010021303</v>
      </c>
      <c r="G832" s="78">
        <v>18182</v>
      </c>
      <c r="H832" s="68" t="s">
        <v>4543</v>
      </c>
      <c r="I832" s="68">
        <v>0</v>
      </c>
      <c r="J832" s="54">
        <v>43646</v>
      </c>
      <c r="K832" s="68">
        <v>62</v>
      </c>
      <c r="L832" s="68" t="s">
        <v>4309</v>
      </c>
    </row>
    <row r="833" spans="1:12" s="68" customFormat="1">
      <c r="A833" s="68">
        <v>422700500</v>
      </c>
      <c r="B833" s="68" t="s">
        <v>2617</v>
      </c>
      <c r="C833" s="68">
        <v>966</v>
      </c>
      <c r="D833" s="68" t="s">
        <v>2618</v>
      </c>
      <c r="E833" s="68">
        <v>1</v>
      </c>
      <c r="F833" s="68">
        <v>10030212335</v>
      </c>
      <c r="G833" s="78">
        <v>64545</v>
      </c>
      <c r="H833" s="68" t="s">
        <v>4544</v>
      </c>
      <c r="I833" s="68">
        <v>0</v>
      </c>
      <c r="J833" s="54">
        <v>43646</v>
      </c>
      <c r="K833" s="68">
        <v>62</v>
      </c>
      <c r="L833" s="68" t="s">
        <v>4309</v>
      </c>
    </row>
    <row r="834" spans="1:12" s="68" customFormat="1">
      <c r="A834" s="68">
        <v>422700500</v>
      </c>
      <c r="B834" s="68" t="s">
        <v>2617</v>
      </c>
      <c r="C834" s="68">
        <v>966</v>
      </c>
      <c r="D834" s="68" t="s">
        <v>2618</v>
      </c>
      <c r="E834" s="68">
        <v>1</v>
      </c>
      <c r="F834" s="68">
        <v>50010437454</v>
      </c>
      <c r="G834" s="78">
        <v>22182</v>
      </c>
      <c r="H834" s="68" t="s">
        <v>4545</v>
      </c>
      <c r="I834" s="68">
        <v>0</v>
      </c>
      <c r="J834" s="54">
        <v>43646</v>
      </c>
      <c r="K834" s="68">
        <v>62</v>
      </c>
      <c r="L834" s="68" t="s">
        <v>4309</v>
      </c>
    </row>
    <row r="835" spans="1:12" s="68" customFormat="1">
      <c r="A835" s="68">
        <v>422700500</v>
      </c>
      <c r="B835" s="68" t="s">
        <v>2617</v>
      </c>
      <c r="C835" s="68">
        <v>966</v>
      </c>
      <c r="D835" s="68" t="s">
        <v>2618</v>
      </c>
      <c r="E835" s="68">
        <v>1</v>
      </c>
      <c r="F835" s="68">
        <v>50010437586</v>
      </c>
      <c r="G835" s="78">
        <v>5545</v>
      </c>
      <c r="H835" s="68" t="s">
        <v>4546</v>
      </c>
      <c r="I835" s="68">
        <v>0</v>
      </c>
      <c r="J835" s="54">
        <v>43646</v>
      </c>
      <c r="K835" s="68">
        <v>62</v>
      </c>
      <c r="L835" s="68" t="s">
        <v>4309</v>
      </c>
    </row>
    <row r="836" spans="1:12" s="68" customFormat="1">
      <c r="A836" s="68">
        <v>422700500</v>
      </c>
      <c r="B836" s="68" t="s">
        <v>2617</v>
      </c>
      <c r="C836" s="68">
        <v>966</v>
      </c>
      <c r="D836" s="68" t="s">
        <v>2618</v>
      </c>
      <c r="E836" s="68">
        <v>1</v>
      </c>
      <c r="F836" s="68">
        <v>50010438112</v>
      </c>
      <c r="G836" s="78">
        <v>18455</v>
      </c>
      <c r="H836" s="68" t="s">
        <v>4499</v>
      </c>
      <c r="I836" s="68">
        <v>0</v>
      </c>
      <c r="J836" s="54">
        <v>43646</v>
      </c>
      <c r="K836" s="68">
        <v>62</v>
      </c>
      <c r="L836" s="68" t="s">
        <v>4309</v>
      </c>
    </row>
    <row r="837" spans="1:12" s="68" customFormat="1">
      <c r="A837" s="68">
        <v>422700500</v>
      </c>
      <c r="B837" s="68" t="s">
        <v>2617</v>
      </c>
      <c r="C837" s="68">
        <v>966</v>
      </c>
      <c r="D837" s="68" t="s">
        <v>2618</v>
      </c>
      <c r="E837" s="68">
        <v>1</v>
      </c>
      <c r="F837" s="68">
        <v>10010009873</v>
      </c>
      <c r="G837" s="78">
        <v>36364</v>
      </c>
      <c r="H837" s="68" t="s">
        <v>4547</v>
      </c>
      <c r="I837" s="68">
        <v>0</v>
      </c>
      <c r="J837" s="54">
        <v>43650</v>
      </c>
      <c r="K837" s="68">
        <v>62</v>
      </c>
      <c r="L837" s="68" t="s">
        <v>4309</v>
      </c>
    </row>
    <row r="838" spans="1:12" s="68" customFormat="1">
      <c r="A838" s="68">
        <v>422700500</v>
      </c>
      <c r="B838" s="68" t="s">
        <v>2617</v>
      </c>
      <c r="C838" s="68">
        <v>966</v>
      </c>
      <c r="D838" s="68" t="s">
        <v>2618</v>
      </c>
      <c r="E838" s="68">
        <v>1</v>
      </c>
      <c r="F838" s="68">
        <v>10010035517</v>
      </c>
      <c r="G838" s="78">
        <v>62273</v>
      </c>
      <c r="H838" s="68" t="s">
        <v>4548</v>
      </c>
      <c r="I838" s="68">
        <v>0</v>
      </c>
      <c r="J838" s="54">
        <v>43650</v>
      </c>
      <c r="K838" s="68">
        <v>62</v>
      </c>
      <c r="L838" s="68" t="s">
        <v>4309</v>
      </c>
    </row>
    <row r="839" spans="1:12" s="68" customFormat="1">
      <c r="A839" s="68">
        <v>422700500</v>
      </c>
      <c r="B839" s="68" t="s">
        <v>2617</v>
      </c>
      <c r="C839" s="68">
        <v>966</v>
      </c>
      <c r="D839" s="68" t="s">
        <v>2618</v>
      </c>
      <c r="E839" s="68">
        <v>1</v>
      </c>
      <c r="F839" s="68">
        <v>10010087129</v>
      </c>
      <c r="G839" s="78">
        <v>36364</v>
      </c>
      <c r="H839" s="68" t="s">
        <v>4492</v>
      </c>
      <c r="I839" s="68">
        <v>0</v>
      </c>
      <c r="J839" s="54">
        <v>43650</v>
      </c>
      <c r="K839" s="68">
        <v>62</v>
      </c>
      <c r="L839" s="68" t="s">
        <v>4309</v>
      </c>
    </row>
    <row r="840" spans="1:12" s="68" customFormat="1">
      <c r="A840" s="68">
        <v>422700500</v>
      </c>
      <c r="B840" s="68" t="s">
        <v>2617</v>
      </c>
      <c r="C840" s="68">
        <v>966</v>
      </c>
      <c r="D840" s="68" t="s">
        <v>2618</v>
      </c>
      <c r="E840" s="68">
        <v>1</v>
      </c>
      <c r="F840" s="68">
        <v>10010087007</v>
      </c>
      <c r="G840" s="78">
        <v>19091</v>
      </c>
      <c r="H840" s="68" t="s">
        <v>4549</v>
      </c>
      <c r="I840" s="68">
        <v>0</v>
      </c>
      <c r="J840" s="54">
        <v>43651</v>
      </c>
      <c r="K840" s="68">
        <v>62</v>
      </c>
      <c r="L840" s="68" t="s">
        <v>4309</v>
      </c>
    </row>
    <row r="841" spans="1:12" s="68" customFormat="1">
      <c r="A841" s="68">
        <v>422700500</v>
      </c>
      <c r="B841" s="68" t="s">
        <v>2617</v>
      </c>
      <c r="C841" s="68">
        <v>966</v>
      </c>
      <c r="D841" s="68" t="s">
        <v>2618</v>
      </c>
      <c r="E841" s="68">
        <v>1</v>
      </c>
      <c r="F841" s="68">
        <v>50010439549</v>
      </c>
      <c r="G841" s="78">
        <v>4955</v>
      </c>
      <c r="H841" s="68" t="s">
        <v>4550</v>
      </c>
      <c r="I841" s="68">
        <v>0</v>
      </c>
      <c r="J841" s="54">
        <v>43651</v>
      </c>
      <c r="K841" s="68">
        <v>62</v>
      </c>
      <c r="L841" s="68" t="s">
        <v>4309</v>
      </c>
    </row>
    <row r="842" spans="1:12" s="68" customFormat="1">
      <c r="A842" s="68">
        <v>422700500</v>
      </c>
      <c r="B842" s="68" t="s">
        <v>2617</v>
      </c>
      <c r="C842" s="68">
        <v>966</v>
      </c>
      <c r="D842" s="68" t="s">
        <v>2618</v>
      </c>
      <c r="E842" s="68">
        <v>1</v>
      </c>
      <c r="F842" s="68">
        <v>10010086999</v>
      </c>
      <c r="G842" s="78">
        <v>22091</v>
      </c>
      <c r="H842" s="68" t="s">
        <v>4551</v>
      </c>
      <c r="I842" s="68">
        <v>0</v>
      </c>
      <c r="J842" s="54">
        <v>43652</v>
      </c>
      <c r="K842" s="68">
        <v>62</v>
      </c>
      <c r="L842" s="68" t="s">
        <v>4309</v>
      </c>
    </row>
    <row r="843" spans="1:12" s="68" customFormat="1">
      <c r="A843" s="68">
        <v>422700500</v>
      </c>
      <c r="B843" s="68" t="s">
        <v>2617</v>
      </c>
      <c r="C843" s="68">
        <v>966</v>
      </c>
      <c r="D843" s="68" t="s">
        <v>2618</v>
      </c>
      <c r="E843" s="68">
        <v>1</v>
      </c>
      <c r="F843" s="68">
        <v>10010087343</v>
      </c>
      <c r="G843" s="78">
        <v>9091</v>
      </c>
      <c r="H843" s="68" t="s">
        <v>4552</v>
      </c>
      <c r="I843" s="68">
        <v>0</v>
      </c>
      <c r="J843" s="54">
        <v>43652</v>
      </c>
      <c r="K843" s="68">
        <v>62</v>
      </c>
      <c r="L843" s="68" t="s">
        <v>4309</v>
      </c>
    </row>
    <row r="844" spans="1:12" s="68" customFormat="1">
      <c r="A844" s="68">
        <v>422700500</v>
      </c>
      <c r="B844" s="68" t="s">
        <v>2617</v>
      </c>
      <c r="C844" s="68">
        <v>966</v>
      </c>
      <c r="D844" s="68" t="s">
        <v>2618</v>
      </c>
      <c r="E844" s="68">
        <v>1</v>
      </c>
      <c r="F844" s="68">
        <v>10010032410</v>
      </c>
      <c r="G844" s="78">
        <v>87273</v>
      </c>
      <c r="H844" s="68" t="s">
        <v>4553</v>
      </c>
      <c r="I844" s="68">
        <v>0</v>
      </c>
      <c r="J844" s="54">
        <v>43658</v>
      </c>
      <c r="K844" s="68">
        <v>62</v>
      </c>
      <c r="L844" s="68" t="s">
        <v>4309</v>
      </c>
    </row>
    <row r="845" spans="1:12" s="68" customFormat="1">
      <c r="A845" s="68">
        <v>422700500</v>
      </c>
      <c r="B845" s="68" t="s">
        <v>2617</v>
      </c>
      <c r="C845" s="68">
        <v>966</v>
      </c>
      <c r="D845" s="68" t="s">
        <v>2618</v>
      </c>
      <c r="E845" s="68">
        <v>1</v>
      </c>
      <c r="F845" s="68">
        <v>10010032414</v>
      </c>
      <c r="G845" s="78">
        <v>109091</v>
      </c>
      <c r="H845" s="68" t="s">
        <v>4554</v>
      </c>
      <c r="I845" s="68">
        <v>0</v>
      </c>
      <c r="J845" s="54">
        <v>43658</v>
      </c>
      <c r="K845" s="68">
        <v>62</v>
      </c>
      <c r="L845" s="68" t="s">
        <v>4309</v>
      </c>
    </row>
    <row r="846" spans="1:12" s="68" customFormat="1">
      <c r="A846" s="68">
        <v>422700500</v>
      </c>
      <c r="B846" s="68" t="s">
        <v>2617</v>
      </c>
      <c r="C846" s="68">
        <v>966</v>
      </c>
      <c r="D846" s="68" t="s">
        <v>2618</v>
      </c>
      <c r="E846" s="68">
        <v>1</v>
      </c>
      <c r="F846" s="68">
        <v>10020004663</v>
      </c>
      <c r="G846" s="78">
        <v>9091</v>
      </c>
      <c r="H846" s="68" t="s">
        <v>4555</v>
      </c>
      <c r="I846" s="68">
        <v>0</v>
      </c>
      <c r="J846" s="54">
        <v>43658</v>
      </c>
      <c r="K846" s="68">
        <v>62</v>
      </c>
      <c r="L846" s="68" t="s">
        <v>4309</v>
      </c>
    </row>
    <row r="847" spans="1:12" s="68" customFormat="1">
      <c r="A847" s="68">
        <v>422700500</v>
      </c>
      <c r="B847" s="68" t="s">
        <v>2617</v>
      </c>
      <c r="C847" s="68">
        <v>966</v>
      </c>
      <c r="D847" s="68" t="s">
        <v>2618</v>
      </c>
      <c r="E847" s="68">
        <v>1</v>
      </c>
      <c r="F847" s="68">
        <v>10010010098</v>
      </c>
      <c r="G847" s="78">
        <v>200000</v>
      </c>
      <c r="H847" s="68" t="s">
        <v>4556</v>
      </c>
      <c r="I847" s="68">
        <v>0</v>
      </c>
      <c r="J847" s="54">
        <v>43661</v>
      </c>
      <c r="K847" s="68">
        <v>62</v>
      </c>
      <c r="L847" s="68" t="s">
        <v>4309</v>
      </c>
    </row>
    <row r="848" spans="1:12" s="68" customFormat="1">
      <c r="A848" s="68">
        <v>422700500</v>
      </c>
      <c r="B848" s="68" t="s">
        <v>2617</v>
      </c>
      <c r="C848" s="68">
        <v>966</v>
      </c>
      <c r="D848" s="68" t="s">
        <v>2618</v>
      </c>
      <c r="E848" s="68">
        <v>1</v>
      </c>
      <c r="F848" s="68">
        <v>10010031520</v>
      </c>
      <c r="G848" s="78">
        <v>27273</v>
      </c>
      <c r="H848" s="68" t="s">
        <v>4557</v>
      </c>
      <c r="I848" s="68">
        <v>0</v>
      </c>
      <c r="J848" s="54">
        <v>43661</v>
      </c>
      <c r="K848" s="68">
        <v>62</v>
      </c>
      <c r="L848" s="68" t="s">
        <v>4309</v>
      </c>
    </row>
    <row r="849" spans="1:12" s="68" customFormat="1">
      <c r="A849" s="68">
        <v>422700500</v>
      </c>
      <c r="B849" s="68" t="s">
        <v>2617</v>
      </c>
      <c r="C849" s="68">
        <v>966</v>
      </c>
      <c r="D849" s="68" t="s">
        <v>2618</v>
      </c>
      <c r="E849" s="68">
        <v>1</v>
      </c>
      <c r="F849" s="68">
        <v>10010088149</v>
      </c>
      <c r="G849" s="78">
        <v>34091</v>
      </c>
      <c r="H849" s="68" t="s">
        <v>4558</v>
      </c>
      <c r="I849" s="68">
        <v>0</v>
      </c>
      <c r="J849" s="54">
        <v>43664</v>
      </c>
      <c r="K849" s="68">
        <v>62</v>
      </c>
      <c r="L849" s="68" t="s">
        <v>4309</v>
      </c>
    </row>
    <row r="850" spans="1:12" s="68" customFormat="1">
      <c r="A850" s="68">
        <v>422700500</v>
      </c>
      <c r="B850" s="68" t="s">
        <v>2617</v>
      </c>
      <c r="C850" s="68">
        <v>966</v>
      </c>
      <c r="D850" s="68" t="s">
        <v>2618</v>
      </c>
      <c r="E850" s="68">
        <v>1</v>
      </c>
      <c r="F850" s="68">
        <v>50010138573</v>
      </c>
      <c r="G850" s="78">
        <v>9091</v>
      </c>
      <c r="H850" s="68" t="s">
        <v>4559</v>
      </c>
      <c r="I850" s="68">
        <v>0</v>
      </c>
      <c r="J850" s="54">
        <v>43664</v>
      </c>
      <c r="K850" s="68">
        <v>62</v>
      </c>
      <c r="L850" s="68" t="s">
        <v>4309</v>
      </c>
    </row>
    <row r="851" spans="1:12" s="68" customFormat="1">
      <c r="A851" s="68">
        <v>422700500</v>
      </c>
      <c r="B851" s="68" t="s">
        <v>2617</v>
      </c>
      <c r="C851" s="68">
        <v>966</v>
      </c>
      <c r="D851" s="68" t="s">
        <v>2618</v>
      </c>
      <c r="E851" s="68">
        <v>1</v>
      </c>
      <c r="F851" s="68">
        <v>50010442028</v>
      </c>
      <c r="G851" s="78">
        <v>67591</v>
      </c>
      <c r="H851" s="68" t="s">
        <v>4560</v>
      </c>
      <c r="I851" s="68">
        <v>0</v>
      </c>
      <c r="J851" s="54">
        <v>43664</v>
      </c>
      <c r="K851" s="68">
        <v>62</v>
      </c>
      <c r="L851" s="68" t="s">
        <v>4309</v>
      </c>
    </row>
    <row r="852" spans="1:12" s="68" customFormat="1">
      <c r="A852" s="68">
        <v>422700500</v>
      </c>
      <c r="B852" s="68" t="s">
        <v>2617</v>
      </c>
      <c r="C852" s="68">
        <v>966</v>
      </c>
      <c r="D852" s="68" t="s">
        <v>2618</v>
      </c>
      <c r="E852" s="68">
        <v>1</v>
      </c>
      <c r="F852" s="68">
        <v>10010002862</v>
      </c>
      <c r="G852" s="78">
        <v>90000</v>
      </c>
      <c r="H852" s="68" t="s">
        <v>4561</v>
      </c>
      <c r="I852" s="68">
        <v>0</v>
      </c>
      <c r="J852" s="54">
        <v>43665</v>
      </c>
      <c r="K852" s="68">
        <v>62</v>
      </c>
      <c r="L852" s="68" t="s">
        <v>4309</v>
      </c>
    </row>
    <row r="853" spans="1:12" s="68" customFormat="1">
      <c r="A853" s="68">
        <v>422700500</v>
      </c>
      <c r="B853" s="68" t="s">
        <v>2617</v>
      </c>
      <c r="C853" s="68">
        <v>966</v>
      </c>
      <c r="D853" s="68" t="s">
        <v>2618</v>
      </c>
      <c r="E853" s="68">
        <v>1</v>
      </c>
      <c r="F853" s="68">
        <v>10010005148</v>
      </c>
      <c r="G853" s="78">
        <v>36364</v>
      </c>
      <c r="H853" s="68" t="s">
        <v>4562</v>
      </c>
      <c r="I853" s="68">
        <v>0</v>
      </c>
      <c r="J853" s="54">
        <v>43665</v>
      </c>
      <c r="K853" s="68">
        <v>62</v>
      </c>
      <c r="L853" s="68" t="s">
        <v>4309</v>
      </c>
    </row>
    <row r="854" spans="1:12" s="68" customFormat="1">
      <c r="A854" s="68">
        <v>422700500</v>
      </c>
      <c r="B854" s="68" t="s">
        <v>2617</v>
      </c>
      <c r="C854" s="68">
        <v>966</v>
      </c>
      <c r="D854" s="68" t="s">
        <v>2618</v>
      </c>
      <c r="E854" s="68">
        <v>1</v>
      </c>
      <c r="F854" s="68">
        <v>10010010072</v>
      </c>
      <c r="G854" s="78">
        <v>90909</v>
      </c>
      <c r="H854" s="68" t="s">
        <v>4563</v>
      </c>
      <c r="I854" s="68">
        <v>0</v>
      </c>
      <c r="J854" s="54">
        <v>43665</v>
      </c>
      <c r="K854" s="68">
        <v>62</v>
      </c>
      <c r="L854" s="68" t="s">
        <v>4309</v>
      </c>
    </row>
    <row r="855" spans="1:12" s="68" customFormat="1">
      <c r="A855" s="68">
        <v>422700500</v>
      </c>
      <c r="B855" s="68" t="s">
        <v>2617</v>
      </c>
      <c r="C855" s="68">
        <v>966</v>
      </c>
      <c r="D855" s="68" t="s">
        <v>2618</v>
      </c>
      <c r="E855" s="68">
        <v>1</v>
      </c>
      <c r="F855" s="68">
        <v>10010031539</v>
      </c>
      <c r="G855" s="78">
        <v>36364</v>
      </c>
      <c r="H855" s="68" t="s">
        <v>4564</v>
      </c>
      <c r="I855" s="68">
        <v>0</v>
      </c>
      <c r="J855" s="54">
        <v>43665</v>
      </c>
      <c r="K855" s="68">
        <v>62</v>
      </c>
      <c r="L855" s="68" t="s">
        <v>4309</v>
      </c>
    </row>
    <row r="856" spans="1:12" s="68" customFormat="1">
      <c r="A856" s="68">
        <v>422700500</v>
      </c>
      <c r="B856" s="68" t="s">
        <v>2617</v>
      </c>
      <c r="C856" s="68">
        <v>966</v>
      </c>
      <c r="D856" s="68" t="s">
        <v>2618</v>
      </c>
      <c r="E856" s="68">
        <v>1</v>
      </c>
      <c r="F856" s="68">
        <v>10010087915</v>
      </c>
      <c r="G856" s="78">
        <v>40000</v>
      </c>
      <c r="H856" s="68" t="s">
        <v>4565</v>
      </c>
      <c r="I856" s="68">
        <v>0</v>
      </c>
      <c r="J856" s="54">
        <v>43665</v>
      </c>
      <c r="K856" s="68">
        <v>62</v>
      </c>
      <c r="L856" s="68" t="s">
        <v>4309</v>
      </c>
    </row>
    <row r="857" spans="1:12" s="68" customFormat="1">
      <c r="A857" s="68">
        <v>422700500</v>
      </c>
      <c r="B857" s="68" t="s">
        <v>2617</v>
      </c>
      <c r="C857" s="68">
        <v>966</v>
      </c>
      <c r="D857" s="68" t="s">
        <v>2618</v>
      </c>
      <c r="E857" s="68">
        <v>1</v>
      </c>
      <c r="F857" s="68">
        <v>50010441319</v>
      </c>
      <c r="G857" s="78">
        <v>338136</v>
      </c>
      <c r="H857" s="68" t="s">
        <v>4566</v>
      </c>
      <c r="I857" s="68">
        <v>0</v>
      </c>
      <c r="J857" s="54">
        <v>43665</v>
      </c>
      <c r="K857" s="68">
        <v>62</v>
      </c>
      <c r="L857" s="68" t="s">
        <v>4309</v>
      </c>
    </row>
    <row r="858" spans="1:12" s="68" customFormat="1">
      <c r="A858" s="68">
        <v>422700500</v>
      </c>
      <c r="B858" s="68" t="s">
        <v>2617</v>
      </c>
      <c r="C858" s="68">
        <v>966</v>
      </c>
      <c r="D858" s="68" t="s">
        <v>2618</v>
      </c>
      <c r="E858" s="68">
        <v>1</v>
      </c>
      <c r="F858" s="68">
        <v>10010010218</v>
      </c>
      <c r="G858" s="78">
        <v>18182</v>
      </c>
      <c r="H858" s="68" t="s">
        <v>4492</v>
      </c>
      <c r="I858" s="68">
        <v>0</v>
      </c>
      <c r="J858" s="54">
        <v>43671</v>
      </c>
      <c r="K858" s="68">
        <v>62</v>
      </c>
      <c r="L858" s="68" t="s">
        <v>4309</v>
      </c>
    </row>
    <row r="859" spans="1:12" s="68" customFormat="1">
      <c r="A859" s="68">
        <v>422700500</v>
      </c>
      <c r="B859" s="68" t="s">
        <v>2617</v>
      </c>
      <c r="C859" s="68">
        <v>966</v>
      </c>
      <c r="D859" s="68" t="s">
        <v>2618</v>
      </c>
      <c r="E859" s="68">
        <v>1</v>
      </c>
      <c r="F859" s="68">
        <v>10010035879</v>
      </c>
      <c r="G859" s="78">
        <v>27273</v>
      </c>
      <c r="H859" s="68" t="s">
        <v>4492</v>
      </c>
      <c r="I859" s="68">
        <v>0</v>
      </c>
      <c r="J859" s="54">
        <v>43671</v>
      </c>
      <c r="K859" s="68">
        <v>62</v>
      </c>
      <c r="L859" s="68" t="s">
        <v>4309</v>
      </c>
    </row>
    <row r="860" spans="1:12" s="68" customFormat="1">
      <c r="A860" s="68">
        <v>422700500</v>
      </c>
      <c r="B860" s="68" t="s">
        <v>2617</v>
      </c>
      <c r="C860" s="68">
        <v>966</v>
      </c>
      <c r="D860" s="68" t="s">
        <v>2618</v>
      </c>
      <c r="E860" s="68">
        <v>1</v>
      </c>
      <c r="F860" s="68">
        <v>10010031675</v>
      </c>
      <c r="G860" s="78">
        <v>54545</v>
      </c>
      <c r="H860" s="68" t="s">
        <v>4567</v>
      </c>
      <c r="I860" s="68">
        <v>0</v>
      </c>
      <c r="J860" s="54">
        <v>43677</v>
      </c>
      <c r="K860" s="68">
        <v>62</v>
      </c>
      <c r="L860" s="68" t="s">
        <v>4309</v>
      </c>
    </row>
    <row r="861" spans="1:12" s="68" customFormat="1">
      <c r="A861" s="68">
        <v>422700500</v>
      </c>
      <c r="B861" s="68" t="s">
        <v>2617</v>
      </c>
      <c r="C861" s="68">
        <v>966</v>
      </c>
      <c r="D861" s="68" t="s">
        <v>2618</v>
      </c>
      <c r="E861" s="68">
        <v>1</v>
      </c>
      <c r="F861" s="68">
        <v>10010032721</v>
      </c>
      <c r="G861" s="78">
        <v>318182</v>
      </c>
      <c r="H861" s="68" t="s">
        <v>4568</v>
      </c>
      <c r="I861" s="68">
        <v>0</v>
      </c>
      <c r="J861" s="54">
        <v>43677</v>
      </c>
      <c r="K861" s="68">
        <v>62</v>
      </c>
      <c r="L861" s="68" t="s">
        <v>4309</v>
      </c>
    </row>
    <row r="862" spans="1:12" s="68" customFormat="1">
      <c r="A862" s="68">
        <v>422700500</v>
      </c>
      <c r="B862" s="68" t="s">
        <v>2617</v>
      </c>
      <c r="C862" s="68">
        <v>966</v>
      </c>
      <c r="D862" s="68" t="s">
        <v>2618</v>
      </c>
      <c r="E862" s="68">
        <v>1</v>
      </c>
      <c r="F862" s="68">
        <v>10010032722</v>
      </c>
      <c r="G862" s="78">
        <v>65455</v>
      </c>
      <c r="H862" s="68" t="s">
        <v>4569</v>
      </c>
      <c r="I862" s="68">
        <v>0</v>
      </c>
      <c r="J862" s="54">
        <v>43677</v>
      </c>
      <c r="K862" s="68">
        <v>62</v>
      </c>
      <c r="L862" s="68" t="s">
        <v>4309</v>
      </c>
    </row>
    <row r="863" spans="1:12" s="68" customFormat="1">
      <c r="A863" s="68">
        <v>422700500</v>
      </c>
      <c r="B863" s="68" t="s">
        <v>2617</v>
      </c>
      <c r="C863" s="68">
        <v>966</v>
      </c>
      <c r="D863" s="68" t="s">
        <v>2618</v>
      </c>
      <c r="E863" s="68">
        <v>1</v>
      </c>
      <c r="F863" s="68">
        <v>10010035953</v>
      </c>
      <c r="G863" s="78">
        <v>113636</v>
      </c>
      <c r="H863" s="68" t="s">
        <v>4570</v>
      </c>
      <c r="I863" s="68">
        <v>0</v>
      </c>
      <c r="J863" s="54">
        <v>43677</v>
      </c>
      <c r="K863" s="68">
        <v>62</v>
      </c>
      <c r="L863" s="68" t="s">
        <v>4309</v>
      </c>
    </row>
    <row r="864" spans="1:12" s="68" customFormat="1">
      <c r="A864" s="68">
        <v>422700500</v>
      </c>
      <c r="B864" s="68" t="s">
        <v>2617</v>
      </c>
      <c r="C864" s="68">
        <v>966</v>
      </c>
      <c r="D864" s="68" t="s">
        <v>2618</v>
      </c>
      <c r="E864" s="68">
        <v>1</v>
      </c>
      <c r="F864" s="68">
        <v>10010088944</v>
      </c>
      <c r="G864" s="78">
        <v>20455</v>
      </c>
      <c r="H864" s="68" t="s">
        <v>4571</v>
      </c>
      <c r="I864" s="68">
        <v>0</v>
      </c>
      <c r="J864" s="54">
        <v>43677</v>
      </c>
      <c r="K864" s="68">
        <v>62</v>
      </c>
      <c r="L864" s="68" t="s">
        <v>4309</v>
      </c>
    </row>
    <row r="865" spans="1:12" s="68" customFormat="1">
      <c r="A865" s="68">
        <v>422700500</v>
      </c>
      <c r="B865" s="68" t="s">
        <v>2617</v>
      </c>
      <c r="C865" s="68">
        <v>966</v>
      </c>
      <c r="D865" s="68" t="s">
        <v>2618</v>
      </c>
      <c r="E865" s="68">
        <v>1</v>
      </c>
      <c r="F865" s="68">
        <v>10010089290</v>
      </c>
      <c r="G865" s="78">
        <v>13182</v>
      </c>
      <c r="H865" s="68" t="s">
        <v>4572</v>
      </c>
      <c r="I865" s="68">
        <v>0</v>
      </c>
      <c r="J865" s="54">
        <v>43677</v>
      </c>
      <c r="K865" s="68">
        <v>62</v>
      </c>
      <c r="L865" s="68" t="s">
        <v>4309</v>
      </c>
    </row>
    <row r="866" spans="1:12" s="68" customFormat="1">
      <c r="A866" s="68">
        <v>422700500</v>
      </c>
      <c r="B866" s="68" t="s">
        <v>2617</v>
      </c>
      <c r="C866" s="68">
        <v>966</v>
      </c>
      <c r="D866" s="68" t="s">
        <v>2618</v>
      </c>
      <c r="E866" s="68">
        <v>1</v>
      </c>
      <c r="F866" s="68">
        <v>10010089323</v>
      </c>
      <c r="G866" s="78">
        <v>18182</v>
      </c>
      <c r="H866" s="68" t="s">
        <v>4573</v>
      </c>
      <c r="I866" s="68">
        <v>0</v>
      </c>
      <c r="J866" s="54">
        <v>43677</v>
      </c>
      <c r="K866" s="68">
        <v>62</v>
      </c>
      <c r="L866" s="68" t="s">
        <v>4309</v>
      </c>
    </row>
    <row r="867" spans="1:12" s="68" customFormat="1">
      <c r="A867" s="68">
        <v>422700500</v>
      </c>
      <c r="B867" s="68" t="s">
        <v>2617</v>
      </c>
      <c r="C867" s="68">
        <v>966</v>
      </c>
      <c r="D867" s="68" t="s">
        <v>2618</v>
      </c>
      <c r="E867" s="68">
        <v>1</v>
      </c>
      <c r="F867" s="68">
        <v>40010008121</v>
      </c>
      <c r="G867" s="78">
        <v>72727</v>
      </c>
      <c r="H867" s="68" t="s">
        <v>4574</v>
      </c>
      <c r="I867" s="68">
        <v>0</v>
      </c>
      <c r="J867" s="54">
        <v>43677</v>
      </c>
      <c r="K867" s="68">
        <v>62</v>
      </c>
      <c r="L867" s="68" t="s">
        <v>4309</v>
      </c>
    </row>
    <row r="868" spans="1:12" s="68" customFormat="1">
      <c r="A868" s="68">
        <v>422700500</v>
      </c>
      <c r="B868" s="68" t="s">
        <v>2617</v>
      </c>
      <c r="C868" s="68">
        <v>966</v>
      </c>
      <c r="D868" s="68" t="s">
        <v>2618</v>
      </c>
      <c r="E868" s="68">
        <v>1</v>
      </c>
      <c r="F868" s="68">
        <v>50010139265</v>
      </c>
      <c r="G868" s="78">
        <v>177273</v>
      </c>
      <c r="H868" s="68" t="s">
        <v>4575</v>
      </c>
      <c r="I868" s="68">
        <v>0</v>
      </c>
      <c r="J868" s="54">
        <v>43677</v>
      </c>
      <c r="K868" s="68">
        <v>62</v>
      </c>
      <c r="L868" s="68" t="s">
        <v>4309</v>
      </c>
    </row>
    <row r="869" spans="1:12" s="68" customFormat="1">
      <c r="A869" s="68">
        <v>422700500</v>
      </c>
      <c r="B869" s="68" t="s">
        <v>2617</v>
      </c>
      <c r="C869" s="68">
        <v>966</v>
      </c>
      <c r="D869" s="68" t="s">
        <v>2618</v>
      </c>
      <c r="E869" s="68">
        <v>1</v>
      </c>
      <c r="F869" s="68">
        <v>50010444548</v>
      </c>
      <c r="G869" s="78">
        <v>42909</v>
      </c>
      <c r="H869" s="68" t="s">
        <v>4499</v>
      </c>
      <c r="I869" s="68">
        <v>0</v>
      </c>
      <c r="J869" s="54">
        <v>43677</v>
      </c>
      <c r="K869" s="68">
        <v>62</v>
      </c>
      <c r="L869" s="68" t="s">
        <v>4309</v>
      </c>
    </row>
    <row r="870" spans="1:12" s="68" customFormat="1">
      <c r="A870" s="68">
        <v>422700500</v>
      </c>
      <c r="B870" s="68" t="s">
        <v>2617</v>
      </c>
      <c r="C870" s="68">
        <v>966</v>
      </c>
      <c r="D870" s="68" t="s">
        <v>2618</v>
      </c>
      <c r="E870" s="68">
        <v>1</v>
      </c>
      <c r="F870" s="68">
        <v>10010010392</v>
      </c>
      <c r="G870" s="78">
        <v>54545</v>
      </c>
      <c r="H870" s="68" t="s">
        <v>4576</v>
      </c>
      <c r="I870" s="68">
        <v>0</v>
      </c>
      <c r="J870" s="54">
        <v>43685</v>
      </c>
      <c r="K870" s="68">
        <v>62</v>
      </c>
      <c r="L870" s="68" t="s">
        <v>4309</v>
      </c>
    </row>
    <row r="871" spans="1:12" s="68" customFormat="1">
      <c r="A871" s="68">
        <v>422700500</v>
      </c>
      <c r="B871" s="68" t="s">
        <v>2617</v>
      </c>
      <c r="C871" s="68">
        <v>966</v>
      </c>
      <c r="D871" s="68" t="s">
        <v>2618</v>
      </c>
      <c r="E871" s="68">
        <v>1</v>
      </c>
      <c r="F871" s="68">
        <v>10050003282</v>
      </c>
      <c r="G871" s="78">
        <v>73149</v>
      </c>
      <c r="H871" s="68" t="s">
        <v>4576</v>
      </c>
      <c r="I871" s="68">
        <v>0</v>
      </c>
      <c r="J871" s="54">
        <v>43685</v>
      </c>
      <c r="K871" s="68">
        <v>62</v>
      </c>
      <c r="L871" s="68" t="s">
        <v>4309</v>
      </c>
    </row>
    <row r="872" spans="1:12" s="68" customFormat="1">
      <c r="A872" s="68">
        <v>422700500</v>
      </c>
      <c r="B872" s="68" t="s">
        <v>2617</v>
      </c>
      <c r="C872" s="68">
        <v>966</v>
      </c>
      <c r="D872" s="68" t="s">
        <v>2618</v>
      </c>
      <c r="E872" s="68">
        <v>1</v>
      </c>
      <c r="F872" s="68">
        <v>50010019405</v>
      </c>
      <c r="G872" s="78">
        <v>45455</v>
      </c>
      <c r="H872" s="68" t="s">
        <v>4488</v>
      </c>
      <c r="I872" s="68">
        <v>0</v>
      </c>
      <c r="J872" s="54">
        <v>43685</v>
      </c>
      <c r="K872" s="68">
        <v>62</v>
      </c>
      <c r="L872" s="68" t="s">
        <v>4309</v>
      </c>
    </row>
    <row r="873" spans="1:12" s="68" customFormat="1">
      <c r="A873" s="68">
        <v>422700500</v>
      </c>
      <c r="B873" s="68" t="s">
        <v>2617</v>
      </c>
      <c r="C873" s="68">
        <v>966</v>
      </c>
      <c r="D873" s="68" t="s">
        <v>2618</v>
      </c>
      <c r="E873" s="68">
        <v>1</v>
      </c>
      <c r="F873" s="68">
        <v>10010031930</v>
      </c>
      <c r="G873" s="78">
        <v>72727</v>
      </c>
      <c r="H873" s="68" t="s">
        <v>4577</v>
      </c>
      <c r="I873" s="68">
        <v>0</v>
      </c>
      <c r="J873" s="54">
        <v>43699</v>
      </c>
      <c r="K873" s="68">
        <v>62</v>
      </c>
      <c r="L873" s="68" t="s">
        <v>4309</v>
      </c>
    </row>
    <row r="874" spans="1:12" s="68" customFormat="1">
      <c r="A874" s="68">
        <v>422700500</v>
      </c>
      <c r="B874" s="68" t="s">
        <v>2617</v>
      </c>
      <c r="C874" s="68">
        <v>966</v>
      </c>
      <c r="D874" s="68" t="s">
        <v>2618</v>
      </c>
      <c r="E874" s="68">
        <v>1</v>
      </c>
      <c r="F874" s="68">
        <v>10010036151</v>
      </c>
      <c r="G874" s="78">
        <v>1818</v>
      </c>
      <c r="H874" s="68" t="s">
        <v>4578</v>
      </c>
      <c r="I874" s="68">
        <v>0</v>
      </c>
      <c r="J874" s="54">
        <v>43699</v>
      </c>
      <c r="K874" s="68">
        <v>62</v>
      </c>
      <c r="L874" s="68" t="s">
        <v>4309</v>
      </c>
    </row>
    <row r="875" spans="1:12" s="68" customFormat="1">
      <c r="A875" s="68">
        <v>422700500</v>
      </c>
      <c r="B875" s="68" t="s">
        <v>2617</v>
      </c>
      <c r="C875" s="68">
        <v>966</v>
      </c>
      <c r="D875" s="68" t="s">
        <v>2618</v>
      </c>
      <c r="E875" s="68">
        <v>1</v>
      </c>
      <c r="F875" s="68">
        <v>10010090347</v>
      </c>
      <c r="G875" s="78">
        <v>5455</v>
      </c>
      <c r="H875" s="68" t="s">
        <v>4579</v>
      </c>
      <c r="I875" s="68">
        <v>0</v>
      </c>
      <c r="J875" s="54">
        <v>43699</v>
      </c>
      <c r="K875" s="68">
        <v>62</v>
      </c>
      <c r="L875" s="68" t="s">
        <v>4309</v>
      </c>
    </row>
    <row r="876" spans="1:12" s="68" customFormat="1">
      <c r="A876" s="68">
        <v>422700500</v>
      </c>
      <c r="B876" s="68" t="s">
        <v>2617</v>
      </c>
      <c r="C876" s="68">
        <v>966</v>
      </c>
      <c r="D876" s="68" t="s">
        <v>2618</v>
      </c>
      <c r="E876" s="68">
        <v>1</v>
      </c>
      <c r="F876" s="68">
        <v>10010022871</v>
      </c>
      <c r="G876" s="78">
        <v>133773</v>
      </c>
      <c r="H876" s="68" t="s">
        <v>4580</v>
      </c>
      <c r="I876" s="68">
        <v>0</v>
      </c>
      <c r="J876" s="54">
        <v>43703</v>
      </c>
      <c r="K876" s="68">
        <v>62</v>
      </c>
      <c r="L876" s="68" t="s">
        <v>4309</v>
      </c>
    </row>
    <row r="877" spans="1:12" s="68" customFormat="1">
      <c r="A877" s="68">
        <v>422700500</v>
      </c>
      <c r="B877" s="68" t="s">
        <v>2617</v>
      </c>
      <c r="C877" s="68">
        <v>966</v>
      </c>
      <c r="D877" s="68" t="s">
        <v>2618</v>
      </c>
      <c r="E877" s="68">
        <v>1</v>
      </c>
      <c r="F877" s="68">
        <v>50010448744</v>
      </c>
      <c r="G877" s="78">
        <v>20364</v>
      </c>
      <c r="H877" s="68" t="s">
        <v>4581</v>
      </c>
      <c r="I877" s="68">
        <v>0</v>
      </c>
      <c r="J877" s="54">
        <v>43703</v>
      </c>
      <c r="K877" s="68">
        <v>62</v>
      </c>
      <c r="L877" s="68" t="s">
        <v>4309</v>
      </c>
    </row>
    <row r="878" spans="1:12" s="68" customFormat="1">
      <c r="A878" s="68">
        <v>422700500</v>
      </c>
      <c r="B878" s="68" t="s">
        <v>2617</v>
      </c>
      <c r="C878" s="68">
        <v>966</v>
      </c>
      <c r="D878" s="68" t="s">
        <v>2618</v>
      </c>
      <c r="E878" s="68">
        <v>1</v>
      </c>
      <c r="F878" s="68">
        <v>10010002446</v>
      </c>
      <c r="G878" s="78">
        <v>330000</v>
      </c>
      <c r="H878" s="68" t="s">
        <v>4582</v>
      </c>
      <c r="I878" s="68">
        <v>0</v>
      </c>
      <c r="J878" s="54">
        <v>43704</v>
      </c>
      <c r="K878" s="68">
        <v>62</v>
      </c>
      <c r="L878" s="68" t="s">
        <v>4309</v>
      </c>
    </row>
    <row r="879" spans="1:12" s="68" customFormat="1">
      <c r="A879" s="68">
        <v>422700500</v>
      </c>
      <c r="B879" s="68" t="s">
        <v>2617</v>
      </c>
      <c r="C879" s="68">
        <v>966</v>
      </c>
      <c r="D879" s="68" t="s">
        <v>2618</v>
      </c>
      <c r="E879" s="68">
        <v>1</v>
      </c>
      <c r="F879" s="68">
        <v>20010003801</v>
      </c>
      <c r="G879" s="78">
        <v>59091</v>
      </c>
      <c r="H879" s="68" t="s">
        <v>4583</v>
      </c>
      <c r="I879" s="68">
        <v>0</v>
      </c>
      <c r="J879" s="54">
        <v>43704</v>
      </c>
      <c r="K879" s="68">
        <v>62</v>
      </c>
      <c r="L879" s="68" t="s">
        <v>4309</v>
      </c>
    </row>
    <row r="880" spans="1:12" s="68" customFormat="1">
      <c r="A880" s="68">
        <v>422700500</v>
      </c>
      <c r="B880" s="68" t="s">
        <v>2617</v>
      </c>
      <c r="C880" s="68">
        <v>966</v>
      </c>
      <c r="D880" s="68" t="s">
        <v>2618</v>
      </c>
      <c r="E880" s="68">
        <v>1</v>
      </c>
      <c r="F880" s="68">
        <v>50010449609</v>
      </c>
      <c r="G880" s="78">
        <v>13636</v>
      </c>
      <c r="H880" s="68" t="s">
        <v>4584</v>
      </c>
      <c r="I880" s="68">
        <v>0</v>
      </c>
      <c r="J880" s="54">
        <v>43704</v>
      </c>
      <c r="K880" s="68">
        <v>62</v>
      </c>
      <c r="L880" s="68" t="s">
        <v>4309</v>
      </c>
    </row>
    <row r="881" spans="1:12" s="68" customFormat="1">
      <c r="A881" s="68">
        <v>422700500</v>
      </c>
      <c r="B881" s="68" t="s">
        <v>2617</v>
      </c>
      <c r="C881" s="68">
        <v>966</v>
      </c>
      <c r="D881" s="68" t="s">
        <v>2618</v>
      </c>
      <c r="E881" s="68">
        <v>1</v>
      </c>
      <c r="F881" s="68">
        <v>10010031972</v>
      </c>
      <c r="G881" s="78">
        <v>159091</v>
      </c>
      <c r="H881" s="68" t="s">
        <v>4585</v>
      </c>
      <c r="I881" s="68">
        <v>0</v>
      </c>
      <c r="J881" s="54">
        <v>43705</v>
      </c>
      <c r="K881" s="68">
        <v>62</v>
      </c>
      <c r="L881" s="68" t="s">
        <v>4309</v>
      </c>
    </row>
    <row r="882" spans="1:12" s="68" customFormat="1">
      <c r="A882" s="68">
        <v>422700500</v>
      </c>
      <c r="B882" s="68" t="s">
        <v>2617</v>
      </c>
      <c r="C882" s="68">
        <v>966</v>
      </c>
      <c r="D882" s="68" t="s">
        <v>2618</v>
      </c>
      <c r="E882" s="68">
        <v>1</v>
      </c>
      <c r="F882" s="68">
        <v>10010033612</v>
      </c>
      <c r="G882" s="78">
        <v>36364</v>
      </c>
      <c r="H882" s="68" t="s">
        <v>4576</v>
      </c>
      <c r="I882" s="68">
        <v>0</v>
      </c>
      <c r="J882" s="54">
        <v>43705</v>
      </c>
      <c r="K882" s="68">
        <v>62</v>
      </c>
      <c r="L882" s="68" t="s">
        <v>4309</v>
      </c>
    </row>
    <row r="883" spans="1:12" s="68" customFormat="1">
      <c r="A883" s="68">
        <v>422700500</v>
      </c>
      <c r="B883" s="68" t="s">
        <v>2617</v>
      </c>
      <c r="C883" s="68">
        <v>966</v>
      </c>
      <c r="D883" s="68" t="s">
        <v>2618</v>
      </c>
      <c r="E883" s="68">
        <v>1</v>
      </c>
      <c r="F883" s="68">
        <v>10010091111</v>
      </c>
      <c r="G883" s="78">
        <v>7273</v>
      </c>
      <c r="H883" s="68" t="s">
        <v>4586</v>
      </c>
      <c r="I883" s="68">
        <v>0</v>
      </c>
      <c r="J883" s="54">
        <v>43705</v>
      </c>
      <c r="K883" s="68">
        <v>62</v>
      </c>
      <c r="L883" s="68" t="s">
        <v>4309</v>
      </c>
    </row>
    <row r="884" spans="1:12" s="68" customFormat="1">
      <c r="A884" s="68">
        <v>422700500</v>
      </c>
      <c r="B884" s="68" t="s">
        <v>2617</v>
      </c>
      <c r="C884" s="68">
        <v>966</v>
      </c>
      <c r="D884" s="68" t="s">
        <v>2618</v>
      </c>
      <c r="E884" s="68">
        <v>1</v>
      </c>
      <c r="F884" s="68">
        <v>10020247210</v>
      </c>
      <c r="G884" s="78">
        <v>26182</v>
      </c>
      <c r="H884" s="68" t="s">
        <v>4587</v>
      </c>
      <c r="I884" s="68">
        <v>0</v>
      </c>
      <c r="J884" s="54">
        <v>43706</v>
      </c>
      <c r="K884" s="68">
        <v>62</v>
      </c>
      <c r="L884" s="68" t="s">
        <v>4309</v>
      </c>
    </row>
    <row r="885" spans="1:12" s="68" customFormat="1">
      <c r="A885" s="68">
        <v>422700500</v>
      </c>
      <c r="B885" s="68" t="s">
        <v>2617</v>
      </c>
      <c r="C885" s="68">
        <v>966</v>
      </c>
      <c r="D885" s="68" t="s">
        <v>2618</v>
      </c>
      <c r="E885" s="68">
        <v>1</v>
      </c>
      <c r="F885" s="68">
        <v>10010032029</v>
      </c>
      <c r="G885" s="78">
        <v>100000</v>
      </c>
      <c r="H885" s="68" t="s">
        <v>4588</v>
      </c>
      <c r="I885" s="68">
        <v>0</v>
      </c>
      <c r="J885" s="54">
        <v>43714</v>
      </c>
      <c r="K885" s="68">
        <v>62</v>
      </c>
      <c r="L885" s="68" t="s">
        <v>4309</v>
      </c>
    </row>
    <row r="886" spans="1:12" s="68" customFormat="1">
      <c r="A886" s="68">
        <v>422700500</v>
      </c>
      <c r="B886" s="68" t="s">
        <v>2617</v>
      </c>
      <c r="C886" s="68">
        <v>966</v>
      </c>
      <c r="D886" s="68" t="s">
        <v>2618</v>
      </c>
      <c r="E886" s="68">
        <v>1</v>
      </c>
      <c r="F886" s="68">
        <v>10010005050</v>
      </c>
      <c r="G886" s="78">
        <v>290909</v>
      </c>
      <c r="H886" s="68" t="s">
        <v>4589</v>
      </c>
      <c r="I886" s="68">
        <v>0</v>
      </c>
      <c r="J886" s="54">
        <v>43725</v>
      </c>
      <c r="K886" s="68">
        <v>62</v>
      </c>
      <c r="L886" s="68" t="s">
        <v>4309</v>
      </c>
    </row>
    <row r="887" spans="1:12" s="68" customFormat="1">
      <c r="A887" s="68">
        <v>422700500</v>
      </c>
      <c r="B887" s="68" t="s">
        <v>2617</v>
      </c>
      <c r="C887" s="68">
        <v>966</v>
      </c>
      <c r="D887" s="68" t="s">
        <v>2618</v>
      </c>
      <c r="E887" s="68">
        <v>1</v>
      </c>
      <c r="F887" s="68">
        <v>10010011059</v>
      </c>
      <c r="G887" s="78">
        <v>327273</v>
      </c>
      <c r="H887" s="68" t="s">
        <v>4590</v>
      </c>
      <c r="I887" s="68">
        <v>0</v>
      </c>
      <c r="J887" s="54">
        <v>43727</v>
      </c>
      <c r="K887" s="68">
        <v>62</v>
      </c>
      <c r="L887" s="68" t="s">
        <v>4309</v>
      </c>
    </row>
    <row r="888" spans="1:12" s="68" customFormat="1">
      <c r="A888" s="68">
        <v>422700500</v>
      </c>
      <c r="B888" s="68" t="s">
        <v>2617</v>
      </c>
      <c r="C888" s="68">
        <v>966</v>
      </c>
      <c r="D888" s="68" t="s">
        <v>2618</v>
      </c>
      <c r="E888" s="68">
        <v>1</v>
      </c>
      <c r="F888" s="68">
        <v>250030004520</v>
      </c>
      <c r="G888" s="78">
        <v>292727</v>
      </c>
      <c r="H888" s="68" t="s">
        <v>4591</v>
      </c>
      <c r="I888" s="68">
        <v>0</v>
      </c>
      <c r="J888" s="54">
        <v>43727</v>
      </c>
      <c r="K888" s="68">
        <v>62</v>
      </c>
      <c r="L888" s="68" t="s">
        <v>4309</v>
      </c>
    </row>
    <row r="889" spans="1:12" s="68" customFormat="1">
      <c r="A889" s="68">
        <v>422700500</v>
      </c>
      <c r="B889" s="68" t="s">
        <v>2617</v>
      </c>
      <c r="C889" s="68">
        <v>966</v>
      </c>
      <c r="D889" s="68" t="s">
        <v>2618</v>
      </c>
      <c r="E889" s="68">
        <v>1</v>
      </c>
      <c r="F889" s="68">
        <v>10010093571</v>
      </c>
      <c r="G889" s="78">
        <v>17273</v>
      </c>
      <c r="H889" s="68" t="s">
        <v>4592</v>
      </c>
      <c r="I889" s="68">
        <v>0</v>
      </c>
      <c r="J889" s="54">
        <v>43732</v>
      </c>
      <c r="K889" s="68">
        <v>62</v>
      </c>
      <c r="L889" s="68" t="s">
        <v>4309</v>
      </c>
    </row>
    <row r="890" spans="1:12" s="68" customFormat="1">
      <c r="A890" s="68">
        <v>422700500</v>
      </c>
      <c r="B890" s="68" t="s">
        <v>2617</v>
      </c>
      <c r="C890" s="68">
        <v>966</v>
      </c>
      <c r="D890" s="68" t="s">
        <v>2618</v>
      </c>
      <c r="E890" s="68">
        <v>1</v>
      </c>
      <c r="F890" s="68">
        <v>10010010844</v>
      </c>
      <c r="G890" s="78">
        <v>10000</v>
      </c>
      <c r="H890" s="68" t="s">
        <v>4593</v>
      </c>
      <c r="I890" s="68">
        <v>0</v>
      </c>
      <c r="J890" s="54">
        <v>43733</v>
      </c>
      <c r="K890" s="68">
        <v>62</v>
      </c>
      <c r="L890" s="68" t="s">
        <v>4309</v>
      </c>
    </row>
    <row r="891" spans="1:12" s="68" customFormat="1">
      <c r="A891" s="68">
        <v>422700500</v>
      </c>
      <c r="B891" s="68" t="s">
        <v>2617</v>
      </c>
      <c r="C891" s="68">
        <v>966</v>
      </c>
      <c r="D891" s="68" t="s">
        <v>2618</v>
      </c>
      <c r="E891" s="68">
        <v>1</v>
      </c>
      <c r="F891" s="68">
        <v>10010010870</v>
      </c>
      <c r="G891" s="78">
        <v>10909</v>
      </c>
      <c r="H891" s="68" t="s">
        <v>4594</v>
      </c>
      <c r="I891" s="68">
        <v>0</v>
      </c>
      <c r="J891" s="54">
        <v>43733</v>
      </c>
      <c r="K891" s="68">
        <v>62</v>
      </c>
      <c r="L891" s="68" t="s">
        <v>4309</v>
      </c>
    </row>
    <row r="892" spans="1:12" s="68" customFormat="1">
      <c r="A892" s="68">
        <v>422700500</v>
      </c>
      <c r="B892" s="68" t="s">
        <v>2617</v>
      </c>
      <c r="C892" s="68">
        <v>966</v>
      </c>
      <c r="D892" s="68" t="s">
        <v>2618</v>
      </c>
      <c r="E892" s="68">
        <v>1</v>
      </c>
      <c r="F892" s="68">
        <v>10010010893</v>
      </c>
      <c r="G892" s="78">
        <v>21818</v>
      </c>
      <c r="H892" s="68" t="s">
        <v>4593</v>
      </c>
      <c r="I892" s="68">
        <v>0</v>
      </c>
      <c r="J892" s="54">
        <v>43733</v>
      </c>
      <c r="K892" s="68">
        <v>62</v>
      </c>
      <c r="L892" s="68" t="s">
        <v>4309</v>
      </c>
    </row>
    <row r="893" spans="1:12" s="68" customFormat="1">
      <c r="A893" s="68">
        <v>422700500</v>
      </c>
      <c r="B893" s="68" t="s">
        <v>2617</v>
      </c>
      <c r="C893" s="68">
        <v>966</v>
      </c>
      <c r="D893" s="68" t="s">
        <v>2618</v>
      </c>
      <c r="E893" s="68">
        <v>1</v>
      </c>
      <c r="F893" s="68">
        <v>10010092311</v>
      </c>
      <c r="G893" s="78">
        <v>156364</v>
      </c>
      <c r="H893" s="68" t="s">
        <v>4595</v>
      </c>
      <c r="I893" s="68">
        <v>0</v>
      </c>
      <c r="J893" s="54">
        <v>43733</v>
      </c>
      <c r="K893" s="68">
        <v>62</v>
      </c>
      <c r="L893" s="68" t="s">
        <v>4309</v>
      </c>
    </row>
    <row r="894" spans="1:12" s="68" customFormat="1">
      <c r="A894" s="68">
        <v>422700500</v>
      </c>
      <c r="B894" s="68" t="s">
        <v>2617</v>
      </c>
      <c r="C894" s="68">
        <v>966</v>
      </c>
      <c r="D894" s="68" t="s">
        <v>2618</v>
      </c>
      <c r="E894" s="68">
        <v>1</v>
      </c>
      <c r="F894" s="68">
        <v>10010092461</v>
      </c>
      <c r="G894" s="78">
        <v>43636</v>
      </c>
      <c r="H894" s="68" t="s">
        <v>4596</v>
      </c>
      <c r="I894" s="68">
        <v>0</v>
      </c>
      <c r="J894" s="54">
        <v>43733</v>
      </c>
      <c r="K894" s="68">
        <v>62</v>
      </c>
      <c r="L894" s="68" t="s">
        <v>4309</v>
      </c>
    </row>
    <row r="895" spans="1:12" s="68" customFormat="1">
      <c r="A895" s="68">
        <v>422700500</v>
      </c>
      <c r="B895" s="68" t="s">
        <v>2617</v>
      </c>
      <c r="C895" s="68">
        <v>966</v>
      </c>
      <c r="D895" s="68" t="s">
        <v>2618</v>
      </c>
      <c r="E895" s="68">
        <v>1</v>
      </c>
      <c r="F895" s="68">
        <v>10010113442</v>
      </c>
      <c r="G895" s="78">
        <v>40455</v>
      </c>
      <c r="H895" s="68" t="s">
        <v>4593</v>
      </c>
      <c r="I895" s="68">
        <v>0</v>
      </c>
      <c r="J895" s="54">
        <v>43733</v>
      </c>
      <c r="K895" s="68">
        <v>62</v>
      </c>
      <c r="L895" s="68" t="s">
        <v>4309</v>
      </c>
    </row>
    <row r="896" spans="1:12" s="68" customFormat="1">
      <c r="A896" s="68">
        <v>422700500</v>
      </c>
      <c r="B896" s="68" t="s">
        <v>2617</v>
      </c>
      <c r="C896" s="68">
        <v>966</v>
      </c>
      <c r="D896" s="68" t="s">
        <v>2618</v>
      </c>
      <c r="E896" s="68">
        <v>1</v>
      </c>
      <c r="F896" s="68">
        <v>10080005791</v>
      </c>
      <c r="G896" s="78">
        <v>59091</v>
      </c>
      <c r="H896" s="68" t="s">
        <v>4597</v>
      </c>
      <c r="I896" s="68">
        <v>0</v>
      </c>
      <c r="J896" s="54">
        <v>43733</v>
      </c>
      <c r="K896" s="68">
        <v>62</v>
      </c>
      <c r="L896" s="68" t="s">
        <v>4309</v>
      </c>
    </row>
    <row r="897" spans="1:12" s="68" customFormat="1">
      <c r="A897" s="68">
        <v>422700500</v>
      </c>
      <c r="B897" s="68" t="s">
        <v>2617</v>
      </c>
      <c r="C897" s="68">
        <v>966</v>
      </c>
      <c r="D897" s="68" t="s">
        <v>2618</v>
      </c>
      <c r="E897" s="68">
        <v>1</v>
      </c>
      <c r="F897" s="68">
        <v>50010454480</v>
      </c>
      <c r="G897" s="78">
        <v>24091</v>
      </c>
      <c r="H897" s="68" t="s">
        <v>4587</v>
      </c>
      <c r="I897" s="68">
        <v>0</v>
      </c>
      <c r="J897" s="54">
        <v>43733</v>
      </c>
      <c r="K897" s="68">
        <v>62</v>
      </c>
      <c r="L897" s="68" t="s">
        <v>4309</v>
      </c>
    </row>
    <row r="898" spans="1:12" s="68" customFormat="1">
      <c r="A898" s="68">
        <v>422700500</v>
      </c>
      <c r="B898" s="68" t="s">
        <v>2617</v>
      </c>
      <c r="C898" s="68">
        <v>966</v>
      </c>
      <c r="D898" s="68" t="s">
        <v>2618</v>
      </c>
      <c r="E898" s="68">
        <v>1</v>
      </c>
      <c r="F898" s="68">
        <v>10010004770</v>
      </c>
      <c r="G898" s="78">
        <v>681818</v>
      </c>
      <c r="H898" s="68" t="s">
        <v>4598</v>
      </c>
      <c r="I898" s="68">
        <v>0</v>
      </c>
      <c r="J898" s="54">
        <v>43738</v>
      </c>
      <c r="K898" s="68">
        <v>62</v>
      </c>
      <c r="L898" s="68" t="s">
        <v>4309</v>
      </c>
    </row>
    <row r="899" spans="1:12" s="68" customFormat="1">
      <c r="A899" s="68">
        <v>422700500</v>
      </c>
      <c r="B899" s="68" t="s">
        <v>2617</v>
      </c>
      <c r="C899" s="68">
        <v>966</v>
      </c>
      <c r="D899" s="68" t="s">
        <v>2618</v>
      </c>
      <c r="E899" s="68">
        <v>1</v>
      </c>
      <c r="F899" s="68">
        <v>10010011309</v>
      </c>
      <c r="G899" s="78">
        <v>54545</v>
      </c>
      <c r="H899" s="68" t="s">
        <v>4599</v>
      </c>
      <c r="I899" s="68">
        <v>0</v>
      </c>
      <c r="J899" s="54">
        <v>43738</v>
      </c>
      <c r="K899" s="68">
        <v>62</v>
      </c>
      <c r="L899" s="68" t="s">
        <v>4309</v>
      </c>
    </row>
    <row r="900" spans="1:12" s="68" customFormat="1">
      <c r="A900" s="68">
        <v>422700500</v>
      </c>
      <c r="B900" s="68" t="s">
        <v>2617</v>
      </c>
      <c r="C900" s="68">
        <v>966</v>
      </c>
      <c r="D900" s="68" t="s">
        <v>2618</v>
      </c>
      <c r="E900" s="68">
        <v>1</v>
      </c>
      <c r="F900" s="68">
        <v>10010012235</v>
      </c>
      <c r="G900" s="78">
        <v>68182</v>
      </c>
      <c r="H900" s="68" t="s">
        <v>4600</v>
      </c>
      <c r="I900" s="68">
        <v>0</v>
      </c>
      <c r="J900" s="54">
        <v>43738</v>
      </c>
      <c r="K900" s="68">
        <v>62</v>
      </c>
      <c r="L900" s="68" t="s">
        <v>4309</v>
      </c>
    </row>
    <row r="901" spans="1:12" s="68" customFormat="1">
      <c r="A901" s="68">
        <v>422700500</v>
      </c>
      <c r="B901" s="68" t="s">
        <v>2617</v>
      </c>
      <c r="C901" s="68">
        <v>966</v>
      </c>
      <c r="D901" s="68" t="s">
        <v>2618</v>
      </c>
      <c r="E901" s="68">
        <v>1</v>
      </c>
      <c r="F901" s="68">
        <v>10010072275</v>
      </c>
      <c r="G901" s="78">
        <v>250909</v>
      </c>
      <c r="H901" s="68" t="s">
        <v>4601</v>
      </c>
      <c r="I901" s="68">
        <v>0</v>
      </c>
      <c r="J901" s="54">
        <v>43738</v>
      </c>
      <c r="K901" s="68">
        <v>62</v>
      </c>
      <c r="L901" s="68" t="s">
        <v>4309</v>
      </c>
    </row>
    <row r="902" spans="1:12" s="68" customFormat="1">
      <c r="A902" s="68">
        <v>422700500</v>
      </c>
      <c r="B902" s="68" t="s">
        <v>2617</v>
      </c>
      <c r="C902" s="68">
        <v>966</v>
      </c>
      <c r="D902" s="68" t="s">
        <v>2618</v>
      </c>
      <c r="E902" s="68">
        <v>1</v>
      </c>
      <c r="F902" s="68">
        <v>10010094805</v>
      </c>
      <c r="G902" s="78">
        <v>45455</v>
      </c>
      <c r="H902" s="68" t="s">
        <v>4602</v>
      </c>
      <c r="I902" s="68">
        <v>0</v>
      </c>
      <c r="J902" s="54">
        <v>43748</v>
      </c>
      <c r="K902" s="68">
        <v>62</v>
      </c>
      <c r="L902" s="68" t="s">
        <v>4309</v>
      </c>
    </row>
    <row r="903" spans="1:12" s="68" customFormat="1">
      <c r="A903" s="68">
        <v>422700500</v>
      </c>
      <c r="B903" s="68" t="s">
        <v>2617</v>
      </c>
      <c r="C903" s="68">
        <v>966</v>
      </c>
      <c r="D903" s="68" t="s">
        <v>2618</v>
      </c>
      <c r="E903" s="68">
        <v>1</v>
      </c>
      <c r="F903" s="68">
        <v>10010001171</v>
      </c>
      <c r="G903" s="78">
        <v>90909</v>
      </c>
      <c r="H903" s="68" t="s">
        <v>4603</v>
      </c>
      <c r="I903" s="68">
        <v>0</v>
      </c>
      <c r="J903" s="54">
        <v>43749</v>
      </c>
      <c r="K903" s="68">
        <v>62</v>
      </c>
      <c r="L903" s="68" t="s">
        <v>4309</v>
      </c>
    </row>
    <row r="904" spans="1:12" s="68" customFormat="1">
      <c r="A904" s="68">
        <v>422700500</v>
      </c>
      <c r="B904" s="68" t="s">
        <v>2617</v>
      </c>
      <c r="C904" s="68">
        <v>966</v>
      </c>
      <c r="D904" s="68" t="s">
        <v>2618</v>
      </c>
      <c r="E904" s="68">
        <v>1</v>
      </c>
      <c r="F904" s="68">
        <v>10010003851</v>
      </c>
      <c r="G904" s="78">
        <v>63636</v>
      </c>
      <c r="H904" s="68" t="s">
        <v>4604</v>
      </c>
      <c r="I904" s="68">
        <v>0</v>
      </c>
      <c r="J904" s="54">
        <v>43749</v>
      </c>
      <c r="K904" s="68">
        <v>62</v>
      </c>
      <c r="L904" s="68" t="s">
        <v>4309</v>
      </c>
    </row>
    <row r="905" spans="1:12" s="68" customFormat="1">
      <c r="A905" s="68">
        <v>422700500</v>
      </c>
      <c r="B905" s="68" t="s">
        <v>2617</v>
      </c>
      <c r="C905" s="68">
        <v>966</v>
      </c>
      <c r="D905" s="68" t="s">
        <v>2618</v>
      </c>
      <c r="E905" s="68">
        <v>1</v>
      </c>
      <c r="F905" s="68">
        <v>10010005152</v>
      </c>
      <c r="G905" s="78">
        <v>180909</v>
      </c>
      <c r="H905" s="68" t="s">
        <v>4605</v>
      </c>
      <c r="I905" s="68">
        <v>0</v>
      </c>
      <c r="J905" s="54">
        <v>43749</v>
      </c>
      <c r="K905" s="68">
        <v>62</v>
      </c>
      <c r="L905" s="68" t="s">
        <v>4309</v>
      </c>
    </row>
    <row r="906" spans="1:12" s="68" customFormat="1">
      <c r="A906" s="68">
        <v>422700500</v>
      </c>
      <c r="B906" s="68" t="s">
        <v>2617</v>
      </c>
      <c r="C906" s="68">
        <v>966</v>
      </c>
      <c r="D906" s="68" t="s">
        <v>2618</v>
      </c>
      <c r="E906" s="68">
        <v>1</v>
      </c>
      <c r="F906" s="68">
        <v>10010001833</v>
      </c>
      <c r="G906" s="78">
        <v>68182</v>
      </c>
      <c r="H906" s="68" t="s">
        <v>4606</v>
      </c>
      <c r="I906" s="68">
        <v>0</v>
      </c>
      <c r="J906" s="54">
        <v>43752</v>
      </c>
      <c r="K906" s="68">
        <v>62</v>
      </c>
      <c r="L906" s="68" t="s">
        <v>4309</v>
      </c>
    </row>
    <row r="907" spans="1:12" s="68" customFormat="1">
      <c r="A907" s="68">
        <v>422700500</v>
      </c>
      <c r="B907" s="68" t="s">
        <v>2617</v>
      </c>
      <c r="C907" s="68">
        <v>966</v>
      </c>
      <c r="D907" s="68" t="s">
        <v>2618</v>
      </c>
      <c r="E907" s="68">
        <v>1</v>
      </c>
      <c r="F907" s="68">
        <v>10010003702</v>
      </c>
      <c r="G907" s="78">
        <v>572727</v>
      </c>
      <c r="H907" s="68" t="s">
        <v>4607</v>
      </c>
      <c r="I907" s="68">
        <v>0</v>
      </c>
      <c r="J907" s="54">
        <v>43752</v>
      </c>
      <c r="K907" s="68">
        <v>62</v>
      </c>
      <c r="L907" s="68" t="s">
        <v>4309</v>
      </c>
    </row>
    <row r="908" spans="1:12" s="68" customFormat="1">
      <c r="A908" s="68">
        <v>422700500</v>
      </c>
      <c r="B908" s="68" t="s">
        <v>2617</v>
      </c>
      <c r="C908" s="68">
        <v>966</v>
      </c>
      <c r="D908" s="68" t="s">
        <v>2618</v>
      </c>
      <c r="E908" s="68">
        <v>1</v>
      </c>
      <c r="F908" s="68">
        <v>10010094357</v>
      </c>
      <c r="G908" s="78">
        <v>18182</v>
      </c>
      <c r="H908" s="68" t="s">
        <v>4608</v>
      </c>
      <c r="I908" s="68">
        <v>0</v>
      </c>
      <c r="J908" s="54">
        <v>43752</v>
      </c>
      <c r="K908" s="68">
        <v>62</v>
      </c>
      <c r="L908" s="68" t="s">
        <v>4309</v>
      </c>
    </row>
    <row r="909" spans="1:12" s="68" customFormat="1">
      <c r="A909" s="68">
        <v>422700500</v>
      </c>
      <c r="B909" s="68" t="s">
        <v>2617</v>
      </c>
      <c r="C909" s="68">
        <v>966</v>
      </c>
      <c r="D909" s="68" t="s">
        <v>2618</v>
      </c>
      <c r="E909" s="68">
        <v>1</v>
      </c>
      <c r="F909" s="68">
        <v>10010094580</v>
      </c>
      <c r="G909" s="78">
        <v>19545</v>
      </c>
      <c r="H909" s="68" t="s">
        <v>4609</v>
      </c>
      <c r="I909" s="68">
        <v>0</v>
      </c>
      <c r="J909" s="54">
        <v>43752</v>
      </c>
      <c r="K909" s="68">
        <v>62</v>
      </c>
      <c r="L909" s="68" t="s">
        <v>4309</v>
      </c>
    </row>
    <row r="910" spans="1:12" s="68" customFormat="1">
      <c r="A910" s="68">
        <v>422700500</v>
      </c>
      <c r="B910" s="68" t="s">
        <v>2617</v>
      </c>
      <c r="C910" s="68">
        <v>966</v>
      </c>
      <c r="D910" s="68" t="s">
        <v>2618</v>
      </c>
      <c r="E910" s="68">
        <v>1</v>
      </c>
      <c r="F910" s="68">
        <v>10020000016</v>
      </c>
      <c r="G910" s="78">
        <v>54545</v>
      </c>
      <c r="H910" s="68" t="s">
        <v>4454</v>
      </c>
      <c r="I910" s="68">
        <v>0</v>
      </c>
      <c r="J910" s="54">
        <v>43752</v>
      </c>
      <c r="K910" s="68">
        <v>62</v>
      </c>
      <c r="L910" s="68" t="s">
        <v>4309</v>
      </c>
    </row>
    <row r="911" spans="1:12" s="68" customFormat="1">
      <c r="A911" s="68">
        <v>422700500</v>
      </c>
      <c r="B911" s="68" t="s">
        <v>2617</v>
      </c>
      <c r="C911" s="68">
        <v>966</v>
      </c>
      <c r="D911" s="68" t="s">
        <v>2618</v>
      </c>
      <c r="E911" s="68">
        <v>1</v>
      </c>
      <c r="F911" s="68">
        <v>30020062275</v>
      </c>
      <c r="G911" s="78">
        <v>50909</v>
      </c>
      <c r="H911" s="68" t="s">
        <v>4437</v>
      </c>
      <c r="I911" s="68">
        <v>0</v>
      </c>
      <c r="J911" s="54">
        <v>43752</v>
      </c>
      <c r="K911" s="68">
        <v>62</v>
      </c>
      <c r="L911" s="68" t="s">
        <v>4309</v>
      </c>
    </row>
    <row r="912" spans="1:12" s="68" customFormat="1">
      <c r="A912" s="68">
        <v>422700500</v>
      </c>
      <c r="B912" s="68" t="s">
        <v>2617</v>
      </c>
      <c r="C912" s="68">
        <v>966</v>
      </c>
      <c r="D912" s="68" t="s">
        <v>2618</v>
      </c>
      <c r="E912" s="68">
        <v>1</v>
      </c>
      <c r="F912" s="68">
        <v>140330001017</v>
      </c>
      <c r="G912" s="78">
        <v>18596</v>
      </c>
      <c r="H912" s="68" t="s">
        <v>4594</v>
      </c>
      <c r="I912" s="68">
        <v>0</v>
      </c>
      <c r="J912" s="54">
        <v>43752</v>
      </c>
      <c r="K912" s="68">
        <v>62</v>
      </c>
      <c r="L912" s="68" t="s">
        <v>4309</v>
      </c>
    </row>
    <row r="913" spans="1:12" s="68" customFormat="1">
      <c r="A913" s="68">
        <v>422700500</v>
      </c>
      <c r="B913" s="68" t="s">
        <v>2617</v>
      </c>
      <c r="C913" s="68">
        <v>966</v>
      </c>
      <c r="D913" s="68" t="s">
        <v>2618</v>
      </c>
      <c r="E913" s="68">
        <v>1</v>
      </c>
      <c r="F913" s="68">
        <v>10010012448</v>
      </c>
      <c r="G913" s="78">
        <v>18182</v>
      </c>
      <c r="H913" s="68" t="s">
        <v>4610</v>
      </c>
      <c r="I913" s="68">
        <v>0</v>
      </c>
      <c r="J913" s="54">
        <v>43769</v>
      </c>
      <c r="K913" s="68">
        <v>62</v>
      </c>
      <c r="L913" s="68" t="s">
        <v>4309</v>
      </c>
    </row>
    <row r="914" spans="1:12" s="68" customFormat="1">
      <c r="A914" s="68">
        <v>422700500</v>
      </c>
      <c r="B914" s="68" t="s">
        <v>2617</v>
      </c>
      <c r="C914" s="68">
        <v>966</v>
      </c>
      <c r="D914" s="68" t="s">
        <v>2618</v>
      </c>
      <c r="E914" s="68">
        <v>1</v>
      </c>
      <c r="F914" s="68">
        <v>10010035070</v>
      </c>
      <c r="G914" s="78">
        <v>45455</v>
      </c>
      <c r="H914" s="68" t="s">
        <v>4554</v>
      </c>
      <c r="I914" s="68">
        <v>0</v>
      </c>
      <c r="J914" s="54">
        <v>43769</v>
      </c>
      <c r="K914" s="68">
        <v>62</v>
      </c>
      <c r="L914" s="68" t="s">
        <v>4309</v>
      </c>
    </row>
    <row r="915" spans="1:12" s="68" customFormat="1">
      <c r="A915" s="68">
        <v>422700500</v>
      </c>
      <c r="B915" s="68" t="s">
        <v>2617</v>
      </c>
      <c r="C915" s="68">
        <v>966</v>
      </c>
      <c r="D915" s="68" t="s">
        <v>2618</v>
      </c>
      <c r="E915" s="68">
        <v>1</v>
      </c>
      <c r="F915" s="68">
        <v>10010094991</v>
      </c>
      <c r="G915" s="78">
        <v>17727</v>
      </c>
      <c r="H915" s="68" t="s">
        <v>4611</v>
      </c>
      <c r="I915" s="68">
        <v>0</v>
      </c>
      <c r="J915" s="54">
        <v>43769</v>
      </c>
      <c r="K915" s="68">
        <v>62</v>
      </c>
      <c r="L915" s="68" t="s">
        <v>4309</v>
      </c>
    </row>
    <row r="916" spans="1:12" s="68" customFormat="1">
      <c r="A916" s="68">
        <v>422700500</v>
      </c>
      <c r="B916" s="68" t="s">
        <v>2617</v>
      </c>
      <c r="C916" s="68">
        <v>966</v>
      </c>
      <c r="D916" s="68" t="s">
        <v>2618</v>
      </c>
      <c r="E916" s="68">
        <v>1</v>
      </c>
      <c r="F916" s="68">
        <v>10010095154</v>
      </c>
      <c r="G916" s="78">
        <v>43636</v>
      </c>
      <c r="H916" s="68" t="s">
        <v>4451</v>
      </c>
      <c r="I916" s="68">
        <v>0</v>
      </c>
      <c r="J916" s="54">
        <v>43769</v>
      </c>
      <c r="K916" s="68">
        <v>62</v>
      </c>
      <c r="L916" s="68" t="s">
        <v>4309</v>
      </c>
    </row>
    <row r="917" spans="1:12" s="68" customFormat="1">
      <c r="A917" s="68">
        <v>422700500</v>
      </c>
      <c r="B917" s="68" t="s">
        <v>2617</v>
      </c>
      <c r="C917" s="68">
        <v>966</v>
      </c>
      <c r="D917" s="68" t="s">
        <v>2618</v>
      </c>
      <c r="E917" s="68">
        <v>1</v>
      </c>
      <c r="F917" s="68">
        <v>10010179417</v>
      </c>
      <c r="G917" s="78">
        <v>43636</v>
      </c>
      <c r="H917" s="68" t="s">
        <v>4612</v>
      </c>
      <c r="I917" s="68">
        <v>0</v>
      </c>
      <c r="J917" s="54">
        <v>43769</v>
      </c>
      <c r="K917" s="68">
        <v>62</v>
      </c>
      <c r="L917" s="68" t="s">
        <v>4309</v>
      </c>
    </row>
    <row r="918" spans="1:12" s="68" customFormat="1">
      <c r="A918" s="68">
        <v>422700500</v>
      </c>
      <c r="B918" s="68" t="s">
        <v>2617</v>
      </c>
      <c r="C918" s="68">
        <v>966</v>
      </c>
      <c r="D918" s="68" t="s">
        <v>2618</v>
      </c>
      <c r="E918" s="68">
        <v>1</v>
      </c>
      <c r="F918" s="68">
        <v>40040005009</v>
      </c>
      <c r="G918" s="78">
        <v>306364</v>
      </c>
      <c r="H918" s="68" t="s">
        <v>4613</v>
      </c>
      <c r="I918" s="68">
        <v>0</v>
      </c>
      <c r="J918" s="54">
        <v>43769</v>
      </c>
      <c r="K918" s="68">
        <v>62</v>
      </c>
      <c r="L918" s="68" t="s">
        <v>4309</v>
      </c>
    </row>
    <row r="919" spans="1:12" s="68" customFormat="1">
      <c r="A919" s="68">
        <v>422700500</v>
      </c>
      <c r="B919" s="68" t="s">
        <v>2617</v>
      </c>
      <c r="C919" s="68">
        <v>966</v>
      </c>
      <c r="D919" s="68" t="s">
        <v>2618</v>
      </c>
      <c r="E919" s="68">
        <v>1</v>
      </c>
      <c r="F919" s="68">
        <v>70020156171</v>
      </c>
      <c r="G919" s="78">
        <v>25909</v>
      </c>
      <c r="H919" s="68" t="s">
        <v>4614</v>
      </c>
      <c r="I919" s="68">
        <v>0</v>
      </c>
      <c r="J919" s="54">
        <v>43769</v>
      </c>
      <c r="K919" s="68">
        <v>62</v>
      </c>
      <c r="L919" s="68" t="s">
        <v>4309</v>
      </c>
    </row>
    <row r="920" spans="1:12" s="68" customFormat="1">
      <c r="A920" s="68">
        <v>422700500</v>
      </c>
      <c r="B920" s="68" t="s">
        <v>2617</v>
      </c>
      <c r="C920" s="68">
        <v>966</v>
      </c>
      <c r="D920" s="68" t="s">
        <v>2618</v>
      </c>
      <c r="E920" s="68">
        <v>1</v>
      </c>
      <c r="F920" s="68">
        <v>280070031892</v>
      </c>
      <c r="G920" s="78">
        <v>17727</v>
      </c>
      <c r="H920" s="68" t="s">
        <v>4594</v>
      </c>
      <c r="I920" s="68">
        <v>0</v>
      </c>
      <c r="J920" s="54">
        <v>43769</v>
      </c>
      <c r="K920" s="68">
        <v>62</v>
      </c>
      <c r="L920" s="68" t="s">
        <v>4309</v>
      </c>
    </row>
    <row r="921" spans="1:12" s="68" customFormat="1">
      <c r="A921" s="68">
        <v>422700500</v>
      </c>
      <c r="B921" s="68" t="s">
        <v>2617</v>
      </c>
      <c r="C921" s="68">
        <v>966</v>
      </c>
      <c r="D921" s="68" t="s">
        <v>2618</v>
      </c>
      <c r="E921" s="68">
        <v>1</v>
      </c>
      <c r="F921" s="68">
        <v>280070032054</v>
      </c>
      <c r="G921" s="78">
        <v>23636</v>
      </c>
      <c r="H921" s="68" t="s">
        <v>4594</v>
      </c>
      <c r="I921" s="68">
        <v>0</v>
      </c>
      <c r="J921" s="54">
        <v>43769</v>
      </c>
      <c r="K921" s="68">
        <v>62</v>
      </c>
      <c r="L921" s="68" t="s">
        <v>4309</v>
      </c>
    </row>
    <row r="922" spans="1:12" s="68" customFormat="1">
      <c r="A922" s="68">
        <v>422700500</v>
      </c>
      <c r="B922" s="68" t="s">
        <v>2617</v>
      </c>
      <c r="C922" s="68">
        <v>966</v>
      </c>
      <c r="D922" s="68" t="s">
        <v>2618</v>
      </c>
      <c r="E922" s="68">
        <v>1</v>
      </c>
      <c r="F922" s="68">
        <v>10010014544</v>
      </c>
      <c r="G922" s="78">
        <v>140909</v>
      </c>
      <c r="H922" s="68" t="s">
        <v>4615</v>
      </c>
      <c r="I922" s="68">
        <v>0</v>
      </c>
      <c r="J922" s="54">
        <v>43774</v>
      </c>
      <c r="K922" s="68">
        <v>62</v>
      </c>
      <c r="L922" s="68" t="s">
        <v>4309</v>
      </c>
    </row>
    <row r="923" spans="1:12" s="68" customFormat="1">
      <c r="A923" s="68">
        <v>422700500</v>
      </c>
      <c r="B923" s="68" t="s">
        <v>2617</v>
      </c>
      <c r="C923" s="68">
        <v>966</v>
      </c>
      <c r="D923" s="68" t="s">
        <v>2618</v>
      </c>
      <c r="E923" s="68">
        <v>1</v>
      </c>
      <c r="F923" s="68">
        <v>10060017372</v>
      </c>
      <c r="G923" s="78">
        <v>54545</v>
      </c>
      <c r="H923" s="68" t="s">
        <v>4616</v>
      </c>
      <c r="I923" s="68">
        <v>0</v>
      </c>
      <c r="J923" s="54">
        <v>43776</v>
      </c>
      <c r="K923" s="68">
        <v>62</v>
      </c>
      <c r="L923" s="68" t="s">
        <v>4309</v>
      </c>
    </row>
    <row r="924" spans="1:12" s="68" customFormat="1">
      <c r="A924" s="68">
        <v>422700500</v>
      </c>
      <c r="B924" s="68" t="s">
        <v>2617</v>
      </c>
      <c r="C924" s="68">
        <v>966</v>
      </c>
      <c r="D924" s="68" t="s">
        <v>2618</v>
      </c>
      <c r="E924" s="68">
        <v>1</v>
      </c>
      <c r="F924" s="68">
        <v>10330022838</v>
      </c>
      <c r="G924" s="78">
        <v>50190</v>
      </c>
      <c r="H924" s="68" t="s">
        <v>4617</v>
      </c>
      <c r="I924" s="68">
        <v>0</v>
      </c>
      <c r="J924" s="54">
        <v>43776</v>
      </c>
      <c r="K924" s="68">
        <v>62</v>
      </c>
      <c r="L924" s="68" t="s">
        <v>4309</v>
      </c>
    </row>
    <row r="925" spans="1:12" s="68" customFormat="1">
      <c r="A925" s="68">
        <v>422700500</v>
      </c>
      <c r="B925" s="68" t="s">
        <v>2617</v>
      </c>
      <c r="C925" s="68">
        <v>966</v>
      </c>
      <c r="D925" s="68" t="s">
        <v>2618</v>
      </c>
      <c r="E925" s="68">
        <v>1</v>
      </c>
      <c r="F925" s="68">
        <v>10010096916</v>
      </c>
      <c r="G925" s="78">
        <v>95455</v>
      </c>
      <c r="H925" s="68" t="s">
        <v>4600</v>
      </c>
      <c r="I925" s="68">
        <v>0</v>
      </c>
      <c r="J925" s="54">
        <v>43782</v>
      </c>
      <c r="K925" s="68">
        <v>62</v>
      </c>
      <c r="L925" s="68" t="s">
        <v>4309</v>
      </c>
    </row>
    <row r="926" spans="1:12" s="68" customFormat="1">
      <c r="A926" s="68">
        <v>422700500</v>
      </c>
      <c r="B926" s="68" t="s">
        <v>2617</v>
      </c>
      <c r="C926" s="68">
        <v>966</v>
      </c>
      <c r="D926" s="68" t="s">
        <v>2618</v>
      </c>
      <c r="E926" s="68">
        <v>1</v>
      </c>
      <c r="F926" s="68">
        <v>10010096923</v>
      </c>
      <c r="G926" s="78">
        <v>17273</v>
      </c>
      <c r="H926" s="68" t="s">
        <v>4618</v>
      </c>
      <c r="I926" s="68">
        <v>0</v>
      </c>
      <c r="J926" s="54">
        <v>43782</v>
      </c>
      <c r="K926" s="68">
        <v>62</v>
      </c>
      <c r="L926" s="68" t="s">
        <v>4309</v>
      </c>
    </row>
    <row r="927" spans="1:12" s="68" customFormat="1">
      <c r="A927" s="68">
        <v>422700500</v>
      </c>
      <c r="B927" s="68" t="s">
        <v>2617</v>
      </c>
      <c r="C927" s="68">
        <v>966</v>
      </c>
      <c r="D927" s="68" t="s">
        <v>2618</v>
      </c>
      <c r="E927" s="68">
        <v>1</v>
      </c>
      <c r="F927" s="68">
        <v>10010004618</v>
      </c>
      <c r="G927" s="78">
        <v>54545</v>
      </c>
      <c r="H927" s="68" t="s">
        <v>4619</v>
      </c>
      <c r="I927" s="68">
        <v>0</v>
      </c>
      <c r="J927" s="54">
        <v>43783</v>
      </c>
      <c r="K927" s="68">
        <v>62</v>
      </c>
      <c r="L927" s="68" t="s">
        <v>4309</v>
      </c>
    </row>
    <row r="928" spans="1:12" s="68" customFormat="1">
      <c r="A928" s="68">
        <v>422700500</v>
      </c>
      <c r="B928" s="68" t="s">
        <v>2617</v>
      </c>
      <c r="C928" s="68">
        <v>966</v>
      </c>
      <c r="D928" s="68" t="s">
        <v>2618</v>
      </c>
      <c r="E928" s="68">
        <v>1</v>
      </c>
      <c r="F928" s="68">
        <v>10010032534</v>
      </c>
      <c r="G928" s="78">
        <v>27273</v>
      </c>
      <c r="H928" s="68" t="s">
        <v>4620</v>
      </c>
      <c r="I928" s="68">
        <v>0</v>
      </c>
      <c r="J928" s="54">
        <v>43783</v>
      </c>
      <c r="K928" s="68">
        <v>62</v>
      </c>
      <c r="L928" s="68" t="s">
        <v>4309</v>
      </c>
    </row>
    <row r="929" spans="1:12" s="68" customFormat="1">
      <c r="A929" s="68">
        <v>422700500</v>
      </c>
      <c r="B929" s="68" t="s">
        <v>2617</v>
      </c>
      <c r="C929" s="68">
        <v>966</v>
      </c>
      <c r="D929" s="68" t="s">
        <v>2618</v>
      </c>
      <c r="E929" s="68">
        <v>1</v>
      </c>
      <c r="F929" s="68">
        <v>10010096754</v>
      </c>
      <c r="G929" s="78">
        <v>36364</v>
      </c>
      <c r="H929" s="68" t="s">
        <v>4596</v>
      </c>
      <c r="I929" s="68">
        <v>0</v>
      </c>
      <c r="J929" s="54">
        <v>43783</v>
      </c>
      <c r="K929" s="68">
        <v>62</v>
      </c>
      <c r="L929" s="68" t="s">
        <v>4309</v>
      </c>
    </row>
    <row r="930" spans="1:12" s="68" customFormat="1">
      <c r="A930" s="68">
        <v>422700500</v>
      </c>
      <c r="B930" s="68" t="s">
        <v>2617</v>
      </c>
      <c r="C930" s="68">
        <v>966</v>
      </c>
      <c r="D930" s="68" t="s">
        <v>2618</v>
      </c>
      <c r="E930" s="68">
        <v>1</v>
      </c>
      <c r="F930" s="68">
        <v>10010097045</v>
      </c>
      <c r="G930" s="78">
        <v>8182</v>
      </c>
      <c r="H930" s="68" t="s">
        <v>4621</v>
      </c>
      <c r="I930" s="68">
        <v>0</v>
      </c>
      <c r="J930" s="54">
        <v>43783</v>
      </c>
      <c r="K930" s="68">
        <v>62</v>
      </c>
      <c r="L930" s="68" t="s">
        <v>4309</v>
      </c>
    </row>
    <row r="931" spans="1:12" s="68" customFormat="1">
      <c r="A931" s="68">
        <v>422700500</v>
      </c>
      <c r="B931" s="68" t="s">
        <v>2617</v>
      </c>
      <c r="C931" s="68">
        <v>966</v>
      </c>
      <c r="D931" s="68" t="s">
        <v>2618</v>
      </c>
      <c r="E931" s="68">
        <v>1</v>
      </c>
      <c r="F931" s="68">
        <v>10010097264</v>
      </c>
      <c r="G931" s="78">
        <v>42727</v>
      </c>
      <c r="H931" s="68" t="s">
        <v>4622</v>
      </c>
      <c r="I931" s="68">
        <v>0</v>
      </c>
      <c r="J931" s="54">
        <v>43783</v>
      </c>
      <c r="K931" s="68">
        <v>62</v>
      </c>
      <c r="L931" s="68" t="s">
        <v>4309</v>
      </c>
    </row>
    <row r="932" spans="1:12" s="68" customFormat="1">
      <c r="A932" s="68">
        <v>422700500</v>
      </c>
      <c r="B932" s="68" t="s">
        <v>2617</v>
      </c>
      <c r="C932" s="68">
        <v>966</v>
      </c>
      <c r="D932" s="68" t="s">
        <v>2618</v>
      </c>
      <c r="E932" s="68">
        <v>1</v>
      </c>
      <c r="F932" s="68">
        <v>10030000443</v>
      </c>
      <c r="G932" s="78">
        <v>22727</v>
      </c>
      <c r="H932" s="68" t="s">
        <v>4594</v>
      </c>
      <c r="I932" s="68">
        <v>0</v>
      </c>
      <c r="J932" s="54">
        <v>43783</v>
      </c>
      <c r="K932" s="68">
        <v>62</v>
      </c>
      <c r="L932" s="68" t="s">
        <v>4309</v>
      </c>
    </row>
    <row r="933" spans="1:12" s="68" customFormat="1">
      <c r="A933" s="68">
        <v>422700500</v>
      </c>
      <c r="B933" s="68" t="s">
        <v>2617</v>
      </c>
      <c r="C933" s="68">
        <v>966</v>
      </c>
      <c r="D933" s="68" t="s">
        <v>2618</v>
      </c>
      <c r="E933" s="68">
        <v>1</v>
      </c>
      <c r="F933" s="68">
        <v>60010377347</v>
      </c>
      <c r="G933" s="78">
        <v>29091</v>
      </c>
      <c r="H933" s="68" t="s">
        <v>4550</v>
      </c>
      <c r="I933" s="68">
        <v>0</v>
      </c>
      <c r="J933" s="54">
        <v>43783</v>
      </c>
      <c r="K933" s="68">
        <v>62</v>
      </c>
      <c r="L933" s="68" t="s">
        <v>4309</v>
      </c>
    </row>
    <row r="934" spans="1:12" s="68" customFormat="1">
      <c r="A934" s="68">
        <v>422700500</v>
      </c>
      <c r="B934" s="68" t="s">
        <v>2617</v>
      </c>
      <c r="C934" s="68">
        <v>966</v>
      </c>
      <c r="D934" s="68" t="s">
        <v>2618</v>
      </c>
      <c r="E934" s="68">
        <v>1</v>
      </c>
      <c r="F934" s="68">
        <v>10010003068</v>
      </c>
      <c r="G934" s="78">
        <v>181818</v>
      </c>
      <c r="H934" s="68" t="s">
        <v>4623</v>
      </c>
      <c r="I934" s="68">
        <v>0</v>
      </c>
      <c r="J934" s="54">
        <v>43787</v>
      </c>
      <c r="K934" s="68">
        <v>62</v>
      </c>
      <c r="L934" s="68" t="s">
        <v>4309</v>
      </c>
    </row>
    <row r="935" spans="1:12" s="68" customFormat="1">
      <c r="A935" s="68">
        <v>422700500</v>
      </c>
      <c r="B935" s="68" t="s">
        <v>2617</v>
      </c>
      <c r="C935" s="68">
        <v>966</v>
      </c>
      <c r="D935" s="68" t="s">
        <v>2618</v>
      </c>
      <c r="E935" s="68">
        <v>1</v>
      </c>
      <c r="F935" s="68">
        <v>10010074150</v>
      </c>
      <c r="G935" s="78">
        <v>250909</v>
      </c>
      <c r="H935" s="68" t="s">
        <v>4624</v>
      </c>
      <c r="I935" s="68">
        <v>0</v>
      </c>
      <c r="J935" s="54">
        <v>43787</v>
      </c>
      <c r="K935" s="68">
        <v>62</v>
      </c>
      <c r="L935" s="68" t="s">
        <v>4309</v>
      </c>
    </row>
    <row r="936" spans="1:12" s="68" customFormat="1">
      <c r="A936" s="68">
        <v>422700500</v>
      </c>
      <c r="B936" s="68" t="s">
        <v>2617</v>
      </c>
      <c r="C936" s="68">
        <v>966</v>
      </c>
      <c r="D936" s="68" t="s">
        <v>2618</v>
      </c>
      <c r="E936" s="68">
        <v>1</v>
      </c>
      <c r="F936" s="68">
        <v>10010098041</v>
      </c>
      <c r="G936" s="78">
        <v>14727</v>
      </c>
      <c r="H936" s="68" t="s">
        <v>4625</v>
      </c>
      <c r="I936" s="68">
        <v>0</v>
      </c>
      <c r="J936" s="54">
        <v>43790</v>
      </c>
      <c r="K936" s="68">
        <v>62</v>
      </c>
      <c r="L936" s="68" t="s">
        <v>4309</v>
      </c>
    </row>
    <row r="937" spans="1:12" s="68" customFormat="1">
      <c r="A937" s="68">
        <v>422700500</v>
      </c>
      <c r="B937" s="68" t="s">
        <v>2617</v>
      </c>
      <c r="C937" s="68">
        <v>966</v>
      </c>
      <c r="D937" s="68" t="s">
        <v>2618</v>
      </c>
      <c r="E937" s="68">
        <v>1</v>
      </c>
      <c r="F937" s="68">
        <v>10010000996</v>
      </c>
      <c r="G937" s="78">
        <v>81818</v>
      </c>
      <c r="H937" s="68" t="s">
        <v>4626</v>
      </c>
      <c r="I937" s="68">
        <v>0</v>
      </c>
      <c r="J937" s="54">
        <v>43792</v>
      </c>
      <c r="K937" s="68">
        <v>62</v>
      </c>
      <c r="L937" s="68" t="s">
        <v>4309</v>
      </c>
    </row>
    <row r="938" spans="1:12" s="68" customFormat="1">
      <c r="A938" s="68">
        <v>422700500</v>
      </c>
      <c r="B938" s="68" t="s">
        <v>2617</v>
      </c>
      <c r="C938" s="68">
        <v>966</v>
      </c>
      <c r="D938" s="68" t="s">
        <v>2618</v>
      </c>
      <c r="E938" s="68">
        <v>1</v>
      </c>
      <c r="F938" s="68">
        <v>10010097449</v>
      </c>
      <c r="G938" s="78">
        <v>13636</v>
      </c>
      <c r="H938" s="68" t="s">
        <v>4627</v>
      </c>
      <c r="I938" s="68">
        <v>0</v>
      </c>
      <c r="J938" s="54">
        <v>43792</v>
      </c>
      <c r="K938" s="68">
        <v>62</v>
      </c>
      <c r="L938" s="68" t="s">
        <v>4309</v>
      </c>
    </row>
    <row r="939" spans="1:12" s="68" customFormat="1">
      <c r="A939" s="68">
        <v>422700500</v>
      </c>
      <c r="B939" s="68" t="s">
        <v>2617</v>
      </c>
      <c r="C939" s="68">
        <v>966</v>
      </c>
      <c r="D939" s="68" t="s">
        <v>2618</v>
      </c>
      <c r="E939" s="68">
        <v>1</v>
      </c>
      <c r="F939" s="68">
        <v>10010097557</v>
      </c>
      <c r="G939" s="78">
        <v>8727</v>
      </c>
      <c r="H939" s="68" t="s">
        <v>4628</v>
      </c>
      <c r="I939" s="68">
        <v>0</v>
      </c>
      <c r="J939" s="54">
        <v>43792</v>
      </c>
      <c r="K939" s="68">
        <v>62</v>
      </c>
      <c r="L939" s="68" t="s">
        <v>4309</v>
      </c>
    </row>
    <row r="940" spans="1:12" s="68" customFormat="1">
      <c r="A940" s="68">
        <v>422700500</v>
      </c>
      <c r="B940" s="68" t="s">
        <v>2617</v>
      </c>
      <c r="C940" s="68">
        <v>966</v>
      </c>
      <c r="D940" s="68" t="s">
        <v>2618</v>
      </c>
      <c r="E940" s="68">
        <v>1</v>
      </c>
      <c r="F940" s="68">
        <v>10010097670</v>
      </c>
      <c r="G940" s="78">
        <v>137273</v>
      </c>
      <c r="H940" s="68" t="s">
        <v>4629</v>
      </c>
      <c r="I940" s="68">
        <v>0</v>
      </c>
      <c r="J940" s="54">
        <v>43792</v>
      </c>
      <c r="K940" s="68">
        <v>62</v>
      </c>
      <c r="L940" s="68" t="s">
        <v>4309</v>
      </c>
    </row>
    <row r="941" spans="1:12" s="68" customFormat="1">
      <c r="A941" s="68">
        <v>422700500</v>
      </c>
      <c r="B941" s="68" t="s">
        <v>2617</v>
      </c>
      <c r="C941" s="68">
        <v>966</v>
      </c>
      <c r="D941" s="68" t="s">
        <v>2618</v>
      </c>
      <c r="E941" s="68">
        <v>1</v>
      </c>
      <c r="F941" s="68">
        <v>10060017088</v>
      </c>
      <c r="G941" s="78">
        <v>120000</v>
      </c>
      <c r="H941" s="68" t="s">
        <v>4630</v>
      </c>
      <c r="I941" s="68">
        <v>0</v>
      </c>
      <c r="J941" s="54">
        <v>43792</v>
      </c>
      <c r="K941" s="68">
        <v>62</v>
      </c>
      <c r="L941" s="68" t="s">
        <v>4309</v>
      </c>
    </row>
    <row r="942" spans="1:12" s="68" customFormat="1">
      <c r="A942" s="68">
        <v>422700500</v>
      </c>
      <c r="B942" s="68" t="s">
        <v>2617</v>
      </c>
      <c r="C942" s="68">
        <v>966</v>
      </c>
      <c r="D942" s="68" t="s">
        <v>2618</v>
      </c>
      <c r="E942" s="68">
        <v>1</v>
      </c>
      <c r="F942" s="68">
        <v>20010000966</v>
      </c>
      <c r="G942" s="78">
        <v>46364</v>
      </c>
      <c r="H942" s="68" t="s">
        <v>4631</v>
      </c>
      <c r="I942" s="68">
        <v>0</v>
      </c>
      <c r="J942" s="54">
        <v>43792</v>
      </c>
      <c r="K942" s="68">
        <v>62</v>
      </c>
      <c r="L942" s="68" t="s">
        <v>4309</v>
      </c>
    </row>
    <row r="943" spans="1:12" s="68" customFormat="1">
      <c r="A943" s="68">
        <v>422700500</v>
      </c>
      <c r="B943" s="68" t="s">
        <v>2617</v>
      </c>
      <c r="C943" s="68">
        <v>966</v>
      </c>
      <c r="D943" s="68" t="s">
        <v>2618</v>
      </c>
      <c r="E943" s="68">
        <v>1</v>
      </c>
      <c r="F943" s="68">
        <v>120010019763</v>
      </c>
      <c r="G943" s="78">
        <v>28182</v>
      </c>
      <c r="H943" s="68" t="s">
        <v>4632</v>
      </c>
      <c r="I943" s="68">
        <v>0</v>
      </c>
      <c r="J943" s="54">
        <v>43792</v>
      </c>
      <c r="K943" s="68">
        <v>62</v>
      </c>
      <c r="L943" s="68" t="s">
        <v>4309</v>
      </c>
    </row>
    <row r="944" spans="1:12" s="68" customFormat="1">
      <c r="A944" s="68">
        <v>422700500</v>
      </c>
      <c r="B944" s="68" t="s">
        <v>2617</v>
      </c>
      <c r="C944" s="68">
        <v>966</v>
      </c>
      <c r="D944" s="68" t="s">
        <v>2618</v>
      </c>
      <c r="E944" s="68">
        <v>1</v>
      </c>
      <c r="F944" s="68">
        <v>10010012232</v>
      </c>
      <c r="G944" s="78">
        <v>31818</v>
      </c>
      <c r="H944" s="68" t="s">
        <v>4633</v>
      </c>
      <c r="I944" s="68">
        <v>0</v>
      </c>
      <c r="J944" s="54">
        <v>43799</v>
      </c>
      <c r="K944" s="68">
        <v>62</v>
      </c>
      <c r="L944" s="68" t="s">
        <v>4309</v>
      </c>
    </row>
    <row r="945" spans="1:12" s="68" customFormat="1">
      <c r="A945" s="68">
        <v>422700500</v>
      </c>
      <c r="B945" s="68" t="s">
        <v>2617</v>
      </c>
      <c r="C945" s="68">
        <v>966</v>
      </c>
      <c r="D945" s="68" t="s">
        <v>2618</v>
      </c>
      <c r="E945" s="68">
        <v>1</v>
      </c>
      <c r="F945" s="68">
        <v>10010098490</v>
      </c>
      <c r="G945" s="78">
        <v>21818</v>
      </c>
      <c r="H945" s="68" t="s">
        <v>4634</v>
      </c>
      <c r="I945" s="68">
        <v>0</v>
      </c>
      <c r="J945" s="54">
        <v>43799</v>
      </c>
      <c r="K945" s="68">
        <v>62</v>
      </c>
      <c r="L945" s="68" t="s">
        <v>4309</v>
      </c>
    </row>
    <row r="946" spans="1:12" s="68" customFormat="1">
      <c r="A946" s="68">
        <v>422700500</v>
      </c>
      <c r="B946" s="68" t="s">
        <v>2617</v>
      </c>
      <c r="C946" s="68">
        <v>966</v>
      </c>
      <c r="D946" s="68" t="s">
        <v>2618</v>
      </c>
      <c r="E946" s="68">
        <v>1</v>
      </c>
      <c r="F946" s="68">
        <v>10080006419</v>
      </c>
      <c r="G946" s="78">
        <v>59091</v>
      </c>
      <c r="H946" s="68" t="s">
        <v>4635</v>
      </c>
      <c r="I946" s="68">
        <v>0</v>
      </c>
      <c r="J946" s="54">
        <v>43799</v>
      </c>
      <c r="K946" s="68">
        <v>62</v>
      </c>
      <c r="L946" s="68" t="s">
        <v>4309</v>
      </c>
    </row>
    <row r="947" spans="1:12" s="68" customFormat="1">
      <c r="A947" s="68">
        <v>422700500</v>
      </c>
      <c r="B947" s="68" t="s">
        <v>2617</v>
      </c>
      <c r="C947" s="68">
        <v>966</v>
      </c>
      <c r="D947" s="68" t="s">
        <v>2618</v>
      </c>
      <c r="E947" s="68">
        <v>1</v>
      </c>
      <c r="F947" s="68">
        <v>20010095834</v>
      </c>
      <c r="G947" s="78">
        <v>26818</v>
      </c>
      <c r="H947" s="68" t="s">
        <v>4636</v>
      </c>
      <c r="I947" s="68">
        <v>0</v>
      </c>
      <c r="J947" s="54">
        <v>43799</v>
      </c>
      <c r="K947" s="68">
        <v>62</v>
      </c>
      <c r="L947" s="68" t="s">
        <v>4309</v>
      </c>
    </row>
    <row r="948" spans="1:12" s="68" customFormat="1">
      <c r="A948" s="68">
        <v>422700500</v>
      </c>
      <c r="B948" s="68" t="s">
        <v>2617</v>
      </c>
      <c r="C948" s="68">
        <v>966</v>
      </c>
      <c r="D948" s="68" t="s">
        <v>2618</v>
      </c>
      <c r="E948" s="68">
        <v>1</v>
      </c>
      <c r="F948" s="68">
        <v>10010051704</v>
      </c>
      <c r="G948" s="78">
        <v>550000</v>
      </c>
      <c r="H948" s="68" t="s">
        <v>4637</v>
      </c>
      <c r="I948" s="68">
        <v>0</v>
      </c>
      <c r="J948" s="54">
        <v>43825</v>
      </c>
      <c r="K948" s="68">
        <v>62</v>
      </c>
      <c r="L948" s="68" t="s">
        <v>4309</v>
      </c>
    </row>
    <row r="949" spans="1:12" s="68" customFormat="1">
      <c r="A949" s="68">
        <v>422700500</v>
      </c>
      <c r="B949" s="68" t="s">
        <v>2617</v>
      </c>
      <c r="C949" s="68">
        <v>966</v>
      </c>
      <c r="D949" s="68" t="s">
        <v>2618</v>
      </c>
      <c r="E949" s="68">
        <v>1</v>
      </c>
      <c r="F949" s="68">
        <v>20320004587</v>
      </c>
      <c r="G949" s="78">
        <v>88409</v>
      </c>
      <c r="H949" s="68" t="s">
        <v>4638</v>
      </c>
      <c r="I949" s="68">
        <v>0</v>
      </c>
      <c r="J949" s="54">
        <v>43825</v>
      </c>
      <c r="K949" s="68">
        <v>62</v>
      </c>
      <c r="L949" s="68" t="s">
        <v>4309</v>
      </c>
    </row>
    <row r="950" spans="1:12" s="68" customFormat="1">
      <c r="A950" s="68">
        <v>422700500</v>
      </c>
      <c r="B950" s="68" t="s">
        <v>2617</v>
      </c>
      <c r="C950" s="68">
        <v>966</v>
      </c>
      <c r="D950" s="68" t="s">
        <v>2618</v>
      </c>
      <c r="E950" s="68">
        <v>1</v>
      </c>
      <c r="F950" s="68">
        <v>40010009693</v>
      </c>
      <c r="G950" s="78">
        <v>87273</v>
      </c>
      <c r="H950" s="68" t="s">
        <v>4639</v>
      </c>
      <c r="I950" s="68">
        <v>0</v>
      </c>
      <c r="J950" s="54">
        <v>43825</v>
      </c>
      <c r="K950" s="68">
        <v>62</v>
      </c>
      <c r="L950" s="68" t="s">
        <v>4309</v>
      </c>
    </row>
    <row r="951" spans="1:12" s="68" customFormat="1">
      <c r="A951" s="68">
        <v>422700500</v>
      </c>
      <c r="B951" s="68" t="s">
        <v>2617</v>
      </c>
      <c r="C951" s="68">
        <v>966</v>
      </c>
      <c r="D951" s="68" t="s">
        <v>2618</v>
      </c>
      <c r="E951" s="68">
        <v>1</v>
      </c>
      <c r="F951" s="68">
        <v>50010479253</v>
      </c>
      <c r="G951" s="78">
        <v>89864</v>
      </c>
      <c r="H951" s="68" t="s">
        <v>4640</v>
      </c>
      <c r="I951" s="68">
        <v>0</v>
      </c>
      <c r="J951" s="54">
        <v>43825</v>
      </c>
      <c r="K951" s="68">
        <v>62</v>
      </c>
      <c r="L951" s="68" t="s">
        <v>4309</v>
      </c>
    </row>
    <row r="952" spans="1:12" s="68" customFormat="1">
      <c r="A952" s="68">
        <v>422700500</v>
      </c>
      <c r="B952" s="68" t="s">
        <v>2617</v>
      </c>
      <c r="C952" s="68">
        <v>966</v>
      </c>
      <c r="D952" s="68" t="s">
        <v>2618</v>
      </c>
      <c r="E952" s="68">
        <v>1</v>
      </c>
      <c r="F952" s="68">
        <v>10010037074</v>
      </c>
      <c r="G952" s="78">
        <v>9091</v>
      </c>
      <c r="H952" s="68" t="s">
        <v>4641</v>
      </c>
      <c r="I952" s="68">
        <v>0</v>
      </c>
      <c r="J952" s="54">
        <v>43826</v>
      </c>
      <c r="K952" s="68">
        <v>62</v>
      </c>
      <c r="L952" s="68" t="s">
        <v>4309</v>
      </c>
    </row>
    <row r="953" spans="1:12" s="68" customFormat="1">
      <c r="A953" s="68">
        <v>422700500</v>
      </c>
      <c r="B953" s="68" t="s">
        <v>2617</v>
      </c>
      <c r="C953" s="68">
        <v>966</v>
      </c>
      <c r="D953" s="68" t="s">
        <v>2618</v>
      </c>
      <c r="E953" s="68">
        <v>1</v>
      </c>
      <c r="F953" s="68">
        <v>10010100827</v>
      </c>
      <c r="G953" s="78">
        <v>21818</v>
      </c>
      <c r="H953" s="68" t="s">
        <v>4642</v>
      </c>
      <c r="I953" s="68">
        <v>0</v>
      </c>
      <c r="J953" s="54">
        <v>43826</v>
      </c>
      <c r="K953" s="68">
        <v>62</v>
      </c>
      <c r="L953" s="68" t="s">
        <v>4309</v>
      </c>
    </row>
    <row r="954" spans="1:12" s="68" customFormat="1">
      <c r="A954" s="68">
        <v>422700500</v>
      </c>
      <c r="B954" s="68" t="s">
        <v>2617</v>
      </c>
      <c r="C954" s="68">
        <v>966</v>
      </c>
      <c r="D954" s="68" t="s">
        <v>2618</v>
      </c>
      <c r="E954" s="68">
        <v>1</v>
      </c>
      <c r="F954" s="68">
        <v>10010101213</v>
      </c>
      <c r="G954" s="78">
        <v>19545</v>
      </c>
      <c r="H954" s="68" t="s">
        <v>4643</v>
      </c>
      <c r="I954" s="68">
        <v>0</v>
      </c>
      <c r="J954" s="54">
        <v>43826</v>
      </c>
      <c r="K954" s="68">
        <v>62</v>
      </c>
      <c r="L954" s="68" t="s">
        <v>4309</v>
      </c>
    </row>
    <row r="955" spans="1:12" s="68" customFormat="1">
      <c r="A955" s="68">
        <v>422700500</v>
      </c>
      <c r="B955" s="68" t="s">
        <v>2617</v>
      </c>
      <c r="C955" s="68">
        <v>966</v>
      </c>
      <c r="D955" s="68" t="s">
        <v>2618</v>
      </c>
      <c r="E955" s="68">
        <v>1</v>
      </c>
      <c r="F955" s="68">
        <v>10010107075</v>
      </c>
      <c r="G955" s="78">
        <v>38182</v>
      </c>
      <c r="H955" s="68" t="s">
        <v>4644</v>
      </c>
      <c r="I955" s="68">
        <v>0</v>
      </c>
      <c r="J955" s="54">
        <v>43826</v>
      </c>
      <c r="K955" s="68">
        <v>62</v>
      </c>
      <c r="L955" s="68" t="s">
        <v>4309</v>
      </c>
    </row>
    <row r="956" spans="1:12" s="68" customFormat="1">
      <c r="A956" s="68">
        <v>422700500</v>
      </c>
      <c r="B956" s="68" t="s">
        <v>2617</v>
      </c>
      <c r="C956" s="68">
        <v>966</v>
      </c>
      <c r="D956" s="68" t="s">
        <v>2618</v>
      </c>
      <c r="E956" s="68">
        <v>1</v>
      </c>
      <c r="F956" s="68">
        <v>10010001286</v>
      </c>
      <c r="G956" s="78">
        <v>90909</v>
      </c>
      <c r="H956" s="68" t="s">
        <v>4645</v>
      </c>
      <c r="I956" s="68">
        <v>0</v>
      </c>
      <c r="J956" s="54">
        <v>43830</v>
      </c>
      <c r="K956" s="68">
        <v>62</v>
      </c>
      <c r="L956" s="68" t="s">
        <v>4309</v>
      </c>
    </row>
    <row r="957" spans="1:12" s="68" customFormat="1">
      <c r="A957" s="68">
        <v>422700500</v>
      </c>
      <c r="B957" s="68" t="s">
        <v>2617</v>
      </c>
      <c r="C957" s="68">
        <v>966</v>
      </c>
      <c r="D957" s="68" t="s">
        <v>2618</v>
      </c>
      <c r="E957" s="68">
        <v>1</v>
      </c>
      <c r="F957" s="68">
        <v>10010012410</v>
      </c>
      <c r="G957" s="78">
        <v>206364</v>
      </c>
      <c r="H957" s="68" t="s">
        <v>4646</v>
      </c>
      <c r="I957" s="68">
        <v>0</v>
      </c>
      <c r="J957" s="54">
        <v>43830</v>
      </c>
      <c r="K957" s="68">
        <v>62</v>
      </c>
      <c r="L957" s="68" t="s">
        <v>4309</v>
      </c>
    </row>
    <row r="958" spans="1:12" s="68" customFormat="1">
      <c r="A958" s="68">
        <v>422700500</v>
      </c>
      <c r="B958" s="68" t="s">
        <v>2617</v>
      </c>
      <c r="C958" s="68">
        <v>966</v>
      </c>
      <c r="D958" s="68" t="s">
        <v>2618</v>
      </c>
      <c r="E958" s="68">
        <v>1</v>
      </c>
      <c r="F958" s="68">
        <v>10010013094</v>
      </c>
      <c r="G958" s="78">
        <v>136364</v>
      </c>
      <c r="H958" s="68" t="s">
        <v>4314</v>
      </c>
      <c r="I958" s="68">
        <v>0</v>
      </c>
      <c r="J958" s="54">
        <v>43830</v>
      </c>
      <c r="K958" s="68">
        <v>62</v>
      </c>
      <c r="L958" s="68" t="s">
        <v>4309</v>
      </c>
    </row>
    <row r="959" spans="1:12" s="68" customFormat="1">
      <c r="A959" s="68">
        <v>422700500</v>
      </c>
      <c r="B959" s="68" t="s">
        <v>2617</v>
      </c>
      <c r="C959" s="68">
        <v>966</v>
      </c>
      <c r="D959" s="68" t="s">
        <v>2618</v>
      </c>
      <c r="E959" s="68">
        <v>1</v>
      </c>
      <c r="F959" s="68">
        <v>10010032756</v>
      </c>
      <c r="G959" s="78">
        <v>45455</v>
      </c>
      <c r="H959" s="68" t="s">
        <v>4537</v>
      </c>
      <c r="I959" s="68">
        <v>0</v>
      </c>
      <c r="J959" s="54">
        <v>43830</v>
      </c>
      <c r="K959" s="68">
        <v>62</v>
      </c>
      <c r="L959" s="68" t="s">
        <v>4309</v>
      </c>
    </row>
    <row r="960" spans="1:12" s="68" customFormat="1">
      <c r="A960" s="68">
        <v>422700500</v>
      </c>
      <c r="B960" s="68" t="s">
        <v>2617</v>
      </c>
      <c r="C960" s="68">
        <v>966</v>
      </c>
      <c r="D960" s="68" t="s">
        <v>2618</v>
      </c>
      <c r="E960" s="68">
        <v>1</v>
      </c>
      <c r="F960" s="68">
        <v>10010032811</v>
      </c>
      <c r="G960" s="78">
        <v>90909</v>
      </c>
      <c r="H960" s="68" t="s">
        <v>4647</v>
      </c>
      <c r="I960" s="68">
        <v>0</v>
      </c>
      <c r="J960" s="54">
        <v>43830</v>
      </c>
      <c r="K960" s="68">
        <v>62</v>
      </c>
      <c r="L960" s="68" t="s">
        <v>4309</v>
      </c>
    </row>
    <row r="961" spans="1:12" s="68" customFormat="1">
      <c r="A961" s="68">
        <v>422700500</v>
      </c>
      <c r="B961" s="68" t="s">
        <v>2617</v>
      </c>
      <c r="C961" s="68">
        <v>966</v>
      </c>
      <c r="D961" s="68" t="s">
        <v>2618</v>
      </c>
      <c r="E961" s="68">
        <v>1</v>
      </c>
      <c r="F961" s="68">
        <v>10010036576</v>
      </c>
      <c r="G961" s="78">
        <v>70000</v>
      </c>
      <c r="H961" s="68" t="s">
        <v>4648</v>
      </c>
      <c r="I961" s="68">
        <v>0</v>
      </c>
      <c r="J961" s="54">
        <v>43830</v>
      </c>
      <c r="K961" s="68">
        <v>62</v>
      </c>
      <c r="L961" s="68" t="s">
        <v>4309</v>
      </c>
    </row>
    <row r="962" spans="1:12" s="68" customFormat="1">
      <c r="A962" s="68">
        <v>422700500</v>
      </c>
      <c r="B962" s="68" t="s">
        <v>2617</v>
      </c>
      <c r="C962" s="68">
        <v>966</v>
      </c>
      <c r="D962" s="68" t="s">
        <v>2618</v>
      </c>
      <c r="E962" s="68">
        <v>1</v>
      </c>
      <c r="F962" s="68">
        <v>10010051490</v>
      </c>
      <c r="G962" s="78">
        <v>300000</v>
      </c>
      <c r="H962" s="68" t="s">
        <v>4649</v>
      </c>
      <c r="I962" s="68">
        <v>0</v>
      </c>
      <c r="J962" s="54">
        <v>43830</v>
      </c>
      <c r="K962" s="68">
        <v>62</v>
      </c>
      <c r="L962" s="68" t="s">
        <v>4309</v>
      </c>
    </row>
    <row r="963" spans="1:12" s="68" customFormat="1">
      <c r="A963" s="68">
        <v>422700500</v>
      </c>
      <c r="B963" s="68" t="s">
        <v>2617</v>
      </c>
      <c r="C963" s="68">
        <v>966</v>
      </c>
      <c r="D963" s="68" t="s">
        <v>2618</v>
      </c>
      <c r="E963" s="68">
        <v>1</v>
      </c>
      <c r="F963" s="68">
        <v>10010099178</v>
      </c>
      <c r="G963" s="78">
        <v>306364</v>
      </c>
      <c r="H963" s="68" t="s">
        <v>4650</v>
      </c>
      <c r="I963" s="68">
        <v>0</v>
      </c>
      <c r="J963" s="54">
        <v>43830</v>
      </c>
      <c r="K963" s="68">
        <v>62</v>
      </c>
      <c r="L963" s="68" t="s">
        <v>4309</v>
      </c>
    </row>
    <row r="964" spans="1:12" s="68" customFormat="1">
      <c r="A964" s="68">
        <v>422700500</v>
      </c>
      <c r="B964" s="68" t="s">
        <v>2617</v>
      </c>
      <c r="C964" s="68">
        <v>966</v>
      </c>
      <c r="D964" s="68" t="s">
        <v>2618</v>
      </c>
      <c r="E964" s="68">
        <v>1</v>
      </c>
      <c r="F964" s="68">
        <v>10010099602</v>
      </c>
      <c r="G964" s="78">
        <v>27273</v>
      </c>
      <c r="H964" s="68" t="s">
        <v>4651</v>
      </c>
      <c r="I964" s="68">
        <v>0</v>
      </c>
      <c r="J964" s="54">
        <v>43830</v>
      </c>
      <c r="K964" s="68">
        <v>62</v>
      </c>
      <c r="L964" s="68" t="s">
        <v>4309</v>
      </c>
    </row>
    <row r="965" spans="1:12" s="68" customFormat="1">
      <c r="A965" s="68">
        <v>422700500</v>
      </c>
      <c r="B965" s="68" t="s">
        <v>2617</v>
      </c>
      <c r="C965" s="68">
        <v>966</v>
      </c>
      <c r="D965" s="68" t="s">
        <v>2618</v>
      </c>
      <c r="E965" s="68">
        <v>1</v>
      </c>
      <c r="F965" s="68">
        <v>10010099611</v>
      </c>
      <c r="G965" s="78">
        <v>22727</v>
      </c>
      <c r="H965" s="68" t="s">
        <v>4652</v>
      </c>
      <c r="I965" s="68">
        <v>0</v>
      </c>
      <c r="J965" s="54">
        <v>43830</v>
      </c>
      <c r="K965" s="68">
        <v>62</v>
      </c>
      <c r="L965" s="68" t="s">
        <v>4309</v>
      </c>
    </row>
    <row r="966" spans="1:12" s="68" customFormat="1">
      <c r="A966" s="68">
        <v>422700500</v>
      </c>
      <c r="B966" s="68" t="s">
        <v>2617</v>
      </c>
      <c r="C966" s="68">
        <v>966</v>
      </c>
      <c r="D966" s="68" t="s">
        <v>2618</v>
      </c>
      <c r="E966" s="68">
        <v>1</v>
      </c>
      <c r="F966" s="68">
        <v>10040022762</v>
      </c>
      <c r="G966" s="78">
        <v>27727</v>
      </c>
      <c r="H966" s="68" t="s">
        <v>4653</v>
      </c>
      <c r="I966" s="68">
        <v>0</v>
      </c>
      <c r="J966" s="54">
        <v>43830</v>
      </c>
      <c r="K966" s="68">
        <v>62</v>
      </c>
      <c r="L966" s="68" t="s">
        <v>4309</v>
      </c>
    </row>
    <row r="967" spans="1:12" s="68" customFormat="1">
      <c r="A967" s="68">
        <v>422700500</v>
      </c>
      <c r="B967" s="68" t="s">
        <v>2617</v>
      </c>
      <c r="C967" s="68">
        <v>966</v>
      </c>
      <c r="D967" s="68" t="s">
        <v>2618</v>
      </c>
      <c r="E967" s="68">
        <v>1</v>
      </c>
      <c r="F967" s="68">
        <v>10040033234</v>
      </c>
      <c r="G967" s="78">
        <v>81818</v>
      </c>
      <c r="H967" s="68" t="s">
        <v>4654</v>
      </c>
      <c r="I967" s="68">
        <v>0</v>
      </c>
      <c r="J967" s="54">
        <v>43830</v>
      </c>
      <c r="K967" s="68">
        <v>62</v>
      </c>
      <c r="L967" s="68" t="s">
        <v>4309</v>
      </c>
    </row>
    <row r="968" spans="1:12" s="68" customFormat="1">
      <c r="A968" s="68">
        <v>422700500</v>
      </c>
      <c r="B968" s="68" t="s">
        <v>2617</v>
      </c>
      <c r="C968" s="68">
        <v>966</v>
      </c>
      <c r="D968" s="68" t="s">
        <v>2618</v>
      </c>
      <c r="E968" s="68">
        <v>1</v>
      </c>
      <c r="F968" s="68">
        <v>10080006644</v>
      </c>
      <c r="G968" s="78">
        <v>164545</v>
      </c>
      <c r="H968" s="68" t="s">
        <v>4655</v>
      </c>
      <c r="I968" s="68">
        <v>0</v>
      </c>
      <c r="J968" s="54">
        <v>43830</v>
      </c>
      <c r="K968" s="68">
        <v>62</v>
      </c>
      <c r="L968" s="68" t="s">
        <v>4309</v>
      </c>
    </row>
    <row r="969" spans="1:12" s="68" customFormat="1">
      <c r="A969" s="68">
        <v>422700500</v>
      </c>
      <c r="B969" s="68" t="s">
        <v>2617</v>
      </c>
      <c r="C969" s="68">
        <v>966</v>
      </c>
      <c r="D969" s="68" t="s">
        <v>2618</v>
      </c>
      <c r="E969" s="68">
        <v>1</v>
      </c>
      <c r="F969" s="68">
        <v>20010096781</v>
      </c>
      <c r="G969" s="78">
        <v>105455</v>
      </c>
      <c r="H969" s="68" t="s">
        <v>4656</v>
      </c>
      <c r="I969" s="68">
        <v>0</v>
      </c>
      <c r="J969" s="54">
        <v>43830</v>
      </c>
      <c r="K969" s="68">
        <v>62</v>
      </c>
      <c r="L969" s="68" t="s">
        <v>4309</v>
      </c>
    </row>
    <row r="970" spans="1:12" s="68" customFormat="1">
      <c r="A970" s="68">
        <v>422700500</v>
      </c>
      <c r="B970" s="68" t="s">
        <v>2617</v>
      </c>
      <c r="C970" s="68">
        <v>966</v>
      </c>
      <c r="D970" s="68" t="s">
        <v>2618</v>
      </c>
      <c r="E970" s="68">
        <v>1</v>
      </c>
      <c r="F970" s="68">
        <v>30020005756</v>
      </c>
      <c r="G970" s="78">
        <v>75455</v>
      </c>
      <c r="H970" s="68" t="s">
        <v>4654</v>
      </c>
      <c r="I970" s="68">
        <v>0</v>
      </c>
      <c r="J970" s="54">
        <v>43830</v>
      </c>
      <c r="K970" s="68">
        <v>62</v>
      </c>
      <c r="L970" s="68" t="s">
        <v>4309</v>
      </c>
    </row>
    <row r="971" spans="1:12" s="68" customFormat="1">
      <c r="A971" s="68">
        <v>422700500</v>
      </c>
      <c r="B971" s="68" t="s">
        <v>2617</v>
      </c>
      <c r="C971" s="68">
        <v>966</v>
      </c>
      <c r="D971" s="68" t="s">
        <v>2618</v>
      </c>
      <c r="E971" s="68">
        <v>1</v>
      </c>
      <c r="F971" s="68">
        <v>50010474914</v>
      </c>
      <c r="G971" s="78">
        <v>106182</v>
      </c>
      <c r="H971" s="68" t="s">
        <v>4657</v>
      </c>
      <c r="I971" s="68">
        <v>0</v>
      </c>
      <c r="J971" s="54">
        <v>43830</v>
      </c>
      <c r="K971" s="68">
        <v>62</v>
      </c>
      <c r="L971" s="68" t="s">
        <v>4309</v>
      </c>
    </row>
    <row r="972" spans="1:12" s="68" customFormat="1">
      <c r="A972" s="68">
        <v>422700500</v>
      </c>
      <c r="B972" s="68" t="s">
        <v>2617</v>
      </c>
      <c r="C972" s="68">
        <v>966</v>
      </c>
      <c r="D972" s="68" t="s">
        <v>2618</v>
      </c>
      <c r="E972" s="68">
        <v>2</v>
      </c>
      <c r="F972" s="68">
        <v>70010036388</v>
      </c>
      <c r="G972" s="78">
        <v>278182</v>
      </c>
      <c r="H972" s="68" t="s">
        <v>4658</v>
      </c>
      <c r="I972" s="68">
        <v>0</v>
      </c>
      <c r="J972" s="54">
        <v>43483</v>
      </c>
      <c r="L972" s="68" t="s">
        <v>2076</v>
      </c>
    </row>
    <row r="973" spans="1:12" s="68" customFormat="1">
      <c r="A973" s="68">
        <v>422700500</v>
      </c>
      <c r="B973" s="68" t="s">
        <v>2617</v>
      </c>
      <c r="C973" s="68">
        <v>966</v>
      </c>
      <c r="D973" s="68" t="s">
        <v>2618</v>
      </c>
      <c r="E973" s="68">
        <v>2</v>
      </c>
      <c r="F973" s="68">
        <v>70010037544</v>
      </c>
      <c r="G973" s="78">
        <v>51818</v>
      </c>
      <c r="H973" s="68" t="s">
        <v>4659</v>
      </c>
      <c r="I973" s="68">
        <v>0</v>
      </c>
      <c r="J973" s="54">
        <v>43503</v>
      </c>
      <c r="L973" s="68" t="s">
        <v>2076</v>
      </c>
    </row>
    <row r="974" spans="1:12" s="68" customFormat="1">
      <c r="A974" s="68">
        <v>422700500</v>
      </c>
      <c r="B974" s="68" t="s">
        <v>2617</v>
      </c>
      <c r="C974" s="68">
        <v>966</v>
      </c>
      <c r="D974" s="68" t="s">
        <v>2618</v>
      </c>
      <c r="E974" s="68">
        <v>2</v>
      </c>
      <c r="F974" s="68">
        <v>70010038723</v>
      </c>
      <c r="G974" s="78">
        <v>108182</v>
      </c>
      <c r="H974" s="68" t="s">
        <v>4660</v>
      </c>
      <c r="I974" s="68">
        <v>0</v>
      </c>
      <c r="J974" s="54">
        <v>43523</v>
      </c>
      <c r="L974" s="68" t="s">
        <v>2076</v>
      </c>
    </row>
    <row r="975" spans="1:12" s="68" customFormat="1">
      <c r="A975" s="68">
        <v>422700500</v>
      </c>
      <c r="B975" s="68" t="s">
        <v>2617</v>
      </c>
      <c r="C975" s="68">
        <v>966</v>
      </c>
      <c r="D975" s="68" t="s">
        <v>2618</v>
      </c>
      <c r="E975" s="68">
        <v>2</v>
      </c>
      <c r="F975" s="68">
        <v>10020008010</v>
      </c>
      <c r="G975" s="78">
        <v>225455</v>
      </c>
      <c r="H975" s="68" t="s">
        <v>4661</v>
      </c>
      <c r="I975" s="68">
        <v>0</v>
      </c>
      <c r="J975" s="54">
        <v>43535</v>
      </c>
      <c r="L975" s="68" t="s">
        <v>2076</v>
      </c>
    </row>
    <row r="976" spans="1:12" s="68" customFormat="1">
      <c r="A976" s="68">
        <v>422700500</v>
      </c>
      <c r="B976" s="68" t="s">
        <v>2617</v>
      </c>
      <c r="C976" s="68">
        <v>966</v>
      </c>
      <c r="D976" s="68" t="s">
        <v>2618</v>
      </c>
      <c r="E976" s="68">
        <v>2</v>
      </c>
      <c r="F976" s="68">
        <v>70010039967</v>
      </c>
      <c r="G976" s="78">
        <v>574545</v>
      </c>
      <c r="H976" s="68" t="s">
        <v>4662</v>
      </c>
      <c r="I976" s="68">
        <v>0</v>
      </c>
      <c r="J976" s="54">
        <v>43549</v>
      </c>
      <c r="L976" s="68" t="s">
        <v>2076</v>
      </c>
    </row>
    <row r="977" spans="1:12" s="68" customFormat="1">
      <c r="A977" s="68">
        <v>422700500</v>
      </c>
      <c r="B977" s="68" t="s">
        <v>2617</v>
      </c>
      <c r="C977" s="68">
        <v>966</v>
      </c>
      <c r="D977" s="68" t="s">
        <v>2618</v>
      </c>
      <c r="E977" s="68">
        <v>2</v>
      </c>
      <c r="F977" s="68">
        <v>70010041451</v>
      </c>
      <c r="G977" s="78">
        <v>103636</v>
      </c>
      <c r="H977" s="68" t="s">
        <v>4663</v>
      </c>
      <c r="I977" s="68">
        <v>0</v>
      </c>
      <c r="J977" s="54">
        <v>43584</v>
      </c>
      <c r="L977" s="68" t="s">
        <v>2076</v>
      </c>
    </row>
    <row r="978" spans="1:12" s="68" customFormat="1">
      <c r="A978" s="68">
        <v>422700500</v>
      </c>
      <c r="B978" s="68" t="s">
        <v>2617</v>
      </c>
      <c r="C978" s="68">
        <v>966</v>
      </c>
      <c r="D978" s="68" t="s">
        <v>2618</v>
      </c>
      <c r="E978" s="68">
        <v>2</v>
      </c>
      <c r="F978" s="68">
        <v>70010044731</v>
      </c>
      <c r="G978" s="78">
        <v>45454</v>
      </c>
      <c r="H978" s="68" t="s">
        <v>4664</v>
      </c>
      <c r="I978" s="68">
        <v>0</v>
      </c>
      <c r="J978" s="54">
        <v>43664</v>
      </c>
      <c r="L978" s="68" t="s">
        <v>2076</v>
      </c>
    </row>
    <row r="979" spans="1:12" s="68" customFormat="1">
      <c r="A979" s="68">
        <v>422700500</v>
      </c>
      <c r="B979" s="68" t="s">
        <v>2617</v>
      </c>
      <c r="C979" s="68">
        <v>966</v>
      </c>
      <c r="D979" s="68" t="s">
        <v>2618</v>
      </c>
      <c r="E979" s="68">
        <v>2</v>
      </c>
      <c r="F979" s="68">
        <v>70010045323</v>
      </c>
      <c r="G979" s="78">
        <v>141818</v>
      </c>
      <c r="H979" s="68" t="s">
        <v>4665</v>
      </c>
      <c r="I979" s="68">
        <v>0</v>
      </c>
      <c r="J979" s="54">
        <v>43664</v>
      </c>
      <c r="L979" s="68" t="s">
        <v>2076</v>
      </c>
    </row>
    <row r="980" spans="1:12" s="68" customFormat="1">
      <c r="A980" s="68">
        <v>422700500</v>
      </c>
      <c r="B980" s="68" t="s">
        <v>2617</v>
      </c>
      <c r="C980" s="68">
        <v>966</v>
      </c>
      <c r="D980" s="68" t="s">
        <v>2618</v>
      </c>
      <c r="E980" s="68">
        <v>2</v>
      </c>
      <c r="F980" s="68">
        <v>110010104881</v>
      </c>
      <c r="G980" s="78">
        <v>18182</v>
      </c>
      <c r="H980" s="68" t="s">
        <v>4666</v>
      </c>
      <c r="I980" s="68">
        <v>0</v>
      </c>
      <c r="J980" s="54">
        <v>43675</v>
      </c>
      <c r="L980" s="68" t="s">
        <v>2076</v>
      </c>
    </row>
    <row r="981" spans="1:12" s="68" customFormat="1">
      <c r="A981" s="68">
        <v>422700500</v>
      </c>
      <c r="B981" s="68" t="s">
        <v>2617</v>
      </c>
      <c r="C981" s="68">
        <v>966</v>
      </c>
      <c r="D981" s="68" t="s">
        <v>2618</v>
      </c>
      <c r="E981" s="68">
        <v>2</v>
      </c>
      <c r="F981" s="68">
        <v>10020009032</v>
      </c>
      <c r="G981" s="78">
        <v>113636</v>
      </c>
      <c r="H981" s="68" t="s">
        <v>4667</v>
      </c>
      <c r="I981" s="68">
        <v>0</v>
      </c>
      <c r="J981" s="54">
        <v>43677</v>
      </c>
      <c r="L981" s="68" t="s">
        <v>2076</v>
      </c>
    </row>
    <row r="982" spans="1:12" s="68" customFormat="1">
      <c r="A982" s="68">
        <v>422700500</v>
      </c>
      <c r="B982" s="68" t="s">
        <v>2617</v>
      </c>
      <c r="C982" s="68">
        <v>966</v>
      </c>
      <c r="D982" s="68" t="s">
        <v>2618</v>
      </c>
      <c r="E982" s="68">
        <v>2</v>
      </c>
      <c r="F982" s="68">
        <v>10020085323</v>
      </c>
      <c r="G982" s="78">
        <v>224891</v>
      </c>
      <c r="H982" s="68" t="s">
        <v>4668</v>
      </c>
      <c r="I982" s="68">
        <v>0</v>
      </c>
      <c r="J982" s="54">
        <v>43684</v>
      </c>
      <c r="L982" s="68" t="s">
        <v>2076</v>
      </c>
    </row>
    <row r="983" spans="1:12" s="68" customFormat="1">
      <c r="A983" s="68">
        <v>422700500</v>
      </c>
      <c r="B983" s="68" t="s">
        <v>2617</v>
      </c>
      <c r="C983" s="68">
        <v>966</v>
      </c>
      <c r="D983" s="68" t="s">
        <v>2618</v>
      </c>
      <c r="E983" s="68">
        <v>2</v>
      </c>
      <c r="F983" s="68">
        <v>10020046516</v>
      </c>
      <c r="G983" s="78">
        <v>31383</v>
      </c>
      <c r="H983" s="68" t="s">
        <v>4669</v>
      </c>
      <c r="I983" s="68">
        <v>0</v>
      </c>
      <c r="J983" s="54">
        <v>43685</v>
      </c>
      <c r="L983" s="68" t="s">
        <v>2076</v>
      </c>
    </row>
    <row r="984" spans="1:12" s="68" customFormat="1">
      <c r="A984" s="68">
        <v>422700500</v>
      </c>
      <c r="B984" s="68" t="s">
        <v>2617</v>
      </c>
      <c r="C984" s="68">
        <v>966</v>
      </c>
      <c r="D984" s="68" t="s">
        <v>2618</v>
      </c>
      <c r="E984" s="68">
        <v>2</v>
      </c>
      <c r="F984" s="68">
        <v>10020009150</v>
      </c>
      <c r="G984" s="78">
        <v>159091</v>
      </c>
      <c r="H984" s="68" t="s">
        <v>4670</v>
      </c>
      <c r="I984" s="68">
        <v>0</v>
      </c>
      <c r="J984" s="54">
        <v>43707</v>
      </c>
      <c r="L984" s="68" t="s">
        <v>2076</v>
      </c>
    </row>
    <row r="985" spans="1:12" s="68" customFormat="1">
      <c r="A985" s="68">
        <v>422700500</v>
      </c>
      <c r="B985" s="68" t="s">
        <v>2617</v>
      </c>
      <c r="C985" s="68">
        <v>966</v>
      </c>
      <c r="D985" s="68" t="s">
        <v>2618</v>
      </c>
      <c r="E985" s="68">
        <v>2</v>
      </c>
      <c r="F985" s="68">
        <v>10020009321</v>
      </c>
      <c r="G985" s="78">
        <v>40636</v>
      </c>
      <c r="H985" s="68" t="s">
        <v>4671</v>
      </c>
      <c r="I985" s="68">
        <v>0</v>
      </c>
      <c r="J985" s="54">
        <v>43708</v>
      </c>
      <c r="L985" s="68" t="s">
        <v>2076</v>
      </c>
    </row>
    <row r="986" spans="1:12" s="68" customFormat="1">
      <c r="A986" s="68">
        <v>422700500</v>
      </c>
      <c r="B986" s="68" t="s">
        <v>2617</v>
      </c>
      <c r="C986" s="68">
        <v>966</v>
      </c>
      <c r="D986" s="68" t="s">
        <v>2618</v>
      </c>
      <c r="E986" s="68">
        <v>2</v>
      </c>
      <c r="F986" s="68">
        <v>10020009327</v>
      </c>
      <c r="G986" s="78">
        <v>47273</v>
      </c>
      <c r="H986" s="68" t="s">
        <v>4672</v>
      </c>
      <c r="I986" s="68">
        <v>0</v>
      </c>
      <c r="J986" s="54">
        <v>43708</v>
      </c>
      <c r="L986" s="68" t="s">
        <v>2076</v>
      </c>
    </row>
    <row r="987" spans="1:12" s="68" customFormat="1">
      <c r="A987" s="68">
        <v>422700500</v>
      </c>
      <c r="B987" s="68" t="s">
        <v>2617</v>
      </c>
      <c r="C987" s="68">
        <v>966</v>
      </c>
      <c r="D987" s="68" t="s">
        <v>2618</v>
      </c>
      <c r="E987" s="68">
        <v>2</v>
      </c>
      <c r="F987" s="68">
        <v>110010106397</v>
      </c>
      <c r="G987" s="78">
        <v>191636</v>
      </c>
      <c r="H987" s="68" t="s">
        <v>4673</v>
      </c>
      <c r="I987" s="68">
        <v>0</v>
      </c>
      <c r="J987" s="54">
        <v>43708</v>
      </c>
      <c r="L987" s="68" t="s">
        <v>2076</v>
      </c>
    </row>
    <row r="988" spans="1:12" s="68" customFormat="1">
      <c r="A988" s="68">
        <v>422700500</v>
      </c>
      <c r="B988" s="68" t="s">
        <v>2617</v>
      </c>
      <c r="C988" s="68">
        <v>966</v>
      </c>
      <c r="D988" s="68" t="s">
        <v>2618</v>
      </c>
      <c r="E988" s="68">
        <v>2</v>
      </c>
      <c r="F988" s="68">
        <v>10020177386</v>
      </c>
      <c r="G988" s="78">
        <v>58910</v>
      </c>
      <c r="H988" s="68" t="s">
        <v>4674</v>
      </c>
      <c r="I988" s="68">
        <v>0</v>
      </c>
      <c r="J988" s="54">
        <v>43713</v>
      </c>
      <c r="L988" s="68" t="s">
        <v>2076</v>
      </c>
    </row>
    <row r="989" spans="1:12" s="68" customFormat="1">
      <c r="A989" s="68">
        <v>422700500</v>
      </c>
      <c r="B989" s="68" t="s">
        <v>2617</v>
      </c>
      <c r="C989" s="68">
        <v>966</v>
      </c>
      <c r="D989" s="68" t="s">
        <v>2618</v>
      </c>
      <c r="E989" s="68">
        <v>2</v>
      </c>
      <c r="F989" s="68">
        <v>10020009605</v>
      </c>
      <c r="G989" s="78">
        <v>177273</v>
      </c>
      <c r="H989" s="68" t="s">
        <v>4675</v>
      </c>
      <c r="I989" s="68">
        <v>0</v>
      </c>
      <c r="J989" s="54">
        <v>43738</v>
      </c>
      <c r="L989" s="68" t="s">
        <v>2076</v>
      </c>
    </row>
    <row r="990" spans="1:12" s="68" customFormat="1">
      <c r="A990" s="68">
        <v>422700500</v>
      </c>
      <c r="B990" s="68" t="s">
        <v>2617</v>
      </c>
      <c r="C990" s="68">
        <v>966</v>
      </c>
      <c r="D990" s="68" t="s">
        <v>2618</v>
      </c>
      <c r="E990" s="68">
        <v>2</v>
      </c>
      <c r="F990" s="68">
        <v>10020009652</v>
      </c>
      <c r="G990" s="78">
        <v>33636</v>
      </c>
      <c r="H990" s="68" t="s">
        <v>4676</v>
      </c>
      <c r="I990" s="68">
        <v>0</v>
      </c>
      <c r="J990" s="54">
        <v>43738</v>
      </c>
      <c r="L990" s="68" t="s">
        <v>2076</v>
      </c>
    </row>
    <row r="991" spans="1:12" s="68" customFormat="1">
      <c r="A991" s="68">
        <v>422700500</v>
      </c>
      <c r="B991" s="68" t="s">
        <v>2617</v>
      </c>
      <c r="C991" s="68">
        <v>966</v>
      </c>
      <c r="D991" s="68" t="s">
        <v>2618</v>
      </c>
      <c r="E991" s="68">
        <v>2</v>
      </c>
      <c r="F991" s="68">
        <v>10020009660</v>
      </c>
      <c r="G991" s="78">
        <v>168182</v>
      </c>
      <c r="H991" s="68" t="s">
        <v>4677</v>
      </c>
      <c r="I991" s="68">
        <v>0</v>
      </c>
      <c r="J991" s="54">
        <v>43738</v>
      </c>
      <c r="L991" s="68" t="s">
        <v>2076</v>
      </c>
    </row>
    <row r="992" spans="1:12" s="68" customFormat="1">
      <c r="A992" s="68">
        <v>422700500</v>
      </c>
      <c r="B992" s="68" t="s">
        <v>2617</v>
      </c>
      <c r="C992" s="68">
        <v>966</v>
      </c>
      <c r="D992" s="68" t="s">
        <v>2618</v>
      </c>
      <c r="E992" s="68">
        <v>2</v>
      </c>
      <c r="F992" s="68">
        <v>110010107927</v>
      </c>
      <c r="G992" s="78">
        <v>95455</v>
      </c>
      <c r="H992" s="68" t="s">
        <v>4678</v>
      </c>
      <c r="I992" s="68">
        <v>0</v>
      </c>
      <c r="J992" s="54">
        <v>43738</v>
      </c>
      <c r="L992" s="68" t="s">
        <v>2076</v>
      </c>
    </row>
    <row r="993" spans="1:12" s="68" customFormat="1">
      <c r="A993" s="68">
        <v>422700500</v>
      </c>
      <c r="B993" s="68" t="s">
        <v>2617</v>
      </c>
      <c r="C993" s="68">
        <v>966</v>
      </c>
      <c r="D993" s="68" t="s">
        <v>2618</v>
      </c>
      <c r="E993" s="68">
        <v>2</v>
      </c>
      <c r="F993" s="68">
        <v>110010108890</v>
      </c>
      <c r="G993" s="78">
        <v>219119</v>
      </c>
      <c r="H993" s="68" t="s">
        <v>4679</v>
      </c>
      <c r="I993" s="68">
        <v>0</v>
      </c>
      <c r="J993" s="54">
        <v>43746</v>
      </c>
      <c r="L993" s="68" t="s">
        <v>2076</v>
      </c>
    </row>
    <row r="994" spans="1:12" s="68" customFormat="1">
      <c r="A994" s="68">
        <v>422700500</v>
      </c>
      <c r="B994" s="68" t="s">
        <v>2617</v>
      </c>
      <c r="C994" s="68">
        <v>966</v>
      </c>
      <c r="D994" s="68" t="s">
        <v>2618</v>
      </c>
      <c r="E994" s="68">
        <v>2</v>
      </c>
      <c r="F994" s="68">
        <v>10010115832</v>
      </c>
      <c r="G994" s="78">
        <v>364545</v>
      </c>
      <c r="H994" s="68" t="s">
        <v>4680</v>
      </c>
      <c r="I994" s="68">
        <v>0</v>
      </c>
      <c r="J994" s="54">
        <v>43752</v>
      </c>
      <c r="L994" s="68" t="s">
        <v>2076</v>
      </c>
    </row>
    <row r="995" spans="1:12" s="68" customFormat="1">
      <c r="A995" s="68">
        <v>422700500</v>
      </c>
      <c r="B995" s="68" t="s">
        <v>2617</v>
      </c>
      <c r="C995" s="68">
        <v>966</v>
      </c>
      <c r="D995" s="68" t="s">
        <v>2618</v>
      </c>
      <c r="E995" s="68">
        <v>2</v>
      </c>
      <c r="F995" s="68">
        <v>110010109175</v>
      </c>
      <c r="G995" s="78">
        <v>244326</v>
      </c>
      <c r="H995" s="68" t="s">
        <v>4681</v>
      </c>
      <c r="I995" s="68">
        <v>0</v>
      </c>
      <c r="J995" s="54">
        <v>43753</v>
      </c>
      <c r="L995" s="68" t="s">
        <v>2076</v>
      </c>
    </row>
    <row r="996" spans="1:12" s="68" customFormat="1">
      <c r="A996" s="68">
        <v>422700500</v>
      </c>
      <c r="B996" s="68" t="s">
        <v>2617</v>
      </c>
      <c r="C996" s="68">
        <v>966</v>
      </c>
      <c r="D996" s="68" t="s">
        <v>2618</v>
      </c>
      <c r="E996" s="68">
        <v>2</v>
      </c>
      <c r="F996" s="68">
        <v>110010109512</v>
      </c>
      <c r="G996" s="78">
        <v>239091</v>
      </c>
      <c r="H996" s="68" t="s">
        <v>4682</v>
      </c>
      <c r="I996" s="68">
        <v>0</v>
      </c>
      <c r="J996" s="54">
        <v>43756</v>
      </c>
      <c r="L996" s="68" t="s">
        <v>2076</v>
      </c>
    </row>
    <row r="997" spans="1:12" s="68" customFormat="1">
      <c r="A997" s="68">
        <v>422700500</v>
      </c>
      <c r="B997" s="68" t="s">
        <v>2617</v>
      </c>
      <c r="C997" s="68">
        <v>966</v>
      </c>
      <c r="D997" s="68" t="s">
        <v>2618</v>
      </c>
      <c r="E997" s="68">
        <v>2</v>
      </c>
      <c r="F997" s="68">
        <v>10010000407</v>
      </c>
      <c r="G997" s="78">
        <v>218182</v>
      </c>
      <c r="H997" s="68" t="s">
        <v>4683</v>
      </c>
      <c r="I997" s="68">
        <v>0</v>
      </c>
      <c r="J997" s="54">
        <v>43769</v>
      </c>
      <c r="L997" s="68" t="s">
        <v>2076</v>
      </c>
    </row>
    <row r="998" spans="1:12" s="68" customFormat="1">
      <c r="A998" s="68">
        <v>422700500</v>
      </c>
      <c r="B998" s="68" t="s">
        <v>2617</v>
      </c>
      <c r="C998" s="68">
        <v>966</v>
      </c>
      <c r="D998" s="68" t="s">
        <v>2618</v>
      </c>
      <c r="E998" s="68">
        <v>2</v>
      </c>
      <c r="F998" s="68">
        <v>10020009785</v>
      </c>
      <c r="G998" s="78">
        <v>54909</v>
      </c>
      <c r="H998" s="68" t="s">
        <v>4684</v>
      </c>
      <c r="I998" s="68">
        <v>0</v>
      </c>
      <c r="J998" s="54">
        <v>43769</v>
      </c>
      <c r="L998" s="68" t="s">
        <v>2076</v>
      </c>
    </row>
    <row r="999" spans="1:12" s="68" customFormat="1">
      <c r="A999" s="68">
        <v>422700500</v>
      </c>
      <c r="B999" s="68" t="s">
        <v>2617</v>
      </c>
      <c r="C999" s="68">
        <v>966</v>
      </c>
      <c r="D999" s="68" t="s">
        <v>2618</v>
      </c>
      <c r="E999" s="68">
        <v>2</v>
      </c>
      <c r="F999" s="68">
        <v>10020009875</v>
      </c>
      <c r="G999" s="78">
        <v>204545</v>
      </c>
      <c r="H999" s="68" t="s">
        <v>4685</v>
      </c>
      <c r="I999" s="68">
        <v>0</v>
      </c>
      <c r="J999" s="54">
        <v>43769</v>
      </c>
      <c r="L999" s="68" t="s">
        <v>2076</v>
      </c>
    </row>
    <row r="1000" spans="1:12" s="68" customFormat="1">
      <c r="A1000" s="68">
        <v>422700500</v>
      </c>
      <c r="B1000" s="68" t="s">
        <v>2617</v>
      </c>
      <c r="C1000" s="68">
        <v>966</v>
      </c>
      <c r="D1000" s="68" t="s">
        <v>2618</v>
      </c>
      <c r="E1000" s="68">
        <v>2</v>
      </c>
      <c r="F1000" s="68">
        <v>10020009880</v>
      </c>
      <c r="G1000" s="78">
        <v>174545</v>
      </c>
      <c r="H1000" s="68" t="s">
        <v>4686</v>
      </c>
      <c r="I1000" s="68">
        <v>0</v>
      </c>
      <c r="J1000" s="54">
        <v>43769</v>
      </c>
      <c r="L1000" s="68" t="s">
        <v>2076</v>
      </c>
    </row>
    <row r="1001" spans="1:12" s="68" customFormat="1">
      <c r="A1001" s="68">
        <v>422700500</v>
      </c>
      <c r="B1001" s="68" t="s">
        <v>2617</v>
      </c>
      <c r="C1001" s="68">
        <v>966</v>
      </c>
      <c r="D1001" s="68" t="s">
        <v>2618</v>
      </c>
      <c r="E1001" s="68">
        <v>2</v>
      </c>
      <c r="F1001" s="68">
        <v>10020230532</v>
      </c>
      <c r="G1001" s="78">
        <v>54545</v>
      </c>
      <c r="H1001" s="68" t="s">
        <v>4687</v>
      </c>
      <c r="I1001" s="68">
        <v>0</v>
      </c>
      <c r="J1001" s="54">
        <v>43773</v>
      </c>
      <c r="L1001" s="68" t="s">
        <v>2076</v>
      </c>
    </row>
    <row r="1002" spans="1:12" s="68" customFormat="1">
      <c r="A1002" s="68">
        <v>422700500</v>
      </c>
      <c r="B1002" s="68" t="s">
        <v>2617</v>
      </c>
      <c r="C1002" s="68">
        <v>966</v>
      </c>
      <c r="D1002" s="68" t="s">
        <v>2618</v>
      </c>
      <c r="E1002" s="68">
        <v>2</v>
      </c>
      <c r="F1002" s="68">
        <v>10020047653</v>
      </c>
      <c r="G1002" s="78">
        <v>45745</v>
      </c>
      <c r="H1002" s="68" t="s">
        <v>4688</v>
      </c>
      <c r="I1002" s="68">
        <v>0</v>
      </c>
      <c r="J1002" s="54">
        <v>43790</v>
      </c>
      <c r="L1002" s="68" t="s">
        <v>2076</v>
      </c>
    </row>
    <row r="1003" spans="1:12" s="68" customFormat="1">
      <c r="A1003" s="68">
        <v>422700500</v>
      </c>
      <c r="B1003" s="68" t="s">
        <v>2617</v>
      </c>
      <c r="C1003" s="68">
        <v>966</v>
      </c>
      <c r="D1003" s="68" t="s">
        <v>2618</v>
      </c>
      <c r="E1003" s="68">
        <v>2</v>
      </c>
      <c r="F1003" s="68">
        <v>10020009969</v>
      </c>
      <c r="G1003" s="78">
        <v>183182</v>
      </c>
      <c r="H1003" s="68" t="s">
        <v>4689</v>
      </c>
      <c r="I1003" s="68">
        <v>0</v>
      </c>
      <c r="J1003" s="54">
        <v>43799</v>
      </c>
      <c r="L1003" s="68" t="s">
        <v>2076</v>
      </c>
    </row>
    <row r="1004" spans="1:12" s="68" customFormat="1">
      <c r="A1004" s="68">
        <v>422700500</v>
      </c>
      <c r="B1004" s="68" t="s">
        <v>2617</v>
      </c>
      <c r="C1004" s="68">
        <v>966</v>
      </c>
      <c r="D1004" s="68" t="s">
        <v>2618</v>
      </c>
      <c r="E1004" s="68">
        <v>2</v>
      </c>
      <c r="F1004" s="68">
        <v>10020010067</v>
      </c>
      <c r="G1004" s="78">
        <v>203182</v>
      </c>
      <c r="H1004" s="68" t="s">
        <v>4690</v>
      </c>
      <c r="I1004" s="68">
        <v>0</v>
      </c>
      <c r="J1004" s="54">
        <v>43799</v>
      </c>
      <c r="L1004" s="68" t="s">
        <v>2076</v>
      </c>
    </row>
    <row r="1005" spans="1:12" s="68" customFormat="1">
      <c r="A1005" s="68">
        <v>422700500</v>
      </c>
      <c r="B1005" s="68" t="s">
        <v>2617</v>
      </c>
      <c r="C1005" s="68">
        <v>966</v>
      </c>
      <c r="D1005" s="68" t="s">
        <v>2618</v>
      </c>
      <c r="E1005" s="68">
        <v>2</v>
      </c>
      <c r="F1005" s="68">
        <v>10020010243</v>
      </c>
      <c r="G1005" s="78">
        <v>263636</v>
      </c>
      <c r="H1005" s="68" t="s">
        <v>4691</v>
      </c>
      <c r="I1005" s="68">
        <v>0</v>
      </c>
      <c r="J1005" s="54">
        <v>43809</v>
      </c>
      <c r="L1005" s="68" t="s">
        <v>2076</v>
      </c>
    </row>
    <row r="1006" spans="1:12" s="68" customFormat="1">
      <c r="A1006" s="68">
        <v>422700500</v>
      </c>
      <c r="B1006" s="68" t="s">
        <v>2617</v>
      </c>
      <c r="C1006" s="68">
        <v>966</v>
      </c>
      <c r="D1006" s="68" t="s">
        <v>2618</v>
      </c>
      <c r="E1006" s="68">
        <v>2</v>
      </c>
      <c r="F1006" s="68">
        <v>10020263838</v>
      </c>
      <c r="G1006" s="78">
        <v>74645</v>
      </c>
      <c r="H1006" s="68" t="s">
        <v>4692</v>
      </c>
      <c r="I1006" s="68">
        <v>0</v>
      </c>
      <c r="J1006" s="54">
        <v>43810</v>
      </c>
      <c r="L1006" s="68" t="s">
        <v>2076</v>
      </c>
    </row>
    <row r="1007" spans="1:12" s="68" customFormat="1">
      <c r="A1007" s="68">
        <v>422700500</v>
      </c>
      <c r="B1007" s="68" t="s">
        <v>2617</v>
      </c>
      <c r="C1007" s="68">
        <v>966</v>
      </c>
      <c r="D1007" s="68" t="s">
        <v>2618</v>
      </c>
      <c r="E1007" s="68">
        <v>2</v>
      </c>
      <c r="F1007" s="68">
        <v>10010010713</v>
      </c>
      <c r="G1007" s="78">
        <v>765600</v>
      </c>
      <c r="H1007" s="68" t="s">
        <v>4693</v>
      </c>
      <c r="I1007" s="68">
        <v>0</v>
      </c>
      <c r="J1007" s="54">
        <v>43829</v>
      </c>
      <c r="L1007" s="68" t="s">
        <v>2076</v>
      </c>
    </row>
    <row r="1008" spans="1:12" s="68" customFormat="1">
      <c r="A1008" s="68">
        <v>422700500</v>
      </c>
      <c r="B1008" s="68" t="s">
        <v>2617</v>
      </c>
      <c r="C1008" s="68">
        <v>966</v>
      </c>
      <c r="D1008" s="68" t="s">
        <v>2618</v>
      </c>
      <c r="E1008" s="68">
        <v>2</v>
      </c>
      <c r="F1008" s="68">
        <v>10020010313</v>
      </c>
      <c r="G1008" s="78">
        <v>213182</v>
      </c>
      <c r="H1008" s="68" t="s">
        <v>4694</v>
      </c>
      <c r="I1008" s="68">
        <v>0</v>
      </c>
      <c r="J1008" s="54">
        <v>43829</v>
      </c>
      <c r="L1008" s="68" t="s">
        <v>2076</v>
      </c>
    </row>
    <row r="1009" spans="1:12" s="68" customFormat="1">
      <c r="A1009" s="68">
        <v>422700500</v>
      </c>
      <c r="B1009" s="68" t="s">
        <v>2617</v>
      </c>
      <c r="C1009" s="68">
        <v>966</v>
      </c>
      <c r="D1009" s="68" t="s">
        <v>2618</v>
      </c>
      <c r="E1009" s="68">
        <v>2</v>
      </c>
      <c r="F1009" s="68">
        <v>10020010318</v>
      </c>
      <c r="G1009" s="78">
        <v>163636</v>
      </c>
      <c r="H1009" s="68" t="s">
        <v>4509</v>
      </c>
      <c r="I1009" s="68">
        <v>0</v>
      </c>
      <c r="J1009" s="54">
        <v>43829</v>
      </c>
      <c r="L1009" s="68" t="s">
        <v>2076</v>
      </c>
    </row>
    <row r="1010" spans="1:12" s="68" customFormat="1">
      <c r="A1010" s="68">
        <v>422700500</v>
      </c>
      <c r="B1010" s="68" t="s">
        <v>2617</v>
      </c>
      <c r="C1010" s="68">
        <v>966</v>
      </c>
      <c r="D1010" s="68" t="s">
        <v>2618</v>
      </c>
      <c r="E1010" s="68">
        <v>2</v>
      </c>
      <c r="F1010" s="68">
        <v>10020010341</v>
      </c>
      <c r="G1010" s="78">
        <v>47727</v>
      </c>
      <c r="H1010" s="68" t="s">
        <v>4695</v>
      </c>
      <c r="I1010" s="68">
        <v>0</v>
      </c>
      <c r="J1010" s="54">
        <v>43829</v>
      </c>
      <c r="L1010" s="68" t="s">
        <v>2076</v>
      </c>
    </row>
    <row r="1011" spans="1:12" ht="14" thickBot="1">
      <c r="G1011" s="79">
        <f>SUM(G621:G1010)</f>
        <v>40776192</v>
      </c>
    </row>
    <row r="1013" spans="1:12" s="68" customFormat="1">
      <c r="A1013" s="68">
        <v>431010400</v>
      </c>
      <c r="B1013" s="68" t="s">
        <v>4696</v>
      </c>
      <c r="C1013" s="68">
        <v>493</v>
      </c>
      <c r="D1013" s="68" t="s">
        <v>4697</v>
      </c>
      <c r="E1013" s="68">
        <v>16</v>
      </c>
      <c r="F1013" s="68">
        <v>20010000757</v>
      </c>
      <c r="G1013" s="78">
        <v>29000000</v>
      </c>
      <c r="H1013" s="68" t="s">
        <v>4698</v>
      </c>
      <c r="I1013" s="68">
        <v>0</v>
      </c>
      <c r="J1013" s="54">
        <v>43677</v>
      </c>
      <c r="L1013" s="68" t="s">
        <v>2076</v>
      </c>
    </row>
    <row r="1014" spans="1:12" s="68" customFormat="1">
      <c r="A1014" s="68">
        <v>431010400</v>
      </c>
      <c r="B1014" s="68" t="s">
        <v>4696</v>
      </c>
      <c r="C1014" s="68">
        <v>493</v>
      </c>
      <c r="D1014" s="68" t="s">
        <v>4697</v>
      </c>
      <c r="E1014" s="68">
        <v>16</v>
      </c>
      <c r="F1014" s="68">
        <v>20010000800</v>
      </c>
      <c r="G1014" s="78">
        <v>71208177</v>
      </c>
      <c r="H1014" s="68" t="s">
        <v>4699</v>
      </c>
      <c r="I1014" s="68">
        <v>0</v>
      </c>
      <c r="J1014" s="54">
        <v>43810</v>
      </c>
      <c r="L1014" s="68" t="s">
        <v>2076</v>
      </c>
    </row>
    <row r="1015" spans="1:12" ht="14" thickBot="1">
      <c r="G1015" s="79">
        <f>SUM(G1013:G1014)</f>
        <v>100208177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J70"/>
  <sheetViews>
    <sheetView showGridLines="0" topLeftCell="A6" zoomScale="96" zoomScaleNormal="115" zoomScaleSheetLayoutView="130" workbookViewId="0">
      <selection activeCell="L33" sqref="L33"/>
    </sheetView>
  </sheetViews>
  <sheetFormatPr baseColWidth="10" defaultColWidth="11.5" defaultRowHeight="13"/>
  <cols>
    <col min="1" max="1" width="4.6640625" style="241" customWidth="1"/>
    <col min="2" max="2" width="4.5" style="1" customWidth="1"/>
    <col min="3" max="3" width="13.83203125" style="1" customWidth="1"/>
    <col min="4" max="4" width="32.83203125" style="1" customWidth="1"/>
    <col min="5" max="5" width="18.5" style="1" customWidth="1"/>
    <col min="6" max="6" width="2.5" style="1" hidden="1" customWidth="1"/>
    <col min="7" max="7" width="15.6640625" style="1" customWidth="1"/>
    <col min="8" max="8" width="6.1640625" style="1" customWidth="1"/>
    <col min="9" max="9" width="19.6640625" style="1" customWidth="1"/>
    <col min="10" max="10" width="12.33203125" style="1" bestFit="1" customWidth="1"/>
    <col min="11" max="16384" width="11.5" style="1"/>
  </cols>
  <sheetData>
    <row r="3" spans="2:9" ht="14" thickBot="1"/>
    <row r="4" spans="2:9" ht="17" thickTop="1">
      <c r="B4" s="268"/>
      <c r="C4" s="282"/>
      <c r="D4" s="282"/>
      <c r="E4" s="282"/>
      <c r="F4" s="282"/>
      <c r="G4" s="282"/>
      <c r="H4" s="270"/>
    </row>
    <row r="5" spans="2:9" ht="16">
      <c r="B5" s="283"/>
      <c r="C5" s="383" t="s">
        <v>723</v>
      </c>
      <c r="D5" s="383"/>
      <c r="E5" s="383"/>
      <c r="F5" s="383"/>
      <c r="G5" s="383"/>
      <c r="H5" s="285"/>
      <c r="I5" s="154"/>
    </row>
    <row r="6" spans="2:9" ht="16">
      <c r="B6" s="271"/>
      <c r="C6" s="167"/>
      <c r="D6" s="167"/>
      <c r="E6" s="167"/>
      <c r="F6" s="167"/>
      <c r="G6" s="167"/>
      <c r="H6" s="272"/>
    </row>
    <row r="7" spans="2:9" ht="16">
      <c r="B7" s="286"/>
      <c r="C7" s="383" t="s">
        <v>190</v>
      </c>
      <c r="D7" s="383"/>
      <c r="E7" s="383"/>
      <c r="F7" s="383"/>
      <c r="G7" s="383"/>
      <c r="H7" s="287"/>
      <c r="I7" s="155"/>
    </row>
    <row r="8" spans="2:9" ht="16">
      <c r="B8" s="288"/>
      <c r="C8" s="384" t="s">
        <v>387</v>
      </c>
      <c r="D8" s="384"/>
      <c r="E8" s="384"/>
      <c r="F8" s="384"/>
      <c r="G8" s="384"/>
      <c r="H8" s="289"/>
      <c r="I8" s="156"/>
    </row>
    <row r="9" spans="2:9" ht="16">
      <c r="B9" s="271"/>
      <c r="C9" s="167"/>
      <c r="D9" s="167"/>
      <c r="E9" s="167"/>
      <c r="F9" s="167"/>
      <c r="G9" s="167"/>
      <c r="H9" s="272"/>
    </row>
    <row r="10" spans="2:9" ht="16">
      <c r="B10" s="290"/>
      <c r="C10" s="383" t="s">
        <v>4018</v>
      </c>
      <c r="D10" s="383"/>
      <c r="E10" s="383"/>
      <c r="F10" s="383"/>
      <c r="G10" s="383"/>
      <c r="H10" s="291"/>
      <c r="I10" s="157"/>
    </row>
    <row r="11" spans="2:9" ht="17" thickBot="1">
      <c r="B11" s="271"/>
      <c r="C11" s="167"/>
      <c r="D11" s="167"/>
      <c r="E11" s="167"/>
      <c r="F11" s="167"/>
      <c r="G11" s="167"/>
      <c r="H11" s="272"/>
    </row>
    <row r="12" spans="2:9" ht="16">
      <c r="B12" s="271"/>
      <c r="C12" s="179"/>
      <c r="D12" s="180"/>
      <c r="E12" s="381">
        <v>43830</v>
      </c>
      <c r="F12" s="191"/>
      <c r="G12" s="379">
        <v>43465</v>
      </c>
      <c r="H12" s="272"/>
    </row>
    <row r="13" spans="2:9" ht="17" thickBot="1">
      <c r="B13" s="271"/>
      <c r="C13" s="166"/>
      <c r="D13" s="167"/>
      <c r="E13" s="382"/>
      <c r="F13" s="192"/>
      <c r="G13" s="380"/>
      <c r="H13" s="272"/>
    </row>
    <row r="14" spans="2:9" ht="16">
      <c r="B14" s="271"/>
      <c r="C14" s="166"/>
      <c r="D14" s="167"/>
      <c r="E14" s="181"/>
      <c r="F14" s="180"/>
      <c r="G14" s="182"/>
      <c r="H14" s="272"/>
    </row>
    <row r="15" spans="2:9" ht="16">
      <c r="B15" s="271"/>
      <c r="C15" s="166" t="s">
        <v>1524</v>
      </c>
      <c r="D15" s="167"/>
      <c r="E15" s="183">
        <f>ROUND(SUMIF(COMPARATIVO!E:E,C15,COMPARATIVO!AQ:AQ)/1000,0)</f>
        <v>84774257</v>
      </c>
      <c r="F15" s="184" t="e">
        <f>(#REF!+#REF!)/1000</f>
        <v>#REF!</v>
      </c>
      <c r="G15" s="185">
        <f>ROUND(SUMIF(COMPARATIVO!E:E,C15,COMPARATIVO!AI:AI)/1000,0)</f>
        <v>97451251</v>
      </c>
      <c r="H15" s="272"/>
    </row>
    <row r="16" spans="2:9" ht="16">
      <c r="B16" s="271"/>
      <c r="C16" s="166"/>
      <c r="D16" s="167"/>
      <c r="E16" s="183"/>
      <c r="F16" s="184"/>
      <c r="G16" s="185"/>
      <c r="H16" s="272"/>
    </row>
    <row r="17" spans="2:8" ht="12.5" hidden="1" customHeight="1">
      <c r="B17" s="271"/>
      <c r="C17" s="166" t="s">
        <v>192</v>
      </c>
      <c r="D17" s="167"/>
      <c r="E17" s="183">
        <f>ROUND(SUMIF(COMPARATIVO!E:E,C17,COMPARATIVO!AQ:AQ)/1000,0)</f>
        <v>0</v>
      </c>
      <c r="F17" s="184" t="e">
        <f>+(#REF!+#REF!+#REF!)/1000</f>
        <v>#REF!</v>
      </c>
      <c r="G17" s="185">
        <v>0</v>
      </c>
      <c r="H17" s="272"/>
    </row>
    <row r="18" spans="2:8" ht="16" hidden="1">
      <c r="B18" s="271"/>
      <c r="C18" s="166"/>
      <c r="D18" s="167"/>
      <c r="E18" s="183">
        <f>ROUND(SUMIF(COMPARATIVO!E:E,C18,COMPARATIVO!AQ:AQ)/1000,0)</f>
        <v>0</v>
      </c>
      <c r="F18" s="184"/>
      <c r="G18" s="185"/>
      <c r="H18" s="272"/>
    </row>
    <row r="19" spans="2:8" ht="16">
      <c r="B19" s="271"/>
      <c r="C19" s="166" t="s">
        <v>396</v>
      </c>
      <c r="D19" s="167"/>
      <c r="E19" s="183">
        <f>ROUND(SUMIF(COMPARATIVO!E:E,C19,COMPARATIVO!AQ:AQ)/1000,0)</f>
        <v>-61116530</v>
      </c>
      <c r="F19" s="184" t="e">
        <f>(+#REF!)/1000</f>
        <v>#REF!</v>
      </c>
      <c r="G19" s="185">
        <f>ROUND(SUMIF(COMPARATIVO!E:E,C19,COMPARATIVO!AI:AI)/1000,0)</f>
        <v>-72312445</v>
      </c>
      <c r="H19" s="272"/>
    </row>
    <row r="20" spans="2:8" ht="16">
      <c r="B20" s="271"/>
      <c r="C20" s="166"/>
      <c r="D20" s="167"/>
      <c r="E20" s="183"/>
      <c r="F20" s="184"/>
      <c r="G20" s="185"/>
      <c r="H20" s="272"/>
    </row>
    <row r="21" spans="2:8" ht="16">
      <c r="B21" s="271"/>
      <c r="C21" s="166" t="s">
        <v>394</v>
      </c>
      <c r="D21" s="167"/>
      <c r="E21" s="183">
        <f>ROUND(SUMIF(COMPARATIVO!E:E,C21,COMPARATIVO!AQ:AQ)/1000,0)</f>
        <v>-3266693</v>
      </c>
      <c r="F21" s="184" t="e">
        <f>+#REF!/1000</f>
        <v>#REF!</v>
      </c>
      <c r="G21" s="185">
        <f>ROUND(SUMIF(COMPARATIVO!E:E,C21,COMPARATIVO!AI:AI)/1000,0)</f>
        <v>-3495369</v>
      </c>
      <c r="H21" s="272"/>
    </row>
    <row r="22" spans="2:8" ht="16">
      <c r="B22" s="271"/>
      <c r="C22" s="166"/>
      <c r="D22" s="167"/>
      <c r="E22" s="183"/>
      <c r="F22" s="184"/>
      <c r="G22" s="185"/>
      <c r="H22" s="272"/>
    </row>
    <row r="23" spans="2:8" ht="16">
      <c r="B23" s="271"/>
      <c r="C23" s="166" t="s">
        <v>397</v>
      </c>
      <c r="D23" s="167"/>
      <c r="E23" s="183">
        <f>ROUND(SUMIF(COMPARATIVO!E:E,C23,COMPARATIVO!AQ:AQ)/1000,0)</f>
        <v>-10384738</v>
      </c>
      <c r="F23" s="184" t="e">
        <f>+(#REF!+#REF!)/1000</f>
        <v>#REF!</v>
      </c>
      <c r="G23" s="185">
        <f>ROUND(SUMIF(COMPARATIVO!E:E,C23,COMPARATIVO!AI:AI)/1000,0)</f>
        <v>-8993996</v>
      </c>
      <c r="H23" s="272"/>
    </row>
    <row r="24" spans="2:8" ht="16">
      <c r="B24" s="271"/>
      <c r="C24" s="166"/>
      <c r="D24" s="167"/>
      <c r="E24" s="183"/>
      <c r="F24" s="184"/>
      <c r="G24" s="185"/>
      <c r="H24" s="272"/>
    </row>
    <row r="25" spans="2:8" ht="16" hidden="1">
      <c r="B25" s="271"/>
      <c r="C25" s="166" t="s">
        <v>191</v>
      </c>
      <c r="D25" s="167"/>
      <c r="E25" s="183">
        <f>ROUND(SUMIF(COMPARATIVO!E:E,C25,COMPARATIVO!AQ:AQ)/1000,0)</f>
        <v>0</v>
      </c>
      <c r="F25" s="184"/>
      <c r="G25" s="185">
        <v>0</v>
      </c>
      <c r="H25" s="272"/>
    </row>
    <row r="26" spans="2:8" ht="16" hidden="1">
      <c r="B26" s="271"/>
      <c r="C26" s="166"/>
      <c r="D26" s="167"/>
      <c r="E26" s="183">
        <f>ROUND(SUMIF(COMPARATIVO!E:E,C26,COMPARATIVO!AQ:AQ)/1000,0)</f>
        <v>0</v>
      </c>
      <c r="F26" s="184"/>
      <c r="G26" s="185"/>
      <c r="H26" s="272"/>
    </row>
    <row r="27" spans="2:8" ht="16">
      <c r="B27" s="271"/>
      <c r="C27" s="166" t="s">
        <v>1527</v>
      </c>
      <c r="D27" s="167"/>
      <c r="E27" s="183">
        <f>ROUND(SUMIF(COMPARATIVO!E:E,C27,COMPARATIVO!AQ:AQ)/1000,0)</f>
        <v>-14477064</v>
      </c>
      <c r="F27" s="184" t="e">
        <f>(#REF!-#REF!+#REF!-#REF!)/1000</f>
        <v>#REF!</v>
      </c>
      <c r="G27" s="185">
        <f>ROUND(SUMIF(COMPARATIVO!E:E,C27,COMPARATIVO!AI:AI)/1000,0)</f>
        <v>-15090285</v>
      </c>
      <c r="H27" s="272"/>
    </row>
    <row r="28" spans="2:8" ht="16">
      <c r="B28" s="271"/>
      <c r="C28" s="166"/>
      <c r="D28" s="167"/>
      <c r="E28" s="183"/>
      <c r="F28" s="184"/>
      <c r="G28" s="185"/>
      <c r="H28" s="272"/>
    </row>
    <row r="29" spans="2:8" ht="16">
      <c r="B29" s="271"/>
      <c r="C29" s="162" t="s">
        <v>1525</v>
      </c>
      <c r="D29" s="163"/>
      <c r="E29" s="186">
        <f>SUM(E15:E27)</f>
        <v>-4470768</v>
      </c>
      <c r="F29" s="187" t="e">
        <f>SUM(F15:F27)</f>
        <v>#REF!</v>
      </c>
      <c r="G29" s="188">
        <f>SUM(G15:G27)</f>
        <v>-2440844</v>
      </c>
      <c r="H29" s="272"/>
    </row>
    <row r="30" spans="2:8" ht="16">
      <c r="B30" s="271"/>
      <c r="C30" s="166"/>
      <c r="D30" s="167"/>
      <c r="E30" s="183"/>
      <c r="F30" s="184"/>
      <c r="G30" s="185"/>
      <c r="H30" s="272"/>
    </row>
    <row r="31" spans="2:8" ht="16">
      <c r="B31" s="271"/>
      <c r="C31" s="166" t="s">
        <v>1574</v>
      </c>
      <c r="D31" s="167"/>
      <c r="E31" s="183">
        <f>ROUND(SUMIF(COMPARATIVO!E:E,C31,COMPARATIVO!AQ:AQ)/1000,0)</f>
        <v>1998881</v>
      </c>
      <c r="F31" s="184" t="e">
        <f>(#REF!-#REF!)/1000</f>
        <v>#REF!</v>
      </c>
      <c r="G31" s="185">
        <f>ROUND(SUMIF(COMPARATIVO!E:E,C31,COMPARATIVO!AI:AI)/1000,0)</f>
        <v>807</v>
      </c>
      <c r="H31" s="272"/>
    </row>
    <row r="32" spans="2:8" ht="16">
      <c r="B32" s="271"/>
      <c r="C32" s="166"/>
      <c r="D32" s="167"/>
      <c r="E32" s="183"/>
      <c r="F32" s="184"/>
      <c r="G32" s="185"/>
      <c r="H32" s="272"/>
    </row>
    <row r="33" spans="2:10" ht="16">
      <c r="B33" s="271"/>
      <c r="C33" s="166" t="s">
        <v>1585</v>
      </c>
      <c r="D33" s="167"/>
      <c r="E33" s="183">
        <f>ROUND(SUMIF(COMPARATIVO!E:E,C33,COMPARATIVO!AQ:AQ)/1000,0)</f>
        <v>2952922</v>
      </c>
      <c r="F33" s="184"/>
      <c r="G33" s="185">
        <f>SUMIF(COMPARATIVO!E:E,C33,COMPARATIVO!AI:AI)/1000</f>
        <v>3558793.9240000001</v>
      </c>
      <c r="H33" s="272"/>
    </row>
    <row r="34" spans="2:10" ht="16">
      <c r="B34" s="271"/>
      <c r="C34" s="166"/>
      <c r="D34" s="167"/>
      <c r="E34" s="183"/>
      <c r="F34" s="184"/>
      <c r="G34" s="185"/>
      <c r="H34" s="272"/>
    </row>
    <row r="35" spans="2:10" ht="16">
      <c r="B35" s="271"/>
      <c r="C35" s="166" t="s">
        <v>1576</v>
      </c>
      <c r="D35" s="167"/>
      <c r="E35" s="183">
        <f>ROUND(SUMIF(COMPARATIVO!E:E,C35,COMPARATIVO!AQ:AQ)/1000,0)</f>
        <v>-55184</v>
      </c>
      <c r="F35" s="184" t="e">
        <f>-#REF!/1000</f>
        <v>#REF!</v>
      </c>
      <c r="G35" s="185">
        <f>SUMIF(COMPARATIVO!E:E,C35,COMPARATIVO!AI:AI)/1000</f>
        <v>-188710.231</v>
      </c>
      <c r="H35" s="272"/>
    </row>
    <row r="36" spans="2:10" ht="16">
      <c r="B36" s="271"/>
      <c r="C36" s="166"/>
      <c r="D36" s="167"/>
      <c r="E36" s="183"/>
      <c r="F36" s="184"/>
      <c r="G36" s="185"/>
      <c r="H36" s="272"/>
    </row>
    <row r="37" spans="2:10" ht="16">
      <c r="B37" s="271"/>
      <c r="C37" s="162" t="s">
        <v>1579</v>
      </c>
      <c r="D37" s="163"/>
      <c r="E37" s="186">
        <f>+E29+E31+E35+E33</f>
        <v>425851</v>
      </c>
      <c r="F37" s="187" t="e">
        <f>+F29+F31+F35+F33</f>
        <v>#REF!</v>
      </c>
      <c r="G37" s="188">
        <f>+G29+G31+G35+G33</f>
        <v>930046.69299999997</v>
      </c>
      <c r="H37" s="272"/>
      <c r="I37" s="16">
        <f>+E37-BG!N34</f>
        <v>-2</v>
      </c>
      <c r="J37" s="16">
        <f>+G37-BG!P34</f>
        <v>0.69299999997019768</v>
      </c>
    </row>
    <row r="38" spans="2:10" ht="16">
      <c r="B38" s="271"/>
      <c r="C38" s="166"/>
      <c r="D38" s="167"/>
      <c r="E38" s="189"/>
      <c r="F38" s="167"/>
      <c r="G38" s="168"/>
      <c r="H38" s="272"/>
    </row>
    <row r="39" spans="2:10" ht="17" thickBot="1">
      <c r="B39" s="271"/>
      <c r="C39" s="172"/>
      <c r="D39" s="173"/>
      <c r="E39" s="190"/>
      <c r="F39" s="173"/>
      <c r="G39" s="175"/>
      <c r="H39" s="272"/>
    </row>
    <row r="40" spans="2:10" ht="16">
      <c r="B40" s="271"/>
      <c r="C40" s="167"/>
      <c r="D40" s="167"/>
      <c r="E40" s="167"/>
      <c r="F40" s="167"/>
      <c r="G40" s="167"/>
      <c r="H40" s="272"/>
    </row>
    <row r="41" spans="2:10" ht="16">
      <c r="B41" s="271"/>
      <c r="C41" s="278" t="s">
        <v>1573</v>
      </c>
      <c r="D41" s="278"/>
      <c r="E41" s="278"/>
      <c r="F41" s="278"/>
      <c r="G41" s="278"/>
      <c r="H41" s="272"/>
    </row>
    <row r="42" spans="2:10" ht="17" thickBot="1">
      <c r="B42" s="292"/>
      <c r="C42" s="280"/>
      <c r="D42" s="280"/>
      <c r="E42" s="280"/>
      <c r="F42" s="280"/>
      <c r="G42" s="280"/>
      <c r="H42" s="293"/>
    </row>
    <row r="43" spans="2:10" ht="17" thickTop="1">
      <c r="C43" s="165"/>
      <c r="D43" s="165"/>
      <c r="E43" s="165"/>
      <c r="F43" s="165"/>
      <c r="G43" s="165"/>
    </row>
    <row r="44" spans="2:10" ht="16">
      <c r="C44" s="165"/>
      <c r="D44" s="165"/>
      <c r="E44" s="165"/>
      <c r="F44" s="165"/>
      <c r="G44" s="165"/>
    </row>
    <row r="45" spans="2:10" ht="16">
      <c r="C45" s="165"/>
      <c r="D45" s="165"/>
      <c r="E45" s="165"/>
      <c r="F45" s="165"/>
      <c r="G45" s="165"/>
    </row>
    <row r="46" spans="2:10" ht="16">
      <c r="C46" s="165"/>
      <c r="D46" s="165"/>
      <c r="E46" s="165"/>
      <c r="F46" s="165"/>
      <c r="G46" s="165"/>
    </row>
    <row r="47" spans="2:10" ht="16" hidden="1">
      <c r="C47" s="165"/>
      <c r="D47" s="165"/>
      <c r="E47" s="165"/>
      <c r="F47" s="165"/>
      <c r="G47" s="165"/>
    </row>
    <row r="48" spans="2:10" ht="16">
      <c r="C48" s="165"/>
      <c r="D48" s="165"/>
      <c r="E48" s="165"/>
      <c r="F48" s="165"/>
      <c r="G48" s="165"/>
    </row>
    <row r="70" spans="9:9">
      <c r="I70" s="1">
        <v>4</v>
      </c>
    </row>
  </sheetData>
  <mergeCells count="6">
    <mergeCell ref="G12:G13"/>
    <mergeCell ref="E12:E13"/>
    <mergeCell ref="C5:G5"/>
    <mergeCell ref="C7:G7"/>
    <mergeCell ref="C8:G8"/>
    <mergeCell ref="C10:G10"/>
  </mergeCells>
  <phoneticPr fontId="4" type="noConversion"/>
  <printOptions horizontalCentered="1"/>
  <pageMargins left="0.59055118110236227" right="0.19685039370078741" top="2.0110629921259844" bottom="0" header="0.19685039370078741" footer="0"/>
  <pageSetup paperSize="9" scale="81"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0"/>
  <sheetViews>
    <sheetView showGridLines="0" zoomScaleNormal="85" zoomScaleSheetLayoutView="100" workbookViewId="0">
      <selection activeCell="R35" sqref="R35"/>
    </sheetView>
  </sheetViews>
  <sheetFormatPr baseColWidth="10" defaultColWidth="11.5" defaultRowHeight="13"/>
  <cols>
    <col min="1" max="1" width="11.5" style="241"/>
    <col min="2" max="2" width="4.33203125" style="15" customWidth="1"/>
    <col min="3" max="3" width="47" style="15" customWidth="1"/>
    <col min="4" max="4" width="16.6640625" style="15" customWidth="1"/>
    <col min="5" max="6" width="14.6640625" style="15" hidden="1" customWidth="1"/>
    <col min="7" max="9" width="14.6640625" style="15" customWidth="1"/>
    <col min="10" max="10" width="15.1640625" style="15" customWidth="1"/>
    <col min="11" max="11" width="14.6640625" style="15" hidden="1" customWidth="1"/>
    <col min="12" max="13" width="14.6640625" style="15" customWidth="1"/>
    <col min="14" max="14" width="17.83203125" style="15" customWidth="1"/>
    <col min="15" max="15" width="14.6640625" style="15" customWidth="1"/>
    <col min="16" max="16" width="3.5" style="15" customWidth="1"/>
    <col min="17" max="17" width="5.1640625" style="15" customWidth="1"/>
    <col min="18" max="18" width="14" style="15" customWidth="1"/>
    <col min="19" max="16384" width="11.5" style="15"/>
  </cols>
  <sheetData>
    <row r="1" spans="1:16" ht="21.75" customHeight="1"/>
    <row r="2" spans="1:16" ht="19.5" customHeight="1"/>
    <row r="3" spans="1:16" ht="19.5" customHeight="1" thickBot="1"/>
    <row r="4" spans="1:16" ht="19.5" customHeight="1" thickTop="1">
      <c r="B4" s="268"/>
      <c r="C4" s="269"/>
      <c r="D4" s="269"/>
      <c r="E4" s="269"/>
      <c r="F4" s="269"/>
      <c r="G4" s="269"/>
      <c r="H4" s="269"/>
      <c r="I4" s="269"/>
      <c r="J4" s="269"/>
      <c r="K4" s="269"/>
      <c r="L4" s="269"/>
      <c r="M4" s="269"/>
      <c r="N4" s="269"/>
      <c r="O4" s="269"/>
      <c r="P4" s="270"/>
    </row>
    <row r="5" spans="1:16" ht="16">
      <c r="B5" s="271"/>
      <c r="C5" s="383" t="s">
        <v>723</v>
      </c>
      <c r="D5" s="383"/>
      <c r="E5" s="383"/>
      <c r="F5" s="383"/>
      <c r="G5" s="383"/>
      <c r="H5" s="383"/>
      <c r="I5" s="383"/>
      <c r="J5" s="383"/>
      <c r="K5" s="383"/>
      <c r="L5" s="383"/>
      <c r="M5" s="383"/>
      <c r="N5" s="383"/>
      <c r="O5" s="383"/>
      <c r="P5" s="272"/>
    </row>
    <row r="6" spans="1:16">
      <c r="B6" s="271"/>
      <c r="C6" s="250"/>
      <c r="D6" s="250"/>
      <c r="E6" s="250"/>
      <c r="F6" s="250"/>
      <c r="G6" s="250"/>
      <c r="H6" s="250"/>
      <c r="I6" s="250"/>
      <c r="J6" s="250"/>
      <c r="K6" s="250"/>
      <c r="L6" s="250"/>
      <c r="M6" s="250"/>
      <c r="N6" s="250"/>
      <c r="O6" s="250"/>
      <c r="P6" s="272"/>
    </row>
    <row r="7" spans="1:16" ht="14">
      <c r="B7" s="271"/>
      <c r="C7" s="394" t="s">
        <v>405</v>
      </c>
      <c r="D7" s="394"/>
      <c r="E7" s="394"/>
      <c r="F7" s="394"/>
      <c r="G7" s="394"/>
      <c r="H7" s="394"/>
      <c r="I7" s="394"/>
      <c r="J7" s="394"/>
      <c r="K7" s="394"/>
      <c r="L7" s="394"/>
      <c r="M7" s="394"/>
      <c r="N7" s="394"/>
      <c r="O7" s="394"/>
      <c r="P7" s="272"/>
    </row>
    <row r="8" spans="1:16">
      <c r="B8" s="271"/>
      <c r="C8" s="250"/>
      <c r="D8" s="250"/>
      <c r="E8" s="250"/>
      <c r="F8" s="250"/>
      <c r="G8" s="250"/>
      <c r="H8" s="250"/>
      <c r="I8" s="250"/>
      <c r="J8" s="250"/>
      <c r="K8" s="250"/>
      <c r="L8" s="250"/>
      <c r="M8" s="250"/>
      <c r="N8" s="250"/>
      <c r="O8" s="250"/>
      <c r="P8" s="272"/>
    </row>
    <row r="9" spans="1:16" ht="14">
      <c r="B9" s="271"/>
      <c r="C9" s="395" t="s">
        <v>387</v>
      </c>
      <c r="D9" s="395"/>
      <c r="E9" s="395"/>
      <c r="F9" s="395"/>
      <c r="G9" s="395"/>
      <c r="H9" s="395"/>
      <c r="I9" s="395"/>
      <c r="J9" s="395"/>
      <c r="K9" s="395"/>
      <c r="L9" s="395"/>
      <c r="M9" s="395"/>
      <c r="N9" s="395"/>
      <c r="O9" s="395"/>
      <c r="P9" s="272"/>
    </row>
    <row r="10" spans="1:16">
      <c r="B10" s="271"/>
      <c r="C10" s="250"/>
      <c r="D10" s="250"/>
      <c r="E10" s="250"/>
      <c r="F10" s="250"/>
      <c r="G10" s="250"/>
      <c r="H10" s="250"/>
      <c r="I10" s="250"/>
      <c r="J10" s="250"/>
      <c r="K10" s="250"/>
      <c r="L10" s="250"/>
      <c r="M10" s="250"/>
      <c r="N10" s="250"/>
      <c r="O10" s="250"/>
      <c r="P10" s="272"/>
    </row>
    <row r="11" spans="1:16" ht="14">
      <c r="B11" s="271"/>
      <c r="C11" s="394" t="s">
        <v>4019</v>
      </c>
      <c r="D11" s="394"/>
      <c r="E11" s="394"/>
      <c r="F11" s="394"/>
      <c r="G11" s="394"/>
      <c r="H11" s="394"/>
      <c r="I11" s="394"/>
      <c r="J11" s="394"/>
      <c r="K11" s="394"/>
      <c r="L11" s="394"/>
      <c r="M11" s="394"/>
      <c r="N11" s="394"/>
      <c r="O11" s="394"/>
      <c r="P11" s="272"/>
    </row>
    <row r="12" spans="1:16" ht="14" thickBot="1">
      <c r="B12" s="271"/>
      <c r="C12" s="250"/>
      <c r="D12" s="250"/>
      <c r="E12" s="250"/>
      <c r="F12" s="250"/>
      <c r="G12" s="250"/>
      <c r="H12" s="250"/>
      <c r="I12" s="250"/>
      <c r="J12" s="250"/>
      <c r="K12" s="250"/>
      <c r="L12" s="250"/>
      <c r="M12" s="250"/>
      <c r="N12" s="250"/>
      <c r="O12" s="250"/>
      <c r="P12" s="272"/>
    </row>
    <row r="13" spans="1:16" s="3" customFormat="1" ht="17" thickBot="1">
      <c r="A13" s="90"/>
      <c r="B13" s="295"/>
      <c r="C13" s="387" t="s">
        <v>286</v>
      </c>
      <c r="D13" s="160"/>
      <c r="E13" s="160"/>
      <c r="F13" s="160"/>
      <c r="G13" s="160"/>
      <c r="H13" s="160"/>
      <c r="I13" s="160"/>
      <c r="J13" s="160"/>
      <c r="K13" s="160"/>
      <c r="L13" s="160" t="s">
        <v>407</v>
      </c>
      <c r="M13" s="160"/>
      <c r="N13" s="193">
        <v>43830</v>
      </c>
      <c r="O13" s="194">
        <v>43465</v>
      </c>
      <c r="P13" s="296"/>
    </row>
    <row r="14" spans="1:16" s="3" customFormat="1" ht="17" thickBot="1">
      <c r="A14" s="90"/>
      <c r="B14" s="295"/>
      <c r="C14" s="388"/>
      <c r="D14" s="387" t="s">
        <v>210</v>
      </c>
      <c r="E14" s="243"/>
      <c r="F14" s="243"/>
      <c r="G14" s="391" t="s">
        <v>213</v>
      </c>
      <c r="H14" s="387" t="s">
        <v>214</v>
      </c>
      <c r="I14" s="389" t="s">
        <v>215</v>
      </c>
      <c r="J14" s="390"/>
      <c r="K14" s="243"/>
      <c r="L14" s="385" t="s">
        <v>214</v>
      </c>
      <c r="M14" s="385" t="s">
        <v>218</v>
      </c>
      <c r="N14" s="385" t="s">
        <v>406</v>
      </c>
      <c r="O14" s="385" t="s">
        <v>406</v>
      </c>
      <c r="P14" s="296"/>
    </row>
    <row r="15" spans="1:16" s="3" customFormat="1" ht="32" customHeight="1" thickBot="1">
      <c r="A15" s="90"/>
      <c r="B15" s="295"/>
      <c r="C15" s="388"/>
      <c r="D15" s="393"/>
      <c r="E15" s="244" t="s">
        <v>211</v>
      </c>
      <c r="F15" s="244" t="s">
        <v>417</v>
      </c>
      <c r="G15" s="392"/>
      <c r="H15" s="393"/>
      <c r="I15" s="242" t="s">
        <v>216</v>
      </c>
      <c r="J15" s="204" t="s">
        <v>1023</v>
      </c>
      <c r="K15" s="244" t="s">
        <v>217</v>
      </c>
      <c r="L15" s="386"/>
      <c r="M15" s="386"/>
      <c r="N15" s="386"/>
      <c r="O15" s="386"/>
      <c r="P15" s="296"/>
    </row>
    <row r="16" spans="1:16" ht="16">
      <c r="B16" s="271"/>
      <c r="C16" s="195" t="s">
        <v>1582</v>
      </c>
      <c r="D16" s="207">
        <f>+COMPARATIVO!AH263/1000</f>
        <v>38500000</v>
      </c>
      <c r="E16" s="207">
        <v>0</v>
      </c>
      <c r="F16" s="207">
        <v>0</v>
      </c>
      <c r="G16" s="207">
        <f>+COMPARATIVO!AH266/1000</f>
        <v>2471748.6439999999</v>
      </c>
      <c r="H16" s="207">
        <f>SUM(D16:G16)</f>
        <v>40971748.644000001</v>
      </c>
      <c r="I16" s="207">
        <f>+COMPARATIVO!AH267/1000</f>
        <v>1252544.179</v>
      </c>
      <c r="J16" s="207">
        <f>+COMPARATIVO!AH268/1000</f>
        <v>1014.6319999999999</v>
      </c>
      <c r="K16" s="207">
        <v>0</v>
      </c>
      <c r="L16" s="207">
        <f t="shared" ref="L16:L21" si="0">SUM(I16:J16)</f>
        <v>1253558.811</v>
      </c>
      <c r="M16" s="207">
        <f>(COMPARATIVO!AH271+COMPARATIVO!AH272)/1000</f>
        <v>4439899.9040000001</v>
      </c>
      <c r="N16" s="207">
        <f>+H16+L16+M16+1</f>
        <v>46665208.358999997</v>
      </c>
      <c r="O16" s="208">
        <v>60453134.023000002</v>
      </c>
      <c r="P16" s="272"/>
    </row>
    <row r="17" spans="2:16" ht="16" hidden="1" customHeight="1">
      <c r="B17" s="271"/>
      <c r="C17" s="196" t="s">
        <v>408</v>
      </c>
      <c r="D17" s="205"/>
      <c r="E17" s="205"/>
      <c r="F17" s="205"/>
      <c r="G17" s="205"/>
      <c r="H17" s="205">
        <f t="shared" ref="H17:H32" si="1">SUM(D17:G17)</f>
        <v>0</v>
      </c>
      <c r="I17" s="205"/>
      <c r="J17" s="205"/>
      <c r="K17" s="205"/>
      <c r="L17" s="205">
        <f t="shared" si="0"/>
        <v>0</v>
      </c>
      <c r="M17" s="205"/>
      <c r="N17" s="205">
        <f t="shared" ref="N17:N32" si="2">+H17+L17+M17</f>
        <v>0</v>
      </c>
      <c r="O17" s="206">
        <v>0</v>
      </c>
      <c r="P17" s="272"/>
    </row>
    <row r="18" spans="2:16" ht="16" hidden="1" customHeight="1">
      <c r="B18" s="271"/>
      <c r="C18" s="196" t="s">
        <v>409</v>
      </c>
      <c r="D18" s="205"/>
      <c r="E18" s="205"/>
      <c r="F18" s="205"/>
      <c r="G18" s="205"/>
      <c r="H18" s="205">
        <f t="shared" si="1"/>
        <v>0</v>
      </c>
      <c r="I18" s="205"/>
      <c r="J18" s="205"/>
      <c r="K18" s="205"/>
      <c r="L18" s="205">
        <f t="shared" si="0"/>
        <v>0</v>
      </c>
      <c r="M18" s="205"/>
      <c r="N18" s="205">
        <f t="shared" si="2"/>
        <v>0</v>
      </c>
      <c r="O18" s="206">
        <v>0</v>
      </c>
      <c r="P18" s="272"/>
    </row>
    <row r="19" spans="2:16" ht="16" hidden="1" customHeight="1">
      <c r="B19" s="271"/>
      <c r="C19" s="196" t="s">
        <v>410</v>
      </c>
      <c r="D19" s="205">
        <f>+D16</f>
        <v>38500000</v>
      </c>
      <c r="E19" s="205">
        <f t="shared" ref="E19:M19" si="3">+E16</f>
        <v>0</v>
      </c>
      <c r="F19" s="205">
        <f t="shared" si="3"/>
        <v>0</v>
      </c>
      <c r="G19" s="205">
        <f t="shared" si="3"/>
        <v>2471748.6439999999</v>
      </c>
      <c r="H19" s="205">
        <f t="shared" si="1"/>
        <v>40971748.644000001</v>
      </c>
      <c r="I19" s="205">
        <f t="shared" si="3"/>
        <v>1252544.179</v>
      </c>
      <c r="J19" s="205">
        <f t="shared" si="3"/>
        <v>1014.6319999999999</v>
      </c>
      <c r="K19" s="205"/>
      <c r="L19" s="205">
        <f t="shared" si="0"/>
        <v>1253558.811</v>
      </c>
      <c r="M19" s="205">
        <f t="shared" si="3"/>
        <v>4439899.9040000001</v>
      </c>
      <c r="N19" s="205">
        <f t="shared" si="2"/>
        <v>46665207.358999997</v>
      </c>
      <c r="O19" s="206">
        <v>60453134.023000002</v>
      </c>
      <c r="P19" s="272"/>
    </row>
    <row r="20" spans="2:16" ht="16" hidden="1" customHeight="1">
      <c r="B20" s="271"/>
      <c r="C20" s="196"/>
      <c r="D20" s="205"/>
      <c r="E20" s="205"/>
      <c r="F20" s="205"/>
      <c r="G20" s="205"/>
      <c r="H20" s="205">
        <f t="shared" si="1"/>
        <v>0</v>
      </c>
      <c r="I20" s="205"/>
      <c r="J20" s="205"/>
      <c r="K20" s="205"/>
      <c r="L20" s="205">
        <f t="shared" si="0"/>
        <v>0</v>
      </c>
      <c r="M20" s="205"/>
      <c r="N20" s="205">
        <f t="shared" si="2"/>
        <v>0</v>
      </c>
      <c r="O20" s="206">
        <v>0</v>
      </c>
      <c r="P20" s="272"/>
    </row>
    <row r="21" spans="2:16" ht="16" hidden="1" customHeight="1">
      <c r="B21" s="271"/>
      <c r="C21" s="196" t="s">
        <v>221</v>
      </c>
      <c r="D21" s="205"/>
      <c r="E21" s="205"/>
      <c r="F21" s="205"/>
      <c r="G21" s="205"/>
      <c r="H21" s="205">
        <f t="shared" si="1"/>
        <v>0</v>
      </c>
      <c r="I21" s="205"/>
      <c r="J21" s="205"/>
      <c r="K21" s="205"/>
      <c r="L21" s="205">
        <f t="shared" si="0"/>
        <v>0</v>
      </c>
      <c r="M21" s="205"/>
      <c r="N21" s="205">
        <f t="shared" si="2"/>
        <v>0</v>
      </c>
      <c r="O21" s="206">
        <v>0</v>
      </c>
      <c r="P21" s="272"/>
    </row>
    <row r="22" spans="2:16" ht="16">
      <c r="B22" s="271"/>
      <c r="C22" s="196" t="s">
        <v>1529</v>
      </c>
      <c r="D22" s="205">
        <v>0</v>
      </c>
      <c r="E22" s="205">
        <v>0</v>
      </c>
      <c r="F22" s="205"/>
      <c r="G22" s="205">
        <v>0</v>
      </c>
      <c r="H22" s="205">
        <f t="shared" si="1"/>
        <v>0</v>
      </c>
      <c r="I22" s="205">
        <v>0</v>
      </c>
      <c r="J22" s="205">
        <v>0</v>
      </c>
      <c r="K22" s="205"/>
      <c r="L22" s="205">
        <f>SUM(I22:J22)</f>
        <v>0</v>
      </c>
      <c r="M22" s="205">
        <v>0</v>
      </c>
      <c r="N22" s="205">
        <f>+H22+L22+M22</f>
        <v>0</v>
      </c>
      <c r="O22" s="206">
        <v>15310000</v>
      </c>
      <c r="P22" s="272"/>
    </row>
    <row r="23" spans="2:16" ht="16" hidden="1" customHeight="1">
      <c r="B23" s="271"/>
      <c r="C23" s="196" t="s">
        <v>223</v>
      </c>
      <c r="D23" s="205"/>
      <c r="E23" s="205">
        <v>0</v>
      </c>
      <c r="F23" s="205">
        <v>0</v>
      </c>
      <c r="G23" s="205">
        <v>0</v>
      </c>
      <c r="H23" s="205">
        <f t="shared" si="1"/>
        <v>0</v>
      </c>
      <c r="I23" s="205">
        <v>0</v>
      </c>
      <c r="J23" s="205"/>
      <c r="K23" s="205"/>
      <c r="L23" s="205">
        <f t="shared" ref="L23:L33" si="4">SUM(I23:J23)</f>
        <v>0</v>
      </c>
      <c r="M23" s="205">
        <v>0</v>
      </c>
      <c r="N23" s="205">
        <f t="shared" si="2"/>
        <v>0</v>
      </c>
      <c r="O23" s="206">
        <v>-15311014.631999999</v>
      </c>
      <c r="P23" s="272"/>
    </row>
    <row r="24" spans="2:16" ht="16">
      <c r="B24" s="271"/>
      <c r="C24" s="196" t="s">
        <v>1530</v>
      </c>
      <c r="D24" s="205">
        <v>0</v>
      </c>
      <c r="E24" s="205"/>
      <c r="F24" s="205"/>
      <c r="G24" s="205"/>
      <c r="H24" s="205">
        <f t="shared" si="1"/>
        <v>0</v>
      </c>
      <c r="I24" s="205"/>
      <c r="J24" s="205">
        <v>0</v>
      </c>
      <c r="K24" s="205"/>
      <c r="L24" s="205">
        <f t="shared" si="4"/>
        <v>0</v>
      </c>
      <c r="M24" s="205">
        <v>0</v>
      </c>
      <c r="N24" s="205">
        <f>+H24+L24+M24</f>
        <v>0</v>
      </c>
      <c r="O24" s="206">
        <v>-15310000</v>
      </c>
      <c r="P24" s="272"/>
    </row>
    <row r="25" spans="2:16" ht="16" hidden="1" customHeight="1">
      <c r="B25" s="271"/>
      <c r="C25" s="196"/>
      <c r="D25" s="205">
        <v>0</v>
      </c>
      <c r="E25" s="205"/>
      <c r="F25" s="205"/>
      <c r="G25" s="205"/>
      <c r="H25" s="205">
        <f t="shared" si="1"/>
        <v>0</v>
      </c>
      <c r="I25" s="205"/>
      <c r="J25" s="205"/>
      <c r="K25" s="205"/>
      <c r="L25" s="205">
        <f t="shared" si="4"/>
        <v>0</v>
      </c>
      <c r="M25" s="205"/>
      <c r="N25" s="205">
        <f t="shared" si="2"/>
        <v>0</v>
      </c>
      <c r="O25" s="206">
        <v>0</v>
      </c>
      <c r="P25" s="272"/>
    </row>
    <row r="26" spans="2:16" ht="16">
      <c r="B26" s="271"/>
      <c r="C26" s="196" t="s">
        <v>216</v>
      </c>
      <c r="D26" s="205">
        <v>0</v>
      </c>
      <c r="E26" s="205">
        <v>0</v>
      </c>
      <c r="F26" s="205">
        <v>0</v>
      </c>
      <c r="G26" s="205">
        <v>0</v>
      </c>
      <c r="H26" s="205">
        <v>0</v>
      </c>
      <c r="I26" s="205">
        <f>(COMPARATIVO!AP267-COMPARATIVO!AH267)/1000</f>
        <v>22413.3</v>
      </c>
      <c r="J26" s="205">
        <v>0</v>
      </c>
      <c r="K26" s="205">
        <v>0</v>
      </c>
      <c r="L26" s="205">
        <f t="shared" si="4"/>
        <v>22413.3</v>
      </c>
      <c r="M26" s="205">
        <v>0</v>
      </c>
      <c r="N26" s="205">
        <f>+H26+L26+M26</f>
        <v>22413.3</v>
      </c>
      <c r="O26" s="206">
        <v>48949.792000000001</v>
      </c>
      <c r="P26" s="272"/>
    </row>
    <row r="27" spans="2:16" ht="16">
      <c r="B27" s="271"/>
      <c r="C27" s="196" t="s">
        <v>1577</v>
      </c>
      <c r="D27" s="205">
        <v>0</v>
      </c>
      <c r="E27" s="205"/>
      <c r="F27" s="205"/>
      <c r="G27" s="205">
        <v>0</v>
      </c>
      <c r="H27" s="205">
        <f t="shared" si="1"/>
        <v>0</v>
      </c>
      <c r="I27" s="205">
        <v>0</v>
      </c>
      <c r="J27" s="205">
        <v>0</v>
      </c>
      <c r="K27" s="205">
        <v>0</v>
      </c>
      <c r="L27" s="205">
        <f t="shared" si="4"/>
        <v>0</v>
      </c>
      <c r="M27" s="205">
        <v>0</v>
      </c>
      <c r="N27" s="205">
        <v>0</v>
      </c>
      <c r="O27" s="206">
        <v>1014.63199999928</v>
      </c>
      <c r="P27" s="272"/>
    </row>
    <row r="28" spans="2:16" ht="16" hidden="1" customHeight="1">
      <c r="B28" s="271"/>
      <c r="C28" s="196" t="s">
        <v>412</v>
      </c>
      <c r="D28" s="205"/>
      <c r="E28" s="205"/>
      <c r="F28" s="205"/>
      <c r="G28" s="205"/>
      <c r="H28" s="205">
        <f t="shared" si="1"/>
        <v>0</v>
      </c>
      <c r="I28" s="205"/>
      <c r="J28" s="205"/>
      <c r="K28" s="205"/>
      <c r="L28" s="205">
        <f t="shared" si="4"/>
        <v>0</v>
      </c>
      <c r="M28" s="205"/>
      <c r="N28" s="205">
        <f>+H28+L28+M28</f>
        <v>0</v>
      </c>
      <c r="O28" s="206">
        <v>0</v>
      </c>
      <c r="P28" s="272"/>
    </row>
    <row r="29" spans="2:16" ht="16">
      <c r="B29" s="271"/>
      <c r="C29" s="196" t="s">
        <v>921</v>
      </c>
      <c r="D29" s="205">
        <v>0</v>
      </c>
      <c r="E29" s="205"/>
      <c r="F29" s="205"/>
      <c r="G29" s="205">
        <v>0</v>
      </c>
      <c r="H29" s="205">
        <f t="shared" si="1"/>
        <v>0</v>
      </c>
      <c r="I29" s="205"/>
      <c r="J29" s="205">
        <v>0</v>
      </c>
      <c r="K29" s="205"/>
      <c r="L29" s="205">
        <f t="shared" si="4"/>
        <v>0</v>
      </c>
      <c r="M29" s="205">
        <f>(COMPARATIVO!AP270-COMPARATIVO!AH270-COMPARATIVO!AP272)/1000</f>
        <v>0</v>
      </c>
      <c r="N29" s="205">
        <f>+H29+L29+M29</f>
        <v>0</v>
      </c>
      <c r="O29" s="206">
        <v>0</v>
      </c>
      <c r="P29" s="272"/>
    </row>
    <row r="30" spans="2:16" ht="16">
      <c r="B30" s="271"/>
      <c r="C30" s="196" t="s">
        <v>1578</v>
      </c>
      <c r="D30" s="205">
        <v>0</v>
      </c>
      <c r="E30" s="205">
        <v>0</v>
      </c>
      <c r="F30" s="205">
        <v>0</v>
      </c>
      <c r="G30" s="205">
        <f>(COMPARATIVO!AP266-COMPARATIVO!AH266)/1000</f>
        <v>479439.10399999999</v>
      </c>
      <c r="H30" s="205">
        <f t="shared" si="1"/>
        <v>479439.10399999999</v>
      </c>
      <c r="I30" s="205">
        <v>0</v>
      </c>
      <c r="J30" s="205">
        <v>0</v>
      </c>
      <c r="K30" s="205">
        <v>0</v>
      </c>
      <c r="L30" s="205">
        <f>SUM(I30:J30)</f>
        <v>0</v>
      </c>
      <c r="M30" s="205">
        <v>0</v>
      </c>
      <c r="N30" s="205">
        <f t="shared" si="2"/>
        <v>479439.10399999999</v>
      </c>
      <c r="O30" s="206">
        <v>543077.48600000003</v>
      </c>
      <c r="P30" s="272"/>
    </row>
    <row r="31" spans="2:16" ht="16" hidden="1" customHeight="1">
      <c r="B31" s="271"/>
      <c r="C31" s="196" t="s">
        <v>227</v>
      </c>
      <c r="D31" s="205">
        <v>0</v>
      </c>
      <c r="E31" s="205">
        <v>0</v>
      </c>
      <c r="F31" s="205">
        <v>0</v>
      </c>
      <c r="G31" s="205"/>
      <c r="H31" s="205">
        <f t="shared" si="1"/>
        <v>0</v>
      </c>
      <c r="I31" s="205"/>
      <c r="J31" s="205"/>
      <c r="K31" s="205"/>
      <c r="L31" s="205">
        <f t="shared" si="4"/>
        <v>0</v>
      </c>
      <c r="M31" s="205"/>
      <c r="N31" s="205">
        <f t="shared" si="2"/>
        <v>0</v>
      </c>
      <c r="O31" s="206">
        <v>0</v>
      </c>
      <c r="P31" s="272"/>
    </row>
    <row r="32" spans="2:16" ht="16" hidden="1" customHeight="1">
      <c r="B32" s="271"/>
      <c r="C32" s="196" t="s">
        <v>228</v>
      </c>
      <c r="D32" s="205">
        <v>0</v>
      </c>
      <c r="E32" s="205">
        <v>0</v>
      </c>
      <c r="F32" s="205">
        <v>0</v>
      </c>
      <c r="G32" s="205"/>
      <c r="H32" s="205">
        <f t="shared" si="1"/>
        <v>0</v>
      </c>
      <c r="I32" s="205"/>
      <c r="J32" s="205"/>
      <c r="K32" s="205"/>
      <c r="L32" s="205">
        <f t="shared" si="4"/>
        <v>0</v>
      </c>
      <c r="M32" s="205"/>
      <c r="N32" s="205">
        <f t="shared" si="2"/>
        <v>0</v>
      </c>
      <c r="O32" s="206">
        <v>0</v>
      </c>
      <c r="P32" s="272"/>
    </row>
    <row r="33" spans="1:19" ht="16">
      <c r="B33" s="271"/>
      <c r="C33" s="196" t="s">
        <v>1581</v>
      </c>
      <c r="D33" s="205">
        <v>0</v>
      </c>
      <c r="E33" s="205">
        <v>0</v>
      </c>
      <c r="F33" s="205">
        <v>0</v>
      </c>
      <c r="G33" s="205">
        <v>0</v>
      </c>
      <c r="H33" s="205">
        <v>0</v>
      </c>
      <c r="I33" s="205">
        <v>0</v>
      </c>
      <c r="J33" s="205">
        <v>0</v>
      </c>
      <c r="K33" s="205">
        <v>0</v>
      </c>
      <c r="L33" s="205">
        <f t="shared" si="4"/>
        <v>0</v>
      </c>
      <c r="M33" s="205">
        <f>+COMPARATIVO!AP272/1000</f>
        <v>425852.71</v>
      </c>
      <c r="N33" s="205">
        <f>+H33+L33+M33</f>
        <v>425852.71</v>
      </c>
      <c r="O33" s="206">
        <v>930046.05799999996</v>
      </c>
      <c r="P33" s="272"/>
      <c r="R33" s="22"/>
      <c r="S33" s="22"/>
    </row>
    <row r="34" spans="1:19" s="3" customFormat="1" ht="17" thickBot="1">
      <c r="A34" s="90"/>
      <c r="B34" s="295"/>
      <c r="C34" s="199" t="s">
        <v>1580</v>
      </c>
      <c r="D34" s="200">
        <f>+SUM(D19:D33)</f>
        <v>38500000</v>
      </c>
      <c r="E34" s="200">
        <f>+E31</f>
        <v>0</v>
      </c>
      <c r="F34" s="200">
        <f>+F31</f>
        <v>0</v>
      </c>
      <c r="G34" s="200">
        <f>+SUM(G19:G33)</f>
        <v>2951187.7479999997</v>
      </c>
      <c r="H34" s="200">
        <f t="shared" ref="H34:L34" si="5">+SUM(H19:H33)</f>
        <v>41451187.748000003</v>
      </c>
      <c r="I34" s="200">
        <f t="shared" si="5"/>
        <v>1274957.4790000001</v>
      </c>
      <c r="J34" s="200">
        <f t="shared" si="5"/>
        <v>1014.6319999999999</v>
      </c>
      <c r="K34" s="200">
        <f t="shared" si="5"/>
        <v>0</v>
      </c>
      <c r="L34" s="200">
        <f t="shared" si="5"/>
        <v>1275972.111</v>
      </c>
      <c r="M34" s="200">
        <f>+SUM(M19:M33)</f>
        <v>4865752.6140000001</v>
      </c>
      <c r="N34" s="200">
        <f>+SUM(N19:N33)+1</f>
        <v>47592913.472999997</v>
      </c>
      <c r="O34" s="201">
        <f>+SUM(O19:O33)</f>
        <v>46665207.359000005</v>
      </c>
      <c r="P34" s="296"/>
      <c r="R34" s="14">
        <f>+N34-(COMPARATIVO!AP261/1000)</f>
        <v>1</v>
      </c>
      <c r="S34" s="14">
        <f>+O34-(COMPARATIVO!AH261/1000)</f>
        <v>0</v>
      </c>
    </row>
    <row r="35" spans="1:19" ht="16">
      <c r="B35" s="271"/>
      <c r="C35" s="167"/>
      <c r="D35" s="167"/>
      <c r="E35" s="167"/>
      <c r="F35" s="167"/>
      <c r="G35" s="167"/>
      <c r="H35" s="167"/>
      <c r="I35" s="167"/>
      <c r="J35" s="167"/>
      <c r="K35" s="167"/>
      <c r="L35" s="167"/>
      <c r="M35" s="167"/>
      <c r="N35" s="167"/>
      <c r="O35" s="167"/>
      <c r="P35" s="272"/>
    </row>
    <row r="36" spans="1:19" ht="16">
      <c r="B36" s="271"/>
      <c r="C36" s="167"/>
      <c r="D36" s="167"/>
      <c r="E36" s="167"/>
      <c r="F36" s="167"/>
      <c r="G36" s="167"/>
      <c r="H36" s="167"/>
      <c r="I36" s="167"/>
      <c r="J36" s="167"/>
      <c r="K36" s="167"/>
      <c r="L36" s="167"/>
      <c r="M36" s="167"/>
      <c r="N36" s="167"/>
      <c r="O36" s="167"/>
      <c r="P36" s="272"/>
    </row>
    <row r="37" spans="1:19" ht="16">
      <c r="B37" s="271"/>
      <c r="C37" s="167" t="s">
        <v>1024</v>
      </c>
      <c r="D37" s="167"/>
      <c r="E37" s="167"/>
      <c r="F37" s="167"/>
      <c r="G37" s="167"/>
      <c r="H37" s="167"/>
      <c r="I37" s="167"/>
      <c r="J37" s="167"/>
      <c r="K37" s="167"/>
      <c r="L37" s="167"/>
      <c r="M37" s="167"/>
      <c r="N37" s="167"/>
      <c r="O37" s="167"/>
      <c r="P37" s="272"/>
    </row>
    <row r="38" spans="1:19" ht="16">
      <c r="B38" s="271"/>
      <c r="C38" s="167" t="s">
        <v>1528</v>
      </c>
      <c r="D38" s="167"/>
      <c r="E38" s="167"/>
      <c r="F38" s="167"/>
      <c r="G38" s="167"/>
      <c r="H38" s="167"/>
      <c r="I38" s="167"/>
      <c r="J38" s="167"/>
      <c r="K38" s="167"/>
      <c r="L38" s="167"/>
      <c r="M38" s="167"/>
      <c r="N38" s="167"/>
      <c r="O38" s="167"/>
      <c r="P38" s="272"/>
    </row>
    <row r="39" spans="1:19" ht="16">
      <c r="B39" s="271"/>
      <c r="C39" s="167"/>
      <c r="D39" s="167"/>
      <c r="E39" s="167"/>
      <c r="F39" s="167"/>
      <c r="G39" s="167"/>
      <c r="H39" s="167"/>
      <c r="I39" s="167"/>
      <c r="J39" s="167"/>
      <c r="K39" s="167"/>
      <c r="L39" s="167"/>
      <c r="M39" s="167"/>
      <c r="N39" s="167"/>
      <c r="O39" s="167"/>
      <c r="P39" s="272"/>
    </row>
    <row r="40" spans="1:19" ht="16">
      <c r="B40" s="271"/>
      <c r="C40" s="167" t="s">
        <v>1573</v>
      </c>
      <c r="D40" s="167"/>
      <c r="E40" s="167"/>
      <c r="F40" s="167"/>
      <c r="G40" s="167"/>
      <c r="H40" s="167"/>
      <c r="I40" s="167"/>
      <c r="J40" s="167"/>
      <c r="K40" s="167"/>
      <c r="L40" s="167"/>
      <c r="M40" s="167"/>
      <c r="N40" s="167"/>
      <c r="O40" s="167"/>
      <c r="P40" s="272"/>
    </row>
    <row r="41" spans="1:19" ht="17" thickBot="1">
      <c r="B41" s="292"/>
      <c r="C41" s="280"/>
      <c r="D41" s="280"/>
      <c r="E41" s="280"/>
      <c r="F41" s="280"/>
      <c r="G41" s="280"/>
      <c r="H41" s="280"/>
      <c r="I41" s="280"/>
      <c r="J41" s="280"/>
      <c r="K41" s="280"/>
      <c r="L41" s="280"/>
      <c r="M41" s="280"/>
      <c r="N41" s="280"/>
      <c r="O41" s="280"/>
      <c r="P41" s="293"/>
    </row>
    <row r="42" spans="1:19" ht="16" hidden="1">
      <c r="C42" s="165"/>
      <c r="D42" s="165"/>
      <c r="E42" s="165"/>
      <c r="F42" s="165"/>
      <c r="G42" s="165"/>
      <c r="H42" s="165"/>
      <c r="I42" s="165"/>
      <c r="J42" s="165"/>
      <c r="K42" s="165"/>
      <c r="L42" s="165"/>
      <c r="M42" s="165"/>
      <c r="N42" s="165"/>
      <c r="O42" s="165"/>
    </row>
    <row r="43" spans="1:19" ht="16" hidden="1">
      <c r="C43" s="165"/>
      <c r="D43" s="165"/>
      <c r="E43" s="165"/>
      <c r="F43" s="165"/>
      <c r="G43" s="165"/>
      <c r="H43" s="165"/>
      <c r="I43" s="165"/>
      <c r="J43" s="165"/>
      <c r="K43" s="165"/>
      <c r="L43" s="165"/>
      <c r="M43" s="165"/>
      <c r="N43" s="165"/>
      <c r="O43" s="165"/>
    </row>
    <row r="44" spans="1:19" ht="16" hidden="1">
      <c r="C44" s="165"/>
      <c r="D44" s="165"/>
      <c r="E44" s="165"/>
      <c r="F44" s="165"/>
      <c r="G44" s="165"/>
      <c r="H44" s="165"/>
      <c r="I44" s="165"/>
      <c r="J44" s="165"/>
      <c r="K44" s="165"/>
      <c r="L44" s="165"/>
      <c r="M44" s="165"/>
      <c r="N44" s="165"/>
      <c r="O44" s="165"/>
    </row>
    <row r="45" spans="1:19" ht="16" hidden="1">
      <c r="C45" s="165"/>
      <c r="D45" s="165"/>
      <c r="E45" s="165"/>
      <c r="F45" s="165"/>
      <c r="G45" s="165"/>
      <c r="H45" s="165"/>
      <c r="I45" s="165"/>
      <c r="J45" s="165"/>
      <c r="K45" s="165"/>
      <c r="L45" s="165"/>
      <c r="M45" s="165"/>
      <c r="N45" s="165"/>
      <c r="O45" s="165"/>
    </row>
    <row r="46" spans="1:19" ht="16" hidden="1">
      <c r="C46" s="165"/>
      <c r="D46" s="165"/>
      <c r="E46" s="165"/>
      <c r="F46" s="165"/>
      <c r="G46" s="165"/>
      <c r="H46" s="165"/>
      <c r="I46" s="165"/>
      <c r="J46" s="165"/>
      <c r="K46" s="165"/>
      <c r="L46" s="165"/>
      <c r="M46" s="165"/>
      <c r="N46" s="165"/>
      <c r="O46" s="165"/>
    </row>
    <row r="47" spans="1:19" ht="16" hidden="1">
      <c r="C47" s="165"/>
      <c r="D47" s="165"/>
      <c r="E47" s="165"/>
      <c r="F47" s="165"/>
      <c r="G47" s="165"/>
      <c r="H47" s="165"/>
      <c r="I47" s="165"/>
      <c r="J47" s="165"/>
      <c r="K47" s="165"/>
      <c r="L47" s="165"/>
      <c r="M47" s="165"/>
      <c r="N47" s="165"/>
      <c r="O47" s="165"/>
    </row>
    <row r="48" spans="1:19" ht="16" hidden="1">
      <c r="C48" s="165"/>
      <c r="D48" s="165"/>
      <c r="E48" s="165"/>
      <c r="F48" s="165"/>
      <c r="G48" s="165"/>
      <c r="H48" s="165"/>
      <c r="I48" s="165"/>
      <c r="J48" s="165"/>
      <c r="K48" s="165"/>
      <c r="L48" s="165"/>
      <c r="M48" s="165"/>
      <c r="N48" s="165"/>
      <c r="O48" s="165"/>
    </row>
    <row r="49" spans="3:15" ht="16" hidden="1">
      <c r="C49" s="165"/>
      <c r="D49" s="165"/>
      <c r="E49" s="165"/>
      <c r="F49" s="165"/>
      <c r="G49" s="165"/>
      <c r="H49" s="165"/>
      <c r="I49" s="165"/>
      <c r="J49" s="165"/>
      <c r="K49" s="165"/>
      <c r="L49" s="165"/>
      <c r="M49" s="165"/>
      <c r="N49" s="165"/>
      <c r="O49" s="165"/>
    </row>
    <row r="50" spans="3:15" ht="16" hidden="1">
      <c r="C50" s="165"/>
      <c r="D50" s="165"/>
      <c r="E50" s="165"/>
      <c r="F50" s="165"/>
      <c r="G50" s="165"/>
      <c r="H50" s="165"/>
      <c r="I50" s="165"/>
      <c r="J50" s="165"/>
      <c r="K50" s="165"/>
      <c r="L50" s="165"/>
      <c r="M50" s="165"/>
      <c r="N50" s="165"/>
      <c r="O50" s="165"/>
    </row>
    <row r="51" spans="3:15" ht="16" hidden="1">
      <c r="C51" s="165"/>
      <c r="D51" s="165"/>
      <c r="E51" s="165"/>
      <c r="F51" s="165"/>
      <c r="G51" s="165"/>
      <c r="H51" s="165"/>
      <c r="I51" s="165"/>
      <c r="J51" s="165"/>
      <c r="K51" s="165"/>
      <c r="L51" s="165"/>
      <c r="M51" s="165"/>
      <c r="N51" s="165"/>
      <c r="O51" s="165"/>
    </row>
    <row r="52" spans="3:15" ht="16" hidden="1">
      <c r="C52" s="165"/>
      <c r="D52" s="165"/>
      <c r="E52" s="165"/>
      <c r="F52" s="165"/>
      <c r="G52" s="165"/>
      <c r="H52" s="165"/>
      <c r="I52" s="165"/>
      <c r="J52" s="165"/>
      <c r="K52" s="165"/>
      <c r="L52" s="165"/>
      <c r="M52" s="165"/>
      <c r="N52" s="165"/>
      <c r="O52" s="165"/>
    </row>
    <row r="53" spans="3:15" ht="16" hidden="1">
      <c r="C53" s="165"/>
      <c r="D53" s="165"/>
      <c r="E53" s="165"/>
      <c r="F53" s="165"/>
      <c r="G53" s="165"/>
      <c r="H53" s="165"/>
      <c r="I53" s="165"/>
      <c r="J53" s="165"/>
      <c r="K53" s="165"/>
      <c r="L53" s="165"/>
      <c r="M53" s="165"/>
      <c r="N53" s="165"/>
      <c r="O53" s="165"/>
    </row>
    <row r="54" spans="3:15" ht="16" hidden="1">
      <c r="C54" s="165"/>
      <c r="D54" s="165"/>
      <c r="E54" s="165"/>
      <c r="F54" s="165"/>
      <c r="G54" s="165"/>
      <c r="H54" s="165"/>
      <c r="I54" s="165"/>
      <c r="J54" s="165"/>
      <c r="K54" s="165"/>
      <c r="L54" s="165"/>
      <c r="M54" s="165"/>
      <c r="N54" s="165"/>
      <c r="O54" s="165"/>
    </row>
    <row r="55" spans="3:15" ht="16" hidden="1">
      <c r="C55" s="165"/>
      <c r="D55" s="165"/>
      <c r="E55" s="165"/>
      <c r="F55" s="165"/>
      <c r="G55" s="165"/>
      <c r="H55" s="165"/>
      <c r="I55" s="165"/>
      <c r="J55" s="165"/>
      <c r="K55" s="165"/>
      <c r="L55" s="165"/>
      <c r="M55" s="165"/>
      <c r="N55" s="165"/>
      <c r="O55" s="165"/>
    </row>
    <row r="56" spans="3:15" ht="17" thickTop="1">
      <c r="C56" s="165"/>
      <c r="D56" s="165"/>
      <c r="E56" s="165"/>
      <c r="F56" s="165"/>
      <c r="G56" s="165"/>
      <c r="H56" s="165"/>
      <c r="I56" s="165"/>
      <c r="J56" s="165"/>
      <c r="K56" s="165"/>
      <c r="L56" s="165"/>
      <c r="M56" s="165"/>
      <c r="N56" s="165"/>
      <c r="O56" s="202">
        <v>5</v>
      </c>
    </row>
    <row r="57" spans="3:15">
      <c r="C57"/>
      <c r="D57"/>
      <c r="E57"/>
      <c r="F57"/>
      <c r="G57"/>
      <c r="H57"/>
      <c r="I57"/>
      <c r="J57"/>
      <c r="K57"/>
      <c r="L57"/>
      <c r="M57"/>
      <c r="N57"/>
      <c r="O57"/>
    </row>
    <row r="58" spans="3:15">
      <c r="C58"/>
      <c r="D58"/>
      <c r="E58"/>
      <c r="F58"/>
      <c r="G58"/>
      <c r="H58"/>
      <c r="I58"/>
      <c r="J58"/>
      <c r="K58"/>
      <c r="L58"/>
      <c r="M58"/>
      <c r="N58"/>
      <c r="O58"/>
    </row>
    <row r="59" spans="3:15">
      <c r="C59"/>
      <c r="D59"/>
      <c r="E59"/>
      <c r="F59"/>
      <c r="G59"/>
      <c r="H59"/>
      <c r="I59"/>
      <c r="J59"/>
      <c r="K59"/>
      <c r="L59"/>
      <c r="M59"/>
      <c r="N59"/>
      <c r="O59"/>
    </row>
    <row r="60" spans="3:15" hidden="1">
      <c r="C60"/>
      <c r="D60"/>
      <c r="E60"/>
      <c r="F60"/>
      <c r="G60"/>
      <c r="H60"/>
      <c r="I60"/>
      <c r="J60"/>
      <c r="K60"/>
      <c r="L60"/>
      <c r="M60"/>
      <c r="N60"/>
      <c r="O60"/>
    </row>
    <row r="61" spans="3:15">
      <c r="C61"/>
      <c r="D61"/>
      <c r="E61"/>
      <c r="F61"/>
      <c r="G61"/>
      <c r="H61"/>
      <c r="I61"/>
      <c r="J61"/>
      <c r="K61"/>
      <c r="L61"/>
      <c r="M61"/>
      <c r="N61"/>
      <c r="O61"/>
    </row>
    <row r="62" spans="3:15" ht="15.75" customHeight="1">
      <c r="C62"/>
      <c r="D62"/>
      <c r="E62"/>
      <c r="F62"/>
      <c r="G62"/>
      <c r="H62"/>
      <c r="I62"/>
      <c r="J62"/>
      <c r="K62"/>
      <c r="L62"/>
      <c r="M62"/>
      <c r="N62"/>
      <c r="O62"/>
    </row>
    <row r="63" spans="3:15">
      <c r="C63"/>
      <c r="D63"/>
      <c r="E63"/>
      <c r="F63"/>
      <c r="G63"/>
      <c r="H63"/>
      <c r="I63"/>
      <c r="J63"/>
      <c r="K63"/>
      <c r="L63"/>
      <c r="M63"/>
      <c r="N63"/>
      <c r="O63"/>
    </row>
    <row r="67" spans="3:15" hidden="1">
      <c r="C67" s="372" t="s">
        <v>723</v>
      </c>
      <c r="D67" s="372"/>
      <c r="E67" s="372"/>
      <c r="F67" s="372"/>
      <c r="G67" s="372"/>
      <c r="H67" s="372"/>
      <c r="I67" s="372"/>
      <c r="J67" s="372"/>
      <c r="K67" s="372"/>
      <c r="L67" s="372"/>
      <c r="M67" s="372"/>
      <c r="N67" s="372"/>
      <c r="O67" s="372"/>
    </row>
    <row r="68" spans="3:15" hidden="1"/>
    <row r="69" spans="3:15" hidden="1">
      <c r="C69" s="372" t="s">
        <v>405</v>
      </c>
      <c r="D69" s="372"/>
      <c r="E69" s="372"/>
      <c r="F69" s="372"/>
      <c r="G69" s="372"/>
      <c r="H69" s="372"/>
      <c r="I69" s="372"/>
      <c r="J69" s="372"/>
      <c r="K69" s="372"/>
      <c r="L69" s="372"/>
      <c r="M69" s="372"/>
      <c r="N69" s="372"/>
      <c r="O69" s="372"/>
    </row>
    <row r="70" spans="3:15" hidden="1"/>
    <row r="71" spans="3:15" hidden="1">
      <c r="C71" s="372" t="s">
        <v>387</v>
      </c>
      <c r="D71" s="372"/>
      <c r="E71" s="372"/>
      <c r="F71" s="372"/>
      <c r="G71" s="372"/>
      <c r="H71" s="372"/>
      <c r="I71" s="372"/>
      <c r="J71" s="372"/>
      <c r="K71" s="372"/>
      <c r="L71" s="372"/>
      <c r="M71" s="372"/>
      <c r="N71" s="372"/>
      <c r="O71" s="372"/>
    </row>
    <row r="72" spans="3:15" hidden="1"/>
    <row r="73" spans="3:15" hidden="1">
      <c r="C73" s="372" t="s">
        <v>1008</v>
      </c>
      <c r="D73" s="372"/>
      <c r="E73" s="372"/>
      <c r="F73" s="372"/>
      <c r="G73" s="372"/>
      <c r="H73" s="372"/>
      <c r="I73" s="372"/>
      <c r="J73" s="372"/>
      <c r="K73" s="372"/>
      <c r="L73" s="372"/>
      <c r="M73" s="372"/>
      <c r="N73" s="372"/>
      <c r="O73" s="372"/>
    </row>
    <row r="74" spans="3:15" hidden="1"/>
    <row r="75" spans="3:15" hidden="1">
      <c r="C75" s="372"/>
      <c r="D75" s="372"/>
      <c r="E75" s="372"/>
      <c r="F75" s="372"/>
      <c r="G75" s="372"/>
      <c r="H75" s="372"/>
      <c r="I75" s="372"/>
      <c r="J75" s="372"/>
      <c r="K75" s="372"/>
      <c r="L75" s="372"/>
      <c r="M75" s="372"/>
      <c r="N75" s="372"/>
      <c r="O75" s="372"/>
    </row>
    <row r="76" spans="3:15" ht="14" hidden="1" thickBot="1"/>
    <row r="77" spans="3:15" ht="13.5" hidden="1" customHeight="1" thickBot="1">
      <c r="C77" s="372" t="s">
        <v>208</v>
      </c>
      <c r="D77" s="372"/>
      <c r="E77" s="372"/>
      <c r="F77" s="372"/>
      <c r="G77" s="372"/>
      <c r="H77" s="372" t="s">
        <v>214</v>
      </c>
      <c r="I77" s="372" t="s">
        <v>215</v>
      </c>
      <c r="J77" s="372"/>
      <c r="L77" s="372" t="s">
        <v>214</v>
      </c>
      <c r="M77" s="372" t="s">
        <v>218</v>
      </c>
      <c r="N77" s="372" t="s">
        <v>942</v>
      </c>
      <c r="O77" s="372" t="s">
        <v>943</v>
      </c>
    </row>
    <row r="78" spans="3:15" ht="24.75" hidden="1" customHeight="1" thickBot="1">
      <c r="C78" s="372"/>
      <c r="D78" s="15" t="s">
        <v>210</v>
      </c>
      <c r="E78" s="15" t="s">
        <v>211</v>
      </c>
      <c r="F78" s="15" t="s">
        <v>212</v>
      </c>
      <c r="G78" s="15" t="s">
        <v>213</v>
      </c>
      <c r="H78" s="372"/>
      <c r="I78" s="15" t="s">
        <v>216</v>
      </c>
      <c r="J78" s="15" t="s">
        <v>217</v>
      </c>
      <c r="L78" s="372"/>
      <c r="M78" s="372"/>
      <c r="N78" s="372"/>
      <c r="O78" s="372"/>
    </row>
    <row r="79" spans="3:15" hidden="1">
      <c r="C79" s="15" t="s">
        <v>209</v>
      </c>
      <c r="D79" s="15">
        <f>+COMPARATIVO!Y263/1000</f>
        <v>25369000</v>
      </c>
      <c r="F79" s="15">
        <v>0</v>
      </c>
      <c r="G79" s="15">
        <v>1772581.8339999998</v>
      </c>
      <c r="H79" s="15">
        <f>SUM(D79:G79)</f>
        <v>27141581.833999999</v>
      </c>
      <c r="I79" s="15">
        <f>+COMPARATIVO!Y267/1000</f>
        <v>1013241.318</v>
      </c>
      <c r="J79" s="15">
        <f>+COMPARATIVO!Y273/1000</f>
        <v>1600000</v>
      </c>
      <c r="L79" s="15">
        <f>SUM(I79:J79)</f>
        <v>2613241.318</v>
      </c>
      <c r="M79" s="15">
        <v>10171548.206</v>
      </c>
      <c r="N79" s="15">
        <f t="shared" ref="N79:N84" si="6">+M79+L79+H79</f>
        <v>39926371.357999995</v>
      </c>
      <c r="O79" s="15">
        <f>+N114</f>
        <v>0</v>
      </c>
    </row>
    <row r="80" spans="3:15" hidden="1">
      <c r="C80" s="15" t="s">
        <v>219</v>
      </c>
      <c r="H80" s="15">
        <f>+SUM(D80:G80)</f>
        <v>0</v>
      </c>
      <c r="L80" s="15">
        <f>+SUM(I80:J80)</f>
        <v>0</v>
      </c>
      <c r="N80" s="15">
        <f t="shared" si="6"/>
        <v>0</v>
      </c>
    </row>
    <row r="81" spans="3:15" ht="14" hidden="1" thickBot="1">
      <c r="H81" s="15">
        <f>+SUM(D81:G81)</f>
        <v>0</v>
      </c>
      <c r="L81" s="15">
        <f>+SUM(I81:J81)</f>
        <v>0</v>
      </c>
      <c r="N81" s="15">
        <f t="shared" si="6"/>
        <v>0</v>
      </c>
    </row>
    <row r="82" spans="3:15" ht="14" hidden="1" thickBot="1">
      <c r="C82" s="15" t="s">
        <v>220</v>
      </c>
      <c r="D82" s="15">
        <f>+D79</f>
        <v>25369000</v>
      </c>
      <c r="E82" s="15">
        <f t="shared" ref="E82:O82" si="7">+E79</f>
        <v>0</v>
      </c>
      <c r="F82" s="15">
        <f t="shared" si="7"/>
        <v>0</v>
      </c>
      <c r="G82" s="15">
        <f t="shared" si="7"/>
        <v>1772581.8339999998</v>
      </c>
      <c r="H82" s="15">
        <f>+SUM(D82:G82)</f>
        <v>27141581.833999999</v>
      </c>
      <c r="I82" s="15">
        <f t="shared" si="7"/>
        <v>1013241.318</v>
      </c>
      <c r="J82" s="15">
        <f t="shared" si="7"/>
        <v>1600000</v>
      </c>
      <c r="L82" s="15">
        <f>+SUM(I82:J82)</f>
        <v>2613241.318</v>
      </c>
      <c r="M82" s="15">
        <f t="shared" si="7"/>
        <v>10171548.206</v>
      </c>
      <c r="N82" s="15">
        <f t="shared" si="6"/>
        <v>39926371.357999995</v>
      </c>
      <c r="O82" s="15">
        <f t="shared" si="7"/>
        <v>0</v>
      </c>
    </row>
    <row r="83" spans="3:15" hidden="1">
      <c r="H83" s="15">
        <f>+SUM(D83:G83)</f>
        <v>0</v>
      </c>
      <c r="L83" s="15">
        <f>+SUM(I83:J83)</f>
        <v>0</v>
      </c>
      <c r="N83" s="15">
        <f t="shared" si="6"/>
        <v>0</v>
      </c>
    </row>
    <row r="84" spans="3:15" hidden="1">
      <c r="C84" s="15" t="s">
        <v>221</v>
      </c>
      <c r="H84" s="15">
        <f>+SUM(D84:G84)</f>
        <v>0</v>
      </c>
      <c r="L84" s="15">
        <f>+SUM(I84:J84)</f>
        <v>0</v>
      </c>
      <c r="N84" s="15">
        <f t="shared" si="6"/>
        <v>0</v>
      </c>
    </row>
    <row r="85" spans="3:15" hidden="1">
      <c r="C85" s="15" t="s">
        <v>222</v>
      </c>
      <c r="D85" s="15">
        <f>1359451794/1000</f>
        <v>1359451.794</v>
      </c>
      <c r="G85" s="15">
        <f>-D85</f>
        <v>-1359451.794</v>
      </c>
      <c r="H85" s="15">
        <f>+D85+G85</f>
        <v>0</v>
      </c>
      <c r="L85" s="15">
        <f t="shared" ref="L85:L96" si="8">+SUM(I85:J85)</f>
        <v>0</v>
      </c>
      <c r="N85" s="15">
        <f>+H85+L85+M85</f>
        <v>0</v>
      </c>
    </row>
    <row r="86" spans="3:15" hidden="1">
      <c r="C86" s="15" t="s">
        <v>223</v>
      </c>
      <c r="D86" s="15">
        <v>11771548</v>
      </c>
      <c r="H86" s="15">
        <f t="shared" ref="H86:H95" si="9">+D86+G86</f>
        <v>11771548</v>
      </c>
      <c r="J86" s="15">
        <v>-1600000</v>
      </c>
      <c r="L86" s="15">
        <f t="shared" si="8"/>
        <v>-1600000</v>
      </c>
      <c r="N86" s="15">
        <f t="shared" ref="N86:N96" si="10">+H86+L86+M86</f>
        <v>10171548</v>
      </c>
      <c r="O86" s="15">
        <v>0</v>
      </c>
    </row>
    <row r="87" spans="3:15" hidden="1">
      <c r="C87" s="15" t="s">
        <v>224</v>
      </c>
      <c r="D87" s="15">
        <v>0</v>
      </c>
      <c r="H87" s="15">
        <f t="shared" si="9"/>
        <v>0</v>
      </c>
      <c r="L87" s="15">
        <f t="shared" si="8"/>
        <v>0</v>
      </c>
      <c r="M87" s="15">
        <f>-D87</f>
        <v>0</v>
      </c>
      <c r="N87" s="15">
        <f t="shared" si="10"/>
        <v>0</v>
      </c>
    </row>
    <row r="88" spans="3:15" hidden="1">
      <c r="H88" s="15">
        <f t="shared" si="9"/>
        <v>0</v>
      </c>
      <c r="L88" s="15">
        <f t="shared" si="8"/>
        <v>0</v>
      </c>
      <c r="M88" s="15">
        <f>-M87-M82</f>
        <v>-10171548.206</v>
      </c>
      <c r="N88" s="15">
        <f t="shared" si="10"/>
        <v>-10171548.206</v>
      </c>
    </row>
    <row r="89" spans="3:15" hidden="1">
      <c r="C89" s="15" t="s">
        <v>216</v>
      </c>
      <c r="H89" s="15">
        <f t="shared" si="9"/>
        <v>0</v>
      </c>
      <c r="I89" s="15">
        <v>108870.84299999999</v>
      </c>
      <c r="L89" s="15">
        <f t="shared" si="8"/>
        <v>108870.84299999999</v>
      </c>
      <c r="N89" s="15">
        <f t="shared" si="10"/>
        <v>108870.84299999999</v>
      </c>
    </row>
    <row r="90" spans="3:15" hidden="1">
      <c r="C90" s="15" t="s">
        <v>217</v>
      </c>
      <c r="H90" s="15">
        <f t="shared" si="9"/>
        <v>0</v>
      </c>
      <c r="L90" s="15">
        <f t="shared" si="8"/>
        <v>0</v>
      </c>
      <c r="N90" s="15">
        <f t="shared" si="10"/>
        <v>0</v>
      </c>
    </row>
    <row r="91" spans="3:15" hidden="1">
      <c r="C91" s="15" t="s">
        <v>225</v>
      </c>
      <c r="H91" s="15">
        <f t="shared" si="9"/>
        <v>0</v>
      </c>
      <c r="L91" s="15">
        <f t="shared" si="8"/>
        <v>0</v>
      </c>
      <c r="N91" s="15">
        <f t="shared" si="10"/>
        <v>0</v>
      </c>
    </row>
    <row r="92" spans="3:15" hidden="1">
      <c r="H92" s="15">
        <f t="shared" si="9"/>
        <v>0</v>
      </c>
      <c r="L92" s="15">
        <f t="shared" si="8"/>
        <v>0</v>
      </c>
      <c r="N92" s="15">
        <f t="shared" si="10"/>
        <v>0</v>
      </c>
    </row>
    <row r="93" spans="3:15" hidden="1">
      <c r="C93" s="15" t="s">
        <v>226</v>
      </c>
      <c r="G93" s="15">
        <v>744066.54800000042</v>
      </c>
      <c r="H93" s="15">
        <f t="shared" si="9"/>
        <v>744066.54800000042</v>
      </c>
      <c r="L93" s="15">
        <f t="shared" si="8"/>
        <v>0</v>
      </c>
      <c r="N93" s="15">
        <f t="shared" si="10"/>
        <v>744066.54800000042</v>
      </c>
    </row>
    <row r="94" spans="3:15" hidden="1">
      <c r="C94" s="15" t="s">
        <v>227</v>
      </c>
      <c r="H94" s="15">
        <f t="shared" si="9"/>
        <v>0</v>
      </c>
      <c r="L94" s="15">
        <f t="shared" si="8"/>
        <v>0</v>
      </c>
      <c r="N94" s="15">
        <f t="shared" si="10"/>
        <v>0</v>
      </c>
    </row>
    <row r="95" spans="3:15" hidden="1">
      <c r="C95" s="15" t="s">
        <v>228</v>
      </c>
      <c r="D95" s="15">
        <v>0</v>
      </c>
      <c r="E95" s="15">
        <v>0</v>
      </c>
      <c r="F95" s="15">
        <v>0</v>
      </c>
      <c r="G95" s="15">
        <v>0</v>
      </c>
      <c r="H95" s="15">
        <f t="shared" si="9"/>
        <v>0</v>
      </c>
      <c r="L95" s="15">
        <f t="shared" si="8"/>
        <v>0</v>
      </c>
      <c r="N95" s="15">
        <f t="shared" si="10"/>
        <v>0</v>
      </c>
    </row>
    <row r="96" spans="3:15" ht="14" hidden="1" thickBot="1">
      <c r="C96" s="15" t="s">
        <v>229</v>
      </c>
      <c r="H96" s="15">
        <f>+SUM(D96:G96)</f>
        <v>0</v>
      </c>
      <c r="L96" s="15">
        <f t="shared" si="8"/>
        <v>0</v>
      </c>
      <c r="M96" s="15">
        <v>1961691.561300003</v>
      </c>
      <c r="N96" s="15">
        <f t="shared" si="10"/>
        <v>1961691.561300003</v>
      </c>
      <c r="O96" s="15">
        <v>0</v>
      </c>
    </row>
    <row r="97" spans="3:15" ht="14" hidden="1" thickBot="1">
      <c r="C97" s="15" t="s">
        <v>230</v>
      </c>
      <c r="D97" s="15">
        <f t="shared" ref="D97:I97" si="11">SUM(D82:D95)</f>
        <v>38499999.794</v>
      </c>
      <c r="E97" s="15">
        <f t="shared" si="11"/>
        <v>0</v>
      </c>
      <c r="F97" s="15">
        <f t="shared" si="11"/>
        <v>0</v>
      </c>
      <c r="G97" s="15">
        <f t="shared" si="11"/>
        <v>1157196.5880000002</v>
      </c>
      <c r="H97" s="15">
        <f t="shared" si="11"/>
        <v>39657196.381999999</v>
      </c>
      <c r="I97" s="15">
        <f t="shared" si="11"/>
        <v>1122112.1609999998</v>
      </c>
      <c r="J97" s="15">
        <f>+COMPARATIVO!W273</f>
        <v>0</v>
      </c>
      <c r="L97" s="15">
        <f>SUM(I97:J97)</f>
        <v>1122112.1609999998</v>
      </c>
      <c r="M97" s="15">
        <f>SUM(M82:M96)</f>
        <v>1961691.561300003</v>
      </c>
      <c r="N97" s="15">
        <f>SUM(N82:N96)+1</f>
        <v>42741001.1043</v>
      </c>
      <c r="O97" s="15">
        <f>+SUM(O82:O96)</f>
        <v>0</v>
      </c>
    </row>
    <row r="98" spans="3:15" hidden="1"/>
    <row r="99" spans="3:15" hidden="1"/>
    <row r="100" spans="3:15" hidden="1"/>
    <row r="101" spans="3:15" hidden="1"/>
    <row r="102" spans="3:15" hidden="1">
      <c r="D102" s="15" t="s">
        <v>411</v>
      </c>
      <c r="L102" s="15" t="s">
        <v>411</v>
      </c>
    </row>
    <row r="103" spans="3:15" hidden="1">
      <c r="D103" s="372" t="s">
        <v>402</v>
      </c>
      <c r="E103" s="372"/>
      <c r="L103" s="372" t="s">
        <v>403</v>
      </c>
      <c r="M103" s="372"/>
    </row>
    <row r="104" spans="3:15" ht="15.75" hidden="1" customHeight="1"/>
    <row r="105" spans="3:15" hidden="1"/>
    <row r="106" spans="3:15" hidden="1"/>
    <row r="107" spans="3:15" hidden="1">
      <c r="C107" s="372" t="s">
        <v>193</v>
      </c>
      <c r="D107" s="372"/>
      <c r="E107" s="372"/>
      <c r="F107" s="372"/>
      <c r="G107" s="372"/>
      <c r="H107" s="372"/>
      <c r="I107" s="372"/>
      <c r="J107" s="372"/>
      <c r="K107" s="372"/>
      <c r="L107" s="372"/>
      <c r="M107" s="372"/>
      <c r="N107" s="372"/>
      <c r="O107" s="372"/>
    </row>
    <row r="108" spans="3:15" hidden="1"/>
    <row r="109" spans="3:15" hidden="1">
      <c r="C109" s="372" t="s">
        <v>231</v>
      </c>
      <c r="D109" s="372"/>
      <c r="E109" s="372"/>
      <c r="F109" s="372"/>
      <c r="G109" s="372"/>
      <c r="H109" s="372"/>
      <c r="I109" s="372"/>
      <c r="J109" s="372"/>
      <c r="K109" s="372"/>
      <c r="L109" s="372"/>
      <c r="M109" s="372"/>
      <c r="N109" s="372"/>
      <c r="O109" s="372"/>
    </row>
    <row r="110" spans="3:15" hidden="1">
      <c r="C110" s="372" t="s">
        <v>7</v>
      </c>
      <c r="D110" s="372"/>
      <c r="E110" s="372"/>
      <c r="F110" s="372"/>
      <c r="G110" s="372"/>
      <c r="H110" s="372"/>
      <c r="I110" s="372"/>
      <c r="J110" s="372"/>
      <c r="K110" s="372"/>
      <c r="L110" s="372"/>
      <c r="M110" s="372"/>
      <c r="N110" s="372"/>
      <c r="O110" s="372"/>
    </row>
    <row r="111" spans="3:15" ht="14" hidden="1" thickBot="1"/>
    <row r="112" spans="3:15" ht="14" hidden="1" thickBot="1">
      <c r="C112" s="372" t="s">
        <v>208</v>
      </c>
      <c r="D112" s="372"/>
      <c r="E112" s="372"/>
      <c r="F112" s="372"/>
      <c r="G112" s="372"/>
      <c r="H112" s="372" t="s">
        <v>214</v>
      </c>
      <c r="I112" s="372" t="s">
        <v>215</v>
      </c>
      <c r="J112" s="372"/>
      <c r="L112" s="372" t="s">
        <v>214</v>
      </c>
      <c r="M112" s="372" t="s">
        <v>218</v>
      </c>
      <c r="N112" s="372" t="s">
        <v>5</v>
      </c>
      <c r="O112" s="372" t="s">
        <v>6</v>
      </c>
    </row>
    <row r="113" spans="3:15" ht="14" hidden="1" thickBot="1">
      <c r="C113" s="372"/>
      <c r="D113" s="15" t="s">
        <v>210</v>
      </c>
      <c r="E113" s="15" t="s">
        <v>211</v>
      </c>
      <c r="F113" s="15" t="s">
        <v>212</v>
      </c>
      <c r="G113" s="15" t="s">
        <v>213</v>
      </c>
      <c r="H113" s="372"/>
      <c r="I113" s="15" t="s">
        <v>216</v>
      </c>
      <c r="J113" s="15" t="s">
        <v>217</v>
      </c>
      <c r="L113" s="372"/>
      <c r="M113" s="372"/>
      <c r="N113" s="372"/>
      <c r="O113" s="372"/>
    </row>
    <row r="114" spans="3:15" hidden="1">
      <c r="C114" s="15" t="s">
        <v>209</v>
      </c>
    </row>
    <row r="115" spans="3:15" hidden="1">
      <c r="C115" s="15" t="s">
        <v>219</v>
      </c>
    </row>
    <row r="116" spans="3:15" ht="14" hidden="1" thickBot="1"/>
    <row r="117" spans="3:15" ht="14" hidden="1" thickBot="1">
      <c r="C117" s="15" t="s">
        <v>220</v>
      </c>
      <c r="D117" s="15">
        <f>+D114</f>
        <v>0</v>
      </c>
      <c r="E117" s="15">
        <f t="shared" ref="E117:N117" si="12">+E114</f>
        <v>0</v>
      </c>
      <c r="F117" s="15">
        <f t="shared" si="12"/>
        <v>0</v>
      </c>
      <c r="G117" s="15">
        <f t="shared" si="12"/>
        <v>0</v>
      </c>
      <c r="H117" s="15">
        <f t="shared" si="12"/>
        <v>0</v>
      </c>
      <c r="I117" s="15">
        <f t="shared" si="12"/>
        <v>0</v>
      </c>
      <c r="J117" s="15">
        <f t="shared" si="12"/>
        <v>0</v>
      </c>
      <c r="L117" s="15">
        <f t="shared" si="12"/>
        <v>0</v>
      </c>
      <c r="M117" s="15">
        <f t="shared" si="12"/>
        <v>0</v>
      </c>
      <c r="N117" s="15">
        <f t="shared" si="12"/>
        <v>0</v>
      </c>
    </row>
    <row r="118" spans="3:15" hidden="1"/>
    <row r="119" spans="3:15" hidden="1">
      <c r="C119" s="15" t="s">
        <v>221</v>
      </c>
    </row>
    <row r="120" spans="3:15" hidden="1">
      <c r="C120" s="15" t="s">
        <v>222</v>
      </c>
    </row>
    <row r="121" spans="3:15" hidden="1">
      <c r="C121" s="15" t="s">
        <v>223</v>
      </c>
      <c r="D121" s="15" t="e">
        <f>+BG!#REF!</f>
        <v>#REF!</v>
      </c>
      <c r="E121" s="15">
        <v>0</v>
      </c>
      <c r="F121" s="15" t="e">
        <f>+BG!#REF!</f>
        <v>#REF!</v>
      </c>
      <c r="G121" s="15">
        <v>0</v>
      </c>
      <c r="H121" s="15" t="e">
        <f>+SUM(D121:G121)</f>
        <v>#REF!</v>
      </c>
      <c r="N121" s="15" t="e">
        <f>+H121+L121+M121</f>
        <v>#REF!</v>
      </c>
    </row>
    <row r="122" spans="3:15" hidden="1">
      <c r="C122" s="15" t="s">
        <v>224</v>
      </c>
    </row>
    <row r="123" spans="3:15" hidden="1"/>
    <row r="124" spans="3:15" hidden="1">
      <c r="C124" s="15" t="s">
        <v>216</v>
      </c>
    </row>
    <row r="125" spans="3:15" hidden="1">
      <c r="C125" s="15" t="s">
        <v>217</v>
      </c>
    </row>
    <row r="126" spans="3:15" hidden="1">
      <c r="C126" s="15" t="s">
        <v>225</v>
      </c>
    </row>
    <row r="127" spans="3:15" hidden="1"/>
    <row r="128" spans="3:15" hidden="1">
      <c r="C128" s="15" t="s">
        <v>226</v>
      </c>
      <c r="I128" s="15">
        <v>0</v>
      </c>
      <c r="J128" s="15">
        <v>0</v>
      </c>
      <c r="L128" s="15">
        <f>+I128+J128</f>
        <v>0</v>
      </c>
      <c r="N128" s="15">
        <f>+H128+L128+M128</f>
        <v>0</v>
      </c>
    </row>
    <row r="129" spans="3:14" hidden="1">
      <c r="C129" s="15" t="s">
        <v>227</v>
      </c>
    </row>
    <row r="130" spans="3:14" hidden="1">
      <c r="C130" s="15" t="s">
        <v>228</v>
      </c>
      <c r="D130" s="15">
        <v>0</v>
      </c>
      <c r="E130" s="15">
        <v>0</v>
      </c>
      <c r="F130" s="15">
        <v>0</v>
      </c>
      <c r="G130" s="15">
        <v>0</v>
      </c>
      <c r="H130" s="15">
        <f>+SUM(D130:G130)</f>
        <v>0</v>
      </c>
      <c r="N130" s="15">
        <f>+H130+L130+M130</f>
        <v>0</v>
      </c>
    </row>
    <row r="131" spans="3:14" ht="14" hidden="1" thickBot="1">
      <c r="C131" s="15" t="s">
        <v>229</v>
      </c>
      <c r="H131" s="15">
        <v>0</v>
      </c>
      <c r="L131" s="15">
        <v>0</v>
      </c>
      <c r="M131" s="15" t="e">
        <f>+BG!#REF!</f>
        <v>#REF!</v>
      </c>
      <c r="N131" s="15" t="e">
        <f>+H131+L131+M131</f>
        <v>#REF!</v>
      </c>
    </row>
    <row r="132" spans="3:14" ht="14" hidden="1" thickBot="1">
      <c r="C132" s="15" t="s">
        <v>230</v>
      </c>
      <c r="D132" s="15" t="e">
        <f t="shared" ref="D132:N132" si="13">+SUM(D117:D131)</f>
        <v>#REF!</v>
      </c>
      <c r="E132" s="15">
        <f t="shared" si="13"/>
        <v>0</v>
      </c>
      <c r="F132" s="15" t="e">
        <f t="shared" si="13"/>
        <v>#REF!</v>
      </c>
      <c r="G132" s="15">
        <f t="shared" si="13"/>
        <v>0</v>
      </c>
      <c r="H132" s="15" t="e">
        <f t="shared" si="13"/>
        <v>#REF!</v>
      </c>
      <c r="I132" s="15">
        <f t="shared" si="13"/>
        <v>0</v>
      </c>
      <c r="J132" s="15">
        <f t="shared" si="13"/>
        <v>0</v>
      </c>
      <c r="L132" s="15">
        <f t="shared" si="13"/>
        <v>0</v>
      </c>
      <c r="M132" s="15" t="e">
        <f t="shared" si="13"/>
        <v>#REF!</v>
      </c>
      <c r="N132" s="15" t="e">
        <f t="shared" si="13"/>
        <v>#REF!</v>
      </c>
    </row>
    <row r="133" spans="3:14" hidden="1">
      <c r="N133" s="15" t="e">
        <f>+BG!#REF!</f>
        <v>#REF!</v>
      </c>
    </row>
    <row r="134" spans="3:14" hidden="1"/>
    <row r="135" spans="3:14" hidden="1"/>
    <row r="136" spans="3:14" hidden="1"/>
    <row r="137" spans="3:14" hidden="1"/>
    <row r="138" spans="3:14" hidden="1">
      <c r="D138" s="15" t="s">
        <v>411</v>
      </c>
      <c r="L138" s="15" t="s">
        <v>411</v>
      </c>
    </row>
    <row r="139" spans="3:14" hidden="1">
      <c r="D139" s="372" t="s">
        <v>402</v>
      </c>
      <c r="E139" s="372"/>
      <c r="L139" s="372" t="s">
        <v>403</v>
      </c>
      <c r="M139" s="372"/>
    </row>
    <row r="140" spans="3:14" ht="15.75" hidden="1" customHeight="1"/>
  </sheetData>
  <mergeCells count="41">
    <mergeCell ref="N112:N113"/>
    <mergeCell ref="M77:M78"/>
    <mergeCell ref="C71:O71"/>
    <mergeCell ref="O112:O113"/>
    <mergeCell ref="C107:O107"/>
    <mergeCell ref="C73:O73"/>
    <mergeCell ref="C109:O109"/>
    <mergeCell ref="C110:O110"/>
    <mergeCell ref="C112:C113"/>
    <mergeCell ref="D112:G112"/>
    <mergeCell ref="M112:M113"/>
    <mergeCell ref="N77:N78"/>
    <mergeCell ref="D77:G77"/>
    <mergeCell ref="H77:H78"/>
    <mergeCell ref="I77:J77"/>
    <mergeCell ref="L77:L78"/>
    <mergeCell ref="C5:O5"/>
    <mergeCell ref="C7:O7"/>
    <mergeCell ref="C11:O11"/>
    <mergeCell ref="C9:O9"/>
    <mergeCell ref="O77:O78"/>
    <mergeCell ref="C75:O75"/>
    <mergeCell ref="C77:C78"/>
    <mergeCell ref="L14:L15"/>
    <mergeCell ref="N14:N15"/>
    <mergeCell ref="D139:E139"/>
    <mergeCell ref="L139:M139"/>
    <mergeCell ref="H112:H113"/>
    <mergeCell ref="I112:J112"/>
    <mergeCell ref="L112:L113"/>
    <mergeCell ref="D103:E103"/>
    <mergeCell ref="L103:M103"/>
    <mergeCell ref="O14:O15"/>
    <mergeCell ref="C67:O67"/>
    <mergeCell ref="C69:O69"/>
    <mergeCell ref="M14:M15"/>
    <mergeCell ref="C13:C15"/>
    <mergeCell ref="I14:J14"/>
    <mergeCell ref="G14:G15"/>
    <mergeCell ref="D14:D15"/>
    <mergeCell ref="H14:H15"/>
  </mergeCells>
  <phoneticPr fontId="4" type="noConversion"/>
  <printOptions horizontalCentered="1"/>
  <pageMargins left="0.82677165354330717" right="0.15748031496062992" top="1.1811023622047245" bottom="0" header="0.11811023622047245" footer="0"/>
  <pageSetup paperSize="9" scale="65" orientation="landscape" r:id="rId1"/>
  <headerFooter>
    <oddHeader>&amp;L
&amp;G</oddHeader>
  </headerFooter>
  <rowBreaks count="1" manualBreakCount="1">
    <brk id="65" max="16383" man="1"/>
  </rowBreaks>
  <ignoredErrors>
    <ignoredError sqref="H17:H19 L16:L21 N34" formula="1"/>
    <ignoredError sqref="L33 L28:N28 L27:M27 L30:N30 L29 N29 O34" formulaRange="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EDED9-27F4-468D-B2FE-842030DBC9F8}">
  <dimension ref="A1:L52"/>
  <sheetViews>
    <sheetView showGridLines="0" topLeftCell="A8" zoomScaleNormal="100" zoomScaleSheetLayoutView="115" workbookViewId="0">
      <selection activeCell="L24" sqref="L24"/>
    </sheetView>
  </sheetViews>
  <sheetFormatPr baseColWidth="10" defaultColWidth="11.5" defaultRowHeight="13"/>
  <cols>
    <col min="1" max="2" width="6" style="241" customWidth="1"/>
    <col min="3" max="3" width="6.83203125" style="103" customWidth="1"/>
    <col min="4" max="4" width="53" style="102" customWidth="1"/>
    <col min="5" max="5" width="17.83203125" style="102" hidden="1" customWidth="1"/>
    <col min="6" max="6" width="15.6640625" style="102" customWidth="1"/>
    <col min="7" max="7" width="4.83203125" style="102" customWidth="1"/>
    <col min="8" max="8" width="17.83203125" style="102" hidden="1" customWidth="1"/>
    <col min="9" max="9" width="13.83203125" style="102" bestFit="1" customWidth="1"/>
    <col min="10" max="10" width="8.1640625" style="102" customWidth="1"/>
    <col min="11" max="12" width="11.5" style="102"/>
    <col min="13" max="16384" width="11.5" style="96"/>
  </cols>
  <sheetData>
    <row r="1" spans="2:12" s="241" customFormat="1" ht="14" thickBot="1">
      <c r="C1" s="103"/>
      <c r="D1" s="102"/>
      <c r="E1" s="102"/>
      <c r="F1" s="102"/>
      <c r="G1" s="102"/>
      <c r="H1" s="102"/>
      <c r="I1" s="102"/>
      <c r="J1" s="102"/>
      <c r="K1" s="102"/>
      <c r="L1" s="102"/>
    </row>
    <row r="2" spans="2:12" s="241" customFormat="1" ht="14" thickTop="1">
      <c r="B2" s="268"/>
      <c r="C2" s="297"/>
      <c r="D2" s="298"/>
      <c r="E2" s="298"/>
      <c r="F2" s="298"/>
      <c r="G2" s="298"/>
      <c r="H2" s="298"/>
      <c r="I2" s="298"/>
      <c r="J2" s="299"/>
      <c r="K2" s="102"/>
      <c r="L2" s="102"/>
    </row>
    <row r="3" spans="2:12" ht="16">
      <c r="B3" s="271"/>
      <c r="C3" s="396" t="s">
        <v>723</v>
      </c>
      <c r="D3" s="396"/>
      <c r="E3" s="396"/>
      <c r="F3" s="396"/>
      <c r="G3" s="396"/>
      <c r="H3" s="396"/>
      <c r="I3" s="396"/>
      <c r="J3" s="397"/>
    </row>
    <row r="4" spans="2:12" ht="16">
      <c r="B4" s="271"/>
      <c r="C4" s="300"/>
      <c r="D4" s="301"/>
      <c r="E4" s="301"/>
      <c r="F4" s="301"/>
      <c r="G4" s="301"/>
      <c r="H4" s="301"/>
      <c r="I4" s="301"/>
      <c r="J4" s="302"/>
    </row>
    <row r="5" spans="2:12" ht="16">
      <c r="B5" s="271"/>
      <c r="C5" s="396" t="s">
        <v>194</v>
      </c>
      <c r="D5" s="396"/>
      <c r="E5" s="396"/>
      <c r="F5" s="396"/>
      <c r="G5" s="396"/>
      <c r="H5" s="396"/>
      <c r="I5" s="396"/>
      <c r="J5" s="397"/>
    </row>
    <row r="6" spans="2:12" ht="16">
      <c r="B6" s="271"/>
      <c r="C6" s="396" t="s">
        <v>4799</v>
      </c>
      <c r="D6" s="396"/>
      <c r="E6" s="396"/>
      <c r="F6" s="396"/>
      <c r="G6" s="396"/>
      <c r="H6" s="396"/>
      <c r="I6" s="396"/>
      <c r="J6" s="397"/>
    </row>
    <row r="7" spans="2:12" ht="16">
      <c r="B7" s="271"/>
      <c r="C7" s="303"/>
      <c r="D7" s="398"/>
      <c r="E7" s="398"/>
      <c r="F7" s="398"/>
      <c r="G7" s="398"/>
      <c r="H7" s="398"/>
      <c r="I7" s="398"/>
      <c r="J7" s="399"/>
    </row>
    <row r="8" spans="2:12" ht="16">
      <c r="B8" s="271"/>
      <c r="C8" s="396" t="s">
        <v>4732</v>
      </c>
      <c r="D8" s="396"/>
      <c r="E8" s="396"/>
      <c r="F8" s="396"/>
      <c r="G8" s="396"/>
      <c r="H8" s="396"/>
      <c r="I8" s="396"/>
      <c r="J8" s="397"/>
    </row>
    <row r="9" spans="2:12" ht="16">
      <c r="B9" s="271"/>
      <c r="C9" s="304"/>
      <c r="D9" s="305"/>
      <c r="E9" s="305"/>
      <c r="F9" s="305"/>
      <c r="G9" s="305"/>
      <c r="H9" s="305"/>
      <c r="I9" s="305"/>
      <c r="J9" s="306"/>
    </row>
    <row r="10" spans="2:12" ht="17">
      <c r="B10" s="271"/>
      <c r="C10" s="304"/>
      <c r="D10" s="305"/>
      <c r="E10" s="209" t="s">
        <v>4733</v>
      </c>
      <c r="F10" s="209" t="s">
        <v>4733</v>
      </c>
      <c r="G10" s="307"/>
      <c r="H10" s="209" t="s">
        <v>1531</v>
      </c>
      <c r="I10" s="209" t="s">
        <v>1531</v>
      </c>
      <c r="J10" s="306"/>
    </row>
    <row r="11" spans="2:12" ht="16">
      <c r="B11" s="271"/>
      <c r="C11" s="304"/>
      <c r="D11" s="305"/>
      <c r="E11" s="308"/>
      <c r="F11" s="308"/>
      <c r="G11" s="309"/>
      <c r="H11" s="308"/>
      <c r="I11" s="309"/>
      <c r="J11" s="306"/>
    </row>
    <row r="12" spans="2:12" ht="16">
      <c r="B12" s="271"/>
      <c r="C12" s="310" t="s">
        <v>4706</v>
      </c>
      <c r="D12" s="303" t="s">
        <v>4707</v>
      </c>
      <c r="E12" s="308"/>
      <c r="F12" s="308"/>
      <c r="G12" s="309"/>
      <c r="H12" s="308"/>
      <c r="I12" s="309"/>
      <c r="J12" s="306"/>
    </row>
    <row r="13" spans="2:12" ht="16">
      <c r="B13" s="271"/>
      <c r="C13" s="304"/>
      <c r="D13" s="305" t="s">
        <v>4708</v>
      </c>
      <c r="E13" s="305">
        <v>72599025062</v>
      </c>
      <c r="F13" s="305">
        <f>+ROUND(E13/1000,0)-1</f>
        <v>72599024</v>
      </c>
      <c r="G13" s="305"/>
      <c r="H13" s="305">
        <v>100327641073</v>
      </c>
      <c r="I13" s="305">
        <f>+H13/1000</f>
        <v>100327641.073</v>
      </c>
      <c r="J13" s="306"/>
    </row>
    <row r="14" spans="2:12" ht="16">
      <c r="B14" s="271"/>
      <c r="C14" s="304"/>
      <c r="D14" s="305" t="s">
        <v>4709</v>
      </c>
      <c r="E14" s="305">
        <v>-65128743900</v>
      </c>
      <c r="F14" s="305">
        <f>+ROUND(E14/1000,)</f>
        <v>-65128744</v>
      </c>
      <c r="G14" s="305"/>
      <c r="H14" s="305">
        <v>-96417727871</v>
      </c>
      <c r="I14" s="305">
        <f t="shared" ref="I14:I40" si="0">+H14/1000</f>
        <v>-96417727.871000007</v>
      </c>
      <c r="J14" s="306"/>
    </row>
    <row r="15" spans="2:12" ht="16">
      <c r="B15" s="271"/>
      <c r="C15" s="304"/>
      <c r="D15" s="305" t="s">
        <v>4710</v>
      </c>
      <c r="E15" s="210">
        <f>SUM(E13:E14)</f>
        <v>7470281162</v>
      </c>
      <c r="F15" s="211">
        <f>+SUM(F13:F14)</f>
        <v>7470280</v>
      </c>
      <c r="G15" s="305"/>
      <c r="H15" s="210">
        <f>SUM(H13:H14)</f>
        <v>3909913202</v>
      </c>
      <c r="I15" s="210">
        <f t="shared" si="0"/>
        <v>3909913.202</v>
      </c>
      <c r="J15" s="306"/>
    </row>
    <row r="16" spans="2:12" ht="16">
      <c r="B16" s="271"/>
      <c r="C16" s="304"/>
      <c r="D16" s="305"/>
      <c r="E16" s="305"/>
      <c r="F16" s="305"/>
      <c r="G16" s="305"/>
      <c r="H16" s="305"/>
      <c r="I16" s="311"/>
      <c r="J16" s="306"/>
    </row>
    <row r="17" spans="2:10" ht="16">
      <c r="B17" s="271"/>
      <c r="C17" s="304"/>
      <c r="D17" s="305" t="s">
        <v>4711</v>
      </c>
      <c r="E17" s="305">
        <v>611105556</v>
      </c>
      <c r="F17" s="305">
        <f>+ROUND(E17/1000,0)</f>
        <v>611106</v>
      </c>
      <c r="G17" s="305"/>
      <c r="H17" s="305">
        <v>418234440</v>
      </c>
      <c r="I17" s="305">
        <f t="shared" si="0"/>
        <v>418234.44</v>
      </c>
      <c r="J17" s="306"/>
    </row>
    <row r="18" spans="2:10" ht="16">
      <c r="B18" s="271"/>
      <c r="C18" s="304"/>
      <c r="D18" s="305" t="s">
        <v>176</v>
      </c>
      <c r="E18" s="305">
        <v>-162814352</v>
      </c>
      <c r="F18" s="305">
        <f>+ROUND(E18/1000,0)</f>
        <v>-162814</v>
      </c>
      <c r="G18" s="305"/>
      <c r="H18" s="305">
        <v>44978690</v>
      </c>
      <c r="I18" s="305">
        <f t="shared" si="0"/>
        <v>44978.69</v>
      </c>
      <c r="J18" s="306"/>
    </row>
    <row r="19" spans="2:10" ht="16">
      <c r="B19" s="271"/>
      <c r="C19" s="304"/>
      <c r="D19" s="305" t="s">
        <v>4712</v>
      </c>
      <c r="E19" s="210">
        <f>SUM(E15:E18)</f>
        <v>7918572366</v>
      </c>
      <c r="F19" s="211">
        <f>+F15+F17+F18</f>
        <v>7918572</v>
      </c>
      <c r="G19" s="305"/>
      <c r="H19" s="210">
        <f>SUM(H15:H18)</f>
        <v>4373126332</v>
      </c>
      <c r="I19" s="210">
        <f t="shared" si="0"/>
        <v>4373126.3320000004</v>
      </c>
      <c r="J19" s="306"/>
    </row>
    <row r="20" spans="2:10" ht="16">
      <c r="B20" s="271"/>
      <c r="C20" s="304"/>
      <c r="D20" s="305"/>
      <c r="E20" s="305"/>
      <c r="F20" s="305"/>
      <c r="G20" s="305"/>
      <c r="H20" s="305"/>
      <c r="I20" s="311"/>
      <c r="J20" s="306"/>
    </row>
    <row r="21" spans="2:10" ht="16">
      <c r="B21" s="271"/>
      <c r="C21" s="312" t="s">
        <v>4713</v>
      </c>
      <c r="D21" s="304" t="s">
        <v>4714</v>
      </c>
      <c r="E21" s="305"/>
      <c r="F21" s="305"/>
      <c r="G21" s="305"/>
      <c r="H21" s="305"/>
      <c r="I21" s="311"/>
      <c r="J21" s="306"/>
    </row>
    <row r="22" spans="2:10" ht="16">
      <c r="B22" s="271"/>
      <c r="C22" s="304"/>
      <c r="D22" s="305"/>
      <c r="E22" s="305"/>
      <c r="F22" s="305"/>
      <c r="G22" s="305"/>
      <c r="H22" s="305"/>
      <c r="I22" s="311"/>
      <c r="J22" s="306"/>
    </row>
    <row r="23" spans="2:10" ht="16">
      <c r="B23" s="271"/>
      <c r="C23" s="304"/>
      <c r="D23" s="305" t="s">
        <v>4715</v>
      </c>
      <c r="E23" s="305">
        <v>240692433</v>
      </c>
      <c r="F23" s="305">
        <f>+ROUND(E23/1000,0)</f>
        <v>240692</v>
      </c>
      <c r="G23" s="305"/>
      <c r="H23" s="305">
        <v>-61341009</v>
      </c>
      <c r="I23" s="305">
        <f t="shared" si="0"/>
        <v>-61341.008999999998</v>
      </c>
      <c r="J23" s="306"/>
    </row>
    <row r="24" spans="2:10" ht="16">
      <c r="B24" s="271"/>
      <c r="C24" s="304"/>
      <c r="D24" s="305" t="s">
        <v>4734</v>
      </c>
      <c r="E24" s="305">
        <v>1952972309</v>
      </c>
      <c r="F24" s="305">
        <f>+ROUND(E24/1000,0)</f>
        <v>1952972</v>
      </c>
      <c r="G24" s="305"/>
      <c r="H24" s="305">
        <v>0</v>
      </c>
      <c r="I24" s="305"/>
      <c r="J24" s="306"/>
    </row>
    <row r="25" spans="2:10" ht="16">
      <c r="B25" s="271"/>
      <c r="C25" s="304"/>
      <c r="D25" s="305" t="s">
        <v>4716</v>
      </c>
      <c r="E25" s="305">
        <v>-1949735598</v>
      </c>
      <c r="F25" s="305">
        <f>+ROUND(E25/1000,0)</f>
        <v>-1949736</v>
      </c>
      <c r="G25" s="305"/>
      <c r="H25" s="305">
        <v>-461750647</v>
      </c>
      <c r="I25" s="305">
        <f t="shared" si="0"/>
        <v>-461750.647</v>
      </c>
      <c r="J25" s="306"/>
    </row>
    <row r="26" spans="2:10" ht="16">
      <c r="B26" s="271"/>
      <c r="C26" s="304"/>
      <c r="D26" s="305" t="s">
        <v>4717</v>
      </c>
      <c r="E26" s="305">
        <v>3670597629</v>
      </c>
      <c r="F26" s="305">
        <f>+ROUND(E26/1000,0)</f>
        <v>3670598</v>
      </c>
      <c r="G26" s="305"/>
      <c r="H26" s="305">
        <v>3195997944</v>
      </c>
      <c r="I26" s="305">
        <f t="shared" si="0"/>
        <v>3195997.9440000001</v>
      </c>
      <c r="J26" s="306"/>
    </row>
    <row r="27" spans="2:10" ht="16">
      <c r="B27" s="271"/>
      <c r="C27" s="304"/>
      <c r="D27" s="305" t="s">
        <v>177</v>
      </c>
      <c r="E27" s="305">
        <v>3074867605</v>
      </c>
      <c r="F27" s="305">
        <f>+ROUND(E27/1000,0)</f>
        <v>3074868</v>
      </c>
      <c r="G27" s="305"/>
      <c r="H27" s="305">
        <v>-6819922990</v>
      </c>
      <c r="I27" s="305">
        <f t="shared" si="0"/>
        <v>-6819922.9900000002</v>
      </c>
      <c r="J27" s="306"/>
    </row>
    <row r="28" spans="2:10" ht="16">
      <c r="B28" s="271"/>
      <c r="C28" s="304"/>
      <c r="D28" s="305" t="s">
        <v>4718</v>
      </c>
      <c r="E28" s="210">
        <f>SUM(E23:E27)</f>
        <v>6989394378</v>
      </c>
      <c r="F28" s="210">
        <f>+SUM(F23:F27)</f>
        <v>6989394</v>
      </c>
      <c r="G28" s="305"/>
      <c r="H28" s="210">
        <f>SUM(H23:H27)</f>
        <v>-4147016702</v>
      </c>
      <c r="I28" s="210">
        <f t="shared" si="0"/>
        <v>-4147016.702</v>
      </c>
      <c r="J28" s="306"/>
    </row>
    <row r="29" spans="2:10" ht="16">
      <c r="B29" s="271"/>
      <c r="C29" s="304"/>
      <c r="D29" s="305"/>
      <c r="E29" s="305"/>
      <c r="F29" s="305"/>
      <c r="G29" s="305"/>
      <c r="H29" s="305"/>
      <c r="I29" s="311"/>
      <c r="J29" s="306"/>
    </row>
    <row r="30" spans="2:10" ht="16">
      <c r="B30" s="271"/>
      <c r="C30" s="312" t="s">
        <v>4719</v>
      </c>
      <c r="D30" s="304" t="s">
        <v>4720</v>
      </c>
      <c r="E30" s="305"/>
      <c r="F30" s="305"/>
      <c r="G30" s="305"/>
      <c r="H30" s="305"/>
      <c r="I30" s="311"/>
      <c r="J30" s="306"/>
    </row>
    <row r="31" spans="2:10" ht="16">
      <c r="B31" s="271"/>
      <c r="C31" s="304"/>
      <c r="D31" s="305"/>
      <c r="E31" s="305"/>
      <c r="F31" s="305"/>
      <c r="G31" s="305"/>
      <c r="H31" s="305"/>
      <c r="I31" s="311"/>
      <c r="J31" s="306"/>
    </row>
    <row r="32" spans="2:10" ht="16">
      <c r="B32" s="271"/>
      <c r="C32" s="304"/>
      <c r="D32" s="305" t="s">
        <v>4721</v>
      </c>
      <c r="E32" s="305">
        <v>-734312122</v>
      </c>
      <c r="F32" s="305">
        <f>+ROUND(E32/1000,0)</f>
        <v>-734312</v>
      </c>
      <c r="G32" s="305"/>
      <c r="H32" s="305">
        <v>14407688208</v>
      </c>
      <c r="I32" s="305">
        <f t="shared" si="0"/>
        <v>14407688.208000001</v>
      </c>
      <c r="J32" s="306"/>
    </row>
    <row r="33" spans="2:10" ht="16">
      <c r="B33" s="271"/>
      <c r="C33" s="304"/>
      <c r="D33" s="305" t="s">
        <v>4722</v>
      </c>
      <c r="E33" s="305">
        <v>-14774371383</v>
      </c>
      <c r="F33" s="305">
        <f>+ROUND(E33/1000,0)</f>
        <v>-14774371</v>
      </c>
      <c r="G33" s="305"/>
      <c r="H33" s="305">
        <v>-15090285375</v>
      </c>
      <c r="I33" s="305">
        <f t="shared" si="0"/>
        <v>-15090285.375</v>
      </c>
      <c r="J33" s="306"/>
    </row>
    <row r="34" spans="2:10" ht="16">
      <c r="B34" s="271"/>
      <c r="C34" s="304"/>
      <c r="D34" s="305" t="s">
        <v>4723</v>
      </c>
      <c r="E34" s="210">
        <f>SUM(E32:E33)</f>
        <v>-15508683505</v>
      </c>
      <c r="F34" s="210">
        <f>+SUM(F32:F33)</f>
        <v>-15508683</v>
      </c>
      <c r="G34" s="305"/>
      <c r="H34" s="210">
        <f>SUM(H32:H33)</f>
        <v>-682597167</v>
      </c>
      <c r="I34" s="210">
        <f t="shared" si="0"/>
        <v>-682597.16700000002</v>
      </c>
      <c r="J34" s="306"/>
    </row>
    <row r="35" spans="2:10" ht="16">
      <c r="B35" s="271"/>
      <c r="C35" s="304"/>
      <c r="D35" s="305"/>
      <c r="E35" s="305"/>
      <c r="F35" s="305"/>
      <c r="G35" s="305"/>
      <c r="H35" s="305"/>
      <c r="I35" s="311"/>
      <c r="J35" s="306"/>
    </row>
    <row r="36" spans="2:10" ht="16">
      <c r="B36" s="271"/>
      <c r="C36" s="304"/>
      <c r="D36" s="305" t="s">
        <v>4724</v>
      </c>
      <c r="E36" s="212">
        <v>959204675</v>
      </c>
      <c r="F36" s="212">
        <f>+ROUND(E36/1000,0)</f>
        <v>959205</v>
      </c>
      <c r="G36" s="305"/>
      <c r="H36" s="212">
        <v>1486960943</v>
      </c>
      <c r="I36" s="212">
        <f t="shared" si="0"/>
        <v>1486960.943</v>
      </c>
      <c r="J36" s="306"/>
    </row>
    <row r="37" spans="2:10" ht="16">
      <c r="B37" s="271"/>
      <c r="C37" s="304"/>
      <c r="D37" s="305"/>
      <c r="E37" s="305"/>
      <c r="F37" s="305"/>
      <c r="G37" s="305"/>
      <c r="H37" s="305"/>
      <c r="I37" s="311"/>
      <c r="J37" s="306"/>
    </row>
    <row r="38" spans="2:10" ht="16">
      <c r="B38" s="271"/>
      <c r="C38" s="312" t="s">
        <v>4725</v>
      </c>
      <c r="D38" s="304" t="s">
        <v>4726</v>
      </c>
      <c r="E38" s="304">
        <f>+E19+E28+E34+E36</f>
        <v>358487914</v>
      </c>
      <c r="F38" s="304">
        <f>+F19+F28+F34+F36</f>
        <v>358488</v>
      </c>
      <c r="G38" s="304"/>
      <c r="H38" s="304">
        <f>+H19+H28+H34+H36</f>
        <v>1030473406</v>
      </c>
      <c r="I38" s="304">
        <f t="shared" si="0"/>
        <v>1030473.406</v>
      </c>
      <c r="J38" s="306"/>
    </row>
    <row r="39" spans="2:10" ht="16" hidden="1">
      <c r="B39" s="271"/>
      <c r="C39" s="312"/>
      <c r="D39" s="305"/>
      <c r="E39" s="305"/>
      <c r="F39" s="305"/>
      <c r="G39" s="305"/>
      <c r="H39" s="305"/>
      <c r="I39" s="311"/>
      <c r="J39" s="306"/>
    </row>
    <row r="40" spans="2:10" ht="16">
      <c r="B40" s="271"/>
      <c r="C40" s="312" t="s">
        <v>4727</v>
      </c>
      <c r="D40" s="304" t="s">
        <v>4728</v>
      </c>
      <c r="E40" s="213">
        <v>5087562036.7000008</v>
      </c>
      <c r="F40" s="213">
        <f>+ROUND(E40/1000,0)</f>
        <v>5087562</v>
      </c>
      <c r="G40" s="304"/>
      <c r="H40" s="213">
        <v>4057088631</v>
      </c>
      <c r="I40" s="213">
        <f t="shared" si="0"/>
        <v>4057088.6310000001</v>
      </c>
      <c r="J40" s="306"/>
    </row>
    <row r="41" spans="2:10" ht="16" hidden="1">
      <c r="B41" s="271"/>
      <c r="C41" s="312"/>
      <c r="D41" s="305"/>
      <c r="E41" s="305"/>
      <c r="F41" s="305"/>
      <c r="G41" s="305"/>
      <c r="H41" s="305"/>
      <c r="I41" s="311"/>
      <c r="J41" s="306"/>
    </row>
    <row r="42" spans="2:10" ht="17" thickBot="1">
      <c r="B42" s="271"/>
      <c r="C42" s="312" t="s">
        <v>4729</v>
      </c>
      <c r="D42" s="304" t="s">
        <v>4730</v>
      </c>
      <c r="E42" s="214">
        <v>5087562037</v>
      </c>
      <c r="F42" s="214">
        <f>+F40+F38</f>
        <v>5446050</v>
      </c>
      <c r="G42" s="304"/>
      <c r="H42" s="214">
        <v>5087562037</v>
      </c>
      <c r="I42" s="214">
        <f>+I38+I40</f>
        <v>5087562.0370000005</v>
      </c>
      <c r="J42" s="306"/>
    </row>
    <row r="43" spans="2:10" ht="17" thickTop="1">
      <c r="B43" s="271"/>
      <c r="C43" s="304"/>
      <c r="D43" s="305"/>
      <c r="E43" s="305"/>
      <c r="F43" s="305"/>
      <c r="G43" s="305"/>
      <c r="H43" s="305"/>
      <c r="I43" s="305"/>
      <c r="J43" s="306"/>
    </row>
    <row r="44" spans="2:10" ht="16">
      <c r="B44" s="271"/>
      <c r="C44" s="304"/>
      <c r="D44" s="305"/>
      <c r="E44" s="305"/>
      <c r="F44" s="305"/>
      <c r="G44" s="305"/>
      <c r="H44" s="305"/>
      <c r="I44" s="305"/>
      <c r="J44" s="306"/>
    </row>
    <row r="45" spans="2:10" ht="16">
      <c r="B45" s="271"/>
      <c r="C45" s="304"/>
      <c r="D45" s="305" t="s">
        <v>4731</v>
      </c>
      <c r="E45" s="305"/>
      <c r="F45" s="305"/>
      <c r="G45" s="305"/>
      <c r="H45" s="305"/>
      <c r="I45" s="305"/>
      <c r="J45" s="306"/>
    </row>
    <row r="46" spans="2:10" ht="17" thickBot="1">
      <c r="B46" s="292"/>
      <c r="C46" s="214"/>
      <c r="D46" s="313"/>
      <c r="E46" s="313"/>
      <c r="F46" s="313"/>
      <c r="G46" s="313"/>
      <c r="H46" s="313"/>
      <c r="I46" s="313"/>
      <c r="J46" s="314"/>
    </row>
    <row r="47" spans="2:10" ht="17" thickTop="1">
      <c r="C47" s="203"/>
      <c r="D47" s="198"/>
      <c r="E47" s="198"/>
      <c r="F47" s="198"/>
      <c r="G47" s="198"/>
      <c r="H47" s="198"/>
      <c r="I47" s="198"/>
      <c r="J47" s="198"/>
    </row>
    <row r="48" spans="2:10" ht="16">
      <c r="C48" s="203"/>
      <c r="D48" s="198"/>
      <c r="E48" s="198"/>
      <c r="F48" s="198"/>
      <c r="G48" s="198"/>
      <c r="H48" s="198"/>
      <c r="I48" s="198"/>
      <c r="J48" s="198"/>
    </row>
    <row r="49" spans="3:10" ht="16">
      <c r="C49" s="203"/>
      <c r="D49" s="198"/>
      <c r="E49" s="198"/>
      <c r="F49" s="198"/>
      <c r="G49" s="198"/>
      <c r="H49" s="198"/>
      <c r="I49" s="198"/>
      <c r="J49" s="198"/>
    </row>
    <row r="50" spans="3:10" ht="16">
      <c r="C50" s="203"/>
      <c r="D50" s="198"/>
      <c r="E50" s="198"/>
      <c r="F50" s="198"/>
      <c r="G50" s="198"/>
      <c r="H50" s="198"/>
      <c r="I50" s="198"/>
      <c r="J50" s="198"/>
    </row>
    <row r="51" spans="3:10" ht="16">
      <c r="C51" s="203"/>
      <c r="D51" s="198"/>
      <c r="E51" s="198"/>
      <c r="F51" s="198"/>
      <c r="G51" s="198"/>
      <c r="H51" s="198"/>
      <c r="I51" s="198"/>
      <c r="J51" s="198"/>
    </row>
    <row r="52" spans="3:10" ht="16">
      <c r="C52" s="203"/>
      <c r="D52" s="198"/>
      <c r="E52" s="198"/>
      <c r="F52" s="198"/>
      <c r="G52" s="198"/>
      <c r="H52" s="198"/>
      <c r="I52" s="198"/>
      <c r="J52" s="198"/>
    </row>
  </sheetData>
  <mergeCells count="5">
    <mergeCell ref="C3:J3"/>
    <mergeCell ref="C5:J5"/>
    <mergeCell ref="C6:J6"/>
    <mergeCell ref="D7:J7"/>
    <mergeCell ref="C8:J8"/>
  </mergeCells>
  <pageMargins left="0.7" right="0.7"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82"/>
  <sheetViews>
    <sheetView showGridLines="0" topLeftCell="A2" zoomScale="115" zoomScaleNormal="115" zoomScaleSheetLayoutView="100" zoomScalePageLayoutView="115" workbookViewId="0">
      <selection activeCell="J20" sqref="J20"/>
    </sheetView>
  </sheetViews>
  <sheetFormatPr baseColWidth="10" defaultColWidth="11.5" defaultRowHeight="13"/>
  <cols>
    <col min="1" max="1" width="11.5" style="24"/>
    <col min="2" max="2" width="46.6640625" style="24" customWidth="1"/>
    <col min="3" max="3" width="17.1640625" style="24" customWidth="1"/>
    <col min="4" max="4" width="3.83203125" style="24" customWidth="1"/>
    <col min="5" max="5" width="19.1640625" style="24" bestFit="1" customWidth="1"/>
    <col min="6" max="6" width="2.5" style="24" customWidth="1"/>
    <col min="7" max="7" width="12.83203125" style="24" hidden="1" customWidth="1"/>
    <col min="8" max="8" width="2.5" style="24" hidden="1" customWidth="1"/>
    <col min="9" max="9" width="12.6640625" style="24" bestFit="1" customWidth="1"/>
    <col min="10" max="10" width="11.83203125" style="24" bestFit="1" customWidth="1"/>
    <col min="11" max="16384" width="11.5" style="24"/>
  </cols>
  <sheetData>
    <row r="1" spans="2:7">
      <c r="B1" s="400" t="s">
        <v>723</v>
      </c>
      <c r="C1" s="400"/>
      <c r="D1" s="400"/>
      <c r="E1" s="400"/>
      <c r="F1" s="400"/>
    </row>
    <row r="2" spans="2:7">
      <c r="B2" s="27"/>
      <c r="C2" s="27"/>
      <c r="D2" s="27"/>
      <c r="E2" s="27"/>
      <c r="F2" s="27"/>
    </row>
    <row r="3" spans="2:7">
      <c r="B3" s="400" t="s">
        <v>194</v>
      </c>
      <c r="C3" s="400"/>
      <c r="D3" s="400"/>
      <c r="E3" s="400"/>
      <c r="F3" s="28"/>
    </row>
    <row r="5" spans="2:7">
      <c r="B5" s="24" t="s">
        <v>1875</v>
      </c>
    </row>
    <row r="7" spans="2:7">
      <c r="C7" s="27" t="s">
        <v>4024</v>
      </c>
      <c r="D7" s="27"/>
      <c r="E7" s="27" t="s">
        <v>4025</v>
      </c>
      <c r="G7" s="24" t="s">
        <v>106</v>
      </c>
    </row>
    <row r="9" spans="2:7">
      <c r="B9" s="25" t="s">
        <v>232</v>
      </c>
      <c r="C9" s="25"/>
      <c r="D9" s="25"/>
      <c r="E9" s="25"/>
    </row>
    <row r="10" spans="2:7">
      <c r="B10" s="25" t="s">
        <v>233</v>
      </c>
      <c r="C10" s="25">
        <f>+CA!C12</f>
        <v>80872399592</v>
      </c>
      <c r="D10" s="25"/>
      <c r="E10" s="25">
        <v>76641058641</v>
      </c>
      <c r="G10" s="24" t="e">
        <f>+CA!G12</f>
        <v>#REF!</v>
      </c>
    </row>
    <row r="11" spans="2:7">
      <c r="B11" s="25" t="s">
        <v>171</v>
      </c>
      <c r="C11" s="25"/>
      <c r="D11" s="25"/>
      <c r="E11" s="25"/>
    </row>
    <row r="12" spans="2:7">
      <c r="B12" s="25" t="s">
        <v>172</v>
      </c>
      <c r="C12" s="25">
        <f>+(CA!C29+CA!C208)*-1</f>
        <v>-53782298062</v>
      </c>
      <c r="D12" s="25"/>
      <c r="E12" s="25">
        <v>-62924200372</v>
      </c>
      <c r="G12" s="24" t="e">
        <f>+(CA!G29+CA!G208)*-1</f>
        <v>#REF!</v>
      </c>
    </row>
    <row r="13" spans="2:7">
      <c r="B13" s="25" t="s">
        <v>173</v>
      </c>
      <c r="C13" s="25">
        <f>+CA!C40*-1</f>
        <v>-2726271217</v>
      </c>
      <c r="D13" s="25"/>
      <c r="E13" s="25">
        <v>-1306411056</v>
      </c>
      <c r="G13" s="24" t="e">
        <f>+CA!G40*-1</f>
        <v>#REF!</v>
      </c>
    </row>
    <row r="14" spans="2:7">
      <c r="B14" s="25" t="s">
        <v>174</v>
      </c>
      <c r="C14" s="25">
        <f>SUM(C15:C20)</f>
        <v>12739346661</v>
      </c>
      <c r="D14" s="25"/>
      <c r="E14" s="25">
        <v>612732316</v>
      </c>
      <c r="G14" s="24" t="e">
        <f>SUM(G15:G20)</f>
        <v>#REF!</v>
      </c>
    </row>
    <row r="15" spans="2:7">
      <c r="B15" s="25" t="s">
        <v>101</v>
      </c>
      <c r="C15" s="25">
        <f>+CA!C54</f>
        <v>1518616435</v>
      </c>
      <c r="D15" s="25"/>
      <c r="E15" s="25">
        <v>-689575317</v>
      </c>
      <c r="G15" s="24" t="e">
        <f>+CA!G54</f>
        <v>#REF!</v>
      </c>
    </row>
    <row r="16" spans="2:7">
      <c r="B16" s="25" t="s">
        <v>414</v>
      </c>
      <c r="C16" s="25">
        <f>+CA!C199</f>
        <v>5949347435</v>
      </c>
      <c r="D16" s="25"/>
      <c r="E16" s="25">
        <v>-824915063</v>
      </c>
      <c r="G16" s="24" t="e">
        <f>+CA!G199</f>
        <v>#REF!</v>
      </c>
    </row>
    <row r="17" spans="2:7">
      <c r="B17" s="25" t="s">
        <v>102</v>
      </c>
      <c r="C17" s="25">
        <f>+CA!C61</f>
        <v>5271382791</v>
      </c>
      <c r="D17" s="25"/>
      <c r="E17" s="25">
        <v>2127222696</v>
      </c>
      <c r="G17" s="24" t="e">
        <f>+CA!G61</f>
        <v>#REF!</v>
      </c>
    </row>
    <row r="18" spans="2:7">
      <c r="B18" s="25" t="s">
        <v>103</v>
      </c>
      <c r="C18" s="25"/>
      <c r="D18" s="25"/>
      <c r="E18" s="25"/>
    </row>
    <row r="19" spans="2:7">
      <c r="B19" s="25" t="s">
        <v>104</v>
      </c>
      <c r="C19" s="25"/>
      <c r="D19" s="25"/>
      <c r="E19" s="25"/>
    </row>
    <row r="20" spans="2:7">
      <c r="B20" s="25" t="s">
        <v>105</v>
      </c>
      <c r="C20" s="25">
        <f>+CA!C181*-1</f>
        <v>0</v>
      </c>
      <c r="D20" s="25"/>
      <c r="E20" s="25">
        <v>0</v>
      </c>
      <c r="G20" s="24" t="e">
        <f>+CA!G181*-1</f>
        <v>#REF!</v>
      </c>
    </row>
    <row r="21" spans="2:7">
      <c r="B21" s="25"/>
      <c r="C21" s="25"/>
      <c r="D21" s="25"/>
      <c r="E21" s="25"/>
    </row>
    <row r="22" spans="2:7">
      <c r="B22" s="25" t="s">
        <v>234</v>
      </c>
      <c r="C22" s="25"/>
      <c r="D22" s="25"/>
      <c r="E22" s="25"/>
    </row>
    <row r="23" spans="2:7" ht="14" thickBot="1">
      <c r="B23" s="25" t="s">
        <v>235</v>
      </c>
      <c r="C23" s="25">
        <f>SUM(C10:C14)</f>
        <v>37103176974</v>
      </c>
      <c r="D23" s="25"/>
      <c r="E23" s="25">
        <f>SUM(E10:E14)</f>
        <v>13023179529</v>
      </c>
      <c r="G23" s="24" t="e">
        <f>SUM(G10:G14)</f>
        <v>#REF!</v>
      </c>
    </row>
    <row r="24" spans="2:7" ht="14" thickTop="1">
      <c r="B24" s="25"/>
      <c r="C24" s="25"/>
      <c r="D24" s="25"/>
      <c r="E24" s="25"/>
    </row>
    <row r="25" spans="2:7" ht="14" thickBot="1">
      <c r="B25" s="25" t="s">
        <v>236</v>
      </c>
      <c r="C25" s="25">
        <f>+C27+C28+C29+C30+C31</f>
        <v>-14106105962</v>
      </c>
      <c r="D25" s="25"/>
      <c r="E25" s="25">
        <f>+E27+E28+E29+E30+E31</f>
        <v>-13252634</v>
      </c>
      <c r="G25" s="24" t="e">
        <f>+G27+G28+G29+G30+G31</f>
        <v>#REF!</v>
      </c>
    </row>
    <row r="26" spans="2:7" ht="14" thickTop="1">
      <c r="B26" s="25"/>
      <c r="C26" s="25"/>
      <c r="D26" s="25"/>
      <c r="E26" s="25"/>
    </row>
    <row r="27" spans="2:7">
      <c r="B27" s="25" t="s">
        <v>237</v>
      </c>
      <c r="C27" s="25">
        <v>0</v>
      </c>
      <c r="D27" s="25"/>
      <c r="E27" s="25">
        <v>0</v>
      </c>
      <c r="G27" s="24">
        <v>0</v>
      </c>
    </row>
    <row r="28" spans="2:7">
      <c r="B28" s="25" t="s">
        <v>238</v>
      </c>
      <c r="C28" s="25">
        <v>0</v>
      </c>
      <c r="D28" s="25"/>
      <c r="E28" s="25">
        <v>0</v>
      </c>
      <c r="G28" s="24">
        <v>0</v>
      </c>
    </row>
    <row r="29" spans="2:7">
      <c r="B29" s="25" t="s">
        <v>239</v>
      </c>
      <c r="C29" s="25">
        <f>+CA!C190*-1</f>
        <v>0</v>
      </c>
      <c r="D29" s="25"/>
      <c r="E29" s="25">
        <v>0</v>
      </c>
      <c r="G29" s="24" t="e">
        <f>+CA!G190*-1</f>
        <v>#REF!</v>
      </c>
    </row>
    <row r="30" spans="2:7">
      <c r="B30" s="25" t="s">
        <v>183</v>
      </c>
      <c r="C30" s="25">
        <f>+CA!C218*-1</f>
        <v>-14128514448</v>
      </c>
      <c r="D30" s="25"/>
      <c r="E30" s="25">
        <v>0</v>
      </c>
      <c r="G30" s="24" t="e">
        <f>+CA!G218*-1</f>
        <v>#REF!</v>
      </c>
    </row>
    <row r="31" spans="2:7">
      <c r="B31" s="25" t="s">
        <v>184</v>
      </c>
      <c r="C31" s="25">
        <f>+CA!C70</f>
        <v>22408486</v>
      </c>
      <c r="D31" s="25"/>
      <c r="E31" s="25">
        <v>-13252634</v>
      </c>
      <c r="G31" s="24" t="e">
        <f>+CA!G70</f>
        <v>#REF!</v>
      </c>
    </row>
    <row r="32" spans="2:7">
      <c r="B32" s="25"/>
      <c r="C32" s="25"/>
      <c r="D32" s="25"/>
      <c r="E32" s="25"/>
    </row>
    <row r="33" spans="2:7" ht="14" thickBot="1">
      <c r="B33" s="25" t="s">
        <v>175</v>
      </c>
      <c r="C33" s="25">
        <f>+C35</f>
        <v>-9877740202</v>
      </c>
      <c r="D33" s="25"/>
      <c r="E33" s="25">
        <f>+E35</f>
        <v>-9186439820</v>
      </c>
      <c r="G33" s="24" t="e">
        <f>+G35</f>
        <v>#REF!</v>
      </c>
    </row>
    <row r="34" spans="2:7" ht="14" thickTop="1">
      <c r="B34" s="25"/>
      <c r="C34" s="25"/>
      <c r="D34" s="25"/>
      <c r="E34" s="25"/>
    </row>
    <row r="35" spans="2:7">
      <c r="B35" s="25" t="s">
        <v>240</v>
      </c>
      <c r="C35" s="25">
        <f>+CA!C85*-1</f>
        <v>-9877740202</v>
      </c>
      <c r="D35" s="25"/>
      <c r="E35" s="25">
        <v>-9186439820</v>
      </c>
      <c r="G35" s="24" t="e">
        <f>+CA!G85*-1</f>
        <v>#REF!</v>
      </c>
    </row>
    <row r="36" spans="2:7">
      <c r="B36" s="25"/>
      <c r="C36" s="25"/>
      <c r="D36" s="25"/>
      <c r="E36" s="25"/>
    </row>
    <row r="37" spans="2:7">
      <c r="B37" s="25" t="s">
        <v>241</v>
      </c>
      <c r="C37" s="25"/>
      <c r="D37" s="25"/>
      <c r="E37" s="25"/>
    </row>
    <row r="38" spans="2:7" ht="14" thickBot="1">
      <c r="B38" s="25" t="s">
        <v>242</v>
      </c>
      <c r="C38" s="25">
        <f>C23+C25+C33</f>
        <v>13119330810</v>
      </c>
      <c r="D38" s="25"/>
      <c r="E38" s="25">
        <f>E23+E25+E33</f>
        <v>3823487075</v>
      </c>
      <c r="G38" s="24" t="e">
        <f>G23+G25+G33</f>
        <v>#REF!</v>
      </c>
    </row>
    <row r="39" spans="2:7" ht="14" thickTop="1">
      <c r="B39" s="25"/>
      <c r="C39" s="25"/>
      <c r="D39" s="25"/>
      <c r="E39" s="25"/>
    </row>
    <row r="40" spans="2:7">
      <c r="B40" s="25" t="s">
        <v>176</v>
      </c>
      <c r="C40" s="25">
        <f>+CA!C98*-1</f>
        <v>-162814352</v>
      </c>
      <c r="D40" s="25"/>
      <c r="E40" s="25">
        <v>97032127</v>
      </c>
      <c r="G40" s="24" t="e">
        <f>+CA!G98*-1</f>
        <v>#REF!</v>
      </c>
    </row>
    <row r="41" spans="2:7">
      <c r="B41" s="25"/>
      <c r="C41" s="25"/>
      <c r="D41" s="25"/>
      <c r="E41" s="25"/>
    </row>
    <row r="42" spans="2:7" ht="14" thickBot="1">
      <c r="B42" s="25" t="s">
        <v>243</v>
      </c>
      <c r="C42" s="25">
        <f>C38+C40</f>
        <v>12956516458</v>
      </c>
      <c r="D42" s="25"/>
      <c r="E42" s="25">
        <f>E38+E40</f>
        <v>3920519202</v>
      </c>
      <c r="G42" s="24" t="e">
        <f>G38+G40</f>
        <v>#REF!</v>
      </c>
    </row>
    <row r="43" spans="2:7" ht="14" thickTop="1">
      <c r="B43" s="25"/>
      <c r="C43" s="25"/>
      <c r="D43" s="25"/>
      <c r="E43" s="25"/>
    </row>
    <row r="44" spans="2:7">
      <c r="B44" s="25" t="s">
        <v>244</v>
      </c>
      <c r="C44" s="25"/>
      <c r="D44" s="25"/>
      <c r="E44" s="25"/>
    </row>
    <row r="45" spans="2:7">
      <c r="B45" s="25"/>
      <c r="C45" s="25"/>
      <c r="D45" s="25"/>
      <c r="E45" s="25"/>
    </row>
    <row r="46" spans="2:7">
      <c r="B46" s="25" t="s">
        <v>177</v>
      </c>
      <c r="C46" s="25"/>
      <c r="D46" s="25"/>
      <c r="E46" s="25"/>
    </row>
    <row r="47" spans="2:7">
      <c r="B47" s="25" t="s">
        <v>245</v>
      </c>
      <c r="C47" s="25">
        <f>+CA!C106</f>
        <v>0</v>
      </c>
      <c r="D47" s="25"/>
      <c r="E47" s="25">
        <v>5225450000</v>
      </c>
      <c r="G47" s="24">
        <f>+CA!G109</f>
        <v>0</v>
      </c>
    </row>
    <row r="48" spans="2:7">
      <c r="B48" s="25" t="s">
        <v>178</v>
      </c>
      <c r="C48" s="25">
        <v>0</v>
      </c>
      <c r="D48" s="25"/>
      <c r="E48" s="25">
        <v>0</v>
      </c>
      <c r="G48" s="24">
        <v>0</v>
      </c>
    </row>
    <row r="49" spans="2:7">
      <c r="B49" s="25" t="s">
        <v>179</v>
      </c>
      <c r="C49" s="25">
        <f>+CA!C119*-1</f>
        <v>1929036986</v>
      </c>
      <c r="D49" s="25"/>
      <c r="E49" s="25">
        <v>-16045948099</v>
      </c>
      <c r="G49" s="24" t="e">
        <f>+CA!G119*-1</f>
        <v>#REF!</v>
      </c>
    </row>
    <row r="50" spans="2:7">
      <c r="B50" s="25"/>
      <c r="C50" s="25"/>
      <c r="D50" s="25"/>
      <c r="E50" s="25"/>
    </row>
    <row r="51" spans="2:7" ht="14" thickBot="1">
      <c r="B51" s="25" t="s">
        <v>180</v>
      </c>
      <c r="C51" s="25">
        <f>SUM(C46:C50)</f>
        <v>1929036986</v>
      </c>
      <c r="D51" s="25"/>
      <c r="E51" s="25">
        <f>SUM(E46:E50)</f>
        <v>-10820498099</v>
      </c>
      <c r="G51" s="24" t="e">
        <f>SUM(G46:G50)</f>
        <v>#REF!</v>
      </c>
    </row>
    <row r="52" spans="2:7" ht="14" thickTop="1">
      <c r="B52" s="25"/>
      <c r="C52" s="25"/>
      <c r="D52" s="25"/>
      <c r="E52" s="25"/>
    </row>
    <row r="53" spans="2:7">
      <c r="B53" s="25" t="s">
        <v>246</v>
      </c>
      <c r="C53" s="25"/>
      <c r="D53" s="25"/>
      <c r="E53" s="25"/>
    </row>
    <row r="54" spans="2:7">
      <c r="B54" s="25"/>
      <c r="C54" s="25"/>
      <c r="D54" s="25"/>
      <c r="E54" s="25"/>
    </row>
    <row r="55" spans="2:7">
      <c r="B55" s="25" t="s">
        <v>247</v>
      </c>
      <c r="C55" s="25">
        <f>+CA!C129</f>
        <v>0</v>
      </c>
      <c r="D55" s="25"/>
      <c r="E55" s="25">
        <v>0</v>
      </c>
      <c r="G55" s="24" t="e">
        <f>+CA!G129</f>
        <v>#REF!</v>
      </c>
    </row>
    <row r="56" spans="2:7">
      <c r="B56" s="25" t="s">
        <v>248</v>
      </c>
      <c r="C56" s="25">
        <f>+CA!C137</f>
        <v>-734312122</v>
      </c>
      <c r="D56" s="25"/>
      <c r="E56" s="25">
        <v>14384958464</v>
      </c>
      <c r="G56" s="24" t="e">
        <f>+CA!G137</f>
        <v>#REF!</v>
      </c>
    </row>
    <row r="57" spans="2:7">
      <c r="B57" s="25" t="s">
        <v>181</v>
      </c>
      <c r="C57" s="25">
        <f>+CA!C153</f>
        <v>22413300</v>
      </c>
      <c r="D57" s="25"/>
      <c r="E57" s="25">
        <v>712408886</v>
      </c>
      <c r="G57" s="24" t="e">
        <f>+CA!G153</f>
        <v>#REF!</v>
      </c>
    </row>
    <row r="58" spans="2:7">
      <c r="B58" s="25" t="s">
        <v>249</v>
      </c>
      <c r="C58" s="25">
        <f>+CA!C166*-1</f>
        <v>-14774371383</v>
      </c>
      <c r="D58" s="25"/>
      <c r="E58" s="25">
        <v>-11363344235</v>
      </c>
      <c r="G58" s="24" t="e">
        <f>+CA!G166*-1</f>
        <v>#REF!</v>
      </c>
    </row>
    <row r="59" spans="2:7">
      <c r="B59" s="25"/>
      <c r="C59" s="25"/>
      <c r="D59" s="25"/>
      <c r="E59" s="25"/>
    </row>
    <row r="60" spans="2:7" ht="14" thickBot="1">
      <c r="B60" s="25" t="s">
        <v>250</v>
      </c>
      <c r="C60" s="25">
        <f>SUM(C55:C59)</f>
        <v>-15486270205</v>
      </c>
      <c r="D60" s="25"/>
      <c r="E60" s="25">
        <f>SUM(E55:E59)</f>
        <v>3734023115</v>
      </c>
      <c r="G60" s="24" t="e">
        <f>SUM(G55:G59)</f>
        <v>#REF!</v>
      </c>
    </row>
    <row r="61" spans="2:7" ht="14" thickTop="1">
      <c r="B61" s="25"/>
      <c r="C61" s="25"/>
      <c r="D61" s="25"/>
      <c r="E61" s="25"/>
    </row>
    <row r="62" spans="2:7">
      <c r="B62" s="25" t="s">
        <v>251</v>
      </c>
      <c r="C62" s="25"/>
      <c r="D62" s="25"/>
      <c r="E62" s="25"/>
    </row>
    <row r="63" spans="2:7">
      <c r="B63" s="25" t="s">
        <v>252</v>
      </c>
      <c r="C63" s="25">
        <f>+CA!C172</f>
        <v>959204675</v>
      </c>
      <c r="D63" s="25"/>
      <c r="E63" s="25">
        <v>1130637950</v>
      </c>
      <c r="G63" s="24" t="e">
        <f>+CA!G172</f>
        <v>#REF!</v>
      </c>
    </row>
    <row r="64" spans="2:7">
      <c r="B64" s="25"/>
      <c r="C64" s="25"/>
      <c r="D64" s="25"/>
      <c r="E64" s="25"/>
    </row>
    <row r="65" spans="2:7">
      <c r="B65" s="25" t="s">
        <v>253</v>
      </c>
      <c r="C65" s="25">
        <f>+C42+C51+C60+C63</f>
        <v>358487914</v>
      </c>
      <c r="D65" s="25"/>
      <c r="E65" s="25">
        <f>+E42+E51+E60+E63</f>
        <v>-2035317832</v>
      </c>
      <c r="G65" s="24" t="e">
        <f>+G42+G51+G60+G63</f>
        <v>#REF!</v>
      </c>
    </row>
    <row r="66" spans="2:7">
      <c r="B66" s="25" t="s">
        <v>182</v>
      </c>
      <c r="C66" s="25">
        <f>+COMPARATIVO!AH8</f>
        <v>5087562037</v>
      </c>
      <c r="D66" s="25"/>
      <c r="E66" s="25">
        <v>4753742908</v>
      </c>
      <c r="G66" s="24">
        <f>+BG!V42</f>
        <v>0</v>
      </c>
    </row>
    <row r="67" spans="2:7" ht="14" thickBot="1">
      <c r="B67" s="25" t="s">
        <v>254</v>
      </c>
      <c r="C67" s="25">
        <f>C65+C66</f>
        <v>5446049951</v>
      </c>
      <c r="D67" s="25"/>
      <c r="E67" s="25">
        <f>E65+E66</f>
        <v>2718425076</v>
      </c>
      <c r="G67" s="24" t="e">
        <f>G65+G66</f>
        <v>#REF!</v>
      </c>
    </row>
    <row r="68" spans="2:7">
      <c r="B68" s="25"/>
      <c r="C68" s="25"/>
      <c r="D68" s="25"/>
      <c r="E68" s="25"/>
    </row>
    <row r="69" spans="2:7" ht="14" thickBot="1">
      <c r="B69" s="25"/>
      <c r="C69" s="26">
        <f>+COMPARATIVO!AP9+COMPARATIVO!AP26</f>
        <v>5446049951</v>
      </c>
      <c r="D69" s="26"/>
      <c r="E69" s="26">
        <f>+COMPARATIVO!AF9+COMPARATIVO!AF26</f>
        <v>2718425076</v>
      </c>
      <c r="G69" s="24" t="e">
        <f>+BG!#REF!</f>
        <v>#REF!</v>
      </c>
    </row>
    <row r="70" spans="2:7" ht="14" thickTop="1">
      <c r="B70" s="25"/>
      <c r="C70" s="25"/>
      <c r="D70" s="25"/>
      <c r="E70" s="25"/>
    </row>
    <row r="71" spans="2:7">
      <c r="B71" s="25"/>
      <c r="C71" s="25">
        <f>+C67-C69</f>
        <v>0</v>
      </c>
      <c r="D71" s="25"/>
      <c r="E71" s="25">
        <f>+E67-E69</f>
        <v>0</v>
      </c>
      <c r="G71" s="24" t="e">
        <f>+G67-G69</f>
        <v>#REF!</v>
      </c>
    </row>
    <row r="74" spans="2:7">
      <c r="B74" s="24" t="s">
        <v>393</v>
      </c>
    </row>
    <row r="81" spans="2:4">
      <c r="B81" s="24" t="s">
        <v>404</v>
      </c>
      <c r="C81" s="401" t="s">
        <v>398</v>
      </c>
      <c r="D81" s="401"/>
    </row>
    <row r="82" spans="2:4">
      <c r="B82" s="24" t="s">
        <v>418</v>
      </c>
      <c r="C82" s="24" t="s">
        <v>403</v>
      </c>
    </row>
  </sheetData>
  <mergeCells count="3">
    <mergeCell ref="B1:F1"/>
    <mergeCell ref="C81:D81"/>
    <mergeCell ref="B3:E3"/>
  </mergeCells>
  <phoneticPr fontId="4" type="noConversion"/>
  <pageMargins left="0.75" right="0.75" top="1" bottom="1" header="0" footer="0"/>
  <pageSetup paperSize="9" scale="6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0"/>
  <sheetViews>
    <sheetView showGridLines="0" topLeftCell="A85" zoomScaleNormal="100" workbookViewId="0">
      <selection activeCell="C198" sqref="C198"/>
    </sheetView>
  </sheetViews>
  <sheetFormatPr baseColWidth="10" defaultRowHeight="13"/>
  <cols>
    <col min="2" max="2" width="45.5" customWidth="1"/>
    <col min="3" max="3" width="19.1640625" style="23" bestFit="1" customWidth="1"/>
    <col min="4" max="4" width="4" style="23" customWidth="1"/>
    <col min="5" max="5" width="19.1640625" style="23" bestFit="1" customWidth="1"/>
    <col min="6" max="6" width="1.6640625" style="23" customWidth="1"/>
    <col min="7" max="7" width="17.1640625" style="23" customWidth="1"/>
    <col min="8" max="8" width="1.1640625" style="23" customWidth="1"/>
    <col min="9" max="9" width="17.1640625" style="23" customWidth="1"/>
    <col min="10" max="10" width="1.5" customWidth="1"/>
    <col min="11" max="11" width="7.33203125" customWidth="1"/>
    <col min="12" max="12" width="2.5" customWidth="1"/>
    <col min="13" max="13" width="20.83203125" hidden="1" customWidth="1"/>
    <col min="14" max="14" width="11.6640625" hidden="1" customWidth="1"/>
    <col min="15" max="15" width="17.5" bestFit="1" customWidth="1"/>
    <col min="16" max="16" width="12.33203125" bestFit="1" customWidth="1"/>
  </cols>
  <sheetData>
    <row r="1" spans="1:14">
      <c r="M1" t="s">
        <v>8</v>
      </c>
      <c r="N1" t="s">
        <v>9</v>
      </c>
    </row>
    <row r="2" spans="1:14">
      <c r="A2" t="s">
        <v>14</v>
      </c>
    </row>
    <row r="3" spans="1:14">
      <c r="C3" s="34" t="s">
        <v>4022</v>
      </c>
      <c r="E3" s="23" t="s">
        <v>1009</v>
      </c>
      <c r="G3" s="23" t="s">
        <v>944</v>
      </c>
      <c r="I3" s="23" t="s">
        <v>473</v>
      </c>
      <c r="M3" t="s">
        <v>15</v>
      </c>
      <c r="N3" t="s">
        <v>16</v>
      </c>
    </row>
    <row r="4" spans="1:14">
      <c r="C4" s="23" t="s">
        <v>17</v>
      </c>
      <c r="E4" s="23" t="s">
        <v>17</v>
      </c>
      <c r="G4" s="23" t="s">
        <v>17</v>
      </c>
      <c r="I4" s="23" t="s">
        <v>17</v>
      </c>
      <c r="M4" t="s">
        <v>12</v>
      </c>
      <c r="N4" t="s">
        <v>11</v>
      </c>
    </row>
    <row r="6" spans="1:14">
      <c r="A6" t="s">
        <v>18</v>
      </c>
      <c r="B6" t="s">
        <v>19</v>
      </c>
      <c r="M6" t="s">
        <v>10</v>
      </c>
      <c r="N6" t="s">
        <v>13</v>
      </c>
    </row>
    <row r="8" spans="1:14">
      <c r="B8" t="s">
        <v>20</v>
      </c>
      <c r="C8" s="41">
        <f>+COMPARATIVO!AH60+COMPARATIVO!AH154</f>
        <v>56870806343</v>
      </c>
      <c r="D8" s="23">
        <f>+COMPARATIVO!S60+COMPARATIVO!S154</f>
        <v>0</v>
      </c>
      <c r="E8" s="23">
        <f>+COMPARATIVO!Y60+COMPARATIVO!Y154</f>
        <v>55702695193</v>
      </c>
      <c r="G8" s="23">
        <f>+I10</f>
        <v>0</v>
      </c>
      <c r="I8" s="23">
        <f>+K10</f>
        <v>0</v>
      </c>
      <c r="M8" t="s">
        <v>107</v>
      </c>
      <c r="N8" t="s">
        <v>110</v>
      </c>
    </row>
    <row r="9" spans="1:14">
      <c r="B9" t="s">
        <v>21</v>
      </c>
      <c r="C9" s="41">
        <f>+COMPARATIVO!AP284+COMPARATIVO!AP287+COMPARATIVO!AP288</f>
        <v>83495473591</v>
      </c>
      <c r="D9" s="23">
        <f>+COMPARATIVO!Q284+COMPARATIVO!Q287+COMPARATIVO!Q288</f>
        <v>41017209399</v>
      </c>
      <c r="E9" s="23">
        <f>+COMPARATIVO!W284+COMPARATIVO!W287+COMPARATIVO!W288</f>
        <v>57359384620</v>
      </c>
      <c r="G9" s="23" t="e">
        <f>+#REF!</f>
        <v>#REF!</v>
      </c>
      <c r="I9" s="23" t="e">
        <f>+#REF!</f>
        <v>#REF!</v>
      </c>
      <c r="M9" t="s">
        <v>108</v>
      </c>
      <c r="N9" t="s">
        <v>459</v>
      </c>
    </row>
    <row r="10" spans="1:14">
      <c r="B10" t="s">
        <v>22</v>
      </c>
      <c r="C10" s="41">
        <f>+COMPARATIVO!AP154+COMPARATIVO!AP60</f>
        <v>59493880342</v>
      </c>
      <c r="D10" s="23">
        <f>+COMPARATIVO!Q154+COMPARATIVO!Q60</f>
        <v>0</v>
      </c>
      <c r="E10" s="23">
        <f>+COMPARATIVO!W154+COMPARATIVO!W60</f>
        <v>59059500968</v>
      </c>
      <c r="G10" s="23" t="e">
        <f>+BG!#REF!</f>
        <v>#REF!</v>
      </c>
      <c r="I10" s="23">
        <f>+BG!V52</f>
        <v>0</v>
      </c>
      <c r="M10" t="s">
        <v>109</v>
      </c>
      <c r="N10" t="s">
        <v>110</v>
      </c>
    </row>
    <row r="11" spans="1:14">
      <c r="C11" s="23" t="s">
        <v>23</v>
      </c>
      <c r="E11" s="23" t="s">
        <v>23</v>
      </c>
      <c r="G11" s="23" t="s">
        <v>23</v>
      </c>
      <c r="I11" s="23" t="s">
        <v>23</v>
      </c>
    </row>
    <row r="12" spans="1:14">
      <c r="B12" t="s">
        <v>462</v>
      </c>
      <c r="C12" s="23">
        <f>C8+C9-C10</f>
        <v>80872399592</v>
      </c>
      <c r="E12" s="23">
        <f>E8+E9-E10</f>
        <v>54002578845</v>
      </c>
      <c r="G12" s="23" t="e">
        <f>G8+G9-G10</f>
        <v>#REF!</v>
      </c>
      <c r="I12" s="23" t="e">
        <f>I8+I9-I10</f>
        <v>#REF!</v>
      </c>
    </row>
    <row r="13" spans="1:14">
      <c r="C13" s="23" t="s">
        <v>24</v>
      </c>
      <c r="E13" s="23" t="s">
        <v>24</v>
      </c>
      <c r="G13" s="23" t="s">
        <v>24</v>
      </c>
      <c r="I13" s="23" t="s">
        <v>24</v>
      </c>
    </row>
    <row r="14" spans="1:14">
      <c r="B14" t="s">
        <v>25</v>
      </c>
    </row>
    <row r="16" spans="1:14">
      <c r="A16" t="s">
        <v>26</v>
      </c>
      <c r="B16" t="s">
        <v>27</v>
      </c>
    </row>
    <row r="18" spans="1:15">
      <c r="B18" t="s">
        <v>28</v>
      </c>
      <c r="C18" s="41">
        <f>+COMPARATIVO!AP110</f>
        <v>21087498311</v>
      </c>
      <c r="D18" s="23">
        <f>+COMPARATIVO!Q110</f>
        <v>0</v>
      </c>
      <c r="E18" s="23">
        <f>+COMPARATIVO!W110</f>
        <v>13157633282</v>
      </c>
      <c r="G18" s="23" t="e">
        <f>+BG!#REF!</f>
        <v>#REF!</v>
      </c>
      <c r="I18" s="23">
        <f>+BG!V95</f>
        <v>0</v>
      </c>
      <c r="M18" t="s">
        <v>111</v>
      </c>
      <c r="N18" t="s">
        <v>110</v>
      </c>
    </row>
    <row r="19" spans="1:15">
      <c r="B19" t="s">
        <v>29</v>
      </c>
      <c r="C19" s="41">
        <f>+COMPARATIVO!AP304-COMPARATIVO!AP309</f>
        <v>61116529984</v>
      </c>
      <c r="D19" s="23">
        <f>+COMPARATIVO!Q304</f>
        <v>-30014570393</v>
      </c>
      <c r="E19" s="23">
        <f>+COMPARATIVO!W304</f>
        <v>43196307802</v>
      </c>
      <c r="G19" s="23" t="e">
        <f>+#REF!</f>
        <v>#REF!</v>
      </c>
      <c r="I19" s="23" t="e">
        <f>+#REF!</f>
        <v>#REF!</v>
      </c>
      <c r="M19" t="s">
        <v>112</v>
      </c>
      <c r="N19" t="s">
        <v>459</v>
      </c>
    </row>
    <row r="20" spans="1:15">
      <c r="B20" t="s">
        <v>30</v>
      </c>
      <c r="C20" s="41">
        <f>+COMPARATIVO!AH110</f>
        <v>31160415634</v>
      </c>
      <c r="D20" s="23">
        <f>+COMPARATIVO!S110</f>
        <v>0</v>
      </c>
      <c r="E20" s="23">
        <f>+COMPARATIVO!Y110</f>
        <v>15633350381</v>
      </c>
      <c r="G20" s="23">
        <f>+I18</f>
        <v>0</v>
      </c>
      <c r="I20" s="23">
        <f>+K18</f>
        <v>0</v>
      </c>
      <c r="M20" t="s">
        <v>113</v>
      </c>
      <c r="N20" t="s">
        <v>110</v>
      </c>
    </row>
    <row r="21" spans="1:15">
      <c r="C21" s="23" t="s">
        <v>31</v>
      </c>
      <c r="E21" s="23" t="s">
        <v>31</v>
      </c>
      <c r="G21" s="23" t="s">
        <v>31</v>
      </c>
      <c r="I21" s="23" t="s">
        <v>31</v>
      </c>
    </row>
    <row r="22" spans="1:15">
      <c r="B22" t="s">
        <v>32</v>
      </c>
      <c r="C22" s="23">
        <f>C18+C19-C20</f>
        <v>51043612661</v>
      </c>
      <c r="E22" s="23">
        <f>E18+E19-E20</f>
        <v>40720590703</v>
      </c>
      <c r="G22" s="23" t="e">
        <f>G18+G19-G20</f>
        <v>#REF!</v>
      </c>
      <c r="I22" s="23" t="e">
        <f>I18+I19-I20</f>
        <v>#REF!</v>
      </c>
    </row>
    <row r="23" spans="1:15">
      <c r="C23" s="23" t="s">
        <v>24</v>
      </c>
      <c r="E23" s="23" t="s">
        <v>24</v>
      </c>
      <c r="G23" s="23" t="s">
        <v>24</v>
      </c>
      <c r="I23" s="23" t="s">
        <v>24</v>
      </c>
    </row>
    <row r="25" spans="1:15">
      <c r="B25" t="s">
        <v>33</v>
      </c>
      <c r="C25" s="41">
        <f>+COMPARATIVO!AH182+COMPARATIVO!AH183+COMPARATIVO!AH185+COMPARATIVO!AH188+COMPARATIVO!AH240</f>
        <v>13744065480</v>
      </c>
      <c r="D25" s="23">
        <f>+COMPARATIVO!S182+COMPARATIVO!S183+COMPARATIVO!S185+COMPARATIVO!S188+COMPARATIVO!S240</f>
        <v>0</v>
      </c>
      <c r="E25" s="23">
        <f>+COMPARATIVO!Y182+COMPARATIVO!Y183+COMPARATIVO!Y185+COMPARATIVO!Y188+COMPARATIVO!Y240</f>
        <v>19308138335</v>
      </c>
      <c r="G25" s="23">
        <f>+I27</f>
        <v>0</v>
      </c>
      <c r="I25" s="23">
        <f>+K27</f>
        <v>0</v>
      </c>
      <c r="M25" t="s">
        <v>114</v>
      </c>
    </row>
    <row r="26" spans="1:15">
      <c r="B26" t="s">
        <v>34</v>
      </c>
      <c r="C26" s="23">
        <f>+C22</f>
        <v>51043612661</v>
      </c>
      <c r="D26" s="23">
        <f>+D22</f>
        <v>0</v>
      </c>
      <c r="E26" s="23">
        <f>+E22</f>
        <v>40720590703</v>
      </c>
      <c r="G26" s="23" t="e">
        <f>+G22</f>
        <v>#REF!</v>
      </c>
      <c r="I26" s="23" t="e">
        <f>+I22</f>
        <v>#REF!</v>
      </c>
    </row>
    <row r="27" spans="1:15">
      <c r="B27" t="s">
        <v>35</v>
      </c>
      <c r="C27" s="41">
        <f>+COMPARATIVO!AP182+COMPARATIVO!AP183+COMPARATIVO!AP185+COMPARATIVO!AP188+COMPARATIVO!AP240</f>
        <v>11357771281</v>
      </c>
      <c r="D27" s="23">
        <f>+COMPARATIVO!Q182+COMPARATIVO!Q183+COMPARATIVO!Q185+COMPARATIVO!Q188+COMPARATIVO!Q240</f>
        <v>0</v>
      </c>
      <c r="E27" s="23">
        <f>+COMPARATIVO!W182+COMPARATIVO!W183+COMPARATIVO!W185+COMPARATIVO!W188+COMPARATIVO!W240</f>
        <v>31716580242</v>
      </c>
      <c r="G27" s="23" t="e">
        <f>+BG!#REF!</f>
        <v>#REF!</v>
      </c>
      <c r="I27" s="23">
        <f>+BG!V182</f>
        <v>0</v>
      </c>
      <c r="M27" t="s">
        <v>115</v>
      </c>
      <c r="O27">
        <f>+C25-E27</f>
        <v>-17972514762</v>
      </c>
    </row>
    <row r="28" spans="1:15">
      <c r="C28" s="23" t="s">
        <v>31</v>
      </c>
      <c r="E28" s="23" t="s">
        <v>31</v>
      </c>
      <c r="G28" s="23" t="s">
        <v>31</v>
      </c>
      <c r="I28" s="23" t="s">
        <v>31</v>
      </c>
    </row>
    <row r="29" spans="1:15">
      <c r="B29" t="s">
        <v>36</v>
      </c>
      <c r="C29" s="23">
        <f>C25+C26-C27</f>
        <v>53429906860</v>
      </c>
      <c r="E29" s="23">
        <f>E25+E26-E27</f>
        <v>28312148796</v>
      </c>
      <c r="G29" s="23" t="e">
        <f>G25+G26-G27</f>
        <v>#REF!</v>
      </c>
      <c r="I29" s="23" t="e">
        <f>I25+I26-I27</f>
        <v>#REF!</v>
      </c>
    </row>
    <row r="30" spans="1:15">
      <c r="C30" s="23" t="s">
        <v>24</v>
      </c>
      <c r="E30" s="23" t="s">
        <v>24</v>
      </c>
      <c r="G30" s="23" t="s">
        <v>24</v>
      </c>
      <c r="I30" s="23" t="s">
        <v>24</v>
      </c>
    </row>
    <row r="32" spans="1:15">
      <c r="A32" t="s">
        <v>37</v>
      </c>
      <c r="B32" t="s">
        <v>38</v>
      </c>
    </row>
    <row r="34" spans="1:14">
      <c r="B34" t="s">
        <v>168</v>
      </c>
    </row>
    <row r="36" spans="1:14">
      <c r="B36" t="s">
        <v>39</v>
      </c>
      <c r="C36" s="41">
        <f>+COMPARATIVO!AH228+COMPARATIVO!AH229+COMPARATIVO!AH230+COMPARATIVO!AH232+COMPARATIVO!AH231+COMPARATIVO!AH233+COMPARATIVO!AH235</f>
        <v>109553529</v>
      </c>
      <c r="D36" s="23">
        <f>+COMPARATIVO!S228+COMPARATIVO!S229+COMPARATIVO!S230+COMPARATIVO!S232</f>
        <v>0</v>
      </c>
      <c r="E36" s="23">
        <f>+COMPARATIVO!Y228+COMPARATIVO!Y229+COMPARATIVO!Y230+COMPARATIVO!Y232+COMPARATIVO!Y235</f>
        <v>151741179</v>
      </c>
      <c r="G36" s="23">
        <f>+I38</f>
        <v>0</v>
      </c>
      <c r="I36" s="23">
        <f>+K38</f>
        <v>0</v>
      </c>
      <c r="M36" t="s">
        <v>118</v>
      </c>
    </row>
    <row r="37" spans="1:14">
      <c r="B37" t="s">
        <v>40</v>
      </c>
      <c r="C37" s="41">
        <f>+COMPARATIVO!AP331+COMPARATIVO!AP332+COMPARATIVO!AP334+COMPARATIVO!AP343+COMPARATIVO!AP344+COMPARATIVO!AP345+COMPARATIVO!AP346+COMPARATIVO!AP348</f>
        <v>2763990072</v>
      </c>
      <c r="D37" s="23">
        <f>+COMPARATIVO!Q331+COMPARATIVO!Q332+COMPARATIVO!Q334+COMPARATIVO!Q343+COMPARATIVO!Q344+COMPARATIVO!Q345+COMPARATIVO!Q346+COMPARATIVO!Q348</f>
        <v>-799127905</v>
      </c>
      <c r="E37" s="23">
        <f>+COMPARATIVO!W331+COMPARATIVO!W332+COMPARATIVO!W334+COMPARATIVO!W343+COMPARATIVO!W344+COMPARATIVO!W345+COMPARATIVO!W346+COMPARATIVO!W348</f>
        <v>733134028</v>
      </c>
      <c r="G37" s="23" t="e">
        <f>+#REF!+#REF!+#REF!+#REF!+#REF!</f>
        <v>#REF!</v>
      </c>
      <c r="I37" s="23" t="e">
        <f>+#REF!+#REF!+#REF!+#REF!+#REF!</f>
        <v>#REF!</v>
      </c>
      <c r="M37" t="s">
        <v>119</v>
      </c>
      <c r="N37" t="s">
        <v>459</v>
      </c>
    </row>
    <row r="38" spans="1:14">
      <c r="B38" t="s">
        <v>41</v>
      </c>
      <c r="C38" s="41">
        <f>+COMPARATIVO!AP228+COMPARATIVO!AP229+COMPARATIVO!AP230+COMPARATIVO!AP231+COMPARATIVO!AP232+COMPARATIVO!AP233+COMPARATIVO!AP235</f>
        <v>147272384</v>
      </c>
      <c r="D38" s="23">
        <f>+COMPARATIVO!Q228+COMPARATIVO!Q229+COMPARATIVO!Q230+COMPARATIVO!Q231+COMPARATIVO!Q232+COMPARATIVO!Q233</f>
        <v>0</v>
      </c>
      <c r="E38" s="23">
        <f>+COMPARATIVO!W228+COMPARATIVO!W229+COMPARATIVO!W230+COMPARATIVO!W231+COMPARATIVO!W232+COMPARATIVO!W233</f>
        <v>181739791</v>
      </c>
      <c r="G38" s="23" t="e">
        <f>+BG!#REF!+BG!#REF!+BG!#REF!</f>
        <v>#REF!</v>
      </c>
      <c r="I38" s="23">
        <f>+BG!V206+BG!V215+BG!V216</f>
        <v>0</v>
      </c>
      <c r="M38" t="s">
        <v>116</v>
      </c>
      <c r="N38" t="s">
        <v>117</v>
      </c>
    </row>
    <row r="39" spans="1:14">
      <c r="C39" s="23" t="s">
        <v>31</v>
      </c>
      <c r="E39" s="23" t="s">
        <v>31</v>
      </c>
      <c r="G39" s="23" t="s">
        <v>31</v>
      </c>
      <c r="I39" s="23" t="s">
        <v>31</v>
      </c>
    </row>
    <row r="40" spans="1:14">
      <c r="B40" t="s">
        <v>42</v>
      </c>
      <c r="C40" s="23">
        <f>C36+C37-C38</f>
        <v>2726271217</v>
      </c>
      <c r="E40" s="23">
        <f>E36+E37-E38</f>
        <v>703135416</v>
      </c>
      <c r="G40" s="23" t="e">
        <f>G36+G37-G38</f>
        <v>#REF!</v>
      </c>
      <c r="I40" s="23" t="e">
        <f>I36+I37-I38</f>
        <v>#REF!</v>
      </c>
    </row>
    <row r="41" spans="1:14">
      <c r="C41" s="23" t="s">
        <v>24</v>
      </c>
      <c r="E41" s="23" t="s">
        <v>24</v>
      </c>
      <c r="G41" s="23" t="s">
        <v>24</v>
      </c>
      <c r="I41" s="23" t="s">
        <v>24</v>
      </c>
    </row>
    <row r="43" spans="1:14">
      <c r="A43" t="s">
        <v>159</v>
      </c>
      <c r="B43" t="s">
        <v>160</v>
      </c>
    </row>
    <row r="45" spans="1:14">
      <c r="A45" t="s">
        <v>140</v>
      </c>
      <c r="B45" t="s">
        <v>43</v>
      </c>
    </row>
    <row r="47" spans="1:14">
      <c r="B47" t="s">
        <v>44</v>
      </c>
      <c r="C47" s="41">
        <f>+COMPARATIVO!AP224</f>
        <v>102275123</v>
      </c>
      <c r="D47" s="23">
        <f>+COMPARATIVO!Q224</f>
        <v>0</v>
      </c>
      <c r="E47" s="23">
        <f>+COMPARATIVO!W224</f>
        <v>264807514</v>
      </c>
      <c r="G47" s="23" t="e">
        <f>+BG!#REF!</f>
        <v>#REF!</v>
      </c>
      <c r="I47" s="23">
        <f>+BG!V199</f>
        <v>0</v>
      </c>
    </row>
    <row r="48" spans="1:14">
      <c r="B48" t="s">
        <v>45</v>
      </c>
      <c r="C48" s="23">
        <f>+COMPARATIVO!AP79</f>
        <v>0</v>
      </c>
      <c r="D48" s="23">
        <f>+COMPARATIVO!Q79</f>
        <v>0</v>
      </c>
      <c r="E48" s="23">
        <f>+COMPARATIVO!W79</f>
        <v>165222133</v>
      </c>
      <c r="G48" s="23" t="e">
        <f>+(BG!#REF!+BG!#REF!)</f>
        <v>#REF!</v>
      </c>
      <c r="I48" s="23">
        <f>+(BG!V80+BG!V81)</f>
        <v>0</v>
      </c>
    </row>
    <row r="49" spans="1:9">
      <c r="B49" t="s">
        <v>46</v>
      </c>
      <c r="C49" s="41">
        <f>+COMPARATIVO!AH224+COMPARATIVO!AH225</f>
        <v>56554602</v>
      </c>
      <c r="D49" s="23">
        <f>+COMPARATIVO!S224+COMPARATIVO!S225</f>
        <v>0</v>
      </c>
      <c r="E49" s="23">
        <f>+COMPARATIVO!Y224+COMPARATIVO!Y225</f>
        <v>190305824</v>
      </c>
      <c r="G49" s="23">
        <f>+I47</f>
        <v>0</v>
      </c>
      <c r="I49" s="23">
        <f>+K47</f>
        <v>0</v>
      </c>
    </row>
    <row r="50" spans="1:9">
      <c r="B50" t="s">
        <v>120</v>
      </c>
      <c r="C50" s="41">
        <f>+COMPARATIVO!AP80</f>
        <v>33021331</v>
      </c>
      <c r="D50" s="23">
        <f>+COMPARATIVO!L78</f>
        <v>0</v>
      </c>
      <c r="E50" s="23">
        <v>0</v>
      </c>
      <c r="G50" s="23" t="e">
        <f>+BG!#REF!</f>
        <v>#REF!</v>
      </c>
      <c r="I50" s="23">
        <f>+BG!V82</f>
        <v>0</v>
      </c>
    </row>
    <row r="51" spans="1:9">
      <c r="B51" t="s">
        <v>121</v>
      </c>
      <c r="C51" s="41">
        <f>+COMPARATIVO!AH80</f>
        <v>508854667</v>
      </c>
      <c r="D51" s="23">
        <f>+COMPARATIVO!N78</f>
        <v>0</v>
      </c>
      <c r="E51" s="23">
        <f>+COMPARATIVO!O78</f>
        <v>0</v>
      </c>
      <c r="F51" s="23">
        <f>+COMPARATIVO!P78</f>
        <v>1237311</v>
      </c>
      <c r="G51" s="23">
        <f>+I50</f>
        <v>0</v>
      </c>
      <c r="I51" s="23">
        <f>+K50</f>
        <v>0</v>
      </c>
    </row>
    <row r="52" spans="1:9">
      <c r="B52" t="s">
        <v>47</v>
      </c>
      <c r="C52" s="41">
        <f>+COMPARATIVO!AH79</f>
        <v>997062578</v>
      </c>
      <c r="D52" s="23">
        <f>+COMPARATIVO!S79</f>
        <v>0</v>
      </c>
      <c r="E52" s="23">
        <f>+COMPARATIVO!Y79</f>
        <v>-1</v>
      </c>
      <c r="G52" s="23">
        <f>+I48</f>
        <v>0</v>
      </c>
      <c r="I52" s="23">
        <f>+K48</f>
        <v>0</v>
      </c>
    </row>
    <row r="53" spans="1:9">
      <c r="C53" s="23" t="s">
        <v>31</v>
      </c>
      <c r="E53" s="23" t="s">
        <v>31</v>
      </c>
      <c r="G53" s="23" t="s">
        <v>31</v>
      </c>
      <c r="I53" s="23" t="s">
        <v>31</v>
      </c>
    </row>
    <row r="54" spans="1:9">
      <c r="B54" t="s">
        <v>48</v>
      </c>
      <c r="C54" s="23">
        <f>C47-C48-C49-C50+C51+C52</f>
        <v>1518616435</v>
      </c>
      <c r="E54" s="23">
        <f>E47-E48-E49-E50+E51+E52</f>
        <v>-90720444</v>
      </c>
      <c r="G54" s="23" t="e">
        <f>G47-G48-G49-G50+G51+G52</f>
        <v>#REF!</v>
      </c>
      <c r="I54" s="23">
        <f>I47-I48-I49-I50+I51+I52</f>
        <v>0</v>
      </c>
    </row>
    <row r="55" spans="1:9">
      <c r="C55" s="23" t="s">
        <v>24</v>
      </c>
      <c r="E55" s="23" t="s">
        <v>24</v>
      </c>
      <c r="G55" s="23" t="s">
        <v>24</v>
      </c>
      <c r="I55" s="23" t="s">
        <v>24</v>
      </c>
    </row>
    <row r="59" spans="1:9">
      <c r="A59" t="s">
        <v>141</v>
      </c>
      <c r="B59" t="s">
        <v>49</v>
      </c>
    </row>
    <row r="60" spans="1:9">
      <c r="C60" s="23" t="s">
        <v>31</v>
      </c>
      <c r="E60" s="23" t="s">
        <v>31</v>
      </c>
      <c r="G60" s="23" t="s">
        <v>31</v>
      </c>
      <c r="I60" s="23" t="s">
        <v>31</v>
      </c>
    </row>
    <row r="61" spans="1:9">
      <c r="B61" t="s">
        <v>50</v>
      </c>
      <c r="C61" s="41">
        <f>+COMPARATIVO!AP285+COMPARATIVO!AP294+COMPARATIVO!AP300+COMPARATIVO!AP295+COMPARATIVO!AP299+COMPARATIVO!AP290+COMPARATIVO!AP298+COMPARATIVO!AP286+COMPARATIVO!AP296-COMPARATIVO!AP309</f>
        <v>5271382791</v>
      </c>
      <c r="D61" s="23">
        <f>+COMPARATIVO!Q285+COMPARATIVO!Q294+COMPARATIVO!Q300+COMPARATIVO!Q295+COMPARATIVO!Q299</f>
        <v>976624328</v>
      </c>
      <c r="E61" s="23">
        <f>+COMPARATIVO!W285+COMPARATIVO!W294+COMPARATIVO!W300+COMPARATIVO!W295+COMPARATIVO!W299+COMPARATIVO!W286+COMPARATIVO!W290+COMPARATIVO!W296</f>
        <v>3264402575</v>
      </c>
      <c r="G61" s="23" t="e">
        <f>+#REF!+#REF!</f>
        <v>#REF!</v>
      </c>
      <c r="I61" s="23" t="e">
        <f>+#REF!+#REF!</f>
        <v>#REF!</v>
      </c>
    </row>
    <row r="62" spans="1:9">
      <c r="B62" t="s">
        <v>51</v>
      </c>
      <c r="C62" s="23" t="s">
        <v>24</v>
      </c>
      <c r="E62" s="23" t="s">
        <v>24</v>
      </c>
      <c r="G62" s="23" t="s">
        <v>24</v>
      </c>
      <c r="I62" s="23" t="s">
        <v>24</v>
      </c>
    </row>
    <row r="64" spans="1:9">
      <c r="A64" t="s">
        <v>99</v>
      </c>
      <c r="B64" t="s">
        <v>184</v>
      </c>
    </row>
    <row r="66" spans="1:9">
      <c r="B66" t="s">
        <v>161</v>
      </c>
      <c r="G66" s="23" t="e">
        <f>+#REF!</f>
        <v>#REF!</v>
      </c>
      <c r="I66" s="23" t="e">
        <f>+#REF!</f>
        <v>#REF!</v>
      </c>
    </row>
    <row r="67" spans="1:9">
      <c r="B67" t="s">
        <v>162</v>
      </c>
      <c r="C67" s="41">
        <f>+COMPARATIVO!AH145</f>
        <v>114630340</v>
      </c>
      <c r="D67" s="23">
        <f>+COMPARATIVO!S145</f>
        <v>0</v>
      </c>
      <c r="E67" s="23">
        <f>+COMPARATIVO!Y145</f>
        <v>73851801</v>
      </c>
      <c r="G67" s="23">
        <f>+I68</f>
        <v>0</v>
      </c>
      <c r="I67" s="23">
        <f>+K68</f>
        <v>0</v>
      </c>
    </row>
    <row r="68" spans="1:9">
      <c r="B68" t="s">
        <v>163</v>
      </c>
      <c r="C68" s="41">
        <f>+COMPARATIVO!AP145</f>
        <v>92221854</v>
      </c>
      <c r="D68" s="23">
        <f>+COMPARATIVO!Q145</f>
        <v>0</v>
      </c>
      <c r="E68" s="23">
        <f>+COMPARATIVO!W145</f>
        <v>35780253</v>
      </c>
      <c r="G68" s="23" t="e">
        <f>+BG!#REF!</f>
        <v>#REF!</v>
      </c>
      <c r="I68" s="23">
        <f>+BG!V157</f>
        <v>0</v>
      </c>
    </row>
    <row r="69" spans="1:9">
      <c r="C69" s="23" t="s">
        <v>71</v>
      </c>
      <c r="E69" s="23" t="s">
        <v>71</v>
      </c>
      <c r="G69" s="23" t="s">
        <v>71</v>
      </c>
      <c r="I69" s="23" t="s">
        <v>71</v>
      </c>
    </row>
    <row r="70" spans="1:9">
      <c r="B70" t="s">
        <v>100</v>
      </c>
      <c r="C70" s="23">
        <f>-C66+C67-C68</f>
        <v>22408486</v>
      </c>
      <c r="E70" s="23">
        <f>-E66+E67-E68</f>
        <v>38071548</v>
      </c>
      <c r="G70" s="23" t="e">
        <f>-G66+G67-G68</f>
        <v>#REF!</v>
      </c>
      <c r="I70" s="23" t="e">
        <f>-I66+I67-I68</f>
        <v>#REF!</v>
      </c>
    </row>
    <row r="71" spans="1:9">
      <c r="C71" s="23" t="s">
        <v>24</v>
      </c>
      <c r="E71" s="23" t="s">
        <v>24</v>
      </c>
      <c r="G71" s="23" t="s">
        <v>24</v>
      </c>
      <c r="I71" s="23" t="s">
        <v>24</v>
      </c>
    </row>
    <row r="76" spans="1:9">
      <c r="A76" t="s">
        <v>52</v>
      </c>
      <c r="B76" t="s">
        <v>53</v>
      </c>
    </row>
    <row r="78" spans="1:9">
      <c r="B78" t="s">
        <v>122</v>
      </c>
      <c r="C78" s="23">
        <v>0</v>
      </c>
      <c r="E78" s="23">
        <v>0</v>
      </c>
      <c r="G78" s="23" t="e">
        <f>+#REF!</f>
        <v>#REF!</v>
      </c>
      <c r="I78" s="23" t="e">
        <f>+#REF!</f>
        <v>#REF!</v>
      </c>
    </row>
    <row r="79" spans="1:9">
      <c r="B79" t="s">
        <v>123</v>
      </c>
      <c r="C79" s="41">
        <f>+COMPARATIVO!AP312</f>
        <v>3266692826</v>
      </c>
      <c r="D79" s="23">
        <f>+COMPARATIVO!Q312</f>
        <v>-1450009455</v>
      </c>
      <c r="E79" s="23">
        <f>+COMPARATIVO!W312</f>
        <v>1622307750</v>
      </c>
      <c r="G79" s="23" t="e">
        <f>+#REF!</f>
        <v>#REF!</v>
      </c>
      <c r="I79" s="23" t="e">
        <f>+#REF!</f>
        <v>#REF!</v>
      </c>
    </row>
    <row r="80" spans="1:9">
      <c r="B80" t="s">
        <v>124</v>
      </c>
      <c r="C80" s="41">
        <f>+COMPARATIVO!AP329+COMPARATIVO!AP371-COMPARATIVO!AP377-COMPARATIVO!AP348-COMPARATIVO!AP346-COMPARATIVO!AP345-COMPARATIVO!AP344-COMPARATIVO!AP343-COMPARATIVO!AP334-COMPARATIVO!AP332-COMPARATIVO!AP331</f>
        <v>5876242775</v>
      </c>
      <c r="D80" s="23">
        <f>+COMPARATIVO!Q329+COMPARATIVO!Q371-COMPARATIVO!Q377-COMPARATIVO!Q348-COMPARATIVO!Q346-COMPARATIVO!Q345-COMPARATIVO!Q344-COMPARATIVO!Q343-COMPARATIVO!Q334-COMPARATIVO!Q332-COMPARATIVO!Q331</f>
        <v>-2447470158</v>
      </c>
      <c r="E80" s="23">
        <f>+COMPARATIVO!W329+COMPARATIVO!W371-COMPARATIVO!W377-COMPARATIVO!W348-COMPARATIVO!W346-COMPARATIVO!W345-COMPARATIVO!W344-COMPARATIVO!W343-COMPARATIVO!W334-COMPARATIVO!W332-COMPARATIVO!W331</f>
        <v>3013004754</v>
      </c>
      <c r="G80" s="23" t="e">
        <f>+#REF!-#REF!-#REF!-#REF!-#REF!-#REF!-#REF!-#REF!-#REF!</f>
        <v>#REF!</v>
      </c>
      <c r="I80" s="23" t="e">
        <f>+#REF!-#REF!-#REF!-#REF!-#REF!-#REF!-#REF!-#REF!-#REF!</f>
        <v>#REF!</v>
      </c>
    </row>
    <row r="81" spans="1:9">
      <c r="B81" t="s">
        <v>330</v>
      </c>
      <c r="C81" s="41">
        <f>+COMPARATIVO!AP391-COMPARATIVO!AP393-COMPARATIVO!AP394</f>
        <v>851381280</v>
      </c>
      <c r="D81" s="23">
        <f>+COMPARATIVO!Q391-COMPARATIVO!Q393-COMPARATIVO!Q394</f>
        <v>-278155078</v>
      </c>
      <c r="E81" s="23">
        <f>+COMPARATIVO!W391-COMPARATIVO!W393-COMPARATIVO!W394</f>
        <v>835108652</v>
      </c>
      <c r="G81" s="23" t="e">
        <f>+#REF!</f>
        <v>#REF!</v>
      </c>
      <c r="I81" s="23" t="e">
        <f>+#REF!</f>
        <v>#REF!</v>
      </c>
    </row>
    <row r="82" spans="1:9">
      <c r="B82" t="s">
        <v>125</v>
      </c>
      <c r="C82" s="41">
        <f>+COMPARATIVO!AH184+COMPARATIVO!AH187+COMPARATIVO!AH186</f>
        <v>61398041</v>
      </c>
      <c r="D82" s="23">
        <f>+COMPARATIVO!S184+COMPARATIVO!S187+COMPARATIVO!S186</f>
        <v>0</v>
      </c>
      <c r="E82" s="23">
        <f>+COMPARATIVO!Y184+COMPARATIVO!Y187+COMPARATIVO!Y186</f>
        <v>458116569</v>
      </c>
      <c r="G82" s="23">
        <f>+I83</f>
        <v>0</v>
      </c>
      <c r="I82" s="23">
        <f>+K83</f>
        <v>0</v>
      </c>
    </row>
    <row r="83" spans="1:9">
      <c r="B83" t="s">
        <v>126</v>
      </c>
      <c r="C83" s="41">
        <f>+COMPARATIVO!AP184+COMPARATIVO!AP187+COMPARATIVO!AP186</f>
        <v>177974720</v>
      </c>
      <c r="D83" s="23">
        <f>+COMPARATIVO!Q184+COMPARATIVO!Q187+COMPARATIVO!Q186</f>
        <v>0</v>
      </c>
      <c r="E83" s="23">
        <f>+COMPARATIVO!W184+COMPARATIVO!W187+COMPARATIVO!W186</f>
        <v>3521058631</v>
      </c>
      <c r="G83" s="23" t="e">
        <f>+BG!#REF!+BG!#REF!+BG!#REF!+BG!#REF!+BG!#REF!+BG!#REF!</f>
        <v>#REF!</v>
      </c>
      <c r="I83" s="23">
        <f>+BG!V185+BG!V189+BG!V203+BG!V212+BG!V213+BG!V220</f>
        <v>0</v>
      </c>
    </row>
    <row r="84" spans="1:9">
      <c r="C84" s="23" t="s">
        <v>31</v>
      </c>
      <c r="E84" s="23" t="s">
        <v>31</v>
      </c>
      <c r="G84" s="23" t="s">
        <v>31</v>
      </c>
      <c r="I84" s="23" t="s">
        <v>31</v>
      </c>
    </row>
    <row r="85" spans="1:9">
      <c r="B85" t="s">
        <v>54</v>
      </c>
      <c r="C85" s="23">
        <f>C79+C80+C81+C82-C83</f>
        <v>9877740202</v>
      </c>
      <c r="E85" s="23">
        <f>E79+E80+E81+E82-E83</f>
        <v>2407479094</v>
      </c>
      <c r="G85" s="23" t="e">
        <f>G79+G80+G81+G82-G83</f>
        <v>#REF!</v>
      </c>
      <c r="I85" s="23" t="e">
        <f>I79+I80+I81+I82-I83</f>
        <v>#REF!</v>
      </c>
    </row>
    <row r="86" spans="1:9">
      <c r="C86" s="23" t="s">
        <v>24</v>
      </c>
      <c r="E86" s="23" t="s">
        <v>24</v>
      </c>
      <c r="G86" s="23" t="s">
        <v>24</v>
      </c>
      <c r="I86" s="23" t="s">
        <v>24</v>
      </c>
    </row>
    <row r="88" spans="1:9">
      <c r="A88" t="s">
        <v>56</v>
      </c>
      <c r="B88" t="s">
        <v>57</v>
      </c>
    </row>
    <row r="90" spans="1:9">
      <c r="B90" t="s">
        <v>176</v>
      </c>
      <c r="C90" s="41">
        <f>+COMPARATIVO!AP377</f>
        <v>55183585</v>
      </c>
      <c r="D90" s="23">
        <f>+COMPARATIVO!V377</f>
        <v>-91167817</v>
      </c>
      <c r="E90" s="23">
        <f>+COMPARATIVO!W377</f>
        <v>95301430</v>
      </c>
      <c r="G90" s="23" t="e">
        <f>+#REF!</f>
        <v>#REF!</v>
      </c>
      <c r="I90" s="23" t="e">
        <f>+#REF!</f>
        <v>#REF!</v>
      </c>
    </row>
    <row r="91" spans="1:9">
      <c r="B91" t="s">
        <v>127</v>
      </c>
      <c r="C91" s="23">
        <f>+COMPARATIVO!AH234</f>
        <v>0</v>
      </c>
      <c r="D91" s="23">
        <f>+COMPARATIVO!S234</f>
        <v>0</v>
      </c>
      <c r="E91" s="23">
        <f>+COMPARATIVO!Y234</f>
        <v>182509791</v>
      </c>
      <c r="G91" s="23">
        <f>+BG!V198</f>
        <v>0</v>
      </c>
      <c r="I91" s="23">
        <f>+BG!X198</f>
        <v>0</v>
      </c>
    </row>
    <row r="92" spans="1:9">
      <c r="B92" t="s">
        <v>128</v>
      </c>
      <c r="C92" s="23">
        <f>+COMPARATIVO!AP234</f>
        <v>0</v>
      </c>
      <c r="D92" s="23">
        <f>+COMPARATIVO!Q234</f>
        <v>0</v>
      </c>
      <c r="E92" s="23">
        <f>+COMPARATIVO!W234</f>
        <v>139712046</v>
      </c>
      <c r="G92" s="23" t="e">
        <f>+BG!#REF!</f>
        <v>#REF!</v>
      </c>
      <c r="I92" s="23">
        <f>+BG!V198</f>
        <v>0</v>
      </c>
    </row>
    <row r="93" spans="1:9">
      <c r="B93" t="s">
        <v>129</v>
      </c>
      <c r="C93" s="23">
        <f>+COMPARATIVO!AH78</f>
        <v>0</v>
      </c>
      <c r="D93" s="23">
        <f>+COMPARATIVO!S78</f>
        <v>0</v>
      </c>
      <c r="E93" s="23">
        <f>+COMPARATIVO!Y78</f>
        <v>0</v>
      </c>
      <c r="G93" s="23">
        <f>+BG!V83</f>
        <v>0</v>
      </c>
      <c r="I93" s="23">
        <f>+BG!X83</f>
        <v>0</v>
      </c>
    </row>
    <row r="94" spans="1:9">
      <c r="B94" t="s">
        <v>130</v>
      </c>
      <c r="C94" s="23">
        <f>+COMPARATIVO!AP78</f>
        <v>0</v>
      </c>
      <c r="D94" s="23">
        <f>+COMPARATIVO!Q78</f>
        <v>0</v>
      </c>
      <c r="E94" s="23">
        <f>+COMPARATIVO!W78</f>
        <v>0</v>
      </c>
      <c r="G94" s="23" t="e">
        <f>+BG!#REF!</f>
        <v>#REF!</v>
      </c>
      <c r="I94" s="23">
        <f>+BG!V83</f>
        <v>0</v>
      </c>
    </row>
    <row r="95" spans="1:9">
      <c r="B95" t="s">
        <v>131</v>
      </c>
      <c r="C95" s="41">
        <f>+COMPARATIVO!AH77</f>
        <v>29641920</v>
      </c>
      <c r="D95" s="23">
        <f>+COMPARATIVO!S77</f>
        <v>0</v>
      </c>
      <c r="E95" s="23">
        <f>+COMPARATIVO!Y77</f>
        <v>217146322</v>
      </c>
      <c r="G95" s="23">
        <f>+I96</f>
        <v>0</v>
      </c>
      <c r="I95" s="23">
        <f>+K96</f>
        <v>0</v>
      </c>
    </row>
    <row r="96" spans="1:9">
      <c r="B96" t="s">
        <v>132</v>
      </c>
      <c r="C96" s="41">
        <f>+COMPARATIVO!AP77</f>
        <v>137272687</v>
      </c>
      <c r="D96" s="23">
        <f>+COMPARATIVO!Q77</f>
        <v>0</v>
      </c>
      <c r="E96" s="23">
        <f>+COMPARATIVO!W77</f>
        <v>531752202</v>
      </c>
      <c r="G96" s="23" t="e">
        <f>+BG!#REF!</f>
        <v>#REF!</v>
      </c>
      <c r="I96" s="23">
        <f>+BG!V67</f>
        <v>0</v>
      </c>
    </row>
    <row r="97" spans="1:9">
      <c r="C97" s="23" t="s">
        <v>31</v>
      </c>
      <c r="E97" s="23" t="s">
        <v>31</v>
      </c>
      <c r="G97" s="23" t="s">
        <v>31</v>
      </c>
      <c r="I97" s="23" t="s">
        <v>31</v>
      </c>
    </row>
    <row r="98" spans="1:9">
      <c r="B98" t="s">
        <v>58</v>
      </c>
      <c r="C98" s="23">
        <f>C90+C91-C92-C93+C94-C95+C96</f>
        <v>162814352</v>
      </c>
      <c r="D98" s="23">
        <f>D90+D91-D92-D93+D94-D95+D96</f>
        <v>-91167817</v>
      </c>
      <c r="E98" s="23">
        <f>E90+E91-E92-E93+E94-E95+E96</f>
        <v>452705055</v>
      </c>
      <c r="G98" s="23" t="e">
        <f>G90+G91-G92-G93+G94-G95+G96</f>
        <v>#REF!</v>
      </c>
      <c r="I98" s="23" t="e">
        <f>I90+I91-I92-I93+I94-I95+I96</f>
        <v>#REF!</v>
      </c>
    </row>
    <row r="99" spans="1:9">
      <c r="C99" s="23" t="s">
        <v>24</v>
      </c>
      <c r="E99" s="23" t="s">
        <v>24</v>
      </c>
      <c r="G99" s="23" t="s">
        <v>24</v>
      </c>
      <c r="I99" s="23" t="s">
        <v>24</v>
      </c>
    </row>
    <row r="100" spans="1:9">
      <c r="A100" t="s">
        <v>59</v>
      </c>
      <c r="B100" t="s">
        <v>60</v>
      </c>
    </row>
    <row r="102" spans="1:9">
      <c r="B102" t="s">
        <v>164</v>
      </c>
    </row>
    <row r="104" spans="1:9">
      <c r="A104" t="s">
        <v>63</v>
      </c>
      <c r="B104" t="s">
        <v>64</v>
      </c>
    </row>
    <row r="106" spans="1:9">
      <c r="B106" t="s">
        <v>164</v>
      </c>
      <c r="C106" s="23">
        <f>+COMPARATIVO!AH57</f>
        <v>0</v>
      </c>
    </row>
    <row r="108" spans="1:9">
      <c r="A108" t="s">
        <v>67</v>
      </c>
      <c r="B108" t="s">
        <v>165</v>
      </c>
    </row>
    <row r="110" spans="1:9">
      <c r="B110" t="s">
        <v>164</v>
      </c>
    </row>
    <row r="112" spans="1:9">
      <c r="A112" t="s">
        <v>65</v>
      </c>
      <c r="B112" t="s">
        <v>66</v>
      </c>
    </row>
    <row r="114" spans="1:9">
      <c r="B114" t="s">
        <v>133</v>
      </c>
      <c r="C114" s="41">
        <f>+COMPARATIVO!AP129+COMPARATIVO!AP142+COMPARATIVO!AP150</f>
        <v>45372954745</v>
      </c>
      <c r="D114" s="23">
        <f>+COMPARATIVO!Q129+COMPARATIVO!Q142+COMPARATIVO!Q150</f>
        <v>0</v>
      </c>
      <c r="E114" s="23">
        <f>+COMPARATIVO!W129+COMPARATIVO!W142+COMPARATIVO!W150</f>
        <v>26736969744</v>
      </c>
      <c r="G114" s="23" t="e">
        <f>+BG!#REF!</f>
        <v>#REF!</v>
      </c>
      <c r="I114" s="23">
        <f>+BG!V147</f>
        <v>0</v>
      </c>
    </row>
    <row r="115" spans="1:9">
      <c r="B115" t="s">
        <v>134</v>
      </c>
      <c r="C115" s="41">
        <f>+COMPARATIVO!AP266-COMPARATIVO!AH266</f>
        <v>479439104</v>
      </c>
      <c r="D115" s="23">
        <f>+COMPARATIVO!L266-COMPARATIVO!N266</f>
        <v>0</v>
      </c>
      <c r="E115" s="23">
        <f>+COMPARATIVO!W266-COMPARATIVO!Y266</f>
        <v>-1234443431</v>
      </c>
      <c r="G115" s="23" t="e">
        <f>+BG!#REF!-BG!V272</f>
        <v>#REF!</v>
      </c>
      <c r="I115" s="23">
        <f>+BG!V272-BG!X272</f>
        <v>0</v>
      </c>
    </row>
    <row r="116" spans="1:9">
      <c r="B116" t="s">
        <v>135</v>
      </c>
      <c r="C116" s="41">
        <f>+COMPARATIVO!AP394</f>
        <v>595816442</v>
      </c>
      <c r="D116" s="23">
        <f>+COMPARATIVO!Q394</f>
        <v>-188957376</v>
      </c>
      <c r="E116" s="23">
        <f>+COMPARATIVO!W394</f>
        <v>346710636</v>
      </c>
      <c r="G116" s="23" t="e">
        <f>+#REF!</f>
        <v>#REF!</v>
      </c>
      <c r="I116" s="23" t="e">
        <f>+#REF!</f>
        <v>#REF!</v>
      </c>
    </row>
    <row r="117" spans="1:9">
      <c r="B117" t="s">
        <v>136</v>
      </c>
      <c r="C117" s="41">
        <f>+COMPARATIVO!AH129+COMPARATIVO!AH142+COMPARATIVO!AH150</f>
        <v>47418369069</v>
      </c>
      <c r="D117" s="23">
        <f>+COMPARATIVO!S129+COMPARATIVO!S142+COMPARATIVO!S150</f>
        <v>0</v>
      </c>
      <c r="E117" s="23">
        <f>+COMPARATIVO!Y129+COMPARATIVO!Y142+COMPARATIVO!Y150</f>
        <v>22031864417</v>
      </c>
      <c r="G117" s="23">
        <f>+I114</f>
        <v>0</v>
      </c>
      <c r="I117" s="23">
        <f>+K114</f>
        <v>0</v>
      </c>
    </row>
    <row r="118" spans="1:9">
      <c r="C118" s="23" t="s">
        <v>31</v>
      </c>
      <c r="E118" s="23" t="s">
        <v>31</v>
      </c>
      <c r="G118" s="23" t="s">
        <v>31</v>
      </c>
      <c r="I118" s="23" t="s">
        <v>31</v>
      </c>
    </row>
    <row r="119" spans="1:9">
      <c r="B119" t="s">
        <v>179</v>
      </c>
      <c r="C119" s="23">
        <f>C114-C115+C116-C117</f>
        <v>-1929036986</v>
      </c>
      <c r="E119" s="23">
        <f>E114-E115+E116-E117</f>
        <v>6286259394</v>
      </c>
      <c r="G119" s="23" t="e">
        <f>G114-G115+G116-G117</f>
        <v>#REF!</v>
      </c>
      <c r="I119" s="23" t="e">
        <f>I114-I115+I116-I117</f>
        <v>#REF!</v>
      </c>
    </row>
    <row r="120" spans="1:9">
      <c r="C120" s="23" t="s">
        <v>24</v>
      </c>
      <c r="E120" s="23" t="s">
        <v>24</v>
      </c>
      <c r="G120" s="23" t="s">
        <v>24</v>
      </c>
      <c r="I120" s="23" t="s">
        <v>24</v>
      </c>
    </row>
    <row r="121" spans="1:9">
      <c r="B121" t="s">
        <v>55</v>
      </c>
    </row>
    <row r="124" spans="1:9">
      <c r="A124" t="s">
        <v>67</v>
      </c>
      <c r="B124" t="s">
        <v>68</v>
      </c>
    </row>
    <row r="126" spans="1:9">
      <c r="B126" t="s">
        <v>69</v>
      </c>
      <c r="C126" s="41">
        <f>+COMPARATIVO!AP263</f>
        <v>38500000000</v>
      </c>
      <c r="D126" s="23">
        <f>+COMPARATIVO!Q263</f>
        <v>0</v>
      </c>
      <c r="E126" s="23">
        <f>+COMPARATIVO!W263</f>
        <v>38500000000</v>
      </c>
      <c r="G126" s="23" t="e">
        <f>+BG!#REF!</f>
        <v>#REF!</v>
      </c>
      <c r="I126" s="23">
        <f>+BG!V267</f>
        <v>0</v>
      </c>
    </row>
    <row r="127" spans="1:9">
      <c r="B127" t="s">
        <v>70</v>
      </c>
      <c r="C127" s="41">
        <f>+COMPARATIVO!AH263</f>
        <v>38500000000</v>
      </c>
      <c r="D127" s="23">
        <f>+COMPARATIVO!S263</f>
        <v>0</v>
      </c>
      <c r="E127" s="23">
        <f>+COMPARATIVO!Y263</f>
        <v>25369000000</v>
      </c>
      <c r="G127" s="23">
        <f>+I126</f>
        <v>0</v>
      </c>
      <c r="I127" s="23">
        <f>+K126</f>
        <v>0</v>
      </c>
    </row>
    <row r="128" spans="1:9">
      <c r="C128" s="23" t="s">
        <v>71</v>
      </c>
      <c r="E128" s="23" t="s">
        <v>71</v>
      </c>
      <c r="G128" s="23" t="s">
        <v>71</v>
      </c>
      <c r="I128" s="23" t="s">
        <v>71</v>
      </c>
    </row>
    <row r="129" spans="1:15">
      <c r="B129" t="s">
        <v>72</v>
      </c>
      <c r="C129" s="23">
        <f>C126-C127</f>
        <v>0</v>
      </c>
      <c r="E129" s="23">
        <f>E126-E127</f>
        <v>13131000000</v>
      </c>
      <c r="G129" s="23" t="e">
        <f>G126-G127</f>
        <v>#REF!</v>
      </c>
      <c r="I129" s="23">
        <f>I126-I127</f>
        <v>0</v>
      </c>
    </row>
    <row r="130" spans="1:15">
      <c r="C130" s="23" t="s">
        <v>24</v>
      </c>
      <c r="E130" s="23" t="s">
        <v>24</v>
      </c>
      <c r="G130" s="23" t="s">
        <v>24</v>
      </c>
      <c r="I130" s="23" t="s">
        <v>24</v>
      </c>
    </row>
    <row r="132" spans="1:15">
      <c r="A132" t="s">
        <v>73</v>
      </c>
      <c r="B132" t="s">
        <v>74</v>
      </c>
    </row>
    <row r="134" spans="1:15">
      <c r="B134" t="s">
        <v>75</v>
      </c>
      <c r="C134" s="41">
        <f>+COMPARATIVO!AP242+COMPARATIVO!AP215+COMPARATIVO!AP212+COMPARATIVO!AP191+COMPARATIVO!AP219+COMPARATIVO!AP257</f>
        <v>97947931951</v>
      </c>
      <c r="D134" s="23">
        <f>+COMPARATIVO!Q242+COMPARATIVO!Q236+COMPARATIVO!Q215+COMPARATIVO!Q212+COMPARATIVO!Q191</f>
        <v>0</v>
      </c>
      <c r="E134" s="23">
        <f>+COMPARATIVO!W242+COMPARATIVO!W236+COMPARATIVO!W215+COMPARATIVO!W212+COMPARATIVO!W191</f>
        <v>59201503138</v>
      </c>
      <c r="G134" s="23" t="e">
        <f>+BG!#REF!+BG!#REF!</f>
        <v>#REF!</v>
      </c>
      <c r="I134" s="23">
        <f>+BG!V190+BG!V242</f>
        <v>0</v>
      </c>
    </row>
    <row r="135" spans="1:15">
      <c r="B135" t="s">
        <v>76</v>
      </c>
      <c r="C135" s="41">
        <f>+COMPARATIVO!AH191+COMPARATIVO!AH212+COMPARATIVO!AH236+COMPARATIVO!AH242+COMPARATIVO!AH215+COMPARATIVO!AH257</f>
        <v>98682244073</v>
      </c>
      <c r="D135" s="23">
        <f>+COMPARATIVO!S191+COMPARATIVO!S212+COMPARATIVO!S236+COMPARATIVO!S242</f>
        <v>0</v>
      </c>
      <c r="E135" s="23">
        <f>+COMPARATIVO!Y191+COMPARATIVO!Y212+COMPARATIVO!Y236+COMPARATIVO!Y242</f>
        <v>61016409858</v>
      </c>
      <c r="G135" s="23">
        <f>+I134</f>
        <v>0</v>
      </c>
      <c r="I135" s="23">
        <f>+K134</f>
        <v>0</v>
      </c>
    </row>
    <row r="136" spans="1:15">
      <c r="C136" s="23" t="s">
        <v>71</v>
      </c>
      <c r="E136" s="23" t="s">
        <v>71</v>
      </c>
      <c r="G136" s="23" t="s">
        <v>71</v>
      </c>
      <c r="I136" s="23" t="s">
        <v>71</v>
      </c>
    </row>
    <row r="137" spans="1:15">
      <c r="B137" t="s">
        <v>77</v>
      </c>
      <c r="C137" s="23">
        <f>C134-C135</f>
        <v>-734312122</v>
      </c>
      <c r="E137" s="23">
        <f>E134-E135</f>
        <v>-1814906720</v>
      </c>
      <c r="G137" s="23" t="e">
        <f>G134-G135</f>
        <v>#REF!</v>
      </c>
      <c r="I137" s="23">
        <f>I134-I135</f>
        <v>0</v>
      </c>
    </row>
    <row r="138" spans="1:15">
      <c r="C138" s="23" t="s">
        <v>24</v>
      </c>
      <c r="E138" s="23" t="s">
        <v>24</v>
      </c>
      <c r="G138" s="23" t="s">
        <v>24</v>
      </c>
      <c r="I138" s="23" t="s">
        <v>24</v>
      </c>
    </row>
    <row r="139" spans="1:15">
      <c r="A139" t="s">
        <v>81</v>
      </c>
      <c r="B139" t="s">
        <v>82</v>
      </c>
    </row>
    <row r="140" spans="1:15">
      <c r="B140" t="s">
        <v>166</v>
      </c>
      <c r="C140" s="23">
        <v>0</v>
      </c>
      <c r="E140" s="23">
        <v>0</v>
      </c>
      <c r="G140" s="23" t="e">
        <f>+#REF!</f>
        <v>#REF!</v>
      </c>
      <c r="I140" s="23" t="e">
        <f>+#REF!</f>
        <v>#REF!</v>
      </c>
    </row>
    <row r="141" spans="1:15">
      <c r="B141" t="s">
        <v>142</v>
      </c>
      <c r="C141" s="41">
        <f>+COMPARATIVO!AP271</f>
        <v>4439899904</v>
      </c>
      <c r="D141" s="23">
        <f>+COMPARATIVO!Q271</f>
        <v>0</v>
      </c>
      <c r="E141" s="23">
        <f>+COMPARATIVO!R271</f>
        <v>0</v>
      </c>
      <c r="G141" s="23" t="e">
        <f>+BG!#REF!</f>
        <v>#REF!</v>
      </c>
      <c r="I141" s="23">
        <f>+BG!V276</f>
        <v>0</v>
      </c>
    </row>
    <row r="142" spans="1:15">
      <c r="B142" t="s">
        <v>143</v>
      </c>
      <c r="C142" s="41">
        <f>+COMPARATIVO!AP272</f>
        <v>425852710</v>
      </c>
      <c r="D142" s="23">
        <f>+COMPARATIVO!Q272</f>
        <v>0</v>
      </c>
      <c r="E142" s="23">
        <f>+COMPARATIVO!W272</f>
        <v>3258750815</v>
      </c>
      <c r="I142" s="23">
        <f>+BG!V279</f>
        <v>0</v>
      </c>
      <c r="O142">
        <f>+C141-C148</f>
        <v>930046058</v>
      </c>
    </row>
    <row r="143" spans="1:15">
      <c r="B143" t="s">
        <v>144</v>
      </c>
      <c r="C143" s="41">
        <f>+COMPARATIVO!AP268</f>
        <v>1014632</v>
      </c>
      <c r="E143" s="23">
        <v>0</v>
      </c>
      <c r="G143" s="23" t="e">
        <f>+BG!#REF!</f>
        <v>#REF!</v>
      </c>
      <c r="I143" s="23">
        <f>+BG!V270</f>
        <v>0</v>
      </c>
      <c r="O143">
        <f>+C142-C147</f>
        <v>-504193348</v>
      </c>
    </row>
    <row r="144" spans="1:15">
      <c r="B144" t="s">
        <v>145</v>
      </c>
      <c r="C144" s="41">
        <f>+COMPARATIVO!AP267</f>
        <v>1274957479</v>
      </c>
      <c r="D144" s="23">
        <f>+COMPARATIVO!Q267</f>
        <v>0</v>
      </c>
      <c r="E144" s="23">
        <f>+COMPARATIVO!W267</f>
        <v>1013241318</v>
      </c>
      <c r="G144" s="23" t="e">
        <f>+BG!#REF!-#REF!</f>
        <v>#REF!</v>
      </c>
      <c r="I144" s="23" t="e">
        <f>+BG!V270-#REF!</f>
        <v>#REF!</v>
      </c>
      <c r="O144">
        <f>+C144-C150</f>
        <v>22413300</v>
      </c>
    </row>
    <row r="145" spans="1:15">
      <c r="B145" t="s">
        <v>146</v>
      </c>
      <c r="C145" s="23">
        <v>0</v>
      </c>
      <c r="E145" s="23">
        <v>0</v>
      </c>
      <c r="G145" s="23" t="e">
        <f>+BG!#REF!</f>
        <v>#REF!</v>
      </c>
      <c r="I145" s="23">
        <f>+BG!V227</f>
        <v>0</v>
      </c>
      <c r="O145">
        <f>-C146</f>
        <v>-425852710</v>
      </c>
    </row>
    <row r="146" spans="1:15">
      <c r="B146" t="s">
        <v>147</v>
      </c>
      <c r="C146" s="41">
        <f>+COMPARATIVO!AP272</f>
        <v>425852710</v>
      </c>
      <c r="D146" s="23">
        <f>+COMPARATIVO!Q272</f>
        <v>0</v>
      </c>
      <c r="E146" s="23">
        <f>+COMPARATIVO!W272</f>
        <v>3258750815</v>
      </c>
      <c r="G146" s="23" t="e">
        <f>+BG!#REF!</f>
        <v>#REF!</v>
      </c>
      <c r="I146" s="23">
        <f>+BG!V279</f>
        <v>0</v>
      </c>
    </row>
    <row r="147" spans="1:15">
      <c r="B147" t="s">
        <v>148</v>
      </c>
      <c r="C147" s="41">
        <f>+COMPARATIVO!AH272</f>
        <v>930046058</v>
      </c>
      <c r="D147" s="23">
        <f>+COMPARATIVO!S272</f>
        <v>0</v>
      </c>
      <c r="E147" s="23">
        <f>+COMPARATIVO!Y272</f>
        <v>4534006555</v>
      </c>
      <c r="I147" s="23">
        <f>+K142</f>
        <v>0</v>
      </c>
    </row>
    <row r="148" spans="1:15">
      <c r="B148" t="s">
        <v>149</v>
      </c>
      <c r="C148" s="41">
        <f>+COMPARATIVO!AH271</f>
        <v>3509853846</v>
      </c>
      <c r="D148" s="23">
        <f>+COMPARATIVO!S271</f>
        <v>0</v>
      </c>
      <c r="E148" s="23">
        <f>+COMPARATIVO!Y271</f>
        <v>4152964110</v>
      </c>
      <c r="I148" s="23">
        <f>+K141</f>
        <v>0</v>
      </c>
      <c r="N148" t="e">
        <f>+G141-G148</f>
        <v>#REF!</v>
      </c>
    </row>
    <row r="149" spans="1:15">
      <c r="B149" t="s">
        <v>150</v>
      </c>
      <c r="C149" s="41">
        <f>+COMPARATIVO!AH268</f>
        <v>1014632</v>
      </c>
      <c r="E149" s="23">
        <f>+COMPARATIVO!Y273</f>
        <v>1600000000</v>
      </c>
      <c r="G149" s="23">
        <f>+I143</f>
        <v>0</v>
      </c>
      <c r="I149" s="23">
        <f>+K143</f>
        <v>0</v>
      </c>
    </row>
    <row r="150" spans="1:15">
      <c r="B150" t="s">
        <v>151</v>
      </c>
      <c r="C150" s="41">
        <f>+COMPARATIVO!AH267</f>
        <v>1252544179</v>
      </c>
      <c r="D150" s="23">
        <f>+COMPARATIVO!S267</f>
        <v>0</v>
      </c>
      <c r="E150" s="23">
        <f>+COMPARATIVO!Y267</f>
        <v>1013241318</v>
      </c>
      <c r="G150" s="23" t="e">
        <f>+I144</f>
        <v>#REF!</v>
      </c>
      <c r="I150" s="23">
        <f>+K144</f>
        <v>0</v>
      </c>
    </row>
    <row r="151" spans="1:15">
      <c r="B151" t="s">
        <v>152</v>
      </c>
      <c r="C151" s="23">
        <f>+E145</f>
        <v>0</v>
      </c>
      <c r="E151" s="23">
        <v>0</v>
      </c>
      <c r="G151" s="23">
        <f>+I145</f>
        <v>0</v>
      </c>
      <c r="I151" s="23">
        <f>+K145</f>
        <v>0</v>
      </c>
    </row>
    <row r="152" spans="1:15">
      <c r="C152" s="23" t="s">
        <v>31</v>
      </c>
      <c r="E152" s="23" t="s">
        <v>31</v>
      </c>
      <c r="G152" s="23" t="s">
        <v>31</v>
      </c>
      <c r="I152" s="23" t="s">
        <v>31</v>
      </c>
    </row>
    <row r="153" spans="1:15">
      <c r="B153" t="s">
        <v>83</v>
      </c>
      <c r="C153" s="23">
        <f>C141+C142+C143+C144+C145-C146-C147-C148-C149-C150-C151-C140</f>
        <v>22413300</v>
      </c>
      <c r="E153" s="23">
        <f>E141+E142+E143+E144+E145-E146-E147-E148-E149-E150-E151-E140</f>
        <v>-10286970665</v>
      </c>
      <c r="G153" s="23" t="e">
        <f>G141+G142+G143+G144+G145-G146-G147-G148-G149-G150-G151-G140</f>
        <v>#REF!</v>
      </c>
      <c r="I153" s="23" t="e">
        <f>I141+I142+I143+I144+I145-I146-I147-I148-I149-I150-I151-I140</f>
        <v>#REF!</v>
      </c>
    </row>
    <row r="154" spans="1:15">
      <c r="C154" s="23" t="s">
        <v>84</v>
      </c>
      <c r="E154" s="23" t="s">
        <v>84</v>
      </c>
      <c r="G154" s="23" t="s">
        <v>84</v>
      </c>
      <c r="I154" s="23" t="s">
        <v>84</v>
      </c>
    </row>
    <row r="155" spans="1:15">
      <c r="B155" t="s">
        <v>55</v>
      </c>
    </row>
    <row r="159" spans="1:15">
      <c r="A159" t="s">
        <v>78</v>
      </c>
      <c r="B159" t="s">
        <v>79</v>
      </c>
    </row>
    <row r="161" spans="1:9">
      <c r="B161" t="s">
        <v>137</v>
      </c>
      <c r="C161" s="23">
        <v>0</v>
      </c>
      <c r="E161" s="23">
        <v>0</v>
      </c>
      <c r="G161" s="23">
        <f>+I163</f>
        <v>0</v>
      </c>
      <c r="I161" s="23">
        <f>+K163</f>
        <v>0</v>
      </c>
    </row>
    <row r="162" spans="1:9">
      <c r="B162" t="s">
        <v>138</v>
      </c>
      <c r="C162" s="41">
        <f>+COMPARATIVO!AP380</f>
        <v>14774371383</v>
      </c>
      <c r="D162" s="23">
        <f>+COMPARATIVO!V380</f>
        <v>-9507998128</v>
      </c>
      <c r="E162" s="23">
        <f>+COMPARATIVO!W380</f>
        <v>7752144945</v>
      </c>
      <c r="G162" s="23" t="e">
        <f>+#REF!</f>
        <v>#REF!</v>
      </c>
      <c r="I162" s="23" t="e">
        <f>+#REF!</f>
        <v>#REF!</v>
      </c>
    </row>
    <row r="163" spans="1:9">
      <c r="B163" t="s">
        <v>139</v>
      </c>
      <c r="C163" s="23">
        <v>0</v>
      </c>
      <c r="E163" s="23">
        <v>0</v>
      </c>
      <c r="G163" s="23" t="e">
        <f>+BG!#REF!+BG!#REF!+BG!#REF!</f>
        <v>#REF!</v>
      </c>
      <c r="I163" s="23">
        <f>+BG!V243+BG!V244+BG!V192</f>
        <v>0</v>
      </c>
    </row>
    <row r="165" spans="1:9">
      <c r="C165" s="23" t="s">
        <v>31</v>
      </c>
      <c r="E165" s="23" t="s">
        <v>31</v>
      </c>
      <c r="G165" s="23" t="s">
        <v>31</v>
      </c>
      <c r="I165" s="23" t="s">
        <v>31</v>
      </c>
    </row>
    <row r="166" spans="1:9">
      <c r="B166" t="s">
        <v>80</v>
      </c>
      <c r="C166" s="23">
        <f>C161+C162-C163</f>
        <v>14774371383</v>
      </c>
      <c r="E166" s="23">
        <f>E161+E162-E163</f>
        <v>7752144945</v>
      </c>
      <c r="G166" s="23" t="e">
        <f>G161+G162-G163</f>
        <v>#REF!</v>
      </c>
      <c r="I166" s="23" t="e">
        <f>I161+I162-I163</f>
        <v>#REF!</v>
      </c>
    </row>
    <row r="167" spans="1:9">
      <c r="C167" s="23" t="s">
        <v>24</v>
      </c>
      <c r="E167" s="23" t="s">
        <v>24</v>
      </c>
      <c r="G167" s="23" t="s">
        <v>24</v>
      </c>
      <c r="I167" s="23" t="s">
        <v>24</v>
      </c>
    </row>
    <row r="168" spans="1:9">
      <c r="B168" t="s">
        <v>55</v>
      </c>
    </row>
    <row r="170" spans="1:9">
      <c r="A170" t="s">
        <v>85</v>
      </c>
      <c r="B170" t="s">
        <v>86</v>
      </c>
    </row>
    <row r="171" spans="1:9">
      <c r="C171" s="23" t="s">
        <v>31</v>
      </c>
      <c r="E171" s="23" t="s">
        <v>31</v>
      </c>
      <c r="G171" s="23" t="s">
        <v>31</v>
      </c>
      <c r="I171" s="23" t="s">
        <v>31</v>
      </c>
    </row>
    <row r="172" spans="1:9">
      <c r="B172" t="s">
        <v>167</v>
      </c>
      <c r="C172" s="41">
        <f>+COMPARATIVO!AP297-COMPARATIVO!AP393</f>
        <v>959204675</v>
      </c>
      <c r="D172" s="23">
        <f>+COMPARATIVO!V297-COMPARATIVO!V393</f>
        <v>4387236541</v>
      </c>
      <c r="E172" s="23">
        <f>+COMPARATIVO!W297-COMPARATIVO!W393</f>
        <v>228983617</v>
      </c>
      <c r="G172" s="23" t="e">
        <f>+#REF!</f>
        <v>#REF!</v>
      </c>
      <c r="I172" s="23" t="e">
        <f>+#REF!</f>
        <v>#REF!</v>
      </c>
    </row>
    <row r="173" spans="1:9">
      <c r="C173" s="23" t="s">
        <v>84</v>
      </c>
      <c r="E173" s="23" t="s">
        <v>84</v>
      </c>
      <c r="G173" s="23" t="s">
        <v>84</v>
      </c>
      <c r="I173" s="23" t="s">
        <v>84</v>
      </c>
    </row>
    <row r="174" spans="1:9">
      <c r="B174" t="s">
        <v>55</v>
      </c>
    </row>
    <row r="176" spans="1:9">
      <c r="A176" t="s">
        <v>87</v>
      </c>
      <c r="B176" t="s">
        <v>88</v>
      </c>
    </row>
    <row r="178" spans="1:9">
      <c r="B178" t="s">
        <v>61</v>
      </c>
      <c r="C178" s="23">
        <v>0</v>
      </c>
      <c r="E178" s="23">
        <v>0</v>
      </c>
      <c r="G178" s="23" t="e">
        <f>+BG!#REF!</f>
        <v>#REF!</v>
      </c>
      <c r="I178" s="23">
        <f>+BG!V132</f>
        <v>0</v>
      </c>
    </row>
    <row r="179" spans="1:9">
      <c r="B179" t="s">
        <v>62</v>
      </c>
      <c r="C179" s="23">
        <v>0</v>
      </c>
      <c r="E179" s="23">
        <v>0</v>
      </c>
      <c r="G179" s="23">
        <f>+I178</f>
        <v>0</v>
      </c>
      <c r="I179" s="23">
        <f>+K178</f>
        <v>0</v>
      </c>
    </row>
    <row r="180" spans="1:9">
      <c r="C180" s="23" t="s">
        <v>31</v>
      </c>
      <c r="E180" s="23" t="s">
        <v>31</v>
      </c>
      <c r="G180" s="23" t="s">
        <v>31</v>
      </c>
      <c r="I180" s="23" t="s">
        <v>31</v>
      </c>
    </row>
    <row r="181" spans="1:9">
      <c r="B181" t="s">
        <v>89</v>
      </c>
      <c r="C181" s="23">
        <f>C178-C179</f>
        <v>0</v>
      </c>
      <c r="E181" s="23">
        <f>E178-E179</f>
        <v>0</v>
      </c>
      <c r="G181" s="23" t="e">
        <f>G178-G179</f>
        <v>#REF!</v>
      </c>
      <c r="I181" s="23">
        <f>I178-I179</f>
        <v>0</v>
      </c>
    </row>
    <row r="182" spans="1:9">
      <c r="C182" s="23" t="s">
        <v>24</v>
      </c>
      <c r="E182" s="23" t="s">
        <v>24</v>
      </c>
      <c r="G182" s="23" t="s">
        <v>24</v>
      </c>
      <c r="I182" s="23" t="s">
        <v>24</v>
      </c>
    </row>
    <row r="185" spans="1:9">
      <c r="A185" t="s">
        <v>90</v>
      </c>
      <c r="B185" t="s">
        <v>91</v>
      </c>
    </row>
    <row r="187" spans="1:9">
      <c r="B187" t="s">
        <v>92</v>
      </c>
      <c r="C187" s="23">
        <v>0</v>
      </c>
      <c r="D187" s="23">
        <f>C187/1000</f>
        <v>0</v>
      </c>
      <c r="E187" s="23">
        <v>0</v>
      </c>
      <c r="G187" s="23" t="e">
        <f>+BG!#REF!</f>
        <v>#REF!</v>
      </c>
      <c r="I187" s="23">
        <f>+BG!V77</f>
        <v>0</v>
      </c>
    </row>
    <row r="188" spans="1:9">
      <c r="B188" t="s">
        <v>93</v>
      </c>
      <c r="C188" s="23">
        <v>0</v>
      </c>
      <c r="E188" s="23">
        <v>0</v>
      </c>
      <c r="G188" s="23">
        <f>+I187</f>
        <v>0</v>
      </c>
      <c r="I188" s="23">
        <f>+K187</f>
        <v>0</v>
      </c>
    </row>
    <row r="189" spans="1:9">
      <c r="C189" s="23" t="s">
        <v>71</v>
      </c>
      <c r="E189" s="23" t="s">
        <v>71</v>
      </c>
      <c r="G189" s="23" t="s">
        <v>71</v>
      </c>
      <c r="I189" s="23" t="s">
        <v>71</v>
      </c>
    </row>
    <row r="190" spans="1:9">
      <c r="B190" t="s">
        <v>94</v>
      </c>
      <c r="C190" s="23">
        <f>C187-C188</f>
        <v>0</v>
      </c>
      <c r="E190" s="23">
        <f>E187-E188</f>
        <v>0</v>
      </c>
      <c r="G190" s="23" t="e">
        <f>G187-G188</f>
        <v>#REF!</v>
      </c>
      <c r="I190" s="23">
        <f>I187-I188</f>
        <v>0</v>
      </c>
    </row>
    <row r="191" spans="1:9">
      <c r="C191" s="23" t="s">
        <v>24</v>
      </c>
      <c r="E191" s="23" t="s">
        <v>24</v>
      </c>
      <c r="G191" s="23" t="s">
        <v>24</v>
      </c>
      <c r="I191" s="23" t="s">
        <v>24</v>
      </c>
    </row>
    <row r="192" spans="1:9">
      <c r="B192" t="s">
        <v>95</v>
      </c>
    </row>
    <row r="194" spans="1:10">
      <c r="A194" t="s">
        <v>96</v>
      </c>
      <c r="B194" t="s">
        <v>153</v>
      </c>
    </row>
    <row r="196" spans="1:10">
      <c r="B196" t="s">
        <v>154</v>
      </c>
      <c r="C196" s="41">
        <f>+COMPARATIVO!AH85-COMPARATIVO!AH86+COMPARATIVO!AH118+COMPARATIVO!AH172+COMPARATIVO!AH83</f>
        <v>16741107725</v>
      </c>
      <c r="D196" s="23">
        <f>+COMPARATIVO!X85-COMPARATIVO!X86+COMPARATIVO!X118+COMPARATIVO!X172+COMPARATIVO!X83</f>
        <v>0</v>
      </c>
      <c r="E196" s="23">
        <f>+COMPARATIVO!Y85-COMPARATIVO!Y86+COMPARATIVO!Y118+COMPARATIVO!Y172+COMPARATIVO!Y83</f>
        <v>24998825683</v>
      </c>
      <c r="G196" s="23">
        <f>+I197</f>
        <v>0</v>
      </c>
      <c r="I196" s="23">
        <f>+K197</f>
        <v>0</v>
      </c>
    </row>
    <row r="197" spans="1:10">
      <c r="B197" t="s">
        <v>155</v>
      </c>
      <c r="C197" s="41">
        <f>+COMPARATIVO!AP172+COMPARATIVO!AP118+COMPARATIVO!AP85-COMPARATIVO!AP86+COMPARATIVO!AP83+COMPARATIVO!AP168-COMPARATIVO!AP105-COMPARATIVO!AP106</f>
        <v>10791760290</v>
      </c>
      <c r="D197" s="23">
        <f>+COMPARATIVO!V172+COMPARATIVO!V118+COMPARATIVO!V85-COMPARATIVO!V86+COMPARATIVO!V83</f>
        <v>0</v>
      </c>
      <c r="E197" s="23">
        <f>+COMPARATIVO!W172+COMPARATIVO!W118+COMPARATIVO!W85-COMPARATIVO!W86+COMPARATIVO!W83</f>
        <v>33860039702</v>
      </c>
      <c r="G197" s="23" t="e">
        <f>+BG!#REF!+BG!#REF!+BG!#REF!-BG!#REF!+BG!#REF!+BG!#REF!</f>
        <v>#REF!</v>
      </c>
      <c r="I197" s="23">
        <f>+BG!V61-BG!V67+BG!V123</f>
        <v>0</v>
      </c>
    </row>
    <row r="198" spans="1:10">
      <c r="C198" s="23" t="s">
        <v>71</v>
      </c>
      <c r="E198" s="23" t="s">
        <v>71</v>
      </c>
      <c r="G198" s="23" t="s">
        <v>71</v>
      </c>
      <c r="I198" s="23" t="s">
        <v>71</v>
      </c>
    </row>
    <row r="199" spans="1:10">
      <c r="B199" t="s">
        <v>97</v>
      </c>
      <c r="C199" s="23">
        <f>C196-C197</f>
        <v>5949347435</v>
      </c>
      <c r="E199" s="23">
        <f>E196-E197</f>
        <v>-8861214019</v>
      </c>
      <c r="G199" s="23" t="e">
        <f>G196-G197</f>
        <v>#REF!</v>
      </c>
      <c r="I199" s="23">
        <f>I196-I197</f>
        <v>0</v>
      </c>
      <c r="J199" t="s">
        <v>156</v>
      </c>
    </row>
    <row r="200" spans="1:10">
      <c r="C200" s="23" t="s">
        <v>24</v>
      </c>
      <c r="E200" s="23" t="s">
        <v>24</v>
      </c>
      <c r="G200" s="23" t="s">
        <v>24</v>
      </c>
      <c r="I200" s="23" t="s">
        <v>24</v>
      </c>
    </row>
    <row r="201" spans="1:10" ht="13.5" customHeight="1">
      <c r="B201" t="s">
        <v>98</v>
      </c>
    </row>
    <row r="203" spans="1:10">
      <c r="A203" t="s">
        <v>99</v>
      </c>
      <c r="B203" t="s">
        <v>157</v>
      </c>
    </row>
    <row r="205" spans="1:10">
      <c r="B205" t="s">
        <v>92</v>
      </c>
      <c r="C205" s="41">
        <f>+COMPARATIVO!AP86</f>
        <v>742963973</v>
      </c>
      <c r="D205" s="23">
        <f>+COMPARATIVO!V86</f>
        <v>0</v>
      </c>
      <c r="E205" s="23">
        <f>+COMPARATIVO!W86</f>
        <v>3612789887</v>
      </c>
      <c r="G205" s="23" t="e">
        <f>+BG!#REF!</f>
        <v>#REF!</v>
      </c>
      <c r="I205" s="23">
        <f>+BG!V99</f>
        <v>0</v>
      </c>
    </row>
    <row r="206" spans="1:10">
      <c r="B206" t="s">
        <v>93</v>
      </c>
      <c r="C206" s="41">
        <f>+COMPARATIVO!AH86</f>
        <v>390572771</v>
      </c>
      <c r="D206" s="23">
        <f>+COMPARATIVO!X86</f>
        <v>0</v>
      </c>
      <c r="E206" s="23">
        <f>+COMPARATIVO!Y86</f>
        <v>107389252</v>
      </c>
      <c r="G206" s="23">
        <f>+I205</f>
        <v>0</v>
      </c>
      <c r="I206" s="23">
        <f>+K205</f>
        <v>0</v>
      </c>
    </row>
    <row r="207" spans="1:10">
      <c r="C207" s="23" t="s">
        <v>71</v>
      </c>
      <c r="E207" s="23" t="s">
        <v>71</v>
      </c>
      <c r="G207" s="23" t="s">
        <v>71</v>
      </c>
      <c r="I207" s="23" t="s">
        <v>71</v>
      </c>
    </row>
    <row r="208" spans="1:10">
      <c r="B208" t="s">
        <v>100</v>
      </c>
      <c r="C208" s="23">
        <f>C205-C206</f>
        <v>352391202</v>
      </c>
      <c r="E208" s="23">
        <f>E205-E206</f>
        <v>3505400635</v>
      </c>
      <c r="G208" s="23" t="e">
        <f>G205-G206</f>
        <v>#REF!</v>
      </c>
      <c r="I208" s="23">
        <f>I205-I206</f>
        <v>0</v>
      </c>
      <c r="J208" t="s">
        <v>156</v>
      </c>
    </row>
    <row r="209" spans="1:9">
      <c r="C209" s="23" t="s">
        <v>24</v>
      </c>
      <c r="E209" s="23" t="s">
        <v>24</v>
      </c>
      <c r="G209" s="23" t="s">
        <v>24</v>
      </c>
      <c r="I209" s="23" t="s">
        <v>24</v>
      </c>
    </row>
    <row r="210" spans="1:9">
      <c r="B210" t="s">
        <v>158</v>
      </c>
    </row>
    <row r="213" spans="1:9">
      <c r="A213" t="s">
        <v>96</v>
      </c>
      <c r="B213" t="s">
        <v>183</v>
      </c>
    </row>
    <row r="215" spans="1:9">
      <c r="B215" t="s">
        <v>92</v>
      </c>
      <c r="C215" s="23">
        <f>+COMPARATIVO!AP105+COMPARATIVO!AP106+COMPARATIVO!AP169+COMPARATIVO!AP170</f>
        <v>14128514448</v>
      </c>
      <c r="E215" s="23">
        <v>0</v>
      </c>
      <c r="G215" s="23" t="e">
        <f>+BG!#REF!+BG!#REF!</f>
        <v>#REF!</v>
      </c>
      <c r="I215" s="23">
        <f>+BG!V116+BG!V72</f>
        <v>0</v>
      </c>
    </row>
    <row r="216" spans="1:9">
      <c r="B216" t="s">
        <v>93</v>
      </c>
      <c r="C216" s="23">
        <v>0</v>
      </c>
      <c r="E216" s="23">
        <v>0</v>
      </c>
      <c r="G216" s="23">
        <f>+I215</f>
        <v>0</v>
      </c>
      <c r="I216" s="23">
        <f>+K215</f>
        <v>0</v>
      </c>
    </row>
    <row r="217" spans="1:9">
      <c r="C217" s="23" t="s">
        <v>71</v>
      </c>
      <c r="E217" s="23" t="s">
        <v>71</v>
      </c>
      <c r="G217" s="23" t="s">
        <v>71</v>
      </c>
      <c r="I217" s="23" t="s">
        <v>71</v>
      </c>
    </row>
    <row r="218" spans="1:9">
      <c r="B218" t="s">
        <v>97</v>
      </c>
      <c r="C218" s="23">
        <f>C215-C216</f>
        <v>14128514448</v>
      </c>
      <c r="E218" s="23">
        <f>E215-E216</f>
        <v>0</v>
      </c>
      <c r="G218" s="23" t="e">
        <f>G215-G216</f>
        <v>#REF!</v>
      </c>
      <c r="I218" s="23">
        <f>I215-I216</f>
        <v>0</v>
      </c>
    </row>
    <row r="219" spans="1:9">
      <c r="C219" s="23" t="s">
        <v>24</v>
      </c>
      <c r="E219" s="23" t="s">
        <v>24</v>
      </c>
      <c r="G219" s="23" t="s">
        <v>24</v>
      </c>
      <c r="I219" s="23" t="s">
        <v>24</v>
      </c>
    </row>
    <row r="220" spans="1:9">
      <c r="B220" t="s">
        <v>98</v>
      </c>
    </row>
  </sheetData>
  <phoneticPr fontId="4" type="noConversion"/>
  <pageMargins left="0.70866141732283472" right="0.70866141732283472" top="0.74803149606299213" bottom="0.74803149606299213" header="0.31496062992125984" footer="0.31496062992125984"/>
  <pageSetup paperSize="9" scale="80" orientation="portrait" horizontalDpi="300" verticalDpi="300"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pHQZoJ1wC/7fAgJOBEp0aWVqxINsy4zizevo+rvV1nQ=</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pI7bCRAbFiiEBfmks+kmi4aMLduglAewmPvwmUFfUZM=</DigestValue>
    </Reference>
  </SignedInfo>
  <SignatureValue>tCY437ued930vO0Njo3ZMv+2Qxl+h9VTm7wYEhq4HF90p48189QAQ1/P1Vcg/VfU9i71x5VnDCyt
aIDx6saqa3VUnqPWnep3SZoIeTCUkDlQwg25YazG2T8TosJKte8fS0iNgSOTi2d5LiMs1QCET+CY
pJtR936cNDvEj9BMm7nbRvuOWd1MnFzVyJdNES06kELSBbdPq4Cyp3QQgv5uYdXxEAbsKB/dNAjr
a0ovxwZ+cKAY9cepaLbmvL4Tr5mxID14OOXhhoUkK/ADsUBPIul9FS/NnJsbLt3N/eQU8JElSvk1
lR6FPJiF1ENocTZAPkWpPVp3OfATqreUKCkHxQ==</SignatureValue>
  <KeyInfo>
    <X509Data>
      <X509Certificate>MIIHwDCCBaigAwIBAgIQVKAD9IJT/0xc1JSPB9OyHzANBgkqhkiG9w0BAQsFADBPMRcwFQYDVQQFEw5SVUMgODAwODAwOTktMDELMAkGA1UEBhMCUFkxETAPBgNVBAoMCFZJVCBTLkEuMRQwEgYDVQQDEwtDQS1WSVQgUy5BLjAeFw0xOTA1MDkyMDU4NTRaFw0yMTA1MDkyMDU4NTRaMIGaMQ8wDQYDVQQqDAZST05BTEQxGTAXBgNVBAQMEETDnFJLU0VOIEZFREVSQVUxETAPBgNVBAUTCENJODc0MTE3MSAwHgYDVQQDDBdST05BTEQgRMOcUktTRU4gRkVERVJBVTERMA8GA1UECwwIRklSTUEgRjIxFzAVBgNVBAoMDlBFUlNPTkEgRklTSUNBMQswCQYDVQQGEwJQWTCCASIwDQYJKoZIhvcNAQEBBQADggEPADCCAQoCggEBAM/yGVb9QLngmFMRqvfUuOYQGdOaB6rc4a9cA0e+fjZihoEdiy3zQq+3iDiqMKpztpMxV3Y/4Mp9srBcCqs2PS4hwcar5JI4GvKzO++5d0cl/mKnA2V8w+FeL8B3caqSmI+2HmAuun1kQqYIZTzxpjO1yERA4ps1OkhVEP1zfw22hYAW2tKlvV2PYKFomNGw4PhRv08/iqSXYE14LREjMoUQy5leUa5W+5/kcv8JXfYnzYyL8Z475BVYTC9fdLWu0AN8scs6UqzLXfzOxIXgDjrgG2guWbebSTaLEFPcCIChcE903k2EPe7cPEA1vdJb7vxG8LwKcFgtjHuPhmxyXnMCAwEAAaOCA0owggNGMAwGA1UdEwEB/wQCMAAwDgYDVR0PAQH/BAQDAgXgMCwGA1UdJQEB/wQiMCAGCCsGAQUFBwMEBggrBgEFBQcDAgYKKwYBBAGCNxQCAjAdBgNVHQ4EFgQUITHR+whsl1iQju31axl8L96fM7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SRFVFUktTRU5AVElHTy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NPoTEcjH4sMooryXwIsMfqE7LQ9vZJ4qapn4uphMnFLSA9WprAMO2HTX7EDNFVd77wYm4Rx/efl1Q5oOo/bFmxSvf1CXllCI7T3pzwbH2OffQ8bgTP34Giw9SkH7tFmwLpEzc1nK9op18nwMFXsPoaHd3IjiP4CRevYVq9Nlc5O96XCe4047qqpEAtwW5X0YO8qHZekreLkaurWJeinRPGI2ddqucyKAZMLlBkSptjhxMfsKMSWM+gW+fAOboSKbB51Gw5FOpHEmHTVR4e6fOZSJrkUrhm2ksD+c7pAEfov0JMbW2rIFbHetu/CllfUJ8+NCLwSCIpNOk775jsjyJMUTzQ3XYNct0k9bQU1w61ZIB6TO+Q63TakukN50QEzJBOMGkLVpRZEkFbdjvTqji2zXnHoVxkWJiErxLgQAVm6DsFPaSoZtCEd9affZdOPwuh4zZ2kJzKMZW6xsv2Zil+OhIzgTWmS9IRiV3Id8gEO6BMVqYIhrQd38A1x5HzRK4TOBzOFBOe3AfiBQIu7pGGSbsFVLBiTZkQf9s+hSSKrbrgu8D2r1RdWUquUhwjAd+pHNvgUsEhtWX92dPIsMMQNZwc3iGZ6wI7FYoVbXInNA3VeWWHfP9OKcxePVeGDCKQH7mWC53H9dIm4XJI7ieBrCwkALE8YPbWYNziG6IP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Transform>
          <Transform Algorithm="http://www.w3.org/TR/2001/REC-xml-c14n-20010315"/>
        </Transforms>
        <DigestMethod Algorithm="http://www.w3.org/2001/04/xmlenc#sha256"/>
        <DigestValue>g/NbZAmhJLy3UOXRLRT0BYml18izAJxMDb7K+ZgwolE=</DigestValue>
      </Reference>
      <Reference URI="/xl/calcChain.xml?ContentType=application/vnd.openxmlformats-officedocument.spreadsheetml.calcChain+xml">
        <DigestMethod Algorithm="http://www.w3.org/2001/04/xmlenc#sha256"/>
        <DigestValue>ZieGu7AMVCH/4xg3zqmkr/Mf1Z04h6pDwyYIneqgPAs=</DigestValue>
      </Reference>
      <Reference URI="/xl/comments1.xml?ContentType=application/vnd.openxmlformats-officedocument.spreadsheetml.comments+xml">
        <DigestMethod Algorithm="http://www.w3.org/2001/04/xmlenc#sha256"/>
        <DigestValue>I+0A+h/e08NVTwED604TqpqTWhhv79t+X1dlobBJgJ0=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drawing1.xml?ContentType=application/vnd.openxmlformats-officedocument.drawing+xml">
        <DigestMethod Algorithm="http://www.w3.org/2001/04/xmlenc#sha256"/>
        <DigestValue>5TRbIJfmsttI5Nxeo5zRvoSdpDYCNvs/1SxKdCxQGSM=</DigestValue>
      </Reference>
      <Reference URI="/xl/drawings/drawing2.xml?ContentType=application/vnd.openxmlformats-officedocument.drawing+xml">
        <DigestMethod Algorithm="http://www.w3.org/2001/04/xmlenc#sha256"/>
        <DigestValue>QSYAFXtWHSqxi4UxEPulGiuO0yinuFOPmq+2uamVccc=</DigestValue>
      </Reference>
      <Reference URI="/xl/drawings/drawing3.xml?ContentType=application/vnd.openxmlformats-officedocument.drawing+xml">
        <DigestMethod Algorithm="http://www.w3.org/2001/04/xmlenc#sha256"/>
        <DigestValue>9C7Rh25TdeZ+48v0vMIPih7F0Yi+BUiE+QgYJaDaFBI=</DigestValue>
      </Reference>
      <Reference URI="/xl/drawings/drawing4.xml?ContentType=application/vnd.openxmlformats-officedocument.drawing+xml">
        <DigestMethod Algorithm="http://www.w3.org/2001/04/xmlenc#sha256"/>
        <DigestValue>Fmgr/jB8dcTuxGbY7IX9s3vzwK+KG2oP4dUZxU4/c8k=</DigestValue>
      </Reference>
      <Reference URI="/xl/drawings/drawing5.xml?ContentType=application/vnd.openxmlformats-officedocument.drawing+xml">
        <DigestMethod Algorithm="http://www.w3.org/2001/04/xmlenc#sha256"/>
        <DigestValue>8nktHXyXDmH365pzxhsDvUAjFgAg2LoDIy38lKXdj8g=</DigestValue>
      </Reference>
      <Reference URI="/xl/drawings/drawing6.xml?ContentType=application/vnd.openxmlformats-officedocument.drawing+xml">
        <DigestMethod Algorithm="http://www.w3.org/2001/04/xmlenc#sha256"/>
        <DigestValue>4zCOaGfjVzURBgOp3vu5EVPbsHzrNa8vnbDzS66v1Ts=</DigestValue>
      </Reference>
      <Reference URI="/xl/drawings/drawing7.xml?ContentType=application/vnd.openxmlformats-officedocument.drawing+xml">
        <DigestMethod Algorithm="http://www.w3.org/2001/04/xmlenc#sha256"/>
        <DigestValue>IC9VO8ZPStOfAN0GbdkrO3ZyrTb5GYJAJEbXa19bORk=</DigestValue>
      </Reference>
      <Reference URI="/xl/drawings/drawing8.xml?ContentType=application/vnd.openxmlformats-officedocument.drawing+xml">
        <DigestMethod Algorithm="http://www.w3.org/2001/04/xmlenc#sha256"/>
        <DigestValue>pYx2E1ndL0QJ9YZuij/kXGS4FXm6itPwa9jlQmREewI=</DigestValue>
      </Reference>
      <Reference URI="/xl/drawings/vmlDrawing1.vml?ContentType=application/vnd.openxmlformats-officedocument.vmlDrawing">
        <DigestMethod Algorithm="http://www.w3.org/2001/04/xmlenc#sha256"/>
        <DigestValue>EVJo9j/SUtQplEKvGMxI8gvy7muXK4kg0mER1pkfMEY=</DigestValue>
      </Reference>
      <Reference URI="/xl/drawings/vmlDrawing10.vml?ContentType=application/vnd.openxmlformats-officedocument.vmlDrawing">
        <DigestMethod Algorithm="http://www.w3.org/2001/04/xmlenc#sha256"/>
        <DigestValue>qFAVSNL3AxRCGJwO3UIFTSTg9r/ajoNLsMwRsA8ChXM=</DigestValue>
      </Reference>
      <Reference URI="/xl/drawings/vmlDrawing11.vml?ContentType=application/vnd.openxmlformats-officedocument.vmlDrawing">
        <DigestMethod Algorithm="http://www.w3.org/2001/04/xmlenc#sha256"/>
        <DigestValue>RIcxEHnOVSzhLd/aASeO0nqddHFJNAX+DmwMJIIi5ns=</DigestValue>
      </Reference>
      <Reference URI="/xl/drawings/vmlDrawing12.vml?ContentType=application/vnd.openxmlformats-officedocument.vmlDrawing">
        <DigestMethod Algorithm="http://www.w3.org/2001/04/xmlenc#sha256"/>
        <DigestValue>VUYDKNXhBy8FcqIhtVlpZJL2xX+ZPhMqzDxm1UC1RWo=</DigestValue>
      </Reference>
      <Reference URI="/xl/drawings/vmlDrawing13.vml?ContentType=application/vnd.openxmlformats-officedocument.vmlDrawing">
        <DigestMethod Algorithm="http://www.w3.org/2001/04/xmlenc#sha256"/>
        <DigestValue>4CmxP2uFmWZPk+eV19h4Pw0VQpM+hh31qJT4r9I6nTc=</DigestValue>
      </Reference>
      <Reference URI="/xl/drawings/vmlDrawing14.vml?ContentType=application/vnd.openxmlformats-officedocument.vmlDrawing">
        <DigestMethod Algorithm="http://www.w3.org/2001/04/xmlenc#sha256"/>
        <DigestValue>QSzaNd9YpcrsNBlG6qFndIG9XzSVlYoFz7j3B2scFhg=</DigestValue>
      </Reference>
      <Reference URI="/xl/drawings/vmlDrawing15.vml?ContentType=application/vnd.openxmlformats-officedocument.vmlDrawing">
        <DigestMethod Algorithm="http://www.w3.org/2001/04/xmlenc#sha256"/>
        <DigestValue>VsYPpyAbH1wUAc70he/AcTvwpAOoI1nm5McZQAiPwbU=</DigestValue>
      </Reference>
      <Reference URI="/xl/drawings/vmlDrawing16.vml?ContentType=application/vnd.openxmlformats-officedocument.vmlDrawing">
        <DigestMethod Algorithm="http://www.w3.org/2001/04/xmlenc#sha256"/>
        <DigestValue>aEDzyb8lYQQlbNG30NIXdoJ9fdAgooVfKkEc91z+D6w=</DigestValue>
      </Reference>
      <Reference URI="/xl/drawings/vmlDrawing2.vml?ContentType=application/vnd.openxmlformats-officedocument.vmlDrawing">
        <DigestMethod Algorithm="http://www.w3.org/2001/04/xmlenc#sha256"/>
        <DigestValue>d/znkDLc4tc1QP2VoAe/Pp1iGQHxzoOilzpUASpfshk=</DigestValue>
      </Reference>
      <Reference URI="/xl/drawings/vmlDrawing3.vml?ContentType=application/vnd.openxmlformats-officedocument.vmlDrawing">
        <DigestMethod Algorithm="http://www.w3.org/2001/04/xmlenc#sha256"/>
        <DigestValue>Omdi4wlHfzsnUO7AI9ZsqfH5y/c1E+DXnsSyiRqYcHY=</DigestValue>
      </Reference>
      <Reference URI="/xl/drawings/vmlDrawing4.vml?ContentType=application/vnd.openxmlformats-officedocument.vmlDrawing">
        <DigestMethod Algorithm="http://www.w3.org/2001/04/xmlenc#sha256"/>
        <DigestValue>FnTzjzetOp5YCgxuvv+QlqpSPmlYXYcRSOra0mpZE8U=</DigestValue>
      </Reference>
      <Reference URI="/xl/drawings/vmlDrawing5.vml?ContentType=application/vnd.openxmlformats-officedocument.vmlDrawing">
        <DigestMethod Algorithm="http://www.w3.org/2001/04/xmlenc#sha256"/>
        <DigestValue>5SdI6l2hNBcCmMK0lXdaGVKEmBMFmYgAxrO/wZvfjow=</DigestValue>
      </Reference>
      <Reference URI="/xl/drawings/vmlDrawing6.vml?ContentType=application/vnd.openxmlformats-officedocument.vmlDrawing">
        <DigestMethod Algorithm="http://www.w3.org/2001/04/xmlenc#sha256"/>
        <DigestValue>VQ5zS+VruGx8KrcZYECTawksQxB1AIq71vPGHRJcTXM=</DigestValue>
      </Reference>
      <Reference URI="/xl/drawings/vmlDrawing7.vml?ContentType=application/vnd.openxmlformats-officedocument.vmlDrawing">
        <DigestMethod Algorithm="http://www.w3.org/2001/04/xmlenc#sha256"/>
        <DigestValue>5/rct7QNJP5iTMbYSP5sIC7QtHtQKqbH6d/WAKXsFig=</DigestValue>
      </Reference>
      <Reference URI="/xl/drawings/vmlDrawing8.vml?ContentType=application/vnd.openxmlformats-officedocument.vmlDrawing">
        <DigestMethod Algorithm="http://www.w3.org/2001/04/xmlenc#sha256"/>
        <DigestValue>Afh7kfpqnFN2zn1jlsSvKnijMR42V2meS4b9DEwgsx8=</DigestValue>
      </Reference>
      <Reference URI="/xl/drawings/vmlDrawing9.vml?ContentType=application/vnd.openxmlformats-officedocument.vmlDrawing">
        <DigestMethod Algorithm="http://www.w3.org/2001/04/xmlenc#sha256"/>
        <DigestValue>vRyRrDsCh7h4xruZ7G5GuYqYl9RtFejgGrWhxNqNCcs=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R8U+CXq4n3ckmqv4eF7VLfTzKtYH7aWHBGFRd8zrZVM=</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u/ymRklIAYRdPc4bXINETTYSPToAhoVWL/QkxFyDCc0=</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DiNGCT9/vCPzqFfDPIW9dmDKdV8P2K/dUlbqrKWWmac=</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f0KcuTbPDCd//zgGWoi2dmfXa1mTpahpfGvCU+F/tzI=</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bg3ZEqoElIrwm7UBydYNBrja5clFrSbIUCyFfBd5NRI=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gao9jhWIwrHLCnu6LXJPFHBaGMRvNMUlATEKClPMpo8=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lidY6tgH6i/u6jkIt8LRLCxQytYSsgKGXFNS0CvAHR4=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+YQK0kShSVkvSc5x/GVG2AxvusIrmVs7t8SiQMpAnIs=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5rTq8Zny7PviGtqhmB/40e/BKvS47godiSpRvrBOJFU=</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7a9ypsAMhm/Bq1mb90Wq+giXZrxyWf/Z+1xY7vfDer4=</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o/0Oy3MlwSeijIR9FmbzaXD+vAkJ/MIV/DNIZYnVpaI=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+jECDjnGJ04lm2Ar9oXTorAJxhck8ohk0fpVPLWD2p4=</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5MrZ48hyXxUMMcBls4pBPP3mQT6R4L78yyhDjIKCGtE=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rmw473BivIxxs53Y5gyeVlP3E0t+lv9vVGd98hczjd4=</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v4aLIjCPszKhCqeWfIMg2hvzut/Tx12vtjN19P0P24I=</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G3yHkUMPLyftubnAp4bIrkHaHEKnzi2DEeeep8Sg4+o=</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Zug6xh6Wz4Ep4ZqUpKtiUAOd63OsGDwbey2qsZ4Fyc0=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sNiLy3cskbeHFSLWBIoUBYIcdabswJnuKBbsXtXYGt4=</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R+kOF00ZWS80neIFLcEuuZOsYB8tS/eY8OcvfdZ5GHE=</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WlSkjQ6vk6QIjUUmsFmUKLU8NzrJLp0/iGverqW2KVU=</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IRg5VcPXUv4p+NpwMuB98YNQLt/2Gtk0SoZp61lEXXE=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IbUYzfiXeoUzn4h919rFp27g2VaDVeFopixITND/G5E=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0Laj0ZBFZNv/IGOY5wcHvcoPE4E50RylLp1eZxHT+tY=</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13KOJcFDGbM1qhCqzKxJsy0LymtusDR1tkHynKBGcRs=</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y+ookSXj/zqUXVYpx0wyV8qJ/mSY9q3qW6SxmLmwX9g=</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yd5YnsNpz4YLo50rrHUrGQIq29YafXj4odRjzlFaJRs=</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D8qcut/8iOBSJlFYetFE3NaQnahPbgwDDJmaNTcpZuE=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xBVbyl9gD0h74pewowP0a6GMY3Z5XlGoS8NBvClOFWQ=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0ASCX9LKcXcIr3POr2hDj7Dr1+lZ1UHdEbRnToR5hMc=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BajPgriJrQTuV8fz8B+SQhdqgkW1Fsu2rodlcn4nEE4=</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wzBf2GcpOHSk+xngjIKvGcoBEHk0FY+QD4sUStYOi3k=</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uhz+V7Yspx/WRDO/IqSMzselfxpBUB3d3zerS/LhmjE=</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wy+vHa80gVEdVzACgKgvmMaIss/fh4Yxeyd/E1ZdAjk=</DigestValue>
      </Reference>
      <Reference URI="/xl/externalLinks/externalLink1.xml?ContentType=application/vnd.openxmlformats-officedocument.spreadsheetml.externalLink+xml">
        <DigestMethod Algorithm="http://www.w3.org/2001/04/xmlenc#sha256"/>
        <DigestValue>L4DFVN4LHh/Y/+qoGE+nhWNhn61vmeiYgrvNnQlg8ZA=</DigestValue>
      </Reference>
      <Reference URI="/xl/externalLinks/externalLink10.xml?ContentType=application/vnd.openxmlformats-officedocument.spreadsheetml.externalLink+xml">
        <DigestMethod Algorithm="http://www.w3.org/2001/04/xmlenc#sha256"/>
        <DigestValue>gG2I1XhYssh66HaxiUCw9lDC7AWnrX+eLF4l/sUVyt0=</DigestValue>
      </Reference>
      <Reference URI="/xl/externalLinks/externalLink11.xml?ContentType=application/vnd.openxmlformats-officedocument.spreadsheetml.externalLink+xml">
        <DigestMethod Algorithm="http://www.w3.org/2001/04/xmlenc#sha256"/>
        <DigestValue>gG2I1XhYssh66HaxiUCw9lDC7AWnrX+eLF4l/sUVyt0=</DigestValue>
      </Reference>
      <Reference URI="/xl/externalLinks/externalLink12.xml?ContentType=application/vnd.openxmlformats-officedocument.spreadsheetml.externalLink+xml">
        <DigestMethod Algorithm="http://www.w3.org/2001/04/xmlenc#sha256"/>
        <DigestValue>9HBZ+WLnN9uFbn88LUpmOZ66EIUtAxfZbkwmOy8f1F8=</DigestValue>
      </Reference>
      <Reference URI="/xl/externalLinks/externalLink13.xml?ContentType=application/vnd.openxmlformats-officedocument.spreadsheetml.externalLink+xml">
        <DigestMethod Algorithm="http://www.w3.org/2001/04/xmlenc#sha256"/>
        <DigestValue>yQaOpH6/LwnFsjfXplCYpHExx8NI20ts8Vio3az65aI=</DigestValue>
      </Reference>
      <Reference URI="/xl/externalLinks/externalLink14.xml?ContentType=application/vnd.openxmlformats-officedocument.spreadsheetml.externalLink+xml">
        <DigestMethod Algorithm="http://www.w3.org/2001/04/xmlenc#sha256"/>
        <DigestValue>ELf3MVaS++hFyRb+rZtu2Vyu83hn5iBcoOty/vlV9N4=</DigestValue>
      </Reference>
      <Reference URI="/xl/externalLinks/externalLink15.xml?ContentType=application/vnd.openxmlformats-officedocument.spreadsheetml.externalLink+xml">
        <DigestMethod Algorithm="http://www.w3.org/2001/04/xmlenc#sha256"/>
        <DigestValue>ELf3MVaS++hFyRb+rZtu2Vyu83hn5iBcoOty/vlV9N4=</DigestValue>
      </Reference>
      <Reference URI="/xl/externalLinks/externalLink16.xml?ContentType=application/vnd.openxmlformats-officedocument.spreadsheetml.externalLink+xml">
        <DigestMethod Algorithm="http://www.w3.org/2001/04/xmlenc#sha256"/>
        <DigestValue>jwLAmaIwOnxUdOeCkEOcgHVVsHrV3FjYMlWXQCMCWpo=</DigestValue>
      </Reference>
      <Reference URI="/xl/externalLinks/externalLink17.xml?ContentType=application/vnd.openxmlformats-officedocument.spreadsheetml.externalLink+xml">
        <DigestMethod Algorithm="http://www.w3.org/2001/04/xmlenc#sha256"/>
        <DigestValue>jwLAmaIwOnxUdOeCkEOcgHVVsHrV3FjYMlWXQCMCWpo=</DigestValue>
      </Reference>
      <Reference URI="/xl/externalLinks/externalLink18.xml?ContentType=application/vnd.openxmlformats-officedocument.spreadsheetml.externalLink+xml">
        <DigestMethod Algorithm="http://www.w3.org/2001/04/xmlenc#sha256"/>
        <DigestValue>ELf3MVaS++hFyRb+rZtu2Vyu83hn5iBcoOty/vlV9N4=</DigestValue>
      </Reference>
      <Reference URI="/xl/externalLinks/externalLink19.xml?ContentType=application/vnd.openxmlformats-officedocument.spreadsheetml.externalLink+xml">
        <DigestMethod Algorithm="http://www.w3.org/2001/04/xmlenc#sha256"/>
        <DigestValue>UVl2dAt8/mgFiGAEcuCoi2+sYk07kFa3muRxH6tJ1VQ=</DigestValue>
      </Reference>
      <Reference URI="/xl/externalLinks/externalLink2.xml?ContentType=application/vnd.openxmlformats-officedocument.spreadsheetml.externalLink+xml">
        <DigestMethod Algorithm="http://www.w3.org/2001/04/xmlenc#sha256"/>
        <DigestValue>L4DFVN4LHh/Y/+qoGE+nhWNhn61vmeiYgrvNnQlg8ZA=</DigestValue>
      </Reference>
      <Reference URI="/xl/externalLinks/externalLink20.xml?ContentType=application/vnd.openxmlformats-officedocument.spreadsheetml.externalLink+xml">
        <DigestMethod Algorithm="http://www.w3.org/2001/04/xmlenc#sha256"/>
        <DigestValue>t9rRyGMKi9lnxzb468Vx8VF+3KYXd0D3FQSd5+G//n4=</DigestValue>
      </Reference>
      <Reference URI="/xl/externalLinks/externalLink21.xml?ContentType=application/vnd.openxmlformats-officedocument.spreadsheetml.externalLink+xml">
        <DigestMethod Algorithm="http://www.w3.org/2001/04/xmlenc#sha256"/>
        <DigestValue>R3EmRo0SkOezvKAMLzG1zW006+2S6j/dJNLYfMLQwbo=</DigestValue>
      </Reference>
      <Reference URI="/xl/externalLinks/externalLink22.xml?ContentType=application/vnd.openxmlformats-officedocument.spreadsheetml.externalLink+xml">
        <DigestMethod Algorithm="http://www.w3.org/2001/04/xmlenc#sha256"/>
        <DigestValue>A5FM2Gz0A+qkxZq8XPshNmAjwr5k2XvoZLD8Tqpeu88=</DigestValue>
      </Reference>
      <Reference URI="/xl/externalLinks/externalLink23.xml?ContentType=application/vnd.openxmlformats-officedocument.spreadsheetml.externalLink+xml">
        <DigestMethod Algorithm="http://www.w3.org/2001/04/xmlenc#sha256"/>
        <DigestValue>D0wkIYFufHIsHOri2/p4XpP+ErbnKDXXMaSgRPzpwrg=</DigestValue>
      </Reference>
      <Reference URI="/xl/externalLinks/externalLink24.xml?ContentType=application/vnd.openxmlformats-officedocument.spreadsheetml.externalLink+xml">
        <DigestMethod Algorithm="http://www.w3.org/2001/04/xmlenc#sha256"/>
        <DigestValue>tmMJWTtD63rYcLx55qvdvfKTySaAv/Ti8eAmo7dJY5U=</DigestValue>
      </Reference>
      <Reference URI="/xl/externalLinks/externalLink25.xml?ContentType=application/vnd.openxmlformats-officedocument.spreadsheetml.externalLink+xml">
        <DigestMethod Algorithm="http://www.w3.org/2001/04/xmlenc#sha256"/>
        <DigestValue>tmMJWTtD63rYcLx55qvdvfKTySaAv/Ti8eAmo7dJY5U=</DigestValue>
      </Reference>
      <Reference URI="/xl/externalLinks/externalLink26.xml?ContentType=application/vnd.openxmlformats-officedocument.spreadsheetml.externalLink+xml">
        <DigestMethod Algorithm="http://www.w3.org/2001/04/xmlenc#sha256"/>
        <DigestValue>QhIvoukwhlLpIUupxpK1dYoAJ/q2XwBJ0NrA+rXlIHs=</DigestValue>
      </Reference>
      <Reference URI="/xl/externalLinks/externalLink27.xml?ContentType=application/vnd.openxmlformats-officedocument.spreadsheetml.externalLink+xml">
        <DigestMethod Algorithm="http://www.w3.org/2001/04/xmlenc#sha256"/>
        <DigestValue>9fOFKyLhv2aXFUd/AlqCrKqS9fZAWb/JnEdR+2AD6Is=</DigestValue>
      </Reference>
      <Reference URI="/xl/externalLinks/externalLink28.xml?ContentType=application/vnd.openxmlformats-officedocument.spreadsheetml.externalLink+xml">
        <DigestMethod Algorithm="http://www.w3.org/2001/04/xmlenc#sha256"/>
        <DigestValue>9fOFKyLhv2aXFUd/AlqCrKqS9fZAWb/JnEdR+2AD6Is=</DigestValue>
      </Reference>
      <Reference URI="/xl/externalLinks/externalLink29.xml?ContentType=application/vnd.openxmlformats-officedocument.spreadsheetml.externalLink+xml">
        <DigestMethod Algorithm="http://www.w3.org/2001/04/xmlenc#sha256"/>
        <DigestValue>bA/jTqHj7UcgcZEa3x5XD5+KMN50DtyUimS1RgXWPIk=</DigestValue>
      </Reference>
      <Reference URI="/xl/externalLinks/externalLink3.xml?ContentType=application/vnd.openxmlformats-officedocument.spreadsheetml.externalLink+xml">
        <DigestMethod Algorithm="http://www.w3.org/2001/04/xmlenc#sha256"/>
        <DigestValue>I1n5YLsk2fyy1jws/+RBIoyO9mm78KIb1KiMhMiTY5g=</DigestValue>
      </Reference>
      <Reference URI="/xl/externalLinks/externalLink30.xml?ContentType=application/vnd.openxmlformats-officedocument.spreadsheetml.externalLink+xml">
        <DigestMethod Algorithm="http://www.w3.org/2001/04/xmlenc#sha256"/>
        <DigestValue>75t9fADA73o10f7Fq5lYxuxNSIhe/D+4ruaJZQyDgt8=</DigestValue>
      </Reference>
      <Reference URI="/xl/externalLinks/externalLink31.xml?ContentType=application/vnd.openxmlformats-officedocument.spreadsheetml.externalLink+xml">
        <DigestMethod Algorithm="http://www.w3.org/2001/04/xmlenc#sha256"/>
        <DigestValue>L0p1FDmURngj/Pm57IOqIXTdo13l4YO8uYiAVESl41k=</DigestValue>
      </Reference>
      <Reference URI="/xl/externalLinks/externalLink32.xml?ContentType=application/vnd.openxmlformats-officedocument.spreadsheetml.externalLink+xml">
        <DigestMethod Algorithm="http://www.w3.org/2001/04/xmlenc#sha256"/>
        <DigestValue>iVptCsJv9nU8G/YRT0PXtdxyUmUWHkZxKXuYNeZ8a0I=</DigestValue>
      </Reference>
      <Reference URI="/xl/externalLinks/externalLink33.xml?ContentType=application/vnd.openxmlformats-officedocument.spreadsheetml.externalLink+xml">
        <DigestMethod Algorithm="http://www.w3.org/2001/04/xmlenc#sha256"/>
        <DigestValue>x9Tk4RoZZ4U5uwYcR66ukvmaQuc6Rl0T7RuPnkZf0Qc=</DigestValue>
      </Reference>
      <Reference URI="/xl/externalLinks/externalLink34.xml?ContentType=application/vnd.openxmlformats-officedocument.spreadsheetml.externalLink+xml">
        <DigestMethod Algorithm="http://www.w3.org/2001/04/xmlenc#sha256"/>
        <DigestValue>/pF9MtpIOaiXyiKR6BEZV3lJZWEPxY4mW7y4zyMazzM=</DigestValue>
      </Reference>
      <Reference URI="/xl/externalLinks/externalLink4.xml?ContentType=application/vnd.openxmlformats-officedocument.spreadsheetml.externalLink+xml">
        <DigestMethod Algorithm="http://www.w3.org/2001/04/xmlenc#sha256"/>
        <DigestValue>FZp2tP8GntVTjdlZwnl8v0LqxOM0FvdCA2y1C7V2JM0=</DigestValue>
      </Reference>
      <Reference URI="/xl/externalLinks/externalLink5.xml?ContentType=application/vnd.openxmlformats-officedocument.spreadsheetml.externalLink+xml">
        <DigestMethod Algorithm="http://www.w3.org/2001/04/xmlenc#sha256"/>
        <DigestValue>Fnnqaf171honG6UoXCPASHz3VSg4q850qmc27J/wBL8=</DigestValue>
      </Reference>
      <Reference URI="/xl/externalLinks/externalLink6.xml?ContentType=application/vnd.openxmlformats-officedocument.spreadsheetml.externalLink+xml">
        <DigestMethod Algorithm="http://www.w3.org/2001/04/xmlenc#sha256"/>
        <DigestValue>xgykFqnoEMht9DbekVaFs1JisxSMDYCJ1aE4RmbbRTw=</DigestValue>
      </Reference>
      <Reference URI="/xl/externalLinks/externalLink7.xml?ContentType=application/vnd.openxmlformats-officedocument.spreadsheetml.externalLink+xml">
        <DigestMethod Algorithm="http://www.w3.org/2001/04/xmlenc#sha256"/>
        <DigestValue>f+qI2uERkjk5NJybukEDwCJZ7auFp8V8Wg+VfNfdgO8=</DigestValue>
      </Reference>
      <Reference URI="/xl/externalLinks/externalLink8.xml?ContentType=application/vnd.openxmlformats-officedocument.spreadsheetml.externalLink+xml">
        <DigestMethod Algorithm="http://www.w3.org/2001/04/xmlenc#sha256"/>
        <DigestValue>+AXzxDF2HHXtqwDCUz4EJVS4I/RNTv3MN7dCjRwaJ+g=</DigestValue>
      </Reference>
      <Reference URI="/xl/externalLinks/externalLink9.xml?ContentType=application/vnd.openxmlformats-officedocument.spreadsheetml.externalLink+xml">
        <DigestMethod Algorithm="http://www.w3.org/2001/04/xmlenc#sha256"/>
        <DigestValue>+AXzxDF2HHXtqwDCUz4EJVS4I/RNTv3MN7dCjRwaJ+g=</DigestValue>
      </Reference>
      <Reference URI="/xl/media/image1.jpeg?ContentType=image/jpeg">
        <DigestMethod Algorithm="http://www.w3.org/2001/04/xmlenc#sha256"/>
        <DigestValue>KhJMzQNYnuUiQVdtWMpfHyMkWzUdc3d8GdprOyL5l7k=</DigestValue>
      </Reference>
      <Reference URI="/xl/media/image2.jpeg?ContentType=image/jpeg">
        <DigestMethod Algorithm="http://www.w3.org/2001/04/xmlenc#sha256"/>
        <DigestValue>gTbXjLfxr14J+BArUPZ2Z4WPzL1h25Hx1CL9Mvmtty4=</DigestValue>
      </Reference>
      <Reference URI="/xl/media/image3.jpeg?ContentType=image/jpeg">
        <DigestMethod Algorithm="http://www.w3.org/2001/04/xmlenc#sha256"/>
        <DigestValue>cmkU65pQL0P3XQj2DSC5NsJJYt+FVQZwZz8n9DziEvU=</DigestValue>
      </Reference>
      <Reference URI="/xl/media/image4.png?ContentType=image/png">
        <DigestMethod Algorithm="http://www.w3.org/2001/04/xmlenc#sha256"/>
        <DigestValue>zsmg6GL1mLd0j+sOwyIf6om6jck8ugFcnMVPpFlm4P0=</DigestValue>
      </Reference>
      <Reference URI="/xl/media/image5.jpeg?ContentType=image/jpeg">
        <DigestMethod Algorithm="http://www.w3.org/2001/04/xmlenc#sha256"/>
        <DigestValue>cmkU65pQL0P3XQj2DSC5NsJJYt+FVQZwZz8n9DziEvU=</DigestValue>
      </Reference>
      <Reference URI="/xl/printerSettings/printerSettings1.bin?ContentType=application/vnd.openxmlformats-officedocument.spreadsheetml.printerSettings">
        <DigestMethod Algorithm="http://www.w3.org/2001/04/xmlenc#sha256"/>
        <DigestValue>964wFSuf7mS8ShJIg7F3mrfLLoNfewp56lQpnt3UgfE=</DigestValue>
      </Reference>
      <Reference URI="/xl/printerSettings/printerSettings10.bin?ContentType=application/vnd.openxmlformats-officedocument.spreadsheetml.printerSettings">
        <DigestMethod Algorithm="http://www.w3.org/2001/04/xmlenc#sha256"/>
        <DigestValue>OOhogLH5P+qtiLI6PzBWp6VNAaVBtQfRh8BlA8AC2ro=</DigestValue>
      </Reference>
      <Reference URI="/xl/printerSettings/printerSettings11.bin?ContentType=application/vnd.openxmlformats-officedocument.spreadsheetml.printerSettings">
        <DigestMethod Algorithm="http://www.w3.org/2001/04/xmlenc#sha256"/>
        <DigestValue>OOhogLH5P+qtiLI6PzBWp6VNAaVBtQfRh8BlA8AC2ro=</DigestValue>
      </Reference>
      <Reference URI="/xl/printerSettings/printerSettings12.bin?ContentType=application/vnd.openxmlformats-officedocument.spreadsheetml.printerSettings">
        <DigestMethod Algorithm="http://www.w3.org/2001/04/xmlenc#sha256"/>
        <DigestValue>OOhogLH5P+qtiLI6PzBWp6VNAaVBtQfRh8BlA8AC2ro=</DigestValue>
      </Reference>
      <Reference URI="/xl/printerSettings/printerSettings13.bin?ContentType=application/vnd.openxmlformats-officedocument.spreadsheetml.printerSettings">
        <DigestMethod Algorithm="http://www.w3.org/2001/04/xmlenc#sha256"/>
        <DigestValue>yOHuibkpOiU4kPy0RGlTpxVAu53/FpGIL8+ykjp9Dbk=</DigestValue>
      </Reference>
      <Reference URI="/xl/printerSettings/printerSettings14.bin?ContentType=application/vnd.openxmlformats-officedocument.spreadsheetml.printerSettings">
        <DigestMethod Algorithm="http://www.w3.org/2001/04/xmlenc#sha256"/>
        <DigestValue>OOhogLH5P+qtiLI6PzBWp6VNAaVBtQfRh8BlA8AC2ro=</DigestValue>
      </Reference>
      <Reference URI="/xl/printerSettings/printerSettings15.bin?ContentType=application/vnd.openxmlformats-officedocument.spreadsheetml.printerSettings">
        <DigestMethod Algorithm="http://www.w3.org/2001/04/xmlenc#sha256"/>
        <DigestValue>OOhogLH5P+qtiLI6PzBWp6VNAaVBtQfRh8BlA8AC2ro=</DigestValue>
      </Reference>
      <Reference URI="/xl/printerSettings/printerSettings16.bin?ContentType=application/vnd.openxmlformats-officedocument.spreadsheetml.printerSettings">
        <DigestMethod Algorithm="http://www.w3.org/2001/04/xmlenc#sha256"/>
        <DigestValue>G2cjAcl6Xush5M9oDGuu7EnLYZHRg9bG0UxcDeN+gKQ=</DigestValue>
      </Reference>
      <Reference URI="/xl/printerSettings/printerSettings17.bin?ContentType=application/vnd.openxmlformats-officedocument.spreadsheetml.printerSettings">
        <DigestMethod Algorithm="http://www.w3.org/2001/04/xmlenc#sha256"/>
        <DigestValue>OOhogLH5P+qtiLI6PzBWp6VNAaVBtQfRh8BlA8AC2ro=</DigestValue>
      </Reference>
      <Reference URI="/xl/printerSettings/printerSettings18.bin?ContentType=application/vnd.openxmlformats-officedocument.spreadsheetml.printerSettings">
        <DigestMethod Algorithm="http://www.w3.org/2001/04/xmlenc#sha256"/>
        <DigestValue>G2cjAcl6Xush5M9oDGuu7EnLYZHRg9bG0UxcDeN+gKQ=</DigestValue>
      </Reference>
      <Reference URI="/xl/printerSettings/printerSettings19.bin?ContentType=application/vnd.openxmlformats-officedocument.spreadsheetml.printerSettings">
        <DigestMethod Algorithm="http://www.w3.org/2001/04/xmlenc#sha256"/>
        <DigestValue>3GKVqag151SgLKrI+/t9p57g9A3GtnLdrEl1ZyFQBEA=</DigestValue>
      </Reference>
      <Reference URI="/xl/printerSettings/printerSettings2.bin?ContentType=application/vnd.openxmlformats-officedocument.spreadsheetml.printerSettings">
        <DigestMethod Algorithm="http://www.w3.org/2001/04/xmlenc#sha256"/>
        <DigestValue>G2cjAcl6Xush5M9oDGuu7EnLYZHRg9bG0UxcDeN+gKQ=</DigestValue>
      </Reference>
      <Reference URI="/xl/printerSettings/printerSettings20.bin?ContentType=application/vnd.openxmlformats-officedocument.spreadsheetml.printerSettings">
        <DigestMethod Algorithm="http://www.w3.org/2001/04/xmlenc#sha256"/>
        <DigestValue>mUBSRY4/wKTzmlc/VfaKcL5no7JR7yiDMeeJBfnTaxQ=</DigestValue>
      </Reference>
      <Reference URI="/xl/printerSettings/printerSettings21.bin?ContentType=application/vnd.openxmlformats-officedocument.spreadsheetml.printerSettings">
        <DigestMethod Algorithm="http://www.w3.org/2001/04/xmlenc#sha256"/>
        <DigestValue>mUBSRY4/wKTzmlc/VfaKcL5no7JR7yiDMeeJBfnTaxQ=</DigestValue>
      </Reference>
      <Reference URI="/xl/printerSettings/printerSettings22.bin?ContentType=application/vnd.openxmlformats-officedocument.spreadsheetml.printerSettings">
        <DigestMethod Algorithm="http://www.w3.org/2001/04/xmlenc#sha256"/>
        <DigestValue>PdBqDDUtycNaiVOburcSvI0ud9iLHvhw1OygE0Cvwzo=</DigestValue>
      </Reference>
      <Reference URI="/xl/printerSettings/printerSettings23.bin?ContentType=application/vnd.openxmlformats-officedocument.spreadsheetml.printerSettings">
        <DigestMethod Algorithm="http://www.w3.org/2001/04/xmlenc#sha256"/>
        <DigestValue>V1/8zh0XxREJh91OQnXhSKSMz0/0Y02k8YolAKwK9qY=</DigestValue>
      </Reference>
      <Reference URI="/xl/printerSettings/printerSettings24.bin?ContentType=application/vnd.openxmlformats-officedocument.spreadsheetml.printerSettings">
        <DigestMethod Algorithm="http://www.w3.org/2001/04/xmlenc#sha256"/>
        <DigestValue>V1/8zh0XxREJh91OQnXhSKSMz0/0Y02k8YolAKwK9qY=</DigestValue>
      </Reference>
      <Reference URI="/xl/printerSettings/printerSettings25.bin?ContentType=application/vnd.openxmlformats-officedocument.spreadsheetml.printerSettings">
        <DigestMethod Algorithm="http://www.w3.org/2001/04/xmlenc#sha256"/>
        <DigestValue>mUBSRY4/wKTzmlc/VfaKcL5no7JR7yiDMeeJBfnTaxQ=</DigestValue>
      </Reference>
      <Reference URI="/xl/printerSettings/printerSettings26.bin?ContentType=application/vnd.openxmlformats-officedocument.spreadsheetml.printerSettings">
        <DigestMethod Algorithm="http://www.w3.org/2001/04/xmlenc#sha256"/>
        <DigestValue>G2cjAcl6Xush5M9oDGuu7EnLYZHRg9bG0UxcDeN+gKQ=</DigestValue>
      </Reference>
      <Reference URI="/xl/printerSettings/printerSettings27.bin?ContentType=application/vnd.openxmlformats-officedocument.spreadsheetml.printerSettings">
        <DigestMethod Algorithm="http://www.w3.org/2001/04/xmlenc#sha256"/>
        <DigestValue>OOhogLH5P+qtiLI6PzBWp6VNAaVBtQfRh8BlA8AC2ro=</DigestValue>
      </Reference>
      <Reference URI="/xl/printerSettings/printerSettings28.bin?ContentType=application/vnd.openxmlformats-officedocument.spreadsheetml.printerSettings">
        <DigestMethod Algorithm="http://www.w3.org/2001/04/xmlenc#sha256"/>
        <DigestValue>G2cjAcl6Xush5M9oDGuu7EnLYZHRg9bG0UxcDeN+gKQ=</DigestValue>
      </Reference>
      <Reference URI="/xl/printerSettings/printerSettings29.bin?ContentType=application/vnd.openxmlformats-officedocument.spreadsheetml.printerSettings">
        <DigestMethod Algorithm="http://www.w3.org/2001/04/xmlenc#sha256"/>
        <DigestValue>G2cjAcl6Xush5M9oDGuu7EnLYZHRg9bG0UxcDeN+gKQ=</DigestValue>
      </Reference>
      <Reference URI="/xl/printerSettings/printerSettings3.bin?ContentType=application/vnd.openxmlformats-officedocument.spreadsheetml.printerSettings">
        <DigestMethod Algorithm="http://www.w3.org/2001/04/xmlenc#sha256"/>
        <DigestValue>G2cjAcl6Xush5M9oDGuu7EnLYZHRg9bG0UxcDeN+gKQ=</DigestValue>
      </Reference>
      <Reference URI="/xl/printerSettings/printerSettings30.bin?ContentType=application/vnd.openxmlformats-officedocument.spreadsheetml.printerSettings">
        <DigestMethod Algorithm="http://www.w3.org/2001/04/xmlenc#sha256"/>
        <DigestValue>OOhogLH5P+qtiLI6PzBWp6VNAaVBtQfRh8BlA8AC2ro=</DigestValue>
      </Reference>
      <Reference URI="/xl/printerSettings/printerSettings31.bin?ContentType=application/vnd.openxmlformats-officedocument.spreadsheetml.printerSettings">
        <DigestMethod Algorithm="http://www.w3.org/2001/04/xmlenc#sha256"/>
        <DigestValue>OOhogLH5P+qtiLI6PzBWp6VNAaVBtQfRh8BlA8AC2ro=</DigestValue>
      </Reference>
      <Reference URI="/xl/printerSettings/printerSettings32.bin?ContentType=application/vnd.openxmlformats-officedocument.spreadsheetml.printerSettings">
        <DigestMethod Algorithm="http://www.w3.org/2001/04/xmlenc#sha256"/>
        <DigestValue>OOhogLH5P+qtiLI6PzBWp6VNAaVBtQfRh8BlA8AC2ro=</DigestValue>
      </Reference>
      <Reference URI="/xl/printerSettings/printerSettings33.bin?ContentType=application/vnd.openxmlformats-officedocument.spreadsheetml.printerSettings">
        <DigestMethod Algorithm="http://www.w3.org/2001/04/xmlenc#sha256"/>
        <DigestValue>G2cjAcl6Xush5M9oDGuu7EnLYZHRg9bG0UxcDeN+gKQ=</DigestValue>
      </Reference>
      <Reference URI="/xl/printerSettings/printerSettings34.bin?ContentType=application/vnd.openxmlformats-officedocument.spreadsheetml.printerSettings">
        <DigestMethod Algorithm="http://www.w3.org/2001/04/xmlenc#sha256"/>
        <DigestValue>OOhogLH5P+qtiLI6PzBWp6VNAaVBtQfRh8BlA8AC2ro=</DigestValue>
      </Reference>
      <Reference URI="/xl/printerSettings/printerSettings35.bin?ContentType=application/vnd.openxmlformats-officedocument.spreadsheetml.printerSettings">
        <DigestMethod Algorithm="http://www.w3.org/2001/04/xmlenc#sha256"/>
        <DigestValue>G2cjAcl6Xush5M9oDGuu7EnLYZHRg9bG0UxcDeN+gKQ=</DigestValue>
      </Reference>
      <Reference URI="/xl/printerSettings/printerSettings36.bin?ContentType=application/vnd.openxmlformats-officedocument.spreadsheetml.printerSettings">
        <DigestMethod Algorithm="http://www.w3.org/2001/04/xmlenc#sha256"/>
        <DigestValue>OOhogLH5P+qtiLI6PzBWp6VNAaVBtQfRh8BlA8AC2ro=</DigestValue>
      </Reference>
      <Reference URI="/xl/printerSettings/printerSettings4.bin?ContentType=application/vnd.openxmlformats-officedocument.spreadsheetml.printerSettings">
        <DigestMethod Algorithm="http://www.w3.org/2001/04/xmlenc#sha256"/>
        <DigestValue>mUBSRY4/wKTzmlc/VfaKcL5no7JR7yiDMeeJBfnTaxQ=</DigestValue>
      </Reference>
      <Reference URI="/xl/printerSettings/printerSettings5.bin?ContentType=application/vnd.openxmlformats-officedocument.spreadsheetml.printerSettings">
        <DigestMethod Algorithm="http://www.w3.org/2001/04/xmlenc#sha256"/>
        <DigestValue>Cnz+6qhSOfplobutO/oyT+JtQtEs54D6emrmTocEYBs=</DigestValue>
      </Reference>
      <Reference URI="/xl/printerSettings/printerSettings6.bin?ContentType=application/vnd.openxmlformats-officedocument.spreadsheetml.printerSettings">
        <DigestMethod Algorithm="http://www.w3.org/2001/04/xmlenc#sha256"/>
        <DigestValue>OtGEar7NEUqIafWA9OqVJyfyFX1Z4nSTH5nTGubne00=</DigestValue>
      </Reference>
      <Reference URI="/xl/printerSettings/printerSettings7.bin?ContentType=application/vnd.openxmlformats-officedocument.spreadsheetml.printerSettings">
        <DigestMethod Algorithm="http://www.w3.org/2001/04/xmlenc#sha256"/>
        <DigestValue>OtGEar7NEUqIafWA9OqVJyfyFX1Z4nSTH5nTGubne00=</DigestValue>
      </Reference>
      <Reference URI="/xl/printerSettings/printerSettings8.bin?ContentType=application/vnd.openxmlformats-officedocument.spreadsheetml.printerSettings">
        <DigestMethod Algorithm="http://www.w3.org/2001/04/xmlenc#sha256"/>
        <DigestValue>G2cjAcl6Xush5M9oDGuu7EnLYZHRg9bG0UxcDeN+gKQ=</DigestValue>
      </Reference>
      <Reference URI="/xl/printerSettings/printerSettings9.bin?ContentType=application/vnd.openxmlformats-officedocument.spreadsheetml.printerSettings">
        <DigestMethod Algorithm="http://www.w3.org/2001/04/xmlenc#sha256"/>
        <DigestValue>G2cjAcl6Xush5M9oDGuu7EnLYZHRg9bG0UxcDeN+gKQ=</DigestValue>
      </Reference>
      <Reference URI="/xl/sharedStrings.xml?ContentType=application/vnd.openxmlformats-officedocument.spreadsheetml.sharedStrings+xml">
        <DigestMethod Algorithm="http://www.w3.org/2001/04/xmlenc#sha256"/>
        <DigestValue>hV1x3cLegIivxg0FM7oNK9LfAF3NYWhqR1tpEzK+K/8=</DigestValue>
      </Reference>
      <Reference URI="/xl/styles.xml?ContentType=application/vnd.openxmlformats-officedocument.spreadsheetml.styles+xml">
        <DigestMethod Algorithm="http://www.w3.org/2001/04/xmlenc#sha256"/>
        <DigestValue>Zzy+ZXzhSW+i4Rd9mMxVnP9dxVZ6EhD16KMJq77oNk0=</DigestValue>
      </Reference>
      <Reference URI="/xl/theme/theme1.xml?ContentType=application/vnd.openxmlformats-officedocument.theme+xml">
        <DigestMethod Algorithm="http://www.w3.org/2001/04/xmlenc#sha256"/>
        <DigestValue>AcZLPRdm0zL/e3AHbF7FovRLcYbxMpe+wA5riBLvvYk=</DigestValue>
      </Reference>
      <Reference URI="/xl/workbook.xml?ContentType=application/vnd.openxmlformats-officedocument.spreadsheetml.sheet.main+xml">
        <DigestMethod Algorithm="http://www.w3.org/2001/04/xmlenc#sha256"/>
        <DigestValue>GJ13ae4c9c0Nn/YCBGBftY1c10XDMhMTIFKGo1Niu4w=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B/XJ12j3uz+vYmiRx6X9p3ZU/9ntrMdJvuNNxLS51kQ=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2V5nlZxYWPFxdwkpEzT21eam76TbyN4HdFx9XF5eCEk=</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H1Dj7e/2ySYzlBTFxLQTmGfV8rnz1uQx0+EBokIr1Sg=</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yqNGXUHfxmduUcCs3vs0lDBWz0ANB/3KmgIIV19P7jM=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yy59IsaZ7LJogGUimwXG1SWAHnRl0Pfrb3atkxnb54A=</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crJ2cu1E0ioHOYTJ8PI7DXMQeFfZTC7wIngJEVaLfbI=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bgxsb/AncJ/aIr9YAVxKj8wANcJO2I7uolPEozrRWn0=</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XgVvDqsdEb92iNjOdlpJG8fmvIf3WoV4/fxYSZ7jXbY=</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bmrx6I/ZPChGuCObBkuhWDeFZw/GfpPkjp8wR/cP9zs=</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W/gV0MikPwKbuxtcAyPYdPz2BI1ZPvKzZ1IOiBCTsnE=</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ha7KcD31LjbhM9bkWFA3HE0ozWtbU5PTFqgzTaGUXD4=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v2wQQxT3dWUWyXllVircODbQeDBmLYWeebKgOpBxHgo=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5N2EbADCaF4p6w3vYboztnjwbRS0qFMdVPVzjlaS3QQ=</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g/JyOkAK8YbETA2eXRsXgazBu4uG+0HrXpPGyuJN5qc=</DigestValue>
      </Reference>
      <Reference URI="/xl/worksheets/sheet10.xml?ContentType=application/vnd.openxmlformats-officedocument.spreadsheetml.worksheet+xml">
        <DigestMethod Algorithm="http://www.w3.org/2001/04/xmlenc#sha256"/>
        <DigestValue>wcj5t2thx/RqIwY+Y5EnOm3SlEG0X4NSYNSwPTZl22c=</DigestValue>
      </Reference>
      <Reference URI="/xl/worksheets/sheet11.xml?ContentType=application/vnd.openxmlformats-officedocument.spreadsheetml.worksheet+xml">
        <DigestMethod Algorithm="http://www.w3.org/2001/04/xmlenc#sha256"/>
        <DigestValue>vn5LOecn2EA1WgV89+KQqYtr4F8IZUhlnaFFxtZwONY=</DigestValue>
      </Reference>
      <Reference URI="/xl/worksheets/sheet12.xml?ContentType=application/vnd.openxmlformats-officedocument.spreadsheetml.worksheet+xml">
        <DigestMethod Algorithm="http://www.w3.org/2001/04/xmlenc#sha256"/>
        <DigestValue>LuKsA/KevaCTqYE2xMoJpvEjWNHx7jsHbHiR2Ru0se8=</DigestValue>
      </Reference>
      <Reference URI="/xl/worksheets/sheet13.xml?ContentType=application/vnd.openxmlformats-officedocument.spreadsheetml.worksheet+xml">
        <DigestMethod Algorithm="http://www.w3.org/2001/04/xmlenc#sha256"/>
        <DigestValue>vYGLiS1dPk8GT1npy58P9uJxXLk2U7usv5nLXK1qf6I=</DigestValue>
      </Reference>
      <Reference URI="/xl/worksheets/sheet14.xml?ContentType=application/vnd.openxmlformats-officedocument.spreadsheetml.worksheet+xml">
        <DigestMethod Algorithm="http://www.w3.org/2001/04/xmlenc#sha256"/>
        <DigestValue>LwJFgLjzSw4RbXURetuLiuH2Dqn9BnXgngWh8Azl1w8=</DigestValue>
      </Reference>
      <Reference URI="/xl/worksheets/sheet15.xml?ContentType=application/vnd.openxmlformats-officedocument.spreadsheetml.worksheet+xml">
        <DigestMethod Algorithm="http://www.w3.org/2001/04/xmlenc#sha256"/>
        <DigestValue>NMQAZQq2y7y+IWjKxEG6r4xHVXhJHnuDsZKvI4lLogA=</DigestValue>
      </Reference>
      <Reference URI="/xl/worksheets/sheet16.xml?ContentType=application/vnd.openxmlformats-officedocument.spreadsheetml.worksheet+xml">
        <DigestMethod Algorithm="http://www.w3.org/2001/04/xmlenc#sha256"/>
        <DigestValue>hxGgNe3Omge6X8wukGzbK2YJc9E8wZ09cVBzv3m2C28=</DigestValue>
      </Reference>
      <Reference URI="/xl/worksheets/sheet17.xml?ContentType=application/vnd.openxmlformats-officedocument.spreadsheetml.worksheet+xml">
        <DigestMethod Algorithm="http://www.w3.org/2001/04/xmlenc#sha256"/>
        <DigestValue>7vDU6TqSQl65PBm4IHZp4qEwW62mssWU6RyM6ZFgPgY=</DigestValue>
      </Reference>
      <Reference URI="/xl/worksheets/sheet18.xml?ContentType=application/vnd.openxmlformats-officedocument.spreadsheetml.worksheet+xml">
        <DigestMethod Algorithm="http://www.w3.org/2001/04/xmlenc#sha256"/>
        <DigestValue>Vtf5A2Qo5ABK1JaPaCtAwc4me14IKN4KEvPgngLBxKI=</DigestValue>
      </Reference>
      <Reference URI="/xl/worksheets/sheet19.xml?ContentType=application/vnd.openxmlformats-officedocument.spreadsheetml.worksheet+xml">
        <DigestMethod Algorithm="http://www.w3.org/2001/04/xmlenc#sha256"/>
        <DigestValue>bDpHadgTPGXPOmBnH+8DdXbH5unGH1XM7CeMO4bRxdQ=</DigestValue>
      </Reference>
      <Reference URI="/xl/worksheets/sheet2.xml?ContentType=application/vnd.openxmlformats-officedocument.spreadsheetml.worksheet+xml">
        <DigestMethod Algorithm="http://www.w3.org/2001/04/xmlenc#sha256"/>
        <DigestValue>CzgO7TvcYQ75bEDiSpvto9vBUlMRhbuB/HWSY5GsPKs=</DigestValue>
      </Reference>
      <Reference URI="/xl/worksheets/sheet20.xml?ContentType=application/vnd.openxmlformats-officedocument.spreadsheetml.worksheet+xml">
        <DigestMethod Algorithm="http://www.w3.org/2001/04/xmlenc#sha256"/>
        <DigestValue>oQfHrYG0OiJxsDgTQAYnTFpD7CJvIGIPjaaFUlfpnZ4=</DigestValue>
      </Reference>
      <Reference URI="/xl/worksheets/sheet21.xml?ContentType=application/vnd.openxmlformats-officedocument.spreadsheetml.worksheet+xml">
        <DigestMethod Algorithm="http://www.w3.org/2001/04/xmlenc#sha256"/>
        <DigestValue>V7VTZ6XGXQ+iaTsjOMQiuwkkYOMwygRhrb/85G+ToCk=</DigestValue>
      </Reference>
      <Reference URI="/xl/worksheets/sheet22.xml?ContentType=application/vnd.openxmlformats-officedocument.spreadsheetml.worksheet+xml">
        <DigestMethod Algorithm="http://www.w3.org/2001/04/xmlenc#sha256"/>
        <DigestValue>gJgMWAAa+gbfhewMvUQ4i4XCuOq+T9wSIHsPnjfEmRs=</DigestValue>
      </Reference>
      <Reference URI="/xl/worksheets/sheet23.xml?ContentType=application/vnd.openxmlformats-officedocument.spreadsheetml.worksheet+xml">
        <DigestMethod Algorithm="http://www.w3.org/2001/04/xmlenc#sha256"/>
        <DigestValue>xi0VLhn6E1TNmICWuiFzyTC1QcUG8glh7clKVLBU5KQ=</DigestValue>
      </Reference>
      <Reference URI="/xl/worksheets/sheet24.xml?ContentType=application/vnd.openxmlformats-officedocument.spreadsheetml.worksheet+xml">
        <DigestMethod Algorithm="http://www.w3.org/2001/04/xmlenc#sha256"/>
        <DigestValue>hWs3UZL0CO/eI/GRvQIRbLAmmgqNUx+WmZmGuit2xGc=</DigestValue>
      </Reference>
      <Reference URI="/xl/worksheets/sheet25.xml?ContentType=application/vnd.openxmlformats-officedocument.spreadsheetml.worksheet+xml">
        <DigestMethod Algorithm="http://www.w3.org/2001/04/xmlenc#sha256"/>
        <DigestValue>0JCrCW/Mn6oMiNxo7KZnI7jso19GQQutGQZ6Pwq1Bcw=</DigestValue>
      </Reference>
      <Reference URI="/xl/worksheets/sheet26.xml?ContentType=application/vnd.openxmlformats-officedocument.spreadsheetml.worksheet+xml">
        <DigestMethod Algorithm="http://www.w3.org/2001/04/xmlenc#sha256"/>
        <DigestValue>qhGmjC+obn6I4Id3duLIK80tTw1vEGBLa2EnPvqO2eY=</DigestValue>
      </Reference>
      <Reference URI="/xl/worksheets/sheet27.xml?ContentType=application/vnd.openxmlformats-officedocument.spreadsheetml.worksheet+xml">
        <DigestMethod Algorithm="http://www.w3.org/2001/04/xmlenc#sha256"/>
        <DigestValue>7JSo5RHO9ObQCYAlfpSTV1pEtjz+vFE71INJlvHwyuM=</DigestValue>
      </Reference>
      <Reference URI="/xl/worksheets/sheet28.xml?ContentType=application/vnd.openxmlformats-officedocument.spreadsheetml.worksheet+xml">
        <DigestMethod Algorithm="http://www.w3.org/2001/04/xmlenc#sha256"/>
        <DigestValue>XtTu4pD7SRqdGEqWQZ7YHMUzbjktJLpBuLzH/OxZh4Y=</DigestValue>
      </Reference>
      <Reference URI="/xl/worksheets/sheet29.xml?ContentType=application/vnd.openxmlformats-officedocument.spreadsheetml.worksheet+xml">
        <DigestMethod Algorithm="http://www.w3.org/2001/04/xmlenc#sha256"/>
        <DigestValue>g0JRlMS5qaDIbV4Wn2KHhs7skj94wSyJv19TVG8gcdc=</DigestValue>
      </Reference>
      <Reference URI="/xl/worksheets/sheet3.xml?ContentType=application/vnd.openxmlformats-officedocument.spreadsheetml.worksheet+xml">
        <DigestMethod Algorithm="http://www.w3.org/2001/04/xmlenc#sha256"/>
        <DigestValue>SEp9Ax3Vjw+IW5r8E0rf5G+HrrinMw4sQkP25HY7+0s=</DigestValue>
      </Reference>
      <Reference URI="/xl/worksheets/sheet30.xml?ContentType=application/vnd.openxmlformats-officedocument.spreadsheetml.worksheet+xml">
        <DigestMethod Algorithm="http://www.w3.org/2001/04/xmlenc#sha256"/>
        <DigestValue>D0NqQ3/eUyP5+QRWPYOFBhRFTvuD6ZcjyF48RCsTEko=</DigestValue>
      </Reference>
      <Reference URI="/xl/worksheets/sheet31.xml?ContentType=application/vnd.openxmlformats-officedocument.spreadsheetml.worksheet+xml">
        <DigestMethod Algorithm="http://www.w3.org/2001/04/xmlenc#sha256"/>
        <DigestValue>Er9/+y/EdUeq5mgw2z0eVneHlpdK9CbApsSPentQr3o=</DigestValue>
      </Reference>
      <Reference URI="/xl/worksheets/sheet32.xml?ContentType=application/vnd.openxmlformats-officedocument.spreadsheetml.worksheet+xml">
        <DigestMethod Algorithm="http://www.w3.org/2001/04/xmlenc#sha256"/>
        <DigestValue>nijhHaIkKOoIlkS8QCTHcd+0G7kB6VRfSYAGvnaA1D0=</DigestValue>
      </Reference>
      <Reference URI="/xl/worksheets/sheet33.xml?ContentType=application/vnd.openxmlformats-officedocument.spreadsheetml.worksheet+xml">
        <DigestMethod Algorithm="http://www.w3.org/2001/04/xmlenc#sha256"/>
        <DigestValue>olGPjPMrXuxdeqEDd+7ibrn0GU8FU3LpV1XwhPFflKw=</DigestValue>
      </Reference>
      <Reference URI="/xl/worksheets/sheet34.xml?ContentType=application/vnd.openxmlformats-officedocument.spreadsheetml.worksheet+xml">
        <DigestMethod Algorithm="http://www.w3.org/2001/04/xmlenc#sha256"/>
        <DigestValue>/Nm5YGJsVyxrvpsGBZp7wVLnhW0/DLBODxpDMKonGdc=</DigestValue>
      </Reference>
      <Reference URI="/xl/worksheets/sheet35.xml?ContentType=application/vnd.openxmlformats-officedocument.spreadsheetml.worksheet+xml">
        <DigestMethod Algorithm="http://www.w3.org/2001/04/xmlenc#sha256"/>
        <DigestValue>qPA4KaAFlMcx4GikkrCWFz9b8ngVTuEamdXMm/7z548=</DigestValue>
      </Reference>
      <Reference URI="/xl/worksheets/sheet36.xml?ContentType=application/vnd.openxmlformats-officedocument.spreadsheetml.worksheet+xml">
        <DigestMethod Algorithm="http://www.w3.org/2001/04/xmlenc#sha256"/>
        <DigestValue>Th/waP4g++TtefGej6pSRMAkUtQ56XDtQ4KaGyFB8u8=</DigestValue>
      </Reference>
      <Reference URI="/xl/worksheets/sheet37.xml?ContentType=application/vnd.openxmlformats-officedocument.spreadsheetml.worksheet+xml">
        <DigestMethod Algorithm="http://www.w3.org/2001/04/xmlenc#sha256"/>
        <DigestValue>lDIG4cM2cl+ziJVqW1L+1Hd1QOvg+8iBPs/eOkMbKwA=</DigestValue>
      </Reference>
      <Reference URI="/xl/worksheets/sheet38.xml?ContentType=application/vnd.openxmlformats-officedocument.spreadsheetml.worksheet+xml">
        <DigestMethod Algorithm="http://www.w3.org/2001/04/xmlenc#sha256"/>
        <DigestValue>tUHvFYaNCgnIWTDXj6sTtoXOLGgypxny3pNayMGClT0=</DigestValue>
      </Reference>
      <Reference URI="/xl/worksheets/sheet39.xml?ContentType=application/vnd.openxmlformats-officedocument.spreadsheetml.worksheet+xml">
        <DigestMethod Algorithm="http://www.w3.org/2001/04/xmlenc#sha256"/>
        <DigestValue>lyoo9zgJtQp/aBBN5NCOnNUCFs5OEjPfrRV2WcQcXuo=</DigestValue>
      </Reference>
      <Reference URI="/xl/worksheets/sheet4.xml?ContentType=application/vnd.openxmlformats-officedocument.spreadsheetml.worksheet+xml">
        <DigestMethod Algorithm="http://www.w3.org/2001/04/xmlenc#sha256"/>
        <DigestValue>E3hykQrcoaYQUXMKnZ/YN+kvpeo+1nPzjqlzQKR9h8I=</DigestValue>
      </Reference>
      <Reference URI="/xl/worksheets/sheet40.xml?ContentType=application/vnd.openxmlformats-officedocument.spreadsheetml.worksheet+xml">
        <DigestMethod Algorithm="http://www.w3.org/2001/04/xmlenc#sha256"/>
        <DigestValue>nfoTUbCUpNc8qL69Mxm0ap8We0LJZAtvJy3NIMlK3xM=</DigestValue>
      </Reference>
      <Reference URI="/xl/worksheets/sheet41.xml?ContentType=application/vnd.openxmlformats-officedocument.spreadsheetml.worksheet+xml">
        <DigestMethod Algorithm="http://www.w3.org/2001/04/xmlenc#sha256"/>
        <DigestValue>YTIy8jLX2oPPUrvEECvt2Hc4S0+S7C2JfCIuwRl04oo=</DigestValue>
      </Reference>
      <Reference URI="/xl/worksheets/sheet42.xml?ContentType=application/vnd.openxmlformats-officedocument.spreadsheetml.worksheet+xml">
        <DigestMethod Algorithm="http://www.w3.org/2001/04/xmlenc#sha256"/>
        <DigestValue>K9dhDhAhByXVRHH7RKibd2oq4X5JxqJNSZonTprfZ4A=</DigestValue>
      </Reference>
      <Reference URI="/xl/worksheets/sheet43.xml?ContentType=application/vnd.openxmlformats-officedocument.spreadsheetml.worksheet+xml">
        <DigestMethod Algorithm="http://www.w3.org/2001/04/xmlenc#sha256"/>
        <DigestValue>ei1ARjYHDIQAGOce3mNEeoy/u0Ej/Vfp5Lw+t4+GXpM=</DigestValue>
      </Reference>
      <Reference URI="/xl/worksheets/sheet44.xml?ContentType=application/vnd.openxmlformats-officedocument.spreadsheetml.worksheet+xml">
        <DigestMethod Algorithm="http://www.w3.org/2001/04/xmlenc#sha256"/>
        <DigestValue>QzpplyxUkNL9b/ydKRgTXEDJ8E0blQmosotrS/c0Gqg=</DigestValue>
      </Reference>
      <Reference URI="/xl/worksheets/sheet45.xml?ContentType=application/vnd.openxmlformats-officedocument.spreadsheetml.worksheet+xml">
        <DigestMethod Algorithm="http://www.w3.org/2001/04/xmlenc#sha256"/>
        <DigestValue>wVyqmYMmNbAyhL5ApU3obNWgjnAMyaQAJiFL2bD+E6Y=</DigestValue>
      </Reference>
      <Reference URI="/xl/worksheets/sheet46.xml?ContentType=application/vnd.openxmlformats-officedocument.spreadsheetml.worksheet+xml">
        <DigestMethod Algorithm="http://www.w3.org/2001/04/xmlenc#sha256"/>
        <DigestValue>CNMj9fiLwgIbnuORFJUQ81V+KBx0To9ZOiAfJjkdibI=</DigestValue>
      </Reference>
      <Reference URI="/xl/worksheets/sheet47.xml?ContentType=application/vnd.openxmlformats-officedocument.spreadsheetml.worksheet+xml">
        <DigestMethod Algorithm="http://www.w3.org/2001/04/xmlenc#sha256"/>
        <DigestValue>/++fs5/YZ8bxt1VFB1yvIZaXK7jVoDLD+xWUfsBR/s4=</DigestValue>
      </Reference>
      <Reference URI="/xl/worksheets/sheet5.xml?ContentType=application/vnd.openxmlformats-officedocument.spreadsheetml.worksheet+xml">
        <DigestMethod Algorithm="http://www.w3.org/2001/04/xmlenc#sha256"/>
        <DigestValue>dakVH0G8WzoNhRndq1OTiPaCLW3WRw2jLo8tWM+qyhg=</DigestValue>
      </Reference>
      <Reference URI="/xl/worksheets/sheet6.xml?ContentType=application/vnd.openxmlformats-officedocument.spreadsheetml.worksheet+xml">
        <DigestMethod Algorithm="http://www.w3.org/2001/04/xmlenc#sha256"/>
        <DigestValue>T01fkxUH7AvU+9KPRz5EEXLYjBMHULh+bmKvVZYVgw0=</DigestValue>
      </Reference>
      <Reference URI="/xl/worksheets/sheet7.xml?ContentType=application/vnd.openxmlformats-officedocument.spreadsheetml.worksheet+xml">
        <DigestMethod Algorithm="http://www.w3.org/2001/04/xmlenc#sha256"/>
        <DigestValue>K+Mj7/6FlswLuCgkFW3GBDOGEkOo/9TL7DoEx9ypXqc=</DigestValue>
      </Reference>
      <Reference URI="/xl/worksheets/sheet8.xml?ContentType=application/vnd.openxmlformats-officedocument.spreadsheetml.worksheet+xml">
        <DigestMethod Algorithm="http://www.w3.org/2001/04/xmlenc#sha256"/>
        <DigestValue>ni4vsNl0QAsUm33DR4Dy4/VA9Z+gzBt/bj+JB0SjCc4=</DigestValue>
      </Reference>
      <Reference URI="/xl/worksheets/sheet9.xml?ContentType=application/vnd.openxmlformats-officedocument.spreadsheetml.worksheet+xml">
        <DigestMethod Algorithm="http://www.w3.org/2001/04/xmlenc#sha256"/>
        <DigestValue>b2rQ0ydUkaPFloZQJ4YtFIZf41+kvl+V8/XbuR6yimc=</DigestValue>
      </Reference>
    </Manifest>
    <SignatureProperties>
      <SignatureProperty Id="idSignatureTime" Target="#idPackageSignature">
        <mdssi:SignatureTime xmlns:mdssi="http://schemas.openxmlformats.org/package/2006/digital-signature">
          <mdssi:Format>YYYY-MM-DDThh:mm:ssTZD</mdssi:Format>
          <mdssi:Value>2020-06-30T20:33:58Z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2020-06-30T20:33:58Z</xd:SigningTime>
          <xd:SigningCertificate>
            <xd:Cert>
              <xd:CertDigest>
                <DigestMethod Algorithm="http://www.w3.org/2001/04/xmlenc#sha256"/>
                <DigestValue>nSmsPR2I+JDa6+15TzunIiidEL0G1K+n3Q3yAGJp36M=</DigestValue>
              </xd:CertDigest>
              <xd:IssuerSerial>
                <X509IssuerName>CN=CA-VIT S.A., O=VIT S.A., C=PY, SERIALNUMBER=RUC 80080099-0</X509IssuerName>
                <X509SerialNumber>112485999362533567911892006348464042527</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dMCZXaUKKPhSXlni9k+wtFWA4fTSr3DikvD4czJhiQg=</DigestValue>
    </Reference>
    <Reference Type="http://www.w3.org/2000/09/xmldsig#Object" URI="#idOfficeObject">
      <DigestMethod Algorithm="http://www.w3.org/2001/04/xmlenc#sha256"/>
      <DigestValue>AJ9EFK+XAsthj5PIm5936tFJ/6gggBA5puntum9rKCs=</DigestValue>
    </Reference>
    <Reference Type="http://uri.etsi.org/01903#SignedProperties" URI="#idSignedProperties">
      <Transforms>
        <Transform Algorithm="http://www.w3.org/TR/2001/REC-xml-c14n-20010315"/>
      </Transforms>
      <DigestMethod Algorithm="http://www.w3.org/2001/04/xmlenc#sha256"/>
      <DigestValue>3HI+RJ8OchhZsPUuRb5if8LOB+DSfnhT/xuybvs9HfQ=</DigestValue>
    </Reference>
  </SignedInfo>
  <SignatureValue>FBE2iGJ2ctSp7a85WRhySlo2uCWxaSq5SagUl19Ueo4sOfBr7/l4sDWYCb7Yee2/0c4hFITdBaa4
al/gV2MScyHFrbrStSdJKAOkTim2GDvb1LaYoV3ZB1ivxQwTHJhmTordYTdZmZIVJbbQHQxCBcTM
01/7ZBZGt4vSzrETd4nAElG5jM9iVkO6WsLiWYtzeII7wcy2C/PvEEvzbnDLk3z/+Te9cVz/LeBT
DDPCr7EvtpvdWNFh6W1n7JouUwlgMDF+sKRgA1Qi811a96gsnzDytQdoSpVxs8+4/p9E8pZSkaKz
W/0lvFmP+KqiXFnVY1ynvQylaiQUKuGrkDu41A==</SignatureValue>
  <KeyInfo>
    <X509Data>
      <X509Certificate>MIIHwDCCBaigAwIBAgIQSyHTgg8ZY1ZcsMFG9A1BYDANBgkqhkiG9w0BAQsFADBPMRcwFQYDVQQFEw5SVUMgODAwODAwOTktMDELMAkGA1UEBhMCUFkxETAPBgNVBAoMCFZJVCBTLkEuMRQwEgYDVQQDEwtDQS1WSVQgUy5BLjAeFw0xOTA0MTIxNjQ4MDZaFw0yMTA0MTIxNjQ4MDZaMIGaMRAwDgYDVQQqDAdPUkxBTkRPMRgwFgYDVQQEDA9QRU5ORVIgRMOcUktTRU4xETAPBgNVBAUTCENJODAyNzE4MSAwHgYDVQQDDBdPUkxBTkRPIFBFTk5FUiBEw5xSS1NFTjERMA8GA1UECwwIRklSTUEgRjIxFzAVBgNVBAoMDlBFUlNPTkEgRklTSUNBMQswCQYDVQQGEwJQWTCCASIwDQYJKoZIhvcNAQEBBQADggEPADCCAQoCggEBAOqjqiYHQHd9PUQTqHxXlUXsnfZ0wrl8bQYeElY/PsaZz8tcGtITNVZh5lQVx3QFkOO5I0H6F5A+Y+RXhzYWfA9axuzxawUbDIpg2+Zqbf0XoZ9yKTSj2/7YtpyAZUUBrOOV/thFbtV7WmWkszz5Yq0ypHsb/x7Ai6OhZi0ZTJ23eUwV27ycPZm2wGWlb0eRY5rLFS3YQ9jkSGy7c55mVYGmbBRwUxlj7vLO0AQokrS/Mf0zEp4aJ/JhLcSOdTC4aCGhtqutsj8frFuksQVgobZC2EV1vOd3yXdO2Y1Bjyvwyxgxk2ABJCTIQF0NcB1IqvGAstCEc31DaGiz/4r5H3ECAwEAAaOCA0owggNGMAwGA1UdEwEB/wQCMAAwDgYDVR0PAQH/BAQDAgXgMCwGA1UdJQEB/wQiMCAGCCsGAQUFBwMEBggrBgEFBQcDAgYKKwYBBAGCNxQCAjAdBgNVHQ4EFgQUSBapxCMYMqS12GkC/5Y/ESnCcs0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gBgNVHREEGTAXgRVPUEVOTkVSQFBFTk5FUi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NJAM4SDBhwKRB3IgkJuQWBiCI4JsbcDU1SmC1iE9HCSKXdpUQLUM0d9sPOxMjfnCmumcVWVSakwgWaEHKHYZTybvHiKq1KfcGmXXY7jjzXTnG3Zwf9V21vow5a5/LPMONYXoJb27zCt9n8zFqpCdH8oBF4tuh9YQpab4m7mAJQHBHOdIeWR64HSCQuQh9TXmqFOe7f9HNQE3YUCWofeCU5RwZOwaGZVWstwa+VRjgPvpo6VPuoTJ3HfHjmu4dDM62PTB+vRRrxqSRNBoWw3WMXcxfMA6QqE8TsC0VEhS3S8WTr7TMnvQqx9290+CRkreVshH8nEgsq3xoJf3gu0yGPvYqeSYs1z5LnsxgAwqK2r1anaF3jSbyFt8Uqiy2oP2//YVU88KtQq3YT6sKQI/7z6ll7+phOT4dMJq9X0jZQXO/c5bcEkMq263qkgL5nppS12qdLFmaNddo9HunH3qj4VB4WDmyphG722H6pfLRzUGEjB3Y4kQVuzA18wYKjqgwkS2rvnLfUoqvsqW55hSo3CTFz6Pm4e6ks8ozu7722upurBmcfzkix7VtKyNYnQHDr2BbOkEwSzLwEvL7papuMnuo0sxom8p5Mmb2Fvtj3TL5EkBKypqWCC2Mzv7K5OaytE4PItgfd9aewxsL1x4hdhaGimaAUVjGtKq+qxe8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16"/>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26"/>
          </Transform>
          <Transform Algorithm="http://www.w3.org/TR/2001/REC-xml-c14n-20010315"/>
        </Transforms>
        <DigestMethod Algorithm="http://www.w3.org/2001/04/xmlenc#sha256"/>
        <DigestValue>g/NbZAmhJLy3UOXRLRT0BYml18izAJxMDb7K+ZgwolE=</DigestValue>
      </Reference>
      <Reference URI="/xl/calcChain.xml?ContentType=application/vnd.openxmlformats-officedocument.spreadsheetml.calcChain+xml">
        <DigestMethod Algorithm="http://www.w3.org/2001/04/xmlenc#sha256"/>
        <DigestValue>ZieGu7AMVCH/4xg3zqmkr/Mf1Z04h6pDwyYIneqgPAs=</DigestValue>
      </Reference>
      <Reference URI="/xl/comments1.xml?ContentType=application/vnd.openxmlformats-officedocument.spreadsheetml.comments+xml">
        <DigestMethod Algorithm="http://www.w3.org/2001/04/xmlenc#sha256"/>
        <DigestValue>I+0A+h/e08NVTwED604TqpqTWhhv79t+X1dlobBJgJ0=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drawing1.xml?ContentType=application/vnd.openxmlformats-officedocument.drawing+xml">
        <DigestMethod Algorithm="http://www.w3.org/2001/04/xmlenc#sha256"/>
        <DigestValue>5TRbIJfmsttI5Nxeo5zRvoSdpDYCNvs/1SxKdCxQGSM=</DigestValue>
      </Reference>
      <Reference URI="/xl/drawings/drawing2.xml?ContentType=application/vnd.openxmlformats-officedocument.drawing+xml">
        <DigestMethod Algorithm="http://www.w3.org/2001/04/xmlenc#sha256"/>
        <DigestValue>QSYAFXtWHSqxi4UxEPulGiuO0yinuFOPmq+2uamVccc=</DigestValue>
      </Reference>
      <Reference URI="/xl/drawings/drawing3.xml?ContentType=application/vnd.openxmlformats-officedocument.drawing+xml">
        <DigestMethod Algorithm="http://www.w3.org/2001/04/xmlenc#sha256"/>
        <DigestValue>9C7Rh25TdeZ+48v0vMIPih7F0Yi+BUiE+QgYJaDaFBI=</DigestValue>
      </Reference>
      <Reference URI="/xl/drawings/drawing4.xml?ContentType=application/vnd.openxmlformats-officedocument.drawing+xml">
        <DigestMethod Algorithm="http://www.w3.org/2001/04/xmlenc#sha256"/>
        <DigestValue>Fmgr/jB8dcTuxGbY7IX9s3vzwK+KG2oP4dUZxU4/c8k=</DigestValue>
      </Reference>
      <Reference URI="/xl/drawings/drawing5.xml?ContentType=application/vnd.openxmlformats-officedocument.drawing+xml">
        <DigestMethod Algorithm="http://www.w3.org/2001/04/xmlenc#sha256"/>
        <DigestValue>8nktHXyXDmH365pzxhsDvUAjFgAg2LoDIy38lKXdj8g=</DigestValue>
      </Reference>
      <Reference URI="/xl/drawings/drawing6.xml?ContentType=application/vnd.openxmlformats-officedocument.drawing+xml">
        <DigestMethod Algorithm="http://www.w3.org/2001/04/xmlenc#sha256"/>
        <DigestValue>4zCOaGfjVzURBgOp3vu5EVPbsHzrNa8vnbDzS66v1Ts=</DigestValue>
      </Reference>
      <Reference URI="/xl/drawings/drawing7.xml?ContentType=application/vnd.openxmlformats-officedocument.drawing+xml">
        <DigestMethod Algorithm="http://www.w3.org/2001/04/xmlenc#sha256"/>
        <DigestValue>IC9VO8ZPStOfAN0GbdkrO3ZyrTb5GYJAJEbXa19bORk=</DigestValue>
      </Reference>
      <Reference URI="/xl/drawings/drawing8.xml?ContentType=application/vnd.openxmlformats-officedocument.drawing+xml">
        <DigestMethod Algorithm="http://www.w3.org/2001/04/xmlenc#sha256"/>
        <DigestValue>pYx2E1ndL0QJ9YZuij/kXGS4FXm6itPwa9jlQmREewI=</DigestValue>
      </Reference>
      <Reference URI="/xl/drawings/vmlDrawing1.vml?ContentType=application/vnd.openxmlformats-officedocument.vmlDrawing">
        <DigestMethod Algorithm="http://www.w3.org/2001/04/xmlenc#sha256"/>
        <DigestValue>EVJo9j/SUtQplEKvGMxI8gvy7muXK4kg0mER1pkfMEY=</DigestValue>
      </Reference>
      <Reference URI="/xl/drawings/vmlDrawing10.vml?ContentType=application/vnd.openxmlformats-officedocument.vmlDrawing">
        <DigestMethod Algorithm="http://www.w3.org/2001/04/xmlenc#sha256"/>
        <DigestValue>qFAVSNL3AxRCGJwO3UIFTSTg9r/ajoNLsMwRsA8ChXM=</DigestValue>
      </Reference>
      <Reference URI="/xl/drawings/vmlDrawing11.vml?ContentType=application/vnd.openxmlformats-officedocument.vmlDrawing">
        <DigestMethod Algorithm="http://www.w3.org/2001/04/xmlenc#sha256"/>
        <DigestValue>RIcxEHnOVSzhLd/aASeO0nqddHFJNAX+DmwMJIIi5ns=</DigestValue>
      </Reference>
      <Reference URI="/xl/drawings/vmlDrawing12.vml?ContentType=application/vnd.openxmlformats-officedocument.vmlDrawing">
        <DigestMethod Algorithm="http://www.w3.org/2001/04/xmlenc#sha256"/>
        <DigestValue>VUYDKNXhBy8FcqIhtVlpZJL2xX+ZPhMqzDxm1UC1RWo=</DigestValue>
      </Reference>
      <Reference URI="/xl/drawings/vmlDrawing13.vml?ContentType=application/vnd.openxmlformats-officedocument.vmlDrawing">
        <DigestMethod Algorithm="http://www.w3.org/2001/04/xmlenc#sha256"/>
        <DigestValue>4CmxP2uFmWZPk+eV19h4Pw0VQpM+hh31qJT4r9I6nTc=</DigestValue>
      </Reference>
      <Reference URI="/xl/drawings/vmlDrawing14.vml?ContentType=application/vnd.openxmlformats-officedocument.vmlDrawing">
        <DigestMethod Algorithm="http://www.w3.org/2001/04/xmlenc#sha256"/>
        <DigestValue>QSzaNd9YpcrsNBlG6qFndIG9XzSVlYoFz7j3B2scFhg=</DigestValue>
      </Reference>
      <Reference URI="/xl/drawings/vmlDrawing15.vml?ContentType=application/vnd.openxmlformats-officedocument.vmlDrawing">
        <DigestMethod Algorithm="http://www.w3.org/2001/04/xmlenc#sha256"/>
        <DigestValue>VsYPpyAbH1wUAc70he/AcTvwpAOoI1nm5McZQAiPwbU=</DigestValue>
      </Reference>
      <Reference URI="/xl/drawings/vmlDrawing16.vml?ContentType=application/vnd.openxmlformats-officedocument.vmlDrawing">
        <DigestMethod Algorithm="http://www.w3.org/2001/04/xmlenc#sha256"/>
        <DigestValue>aEDzyb8lYQQlbNG30NIXdoJ9fdAgooVfKkEc91z+D6w=</DigestValue>
      </Reference>
      <Reference URI="/xl/drawings/vmlDrawing2.vml?ContentType=application/vnd.openxmlformats-officedocument.vmlDrawing">
        <DigestMethod Algorithm="http://www.w3.org/2001/04/xmlenc#sha256"/>
        <DigestValue>d/znkDLc4tc1QP2VoAe/Pp1iGQHxzoOilzpUASpfshk=</DigestValue>
      </Reference>
      <Reference URI="/xl/drawings/vmlDrawing3.vml?ContentType=application/vnd.openxmlformats-officedocument.vmlDrawing">
        <DigestMethod Algorithm="http://www.w3.org/2001/04/xmlenc#sha256"/>
        <DigestValue>Omdi4wlHfzsnUO7AI9ZsqfH5y/c1E+DXnsSyiRqYcHY=</DigestValue>
      </Reference>
      <Reference URI="/xl/drawings/vmlDrawing4.vml?ContentType=application/vnd.openxmlformats-officedocument.vmlDrawing">
        <DigestMethod Algorithm="http://www.w3.org/2001/04/xmlenc#sha256"/>
        <DigestValue>FnTzjzetOp5YCgxuvv+QlqpSPmlYXYcRSOra0mpZE8U=</DigestValue>
      </Reference>
      <Reference URI="/xl/drawings/vmlDrawing5.vml?ContentType=application/vnd.openxmlformats-officedocument.vmlDrawing">
        <DigestMethod Algorithm="http://www.w3.org/2001/04/xmlenc#sha256"/>
        <DigestValue>5SdI6l2hNBcCmMK0lXdaGVKEmBMFmYgAxrO/wZvfjow=</DigestValue>
      </Reference>
      <Reference URI="/xl/drawings/vmlDrawing6.vml?ContentType=application/vnd.openxmlformats-officedocument.vmlDrawing">
        <DigestMethod Algorithm="http://www.w3.org/2001/04/xmlenc#sha256"/>
        <DigestValue>VQ5zS+VruGx8KrcZYECTawksQxB1AIq71vPGHRJcTXM=</DigestValue>
      </Reference>
      <Reference URI="/xl/drawings/vmlDrawing7.vml?ContentType=application/vnd.openxmlformats-officedocument.vmlDrawing">
        <DigestMethod Algorithm="http://www.w3.org/2001/04/xmlenc#sha256"/>
        <DigestValue>5/rct7QNJP5iTMbYSP5sIC7QtHtQKqbH6d/WAKXsFig=</DigestValue>
      </Reference>
      <Reference URI="/xl/drawings/vmlDrawing8.vml?ContentType=application/vnd.openxmlformats-officedocument.vmlDrawing">
        <DigestMethod Algorithm="http://www.w3.org/2001/04/xmlenc#sha256"/>
        <DigestValue>Afh7kfpqnFN2zn1jlsSvKnijMR42V2meS4b9DEwgsx8=</DigestValue>
      </Reference>
      <Reference URI="/xl/drawings/vmlDrawing9.vml?ContentType=application/vnd.openxmlformats-officedocument.vmlDrawing">
        <DigestMethod Algorithm="http://www.w3.org/2001/04/xmlenc#sha256"/>
        <DigestValue>vRyRrDsCh7h4xruZ7G5GuYqYl9RtFejgGrWhxNqNCcs=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R8U+CXq4n3ckmqv4eF7VLfTzKtYH7aWHBGFRd8zrZVM=</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u/ymRklIAYRdPc4bXINETTYSPToAhoVWL/QkxFyDCc0=</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DiNGCT9/vCPzqFfDPIW9dmDKdV8P2K/dUlbqrKWWmac=</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f0KcuTbPDCd//zgGWoi2dmfXa1mTpahpfGvCU+F/tzI=</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bg3ZEqoElIrwm7UBydYNBrja5clFrSbIUCyFfBd5NRI=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gao9jhWIwrHLCnu6LXJPFHBaGMRvNMUlATEKClPMpo8=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lidY6tgH6i/u6jkIt8LRLCxQytYSsgKGXFNS0CvAHR4=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+YQK0kShSVkvSc5x/GVG2AxvusIrmVs7t8SiQMpAnIs=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5rTq8Zny7PviGtqhmB/40e/BKvS47godiSpRvrBOJFU=</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7a9ypsAMhm/Bq1mb90Wq+giXZrxyWf/Z+1xY7vfDer4=</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o/0Oy3MlwSeijIR9FmbzaXD+vAkJ/MIV/DNIZYnVpaI=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+jECDjnGJ04lm2Ar9oXTorAJxhck8ohk0fpVPLWD2p4=</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5MrZ48hyXxUMMcBls4pBPP3mQT6R4L78yyhDjIKCGtE=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rmw473BivIxxs53Y5gyeVlP3E0t+lv9vVGd98hczjd4=</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v4aLIjCPszKhCqeWfIMg2hvzut/Tx12vtjN19P0P24I=</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G3yHkUMPLyftubnAp4bIrkHaHEKnzi2DEeeep8Sg4+o=</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Zug6xh6Wz4Ep4ZqUpKtiUAOd63OsGDwbey2qsZ4Fyc0=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sNiLy3cskbeHFSLWBIoUBYIcdabswJnuKBbsXtXYGt4=</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R+kOF00ZWS80neIFLcEuuZOsYB8tS/eY8OcvfdZ5GHE=</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WlSkjQ6vk6QIjUUmsFmUKLU8NzrJLp0/iGverqW2KVU=</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IRg5VcPXUv4p+NpwMuB98YNQLt/2Gtk0SoZp61lEXXE=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IbUYzfiXeoUzn4h919rFp27g2VaDVeFopixITND/G5E=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0Laj0ZBFZNv/IGOY5wcHvcoPE4E50RylLp1eZxHT+tY=</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13KOJcFDGbM1qhCqzKxJsy0LymtusDR1tkHynKBGcRs=</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y+ookSXj/zqUXVYpx0wyV8qJ/mSY9q3qW6SxmLmwX9g=</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yd5YnsNpz4YLo50rrHUrGQIq29YafXj4odRjzlFaJRs=</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D8qcut/8iOBSJlFYetFE3NaQnahPbgwDDJmaNTcpZuE=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xBVbyl9gD0h74pewowP0a6GMY3Z5XlGoS8NBvClOFWQ=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0ASCX9LKcXcIr3POr2hDj7Dr1+lZ1UHdEbRnToR5hMc=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BajPgriJrQTuV8fz8B+SQhdqgkW1Fsu2rodlcn4nEE4=</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wzBf2GcpOHSk+xngjIKvGcoBEHk0FY+QD4sUStYOi3k=</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uhz+V7Yspx/WRDO/IqSMzselfxpBUB3d3zerS/LhmjE=</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wy+vHa80gVEdVzACgKgvmMaIss/fh4Yxeyd/E1ZdAjk=</DigestValue>
      </Reference>
      <Reference URI="/xl/externalLinks/externalLink1.xml?ContentType=application/vnd.openxmlformats-officedocument.spreadsheetml.externalLink+xml">
        <DigestMethod Algorithm="http://www.w3.org/2001/04/xmlenc#sha256"/>
        <DigestValue>L4DFVN4LHh/Y/+qoGE+nhWNhn61vmeiYgrvNnQlg8ZA=</DigestValue>
      </Reference>
      <Reference URI="/xl/externalLinks/externalLink10.xml?ContentType=application/vnd.openxmlformats-officedocument.spreadsheetml.externalLink+xml">
        <DigestMethod Algorithm="http://www.w3.org/2001/04/xmlenc#sha256"/>
        <DigestValue>gG2I1XhYssh66HaxiUCw9lDC7AWnrX+eLF4l/sUVyt0=</DigestValue>
      </Reference>
      <Reference URI="/xl/externalLinks/externalLink11.xml?ContentType=application/vnd.openxmlformats-officedocument.spreadsheetml.externalLink+xml">
        <DigestMethod Algorithm="http://www.w3.org/2001/04/xmlenc#sha256"/>
        <DigestValue>gG2I1XhYssh66HaxiUCw9lDC7AWnrX+eLF4l/sUVyt0=</DigestValue>
      </Reference>
      <Reference URI="/xl/externalLinks/externalLink12.xml?ContentType=application/vnd.openxmlformats-officedocument.spreadsheetml.externalLink+xml">
        <DigestMethod Algorithm="http://www.w3.org/2001/04/xmlenc#sha256"/>
        <DigestValue>9HBZ+WLnN9uFbn88LUpmOZ66EIUtAxfZbkwmOy8f1F8=</DigestValue>
      </Reference>
      <Reference URI="/xl/externalLinks/externalLink13.xml?ContentType=application/vnd.openxmlformats-officedocument.spreadsheetml.externalLink+xml">
        <DigestMethod Algorithm="http://www.w3.org/2001/04/xmlenc#sha256"/>
        <DigestValue>yQaOpH6/LwnFsjfXplCYpHExx8NI20ts8Vio3az65aI=</DigestValue>
      </Reference>
      <Reference URI="/xl/externalLinks/externalLink14.xml?ContentType=application/vnd.openxmlformats-officedocument.spreadsheetml.externalLink+xml">
        <DigestMethod Algorithm="http://www.w3.org/2001/04/xmlenc#sha256"/>
        <DigestValue>ELf3MVaS++hFyRb+rZtu2Vyu83hn5iBcoOty/vlV9N4=</DigestValue>
      </Reference>
      <Reference URI="/xl/externalLinks/externalLink15.xml?ContentType=application/vnd.openxmlformats-officedocument.spreadsheetml.externalLink+xml">
        <DigestMethod Algorithm="http://www.w3.org/2001/04/xmlenc#sha256"/>
        <DigestValue>ELf3MVaS++hFyRb+rZtu2Vyu83hn5iBcoOty/vlV9N4=</DigestValue>
      </Reference>
      <Reference URI="/xl/externalLinks/externalLink16.xml?ContentType=application/vnd.openxmlformats-officedocument.spreadsheetml.externalLink+xml">
        <DigestMethod Algorithm="http://www.w3.org/2001/04/xmlenc#sha256"/>
        <DigestValue>jwLAmaIwOnxUdOeCkEOcgHVVsHrV3FjYMlWXQCMCWpo=</DigestValue>
      </Reference>
      <Reference URI="/xl/externalLinks/externalLink17.xml?ContentType=application/vnd.openxmlformats-officedocument.spreadsheetml.externalLink+xml">
        <DigestMethod Algorithm="http://www.w3.org/2001/04/xmlenc#sha256"/>
        <DigestValue>jwLAmaIwOnxUdOeCkEOcgHVVsHrV3FjYMlWXQCMCWpo=</DigestValue>
      </Reference>
      <Reference URI="/xl/externalLinks/externalLink18.xml?ContentType=application/vnd.openxmlformats-officedocument.spreadsheetml.externalLink+xml">
        <DigestMethod Algorithm="http://www.w3.org/2001/04/xmlenc#sha256"/>
        <DigestValue>ELf3MVaS++hFyRb+rZtu2Vyu83hn5iBcoOty/vlV9N4=</DigestValue>
      </Reference>
      <Reference URI="/xl/externalLinks/externalLink19.xml?ContentType=application/vnd.openxmlformats-officedocument.spreadsheetml.externalLink+xml">
        <DigestMethod Algorithm="http://www.w3.org/2001/04/xmlenc#sha256"/>
        <DigestValue>UVl2dAt8/mgFiGAEcuCoi2+sYk07kFa3muRxH6tJ1VQ=</DigestValue>
      </Reference>
      <Reference URI="/xl/externalLinks/externalLink2.xml?ContentType=application/vnd.openxmlformats-officedocument.spreadsheetml.externalLink+xml">
        <DigestMethod Algorithm="http://www.w3.org/2001/04/xmlenc#sha256"/>
        <DigestValue>L4DFVN4LHh/Y/+qoGE+nhWNhn61vmeiYgrvNnQlg8ZA=</DigestValue>
      </Reference>
      <Reference URI="/xl/externalLinks/externalLink20.xml?ContentType=application/vnd.openxmlformats-officedocument.spreadsheetml.externalLink+xml">
        <DigestMethod Algorithm="http://www.w3.org/2001/04/xmlenc#sha256"/>
        <DigestValue>t9rRyGMKi9lnxzb468Vx8VF+3KYXd0D3FQSd5+G//n4=</DigestValue>
      </Reference>
      <Reference URI="/xl/externalLinks/externalLink21.xml?ContentType=application/vnd.openxmlformats-officedocument.spreadsheetml.externalLink+xml">
        <DigestMethod Algorithm="http://www.w3.org/2001/04/xmlenc#sha256"/>
        <DigestValue>R3EmRo0SkOezvKAMLzG1zW006+2S6j/dJNLYfMLQwbo=</DigestValue>
      </Reference>
      <Reference URI="/xl/externalLinks/externalLink22.xml?ContentType=application/vnd.openxmlformats-officedocument.spreadsheetml.externalLink+xml">
        <DigestMethod Algorithm="http://www.w3.org/2001/04/xmlenc#sha256"/>
        <DigestValue>A5FM2Gz0A+qkxZq8XPshNmAjwr5k2XvoZLD8Tqpeu88=</DigestValue>
      </Reference>
      <Reference URI="/xl/externalLinks/externalLink23.xml?ContentType=application/vnd.openxmlformats-officedocument.spreadsheetml.externalLink+xml">
        <DigestMethod Algorithm="http://www.w3.org/2001/04/xmlenc#sha256"/>
        <DigestValue>D0wkIYFufHIsHOri2/p4XpP+ErbnKDXXMaSgRPzpwrg=</DigestValue>
      </Reference>
      <Reference URI="/xl/externalLinks/externalLink24.xml?ContentType=application/vnd.openxmlformats-officedocument.spreadsheetml.externalLink+xml">
        <DigestMethod Algorithm="http://www.w3.org/2001/04/xmlenc#sha256"/>
        <DigestValue>tmMJWTtD63rYcLx55qvdvfKTySaAv/Ti8eAmo7dJY5U=</DigestValue>
      </Reference>
      <Reference URI="/xl/externalLinks/externalLink25.xml?ContentType=application/vnd.openxmlformats-officedocument.spreadsheetml.externalLink+xml">
        <DigestMethod Algorithm="http://www.w3.org/2001/04/xmlenc#sha256"/>
        <DigestValue>tmMJWTtD63rYcLx55qvdvfKTySaAv/Ti8eAmo7dJY5U=</DigestValue>
      </Reference>
      <Reference URI="/xl/externalLinks/externalLink26.xml?ContentType=application/vnd.openxmlformats-officedocument.spreadsheetml.externalLink+xml">
        <DigestMethod Algorithm="http://www.w3.org/2001/04/xmlenc#sha256"/>
        <DigestValue>QhIvoukwhlLpIUupxpK1dYoAJ/q2XwBJ0NrA+rXlIHs=</DigestValue>
      </Reference>
      <Reference URI="/xl/externalLinks/externalLink27.xml?ContentType=application/vnd.openxmlformats-officedocument.spreadsheetml.externalLink+xml">
        <DigestMethod Algorithm="http://www.w3.org/2001/04/xmlenc#sha256"/>
        <DigestValue>9fOFKyLhv2aXFUd/AlqCrKqS9fZAWb/JnEdR+2AD6Is=</DigestValue>
      </Reference>
      <Reference URI="/xl/externalLinks/externalLink28.xml?ContentType=application/vnd.openxmlformats-officedocument.spreadsheetml.externalLink+xml">
        <DigestMethod Algorithm="http://www.w3.org/2001/04/xmlenc#sha256"/>
        <DigestValue>9fOFKyLhv2aXFUd/AlqCrKqS9fZAWb/JnEdR+2AD6Is=</DigestValue>
      </Reference>
      <Reference URI="/xl/externalLinks/externalLink29.xml?ContentType=application/vnd.openxmlformats-officedocument.spreadsheetml.externalLink+xml">
        <DigestMethod Algorithm="http://www.w3.org/2001/04/xmlenc#sha256"/>
        <DigestValue>bA/jTqHj7UcgcZEa3x5XD5+KMN50DtyUimS1RgXWPIk=</DigestValue>
      </Reference>
      <Reference URI="/xl/externalLinks/externalLink3.xml?ContentType=application/vnd.openxmlformats-officedocument.spreadsheetml.externalLink+xml">
        <DigestMethod Algorithm="http://www.w3.org/2001/04/xmlenc#sha256"/>
        <DigestValue>I1n5YLsk2fyy1jws/+RBIoyO9mm78KIb1KiMhMiTY5g=</DigestValue>
      </Reference>
      <Reference URI="/xl/externalLinks/externalLink30.xml?ContentType=application/vnd.openxmlformats-officedocument.spreadsheetml.externalLink+xml">
        <DigestMethod Algorithm="http://www.w3.org/2001/04/xmlenc#sha256"/>
        <DigestValue>75t9fADA73o10f7Fq5lYxuxNSIhe/D+4ruaJZQyDgt8=</DigestValue>
      </Reference>
      <Reference URI="/xl/externalLinks/externalLink31.xml?ContentType=application/vnd.openxmlformats-officedocument.spreadsheetml.externalLink+xml">
        <DigestMethod Algorithm="http://www.w3.org/2001/04/xmlenc#sha256"/>
        <DigestValue>L0p1FDmURngj/Pm57IOqIXTdo13l4YO8uYiAVESl41k=</DigestValue>
      </Reference>
      <Reference URI="/xl/externalLinks/externalLink32.xml?ContentType=application/vnd.openxmlformats-officedocument.spreadsheetml.externalLink+xml">
        <DigestMethod Algorithm="http://www.w3.org/2001/04/xmlenc#sha256"/>
        <DigestValue>iVptCsJv9nU8G/YRT0PXtdxyUmUWHkZxKXuYNeZ8a0I=</DigestValue>
      </Reference>
      <Reference URI="/xl/externalLinks/externalLink33.xml?ContentType=application/vnd.openxmlformats-officedocument.spreadsheetml.externalLink+xml">
        <DigestMethod Algorithm="http://www.w3.org/2001/04/xmlenc#sha256"/>
        <DigestValue>x9Tk4RoZZ4U5uwYcR66ukvmaQuc6Rl0T7RuPnkZf0Qc=</DigestValue>
      </Reference>
      <Reference URI="/xl/externalLinks/externalLink34.xml?ContentType=application/vnd.openxmlformats-officedocument.spreadsheetml.externalLink+xml">
        <DigestMethod Algorithm="http://www.w3.org/2001/04/xmlenc#sha256"/>
        <DigestValue>/pF9MtpIOaiXyiKR6BEZV3lJZWEPxY4mW7y4zyMazzM=</DigestValue>
      </Reference>
      <Reference URI="/xl/externalLinks/externalLink4.xml?ContentType=application/vnd.openxmlformats-officedocument.spreadsheetml.externalLink+xml">
        <DigestMethod Algorithm="http://www.w3.org/2001/04/xmlenc#sha256"/>
        <DigestValue>FZp2tP8GntVTjdlZwnl8v0LqxOM0FvdCA2y1C7V2JM0=</DigestValue>
      </Reference>
      <Reference URI="/xl/externalLinks/externalLink5.xml?ContentType=application/vnd.openxmlformats-officedocument.spreadsheetml.externalLink+xml">
        <DigestMethod Algorithm="http://www.w3.org/2001/04/xmlenc#sha256"/>
        <DigestValue>Fnnqaf171honG6UoXCPASHz3VSg4q850qmc27J/wBL8=</DigestValue>
      </Reference>
      <Reference URI="/xl/externalLinks/externalLink6.xml?ContentType=application/vnd.openxmlformats-officedocument.spreadsheetml.externalLink+xml">
        <DigestMethod Algorithm="http://www.w3.org/2001/04/xmlenc#sha256"/>
        <DigestValue>xgykFqnoEMht9DbekVaFs1JisxSMDYCJ1aE4RmbbRTw=</DigestValue>
      </Reference>
      <Reference URI="/xl/externalLinks/externalLink7.xml?ContentType=application/vnd.openxmlformats-officedocument.spreadsheetml.externalLink+xml">
        <DigestMethod Algorithm="http://www.w3.org/2001/04/xmlenc#sha256"/>
        <DigestValue>f+qI2uERkjk5NJybukEDwCJZ7auFp8V8Wg+VfNfdgO8=</DigestValue>
      </Reference>
      <Reference URI="/xl/externalLinks/externalLink8.xml?ContentType=application/vnd.openxmlformats-officedocument.spreadsheetml.externalLink+xml">
        <DigestMethod Algorithm="http://www.w3.org/2001/04/xmlenc#sha256"/>
        <DigestValue>+AXzxDF2HHXtqwDCUz4EJVS4I/RNTv3MN7dCjRwaJ+g=</DigestValue>
      </Reference>
      <Reference URI="/xl/externalLinks/externalLink9.xml?ContentType=application/vnd.openxmlformats-officedocument.spreadsheetml.externalLink+xml">
        <DigestMethod Algorithm="http://www.w3.org/2001/04/xmlenc#sha256"/>
        <DigestValue>+AXzxDF2HHXtqwDCUz4EJVS4I/RNTv3MN7dCjRwaJ+g=</DigestValue>
      </Reference>
      <Reference URI="/xl/media/image1.jpeg?ContentType=image/jpeg">
        <DigestMethod Algorithm="http://www.w3.org/2001/04/xmlenc#sha256"/>
        <DigestValue>KhJMzQNYnuUiQVdtWMpfHyMkWzUdc3d8GdprOyL5l7k=</DigestValue>
      </Reference>
      <Reference URI="/xl/media/image2.jpeg?ContentType=image/jpeg">
        <DigestMethod Algorithm="http://www.w3.org/2001/04/xmlenc#sha256"/>
        <DigestValue>gTbXjLfxr14J+BArUPZ2Z4WPzL1h25Hx1CL9Mvmtty4=</DigestValue>
      </Reference>
      <Reference URI="/xl/media/image3.jpeg?ContentType=image/jpeg">
        <DigestMethod Algorithm="http://www.w3.org/2001/04/xmlenc#sha256"/>
        <DigestValue>cmkU65pQL0P3XQj2DSC5NsJJYt+FVQZwZz8n9DziEvU=</DigestValue>
      </Reference>
      <Reference URI="/xl/media/image4.png?ContentType=image/png">
        <DigestMethod Algorithm="http://www.w3.org/2001/04/xmlenc#sha256"/>
        <DigestValue>zsmg6GL1mLd0j+sOwyIf6om6jck8ugFcnMVPpFlm4P0=</DigestValue>
      </Reference>
      <Reference URI="/xl/media/image5.jpeg?ContentType=image/jpeg">
        <DigestMethod Algorithm="http://www.w3.org/2001/04/xmlenc#sha256"/>
        <DigestValue>cmkU65pQL0P3XQj2DSC5NsJJYt+FVQZwZz8n9DziEvU=</DigestValue>
      </Reference>
      <Reference URI="/xl/printerSettings/printerSettings1.bin?ContentType=application/vnd.openxmlformats-officedocument.spreadsheetml.printerSettings">
        <DigestMethod Algorithm="http://www.w3.org/2001/04/xmlenc#sha256"/>
        <DigestValue>964wFSuf7mS8ShJIg7F3mrfLLoNfewp56lQpnt3UgfE=</DigestValue>
      </Reference>
      <Reference URI="/xl/printerSettings/printerSettings10.bin?ContentType=application/vnd.openxmlformats-officedocument.spreadsheetml.printerSettings">
        <DigestMethod Algorithm="http://www.w3.org/2001/04/xmlenc#sha256"/>
        <DigestValue>OOhogLH5P+qtiLI6PzBWp6VNAaVBtQfRh8BlA8AC2ro=</DigestValue>
      </Reference>
      <Reference URI="/xl/printerSettings/printerSettings11.bin?ContentType=application/vnd.openxmlformats-officedocument.spreadsheetml.printerSettings">
        <DigestMethod Algorithm="http://www.w3.org/2001/04/xmlenc#sha256"/>
        <DigestValue>OOhogLH5P+qtiLI6PzBWp6VNAaVBtQfRh8BlA8AC2ro=</DigestValue>
      </Reference>
      <Reference URI="/xl/printerSettings/printerSettings12.bin?ContentType=application/vnd.openxmlformats-officedocument.spreadsheetml.printerSettings">
        <DigestMethod Algorithm="http://www.w3.org/2001/04/xmlenc#sha256"/>
        <DigestValue>OOhogLH5P+qtiLI6PzBWp6VNAaVBtQfRh8BlA8AC2ro=</DigestValue>
      </Reference>
      <Reference URI="/xl/printerSettings/printerSettings13.bin?ContentType=application/vnd.openxmlformats-officedocument.spreadsheetml.printerSettings">
        <DigestMethod Algorithm="http://www.w3.org/2001/04/xmlenc#sha256"/>
        <DigestValue>yOHuibkpOiU4kPy0RGlTpxVAu53/FpGIL8+ykjp9Dbk=</DigestValue>
      </Reference>
      <Reference URI="/xl/printerSettings/printerSettings14.bin?ContentType=application/vnd.openxmlformats-officedocument.spreadsheetml.printerSettings">
        <DigestMethod Algorithm="http://www.w3.org/2001/04/xmlenc#sha256"/>
        <DigestValue>OOhogLH5P+qtiLI6PzBWp6VNAaVBtQfRh8BlA8AC2ro=</DigestValue>
      </Reference>
      <Reference URI="/xl/printerSettings/printerSettings15.bin?ContentType=application/vnd.openxmlformats-officedocument.spreadsheetml.printerSettings">
        <DigestMethod Algorithm="http://www.w3.org/2001/04/xmlenc#sha256"/>
        <DigestValue>OOhogLH5P+qtiLI6PzBWp6VNAaVBtQfRh8BlA8AC2ro=</DigestValue>
      </Reference>
      <Reference URI="/xl/printerSettings/printerSettings16.bin?ContentType=application/vnd.openxmlformats-officedocument.spreadsheetml.printerSettings">
        <DigestMethod Algorithm="http://www.w3.org/2001/04/xmlenc#sha256"/>
        <DigestValue>G2cjAcl6Xush5M9oDGuu7EnLYZHRg9bG0UxcDeN+gKQ=</DigestValue>
      </Reference>
      <Reference URI="/xl/printerSettings/printerSettings17.bin?ContentType=application/vnd.openxmlformats-officedocument.spreadsheetml.printerSettings">
        <DigestMethod Algorithm="http://www.w3.org/2001/04/xmlenc#sha256"/>
        <DigestValue>OOhogLH5P+qtiLI6PzBWp6VNAaVBtQfRh8BlA8AC2ro=</DigestValue>
      </Reference>
      <Reference URI="/xl/printerSettings/printerSettings18.bin?ContentType=application/vnd.openxmlformats-officedocument.spreadsheetml.printerSettings">
        <DigestMethod Algorithm="http://www.w3.org/2001/04/xmlenc#sha256"/>
        <DigestValue>G2cjAcl6Xush5M9oDGuu7EnLYZHRg9bG0UxcDeN+gKQ=</DigestValue>
      </Reference>
      <Reference URI="/xl/printerSettings/printerSettings19.bin?ContentType=application/vnd.openxmlformats-officedocument.spreadsheetml.printerSettings">
        <DigestMethod Algorithm="http://www.w3.org/2001/04/xmlenc#sha256"/>
        <DigestValue>3GKVqag151SgLKrI+/t9p57g9A3GtnLdrEl1ZyFQBEA=</DigestValue>
      </Reference>
      <Reference URI="/xl/printerSettings/printerSettings2.bin?ContentType=application/vnd.openxmlformats-officedocument.spreadsheetml.printerSettings">
        <DigestMethod Algorithm="http://www.w3.org/2001/04/xmlenc#sha256"/>
        <DigestValue>G2cjAcl6Xush5M9oDGuu7EnLYZHRg9bG0UxcDeN+gKQ=</DigestValue>
      </Reference>
      <Reference URI="/xl/printerSettings/printerSettings20.bin?ContentType=application/vnd.openxmlformats-officedocument.spreadsheetml.printerSettings">
        <DigestMethod Algorithm="http://www.w3.org/2001/04/xmlenc#sha256"/>
        <DigestValue>mUBSRY4/wKTzmlc/VfaKcL5no7JR7yiDMeeJBfnTaxQ=</DigestValue>
      </Reference>
      <Reference URI="/xl/printerSettings/printerSettings21.bin?ContentType=application/vnd.openxmlformats-officedocument.spreadsheetml.printerSettings">
        <DigestMethod Algorithm="http://www.w3.org/2001/04/xmlenc#sha256"/>
        <DigestValue>mUBSRY4/wKTzmlc/VfaKcL5no7JR7yiDMeeJBfnTaxQ=</DigestValue>
      </Reference>
      <Reference URI="/xl/printerSettings/printerSettings22.bin?ContentType=application/vnd.openxmlformats-officedocument.spreadsheetml.printerSettings">
        <DigestMethod Algorithm="http://www.w3.org/2001/04/xmlenc#sha256"/>
        <DigestValue>PdBqDDUtycNaiVOburcSvI0ud9iLHvhw1OygE0Cvwzo=</DigestValue>
      </Reference>
      <Reference URI="/xl/printerSettings/printerSettings23.bin?ContentType=application/vnd.openxmlformats-officedocument.spreadsheetml.printerSettings">
        <DigestMethod Algorithm="http://www.w3.org/2001/04/xmlenc#sha256"/>
        <DigestValue>V1/8zh0XxREJh91OQnXhSKSMz0/0Y02k8YolAKwK9qY=</DigestValue>
      </Reference>
      <Reference URI="/xl/printerSettings/printerSettings24.bin?ContentType=application/vnd.openxmlformats-officedocument.spreadsheetml.printerSettings">
        <DigestMethod Algorithm="http://www.w3.org/2001/04/xmlenc#sha256"/>
        <DigestValue>V1/8zh0XxREJh91OQnXhSKSMz0/0Y02k8YolAKwK9qY=</DigestValue>
      </Reference>
      <Reference URI="/xl/printerSettings/printerSettings25.bin?ContentType=application/vnd.openxmlformats-officedocument.spreadsheetml.printerSettings">
        <DigestMethod Algorithm="http://www.w3.org/2001/04/xmlenc#sha256"/>
        <DigestValue>mUBSRY4/wKTzmlc/VfaKcL5no7JR7yiDMeeJBfnTaxQ=</DigestValue>
      </Reference>
      <Reference URI="/xl/printerSettings/printerSettings26.bin?ContentType=application/vnd.openxmlformats-officedocument.spreadsheetml.printerSettings">
        <DigestMethod Algorithm="http://www.w3.org/2001/04/xmlenc#sha256"/>
        <DigestValue>G2cjAcl6Xush5M9oDGuu7EnLYZHRg9bG0UxcDeN+gKQ=</DigestValue>
      </Reference>
      <Reference URI="/xl/printerSettings/printerSettings27.bin?ContentType=application/vnd.openxmlformats-officedocument.spreadsheetml.printerSettings">
        <DigestMethod Algorithm="http://www.w3.org/2001/04/xmlenc#sha256"/>
        <DigestValue>OOhogLH5P+qtiLI6PzBWp6VNAaVBtQfRh8BlA8AC2ro=</DigestValue>
      </Reference>
      <Reference URI="/xl/printerSettings/printerSettings28.bin?ContentType=application/vnd.openxmlformats-officedocument.spreadsheetml.printerSettings">
        <DigestMethod Algorithm="http://www.w3.org/2001/04/xmlenc#sha256"/>
        <DigestValue>G2cjAcl6Xush5M9oDGuu7EnLYZHRg9bG0UxcDeN+gKQ=</DigestValue>
      </Reference>
      <Reference URI="/xl/printerSettings/printerSettings29.bin?ContentType=application/vnd.openxmlformats-officedocument.spreadsheetml.printerSettings">
        <DigestMethod Algorithm="http://www.w3.org/2001/04/xmlenc#sha256"/>
        <DigestValue>G2cjAcl6Xush5M9oDGuu7EnLYZHRg9bG0UxcDeN+gKQ=</DigestValue>
      </Reference>
      <Reference URI="/xl/printerSettings/printerSettings3.bin?ContentType=application/vnd.openxmlformats-officedocument.spreadsheetml.printerSettings">
        <DigestMethod Algorithm="http://www.w3.org/2001/04/xmlenc#sha256"/>
        <DigestValue>G2cjAcl6Xush5M9oDGuu7EnLYZHRg9bG0UxcDeN+gKQ=</DigestValue>
      </Reference>
      <Reference URI="/xl/printerSettings/printerSettings30.bin?ContentType=application/vnd.openxmlformats-officedocument.spreadsheetml.printerSettings">
        <DigestMethod Algorithm="http://www.w3.org/2001/04/xmlenc#sha256"/>
        <DigestValue>OOhogLH5P+qtiLI6PzBWp6VNAaVBtQfRh8BlA8AC2ro=</DigestValue>
      </Reference>
      <Reference URI="/xl/printerSettings/printerSettings31.bin?ContentType=application/vnd.openxmlformats-officedocument.spreadsheetml.printerSettings">
        <DigestMethod Algorithm="http://www.w3.org/2001/04/xmlenc#sha256"/>
        <DigestValue>OOhogLH5P+qtiLI6PzBWp6VNAaVBtQfRh8BlA8AC2ro=</DigestValue>
      </Reference>
      <Reference URI="/xl/printerSettings/printerSettings32.bin?ContentType=application/vnd.openxmlformats-officedocument.spreadsheetml.printerSettings">
        <DigestMethod Algorithm="http://www.w3.org/2001/04/xmlenc#sha256"/>
        <DigestValue>OOhogLH5P+qtiLI6PzBWp6VNAaVBtQfRh8BlA8AC2ro=</DigestValue>
      </Reference>
      <Reference URI="/xl/printerSettings/printerSettings33.bin?ContentType=application/vnd.openxmlformats-officedocument.spreadsheetml.printerSettings">
        <DigestMethod Algorithm="http://www.w3.org/2001/04/xmlenc#sha256"/>
        <DigestValue>G2cjAcl6Xush5M9oDGuu7EnLYZHRg9bG0UxcDeN+gKQ=</DigestValue>
      </Reference>
      <Reference URI="/xl/printerSettings/printerSettings34.bin?ContentType=application/vnd.openxmlformats-officedocument.spreadsheetml.printerSettings">
        <DigestMethod Algorithm="http://www.w3.org/2001/04/xmlenc#sha256"/>
        <DigestValue>OOhogLH5P+qtiLI6PzBWp6VNAaVBtQfRh8BlA8AC2ro=</DigestValue>
      </Reference>
      <Reference URI="/xl/printerSettings/printerSettings35.bin?ContentType=application/vnd.openxmlformats-officedocument.spreadsheetml.printerSettings">
        <DigestMethod Algorithm="http://www.w3.org/2001/04/xmlenc#sha256"/>
        <DigestValue>G2cjAcl6Xush5M9oDGuu7EnLYZHRg9bG0UxcDeN+gKQ=</DigestValue>
      </Reference>
      <Reference URI="/xl/printerSettings/printerSettings36.bin?ContentType=application/vnd.openxmlformats-officedocument.spreadsheetml.printerSettings">
        <DigestMethod Algorithm="http://www.w3.org/2001/04/xmlenc#sha256"/>
        <DigestValue>OOhogLH5P+qtiLI6PzBWp6VNAaVBtQfRh8BlA8AC2ro=</DigestValue>
      </Reference>
      <Reference URI="/xl/printerSettings/printerSettings4.bin?ContentType=application/vnd.openxmlformats-officedocument.spreadsheetml.printerSettings">
        <DigestMethod Algorithm="http://www.w3.org/2001/04/xmlenc#sha256"/>
        <DigestValue>mUBSRY4/wKTzmlc/VfaKcL5no7JR7yiDMeeJBfnTaxQ=</DigestValue>
      </Reference>
      <Reference URI="/xl/printerSettings/printerSettings5.bin?ContentType=application/vnd.openxmlformats-officedocument.spreadsheetml.printerSettings">
        <DigestMethod Algorithm="http://www.w3.org/2001/04/xmlenc#sha256"/>
        <DigestValue>Cnz+6qhSOfplobutO/oyT+JtQtEs54D6emrmTocEYBs=</DigestValue>
      </Reference>
      <Reference URI="/xl/printerSettings/printerSettings6.bin?ContentType=application/vnd.openxmlformats-officedocument.spreadsheetml.printerSettings">
        <DigestMethod Algorithm="http://www.w3.org/2001/04/xmlenc#sha256"/>
        <DigestValue>OtGEar7NEUqIafWA9OqVJyfyFX1Z4nSTH5nTGubne00=</DigestValue>
      </Reference>
      <Reference URI="/xl/printerSettings/printerSettings7.bin?ContentType=application/vnd.openxmlformats-officedocument.spreadsheetml.printerSettings">
        <DigestMethod Algorithm="http://www.w3.org/2001/04/xmlenc#sha256"/>
        <DigestValue>OtGEar7NEUqIafWA9OqVJyfyFX1Z4nSTH5nTGubne00=</DigestValue>
      </Reference>
      <Reference URI="/xl/printerSettings/printerSettings8.bin?ContentType=application/vnd.openxmlformats-officedocument.spreadsheetml.printerSettings">
        <DigestMethod Algorithm="http://www.w3.org/2001/04/xmlenc#sha256"/>
        <DigestValue>G2cjAcl6Xush5M9oDGuu7EnLYZHRg9bG0UxcDeN+gKQ=</DigestValue>
      </Reference>
      <Reference URI="/xl/printerSettings/printerSettings9.bin?ContentType=application/vnd.openxmlformats-officedocument.spreadsheetml.printerSettings">
        <DigestMethod Algorithm="http://www.w3.org/2001/04/xmlenc#sha256"/>
        <DigestValue>G2cjAcl6Xush5M9oDGuu7EnLYZHRg9bG0UxcDeN+gKQ=</DigestValue>
      </Reference>
      <Reference URI="/xl/sharedStrings.xml?ContentType=application/vnd.openxmlformats-officedocument.spreadsheetml.sharedStrings+xml">
        <DigestMethod Algorithm="http://www.w3.org/2001/04/xmlenc#sha256"/>
        <DigestValue>hV1x3cLegIivxg0FM7oNK9LfAF3NYWhqR1tpEzK+K/8=</DigestValue>
      </Reference>
      <Reference URI="/xl/styles.xml?ContentType=application/vnd.openxmlformats-officedocument.spreadsheetml.styles+xml">
        <DigestMethod Algorithm="http://www.w3.org/2001/04/xmlenc#sha256"/>
        <DigestValue>Zzy+ZXzhSW+i4Rd9mMxVnP9dxVZ6EhD16KMJq77oNk0=</DigestValue>
      </Reference>
      <Reference URI="/xl/theme/theme1.xml?ContentType=application/vnd.openxmlformats-officedocument.theme+xml">
        <DigestMethod Algorithm="http://www.w3.org/2001/04/xmlenc#sha256"/>
        <DigestValue>AcZLPRdm0zL/e3AHbF7FovRLcYbxMpe+wA5riBLvvYk=</DigestValue>
      </Reference>
      <Reference URI="/xl/workbook.xml?ContentType=application/vnd.openxmlformats-officedocument.spreadsheetml.sheet.main+xml">
        <DigestMethod Algorithm="http://www.w3.org/2001/04/xmlenc#sha256"/>
        <DigestValue>GJ13ae4c9c0Nn/YCBGBftY1c10XDMhMTIFKGo1Niu4w=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B/XJ12j3uz+vYmiRx6X9p3ZU/9ntrMdJvuNNxLS51kQ=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2V5nlZxYWPFxdwkpEzT21eam76TbyN4HdFx9XF5eCEk=</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H1Dj7e/2ySYzlBTFxLQTmGfV8rnz1uQx0+EBokIr1Sg=</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yqNGXUHfxmduUcCs3vs0lDBWz0ANB/3KmgIIV19P7jM=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yy59IsaZ7LJogGUimwXG1SWAHnRl0Pfrb3atkxnb54A=</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crJ2cu1E0ioHOYTJ8PI7DXMQeFfZTC7wIngJEVaLfbI=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bgxsb/AncJ/aIr9YAVxKj8wANcJO2I7uolPEozrRWn0=</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XgVvDqsdEb92iNjOdlpJG8fmvIf3WoV4/fxYSZ7jXbY=</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bmrx6I/ZPChGuCObBkuhWDeFZw/GfpPkjp8wR/cP9zs=</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W/gV0MikPwKbuxtcAyPYdPz2BI1ZPvKzZ1IOiBCTsnE=</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ha7KcD31LjbhM9bkWFA3HE0ozWtbU5PTFqgzTaGUXD4=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DkGQWHYMCzTZP9tbSQOcafuo1gsEG/OXc1ZmFzb+mww=</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v2wQQxT3dWUWyXllVircODbQeDBmLYWeebKgOpBxHgo=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5N2EbADCaF4p6w3vYboztnjwbRS0qFMdVPVzjlaS3QQ=</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whuv9IuTQQmh5bSs/JF/nMnMM6uVR1LOf2KBERo8IN4=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kAf8vLPDynRFTToeW//XxiwvPULbr8q+KfSD+FcvWEM=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g/JyOkAK8YbETA2eXRsXgazBu4uG+0HrXpPGyuJN5qc=</DigestValue>
      </Reference>
      <Reference URI="/xl/worksheets/sheet10.xml?ContentType=application/vnd.openxmlformats-officedocument.spreadsheetml.worksheet+xml">
        <DigestMethod Algorithm="http://www.w3.org/2001/04/xmlenc#sha256"/>
        <DigestValue>wcj5t2thx/RqIwY+Y5EnOm3SlEG0X4NSYNSwPTZl22c=</DigestValue>
      </Reference>
      <Reference URI="/xl/worksheets/sheet11.xml?ContentType=application/vnd.openxmlformats-officedocument.spreadsheetml.worksheet+xml">
        <DigestMethod Algorithm="http://www.w3.org/2001/04/xmlenc#sha256"/>
        <DigestValue>vn5LOecn2EA1WgV89+KQqYtr4F8IZUhlnaFFxtZwONY=</DigestValue>
      </Reference>
      <Reference URI="/xl/worksheets/sheet12.xml?ContentType=application/vnd.openxmlformats-officedocument.spreadsheetml.worksheet+xml">
        <DigestMethod Algorithm="http://www.w3.org/2001/04/xmlenc#sha256"/>
        <DigestValue>LuKsA/KevaCTqYE2xMoJpvEjWNHx7jsHbHiR2Ru0se8=</DigestValue>
      </Reference>
      <Reference URI="/xl/worksheets/sheet13.xml?ContentType=application/vnd.openxmlformats-officedocument.spreadsheetml.worksheet+xml">
        <DigestMethod Algorithm="http://www.w3.org/2001/04/xmlenc#sha256"/>
        <DigestValue>vYGLiS1dPk8GT1npy58P9uJxXLk2U7usv5nLXK1qf6I=</DigestValue>
      </Reference>
      <Reference URI="/xl/worksheets/sheet14.xml?ContentType=application/vnd.openxmlformats-officedocument.spreadsheetml.worksheet+xml">
        <DigestMethod Algorithm="http://www.w3.org/2001/04/xmlenc#sha256"/>
        <DigestValue>LwJFgLjzSw4RbXURetuLiuH2Dqn9BnXgngWh8Azl1w8=</DigestValue>
      </Reference>
      <Reference URI="/xl/worksheets/sheet15.xml?ContentType=application/vnd.openxmlformats-officedocument.spreadsheetml.worksheet+xml">
        <DigestMethod Algorithm="http://www.w3.org/2001/04/xmlenc#sha256"/>
        <DigestValue>NMQAZQq2y7y+IWjKxEG6r4xHVXhJHnuDsZKvI4lLogA=</DigestValue>
      </Reference>
      <Reference URI="/xl/worksheets/sheet16.xml?ContentType=application/vnd.openxmlformats-officedocument.spreadsheetml.worksheet+xml">
        <DigestMethod Algorithm="http://www.w3.org/2001/04/xmlenc#sha256"/>
        <DigestValue>hxGgNe3Omge6X8wukGzbK2YJc9E8wZ09cVBzv3m2C28=</DigestValue>
      </Reference>
      <Reference URI="/xl/worksheets/sheet17.xml?ContentType=application/vnd.openxmlformats-officedocument.spreadsheetml.worksheet+xml">
        <DigestMethod Algorithm="http://www.w3.org/2001/04/xmlenc#sha256"/>
        <DigestValue>7vDU6TqSQl65PBm4IHZp4qEwW62mssWU6RyM6ZFgPgY=</DigestValue>
      </Reference>
      <Reference URI="/xl/worksheets/sheet18.xml?ContentType=application/vnd.openxmlformats-officedocument.spreadsheetml.worksheet+xml">
        <DigestMethod Algorithm="http://www.w3.org/2001/04/xmlenc#sha256"/>
        <DigestValue>Vtf5A2Qo5ABK1JaPaCtAwc4me14IKN4KEvPgngLBxKI=</DigestValue>
      </Reference>
      <Reference URI="/xl/worksheets/sheet19.xml?ContentType=application/vnd.openxmlformats-officedocument.spreadsheetml.worksheet+xml">
        <DigestMethod Algorithm="http://www.w3.org/2001/04/xmlenc#sha256"/>
        <DigestValue>bDpHadgTPGXPOmBnH+8DdXbH5unGH1XM7CeMO4bRxdQ=</DigestValue>
      </Reference>
      <Reference URI="/xl/worksheets/sheet2.xml?ContentType=application/vnd.openxmlformats-officedocument.spreadsheetml.worksheet+xml">
        <DigestMethod Algorithm="http://www.w3.org/2001/04/xmlenc#sha256"/>
        <DigestValue>CzgO7TvcYQ75bEDiSpvto9vBUlMRhbuB/HWSY5GsPKs=</DigestValue>
      </Reference>
      <Reference URI="/xl/worksheets/sheet20.xml?ContentType=application/vnd.openxmlformats-officedocument.spreadsheetml.worksheet+xml">
        <DigestMethod Algorithm="http://www.w3.org/2001/04/xmlenc#sha256"/>
        <DigestValue>oQfHrYG0OiJxsDgTQAYnTFpD7CJvIGIPjaaFUlfpnZ4=</DigestValue>
      </Reference>
      <Reference URI="/xl/worksheets/sheet21.xml?ContentType=application/vnd.openxmlformats-officedocument.spreadsheetml.worksheet+xml">
        <DigestMethod Algorithm="http://www.w3.org/2001/04/xmlenc#sha256"/>
        <DigestValue>V7VTZ6XGXQ+iaTsjOMQiuwkkYOMwygRhrb/85G+ToCk=</DigestValue>
      </Reference>
      <Reference URI="/xl/worksheets/sheet22.xml?ContentType=application/vnd.openxmlformats-officedocument.spreadsheetml.worksheet+xml">
        <DigestMethod Algorithm="http://www.w3.org/2001/04/xmlenc#sha256"/>
        <DigestValue>gJgMWAAa+gbfhewMvUQ4i4XCuOq+T9wSIHsPnjfEmRs=</DigestValue>
      </Reference>
      <Reference URI="/xl/worksheets/sheet23.xml?ContentType=application/vnd.openxmlformats-officedocument.spreadsheetml.worksheet+xml">
        <DigestMethod Algorithm="http://www.w3.org/2001/04/xmlenc#sha256"/>
        <DigestValue>xi0VLhn6E1TNmICWuiFzyTC1QcUG8glh7clKVLBU5KQ=</DigestValue>
      </Reference>
      <Reference URI="/xl/worksheets/sheet24.xml?ContentType=application/vnd.openxmlformats-officedocument.spreadsheetml.worksheet+xml">
        <DigestMethod Algorithm="http://www.w3.org/2001/04/xmlenc#sha256"/>
        <DigestValue>hWs3UZL0CO/eI/GRvQIRbLAmmgqNUx+WmZmGuit2xGc=</DigestValue>
      </Reference>
      <Reference URI="/xl/worksheets/sheet25.xml?ContentType=application/vnd.openxmlformats-officedocument.spreadsheetml.worksheet+xml">
        <DigestMethod Algorithm="http://www.w3.org/2001/04/xmlenc#sha256"/>
        <DigestValue>0JCrCW/Mn6oMiNxo7KZnI7jso19GQQutGQZ6Pwq1Bcw=</DigestValue>
      </Reference>
      <Reference URI="/xl/worksheets/sheet26.xml?ContentType=application/vnd.openxmlformats-officedocument.spreadsheetml.worksheet+xml">
        <DigestMethod Algorithm="http://www.w3.org/2001/04/xmlenc#sha256"/>
        <DigestValue>qhGmjC+obn6I4Id3duLIK80tTw1vEGBLa2EnPvqO2eY=</DigestValue>
      </Reference>
      <Reference URI="/xl/worksheets/sheet27.xml?ContentType=application/vnd.openxmlformats-officedocument.spreadsheetml.worksheet+xml">
        <DigestMethod Algorithm="http://www.w3.org/2001/04/xmlenc#sha256"/>
        <DigestValue>7JSo5RHO9ObQCYAlfpSTV1pEtjz+vFE71INJlvHwyuM=</DigestValue>
      </Reference>
      <Reference URI="/xl/worksheets/sheet28.xml?ContentType=application/vnd.openxmlformats-officedocument.spreadsheetml.worksheet+xml">
        <DigestMethod Algorithm="http://www.w3.org/2001/04/xmlenc#sha256"/>
        <DigestValue>XtTu4pD7SRqdGEqWQZ7YHMUzbjktJLpBuLzH/OxZh4Y=</DigestValue>
      </Reference>
      <Reference URI="/xl/worksheets/sheet29.xml?ContentType=application/vnd.openxmlformats-officedocument.spreadsheetml.worksheet+xml">
        <DigestMethod Algorithm="http://www.w3.org/2001/04/xmlenc#sha256"/>
        <DigestValue>g0JRlMS5qaDIbV4Wn2KHhs7skj94wSyJv19TVG8gcdc=</DigestValue>
      </Reference>
      <Reference URI="/xl/worksheets/sheet3.xml?ContentType=application/vnd.openxmlformats-officedocument.spreadsheetml.worksheet+xml">
        <DigestMethod Algorithm="http://www.w3.org/2001/04/xmlenc#sha256"/>
        <DigestValue>SEp9Ax3Vjw+IW5r8E0rf5G+HrrinMw4sQkP25HY7+0s=</DigestValue>
      </Reference>
      <Reference URI="/xl/worksheets/sheet30.xml?ContentType=application/vnd.openxmlformats-officedocument.spreadsheetml.worksheet+xml">
        <DigestMethod Algorithm="http://www.w3.org/2001/04/xmlenc#sha256"/>
        <DigestValue>D0NqQ3/eUyP5+QRWPYOFBhRFTvuD6ZcjyF48RCsTEko=</DigestValue>
      </Reference>
      <Reference URI="/xl/worksheets/sheet31.xml?ContentType=application/vnd.openxmlformats-officedocument.spreadsheetml.worksheet+xml">
        <DigestMethod Algorithm="http://www.w3.org/2001/04/xmlenc#sha256"/>
        <DigestValue>Er9/+y/EdUeq5mgw2z0eVneHlpdK9CbApsSPentQr3o=</DigestValue>
      </Reference>
      <Reference URI="/xl/worksheets/sheet32.xml?ContentType=application/vnd.openxmlformats-officedocument.spreadsheetml.worksheet+xml">
        <DigestMethod Algorithm="http://www.w3.org/2001/04/xmlenc#sha256"/>
        <DigestValue>nijhHaIkKOoIlkS8QCTHcd+0G7kB6VRfSYAGvnaA1D0=</DigestValue>
      </Reference>
      <Reference URI="/xl/worksheets/sheet33.xml?ContentType=application/vnd.openxmlformats-officedocument.spreadsheetml.worksheet+xml">
        <DigestMethod Algorithm="http://www.w3.org/2001/04/xmlenc#sha256"/>
        <DigestValue>olGPjPMrXuxdeqEDd+7ibrn0GU8FU3LpV1XwhPFflKw=</DigestValue>
      </Reference>
      <Reference URI="/xl/worksheets/sheet34.xml?ContentType=application/vnd.openxmlformats-officedocument.spreadsheetml.worksheet+xml">
        <DigestMethod Algorithm="http://www.w3.org/2001/04/xmlenc#sha256"/>
        <DigestValue>/Nm5YGJsVyxrvpsGBZp7wVLnhW0/DLBODxpDMKonGdc=</DigestValue>
      </Reference>
      <Reference URI="/xl/worksheets/sheet35.xml?ContentType=application/vnd.openxmlformats-officedocument.spreadsheetml.worksheet+xml">
        <DigestMethod Algorithm="http://www.w3.org/2001/04/xmlenc#sha256"/>
        <DigestValue>qPA4KaAFlMcx4GikkrCWFz9b8ngVTuEamdXMm/7z548=</DigestValue>
      </Reference>
      <Reference URI="/xl/worksheets/sheet36.xml?ContentType=application/vnd.openxmlformats-officedocument.spreadsheetml.worksheet+xml">
        <DigestMethod Algorithm="http://www.w3.org/2001/04/xmlenc#sha256"/>
        <DigestValue>Th/waP4g++TtefGej6pSRMAkUtQ56XDtQ4KaGyFB8u8=</DigestValue>
      </Reference>
      <Reference URI="/xl/worksheets/sheet37.xml?ContentType=application/vnd.openxmlformats-officedocument.spreadsheetml.worksheet+xml">
        <DigestMethod Algorithm="http://www.w3.org/2001/04/xmlenc#sha256"/>
        <DigestValue>lDIG4cM2cl+ziJVqW1L+1Hd1QOvg+8iBPs/eOkMbKwA=</DigestValue>
      </Reference>
      <Reference URI="/xl/worksheets/sheet38.xml?ContentType=application/vnd.openxmlformats-officedocument.spreadsheetml.worksheet+xml">
        <DigestMethod Algorithm="http://www.w3.org/2001/04/xmlenc#sha256"/>
        <DigestValue>tUHvFYaNCgnIWTDXj6sTtoXOLGgypxny3pNayMGClT0=</DigestValue>
      </Reference>
      <Reference URI="/xl/worksheets/sheet39.xml?ContentType=application/vnd.openxmlformats-officedocument.spreadsheetml.worksheet+xml">
        <DigestMethod Algorithm="http://www.w3.org/2001/04/xmlenc#sha256"/>
        <DigestValue>lyoo9zgJtQp/aBBN5NCOnNUCFs5OEjPfrRV2WcQcXuo=</DigestValue>
      </Reference>
      <Reference URI="/xl/worksheets/sheet4.xml?ContentType=application/vnd.openxmlformats-officedocument.spreadsheetml.worksheet+xml">
        <DigestMethod Algorithm="http://www.w3.org/2001/04/xmlenc#sha256"/>
        <DigestValue>E3hykQrcoaYQUXMKnZ/YN+kvpeo+1nPzjqlzQKR9h8I=</DigestValue>
      </Reference>
      <Reference URI="/xl/worksheets/sheet40.xml?ContentType=application/vnd.openxmlformats-officedocument.spreadsheetml.worksheet+xml">
        <DigestMethod Algorithm="http://www.w3.org/2001/04/xmlenc#sha256"/>
        <DigestValue>nfoTUbCUpNc8qL69Mxm0ap8We0LJZAtvJy3NIMlK3xM=</DigestValue>
      </Reference>
      <Reference URI="/xl/worksheets/sheet41.xml?ContentType=application/vnd.openxmlformats-officedocument.spreadsheetml.worksheet+xml">
        <DigestMethod Algorithm="http://www.w3.org/2001/04/xmlenc#sha256"/>
        <DigestValue>YTIy8jLX2oPPUrvEECvt2Hc4S0+S7C2JfCIuwRl04oo=</DigestValue>
      </Reference>
      <Reference URI="/xl/worksheets/sheet42.xml?ContentType=application/vnd.openxmlformats-officedocument.spreadsheetml.worksheet+xml">
        <DigestMethod Algorithm="http://www.w3.org/2001/04/xmlenc#sha256"/>
        <DigestValue>K9dhDhAhByXVRHH7RKibd2oq4X5JxqJNSZonTprfZ4A=</DigestValue>
      </Reference>
      <Reference URI="/xl/worksheets/sheet43.xml?ContentType=application/vnd.openxmlformats-officedocument.spreadsheetml.worksheet+xml">
        <DigestMethod Algorithm="http://www.w3.org/2001/04/xmlenc#sha256"/>
        <DigestValue>ei1ARjYHDIQAGOce3mNEeoy/u0Ej/Vfp5Lw+t4+GXpM=</DigestValue>
      </Reference>
      <Reference URI="/xl/worksheets/sheet44.xml?ContentType=application/vnd.openxmlformats-officedocument.spreadsheetml.worksheet+xml">
        <DigestMethod Algorithm="http://www.w3.org/2001/04/xmlenc#sha256"/>
        <DigestValue>QzpplyxUkNL9b/ydKRgTXEDJ8E0blQmosotrS/c0Gqg=</DigestValue>
      </Reference>
      <Reference URI="/xl/worksheets/sheet45.xml?ContentType=application/vnd.openxmlformats-officedocument.spreadsheetml.worksheet+xml">
        <DigestMethod Algorithm="http://www.w3.org/2001/04/xmlenc#sha256"/>
        <DigestValue>wVyqmYMmNbAyhL5ApU3obNWgjnAMyaQAJiFL2bD+E6Y=</DigestValue>
      </Reference>
      <Reference URI="/xl/worksheets/sheet46.xml?ContentType=application/vnd.openxmlformats-officedocument.spreadsheetml.worksheet+xml">
        <DigestMethod Algorithm="http://www.w3.org/2001/04/xmlenc#sha256"/>
        <DigestValue>CNMj9fiLwgIbnuORFJUQ81V+KBx0To9ZOiAfJjkdibI=</DigestValue>
      </Reference>
      <Reference URI="/xl/worksheets/sheet47.xml?ContentType=application/vnd.openxmlformats-officedocument.spreadsheetml.worksheet+xml">
        <DigestMethod Algorithm="http://www.w3.org/2001/04/xmlenc#sha256"/>
        <DigestValue>/++fs5/YZ8bxt1VFB1yvIZaXK7jVoDLD+xWUfsBR/s4=</DigestValue>
      </Reference>
      <Reference URI="/xl/worksheets/sheet5.xml?ContentType=application/vnd.openxmlformats-officedocument.spreadsheetml.worksheet+xml">
        <DigestMethod Algorithm="http://www.w3.org/2001/04/xmlenc#sha256"/>
        <DigestValue>dakVH0G8WzoNhRndq1OTiPaCLW3WRw2jLo8tWM+qyhg=</DigestValue>
      </Reference>
      <Reference URI="/xl/worksheets/sheet6.xml?ContentType=application/vnd.openxmlformats-officedocument.spreadsheetml.worksheet+xml">
        <DigestMethod Algorithm="http://www.w3.org/2001/04/xmlenc#sha256"/>
        <DigestValue>T01fkxUH7AvU+9KPRz5EEXLYjBMHULh+bmKvVZYVgw0=</DigestValue>
      </Reference>
      <Reference URI="/xl/worksheets/sheet7.xml?ContentType=application/vnd.openxmlformats-officedocument.spreadsheetml.worksheet+xml">
        <DigestMethod Algorithm="http://www.w3.org/2001/04/xmlenc#sha256"/>
        <DigestValue>K+Mj7/6FlswLuCgkFW3GBDOGEkOo/9TL7DoEx9ypXqc=</DigestValue>
      </Reference>
      <Reference URI="/xl/worksheets/sheet8.xml?ContentType=application/vnd.openxmlformats-officedocument.spreadsheetml.worksheet+xml">
        <DigestMethod Algorithm="http://www.w3.org/2001/04/xmlenc#sha256"/>
        <DigestValue>ni4vsNl0QAsUm33DR4Dy4/VA9Z+gzBt/bj+JB0SjCc4=</DigestValue>
      </Reference>
      <Reference URI="/xl/worksheets/sheet9.xml?ContentType=application/vnd.openxmlformats-officedocument.spreadsheetml.worksheet+xml">
        <DigestMethod Algorithm="http://www.w3.org/2001/04/xmlenc#sha256"/>
        <DigestValue>b2rQ0ydUkaPFloZQJ4YtFIZf41+kvl+V8/XbuR6yimc=</DigestValue>
      </Reference>
    </Manifest>
    <SignatureProperties>
      <SignatureProperty Id="idSignatureTime" Target="#idPackageSignature">
        <mdssi:SignatureTime xmlns:mdssi="http://schemas.openxmlformats.org/package/2006/digital-signature">
          <mdssi:Format>YYYY-MM-DDThh:mm:ssTZD</mdssi:Format>
          <mdssi:Value>2020-06-30T20:41:44Z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2020-06-30T20:41:44Z</xd:SigningTime>
          <xd:SigningCertificate>
            <xd:Cert>
              <xd:CertDigest>
                <DigestMethod Algorithm="http://www.w3.org/2001/04/xmlenc#sha256"/>
                <DigestValue>OlOG/ORLaBtAbiCwAm+4c0JVBjhFmtj1lbk2OaLGpNU=</DigestValue>
              </xd:CertDigest>
              <xd:IssuerSerial>
                <X509IssuerName>CN=CA-VIT S.A., O=VIT S.A., C=PY, SERIALNUMBER=RUC 80080099-0</X509IssuerName>
                <X509SerialNumber>99867735372960804536541762882638791008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eANbZ8UKPZkFCB/tYbvFJ5Sx3wqggsT/hXP0iImQjvk=</DigestValue>
    </Reference>
    <Reference Type="http://www.w3.org/2000/09/xmldsig#Object" URI="#idOfficeObject">
      <DigestMethod Algorithm="http://www.w3.org/2001/04/xmlenc#sha256"/>
      <DigestValue>Wjy3FP7/qafyXZ4WSc1FvbgyiNS8jREUsXy3sebCF0U=</DigestValue>
    </Reference>
    <Reference Type="http://uri.etsi.org/01903#SignedProperties" URI="#idSignedProperties">
      <Transforms>
        <Transform Algorithm="http://www.w3.org/TR/2001/REC-xml-c14n-20010315"/>
      </Transforms>
      <DigestMethod Algorithm="http://www.w3.org/2001/04/xmlenc#sha256"/>
      <DigestValue>flHcXmIqFF782tKnBvLtHrxF9fGAxbk+UJHaElcnhdw=</DigestValue>
    </Reference>
  </SignedInfo>
  <SignatureValue>bH5QLHO/KsiLk9yhzqYF/DJ8J+SMghh5PQjPjOw5wLTZJrF+WdVow7OprOn4LnW2dZ4lKr/TKGN3
ZTsfW7n2+5FBa3LeXhZt07IgNgahrqLZQtyK84L0uFBQvRy8ugDl+nFB+CoJTte3nYvjly83qfNU
D62sZn3Suy/6uMhjajO+CqIxXC7ygLjFxhGLFEhoBvjZQVQK7vXuCbMUReL9jw1b+u5quE7DpL1C
lVy2oPzqmoTDtP9RO9GCd26sJM0aqqKQhP5NYNhJT9PAk30r37bfQPVzWVAZ58wJYA7rq9d/JmG/
3RgoAS/Vv36jypd8rlpl2xhQEwNqxNcJH0AahQ==</SignatureValue>
  <KeyInfo>
    <X509Data>
      <X509Certificate>MIIHyTCCBbGgAwIBAgIQAJUh5zmsmPte+0ABnWrHJzANBgkqhkiG9w0BAQsFADBPMRcwFQYDVQQFEw5SVUMgODAwODAwOTktMDELMAkGA1UEBhMCUFkxETAPBgNVBAoMCFZJVCBTLkEuMRQwEgYDVQQDEwtDQS1WSVQgUy5BLjAeFw0yMDA2MzAxMzM3MDVaFw0yMjA2MzAxMzM3MDVaMIGlMRYwFAYDVQQqDA1KQVZJRVIgQU5EUkVTMRcwFQYDVQQEDA5CRU5JVEVaIERVQVJURTESMBAGA1UEBRMJQ0kxMjIzNjAxMSUwIwYDVQQDDBxKQVZJRVIgQU5EUkVTIEJFTklURVogRFVBUlRFMREwDwYDVQQLDAhGSVJNQSBGMjEXMBUGA1UECgwOUEVSU09OQSBGSVNJQ0ExCzAJBgNVBAYTAlBZMIIBIjANBgkqhkiG9w0BAQEFAAOCAQ8AMIIBCgKCAQEA8DRiYBDZLHfDershDeNePmfvPollOGfBcenkhqOZvlFOr+NMncSXLVkuK4Th6aN824YptoFyCmThnWv9ZuPLawcGFPYv0aIl/iokExZDx+vAvzHo9XXrzbinn3vKBBQrKxx1lp6u4BTBMvrOS+ZXqeVBSinhxp63C/mOnYMLZEmU4Z+NWz5AAH4nejWVtqle0p3OEUPsStKWTbQrO/JNvN/FCpBb86qgiZk9OmuTCabWOkmxqKqv5SX6uMoD2q6np7UT5a3iNWmbtmvx9KdsXHZR4PJ/YuLNlBoUo4uabTHytKThzM5KebO8s6qoP5aHq0kkFdVdUCeM3nVJfTFqhwIDAQABo4IDSDCCA0QwDAYDVR0TAQH/BAIwADAOBgNVHQ8BAf8EBAMCBeAwLAYDVR0lAQH/BCIwIAYIKwYBBQUHAwQGCCsGAQUFBwMCBgorBgEEAYI3FAICMB0GA1UdDgQWBBTov264rhWl/lx1j/MDpY5F8RrcS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q6X6NMoy61Y3BYRk9sqWFhPhLte3l46mP011IozKSJMXLJrsT5jD3yBQzZFcwOVQrj0Yp2/PKrP7+7RcbWtW78z12dCKbjHs9NAmmDImpVQSfGio6zIM+6y6nY4pCvQZS024aS8XbxrhODswyiUVrij1EIpwjQ8mbImIXfl2HQ6g2ABGBLTXZbX6zi9Zyc+ZD88O5bqg0PhJn9c4N2MfDoK2u3zX8sllluG5J6cEP+R3TNNOV6BPWUEbhD3CYMeJr5BLq7Q2MZLxVBD561NJSmHLMf5Grqc8gfK/ulG7wXG9HKrTdPNWxGopcPmtklNxIaenr3WNpZHUGM5wiMsadvZoRS3YmOedUrtHu/ZLds5x/fFX3MW9bD8vRIw5Su64KDtJeScRZJXvNxxPrXcy81ca3QiBnOC4JHx1sFHLEmP6xS7Y0A/I1wktEEzizyYqOkJku/UKCcv8AKaTJrk8S2RzqcjrBjY70leTbxVyDvq853btsBvXMPBKYrvLK1Jl43WZOdRGkZpKJgr0ZUw/3iUeljypm/sKOFsh+nkGMxxUqglxSUrxNif/kH3uqF2Y7HoWkkkU5WbLab+T06vFDU0pHRtVO6S9OB18iUMD+9GwX6GnE/zeRnvnY/ORoz3AMDxksMbSf5r0PamuTLui8jHfoFHXT+mzfX+tW7YTUC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84"/>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g/NbZAmhJLy3UOXRLRT0BYml18izAJxMDb7K+ZgwolE=</DigestValue>
      </Reference>
      <Reference URI="/xl/calcChain.xml?ContentType=application/vnd.openxmlformats-officedocument.spreadsheetml.calcChain+xml">
        <DigestMethod Algorithm="http://www.w3.org/2001/04/xmlenc#sha256"/>
        <DigestValue>ZieGu7AMVCH/4xg3zqmkr/Mf1Z04h6pDwyYIneqgPAs=</DigestValue>
      </Reference>
      <Reference URI="/xl/comments1.xml?ContentType=application/vnd.openxmlformats-officedocument.spreadsheetml.comments+xml">
        <DigestMethod Algorithm="http://www.w3.org/2001/04/xmlenc#sha256"/>
        <DigestValue>I+0A+h/e08NVTwED604TqpqTWhhv79t+X1dlobBJgJ0=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PoORoF5QkIhatxBoAqsSyHbXfQolck0Fj5kuIk44OuE=</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CHqaHTuftENll1Plk985c5Y2idDSqR7f0J1kKaAV7cg=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J46eMWzAqPJRs+iua8Cqh7bmCse+B3CI/DD80gnA+vo=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drawing1.xml?ContentType=application/vnd.openxmlformats-officedocument.drawing+xml">
        <DigestMethod Algorithm="http://www.w3.org/2001/04/xmlenc#sha256"/>
        <DigestValue>5TRbIJfmsttI5Nxeo5zRvoSdpDYCNvs/1SxKdCxQGSM=</DigestValue>
      </Reference>
      <Reference URI="/xl/drawings/drawing2.xml?ContentType=application/vnd.openxmlformats-officedocument.drawing+xml">
        <DigestMethod Algorithm="http://www.w3.org/2001/04/xmlenc#sha256"/>
        <DigestValue>QSYAFXtWHSqxi4UxEPulGiuO0yinuFOPmq+2uamVccc=</DigestValue>
      </Reference>
      <Reference URI="/xl/drawings/drawing3.xml?ContentType=application/vnd.openxmlformats-officedocument.drawing+xml">
        <DigestMethod Algorithm="http://www.w3.org/2001/04/xmlenc#sha256"/>
        <DigestValue>9C7Rh25TdeZ+48v0vMIPih7F0Yi+BUiE+QgYJaDaFBI=</DigestValue>
      </Reference>
      <Reference URI="/xl/drawings/drawing4.xml?ContentType=application/vnd.openxmlformats-officedocument.drawing+xml">
        <DigestMethod Algorithm="http://www.w3.org/2001/04/xmlenc#sha256"/>
        <DigestValue>Fmgr/jB8dcTuxGbY7IX9s3vzwK+KG2oP4dUZxU4/c8k=</DigestValue>
      </Reference>
      <Reference URI="/xl/drawings/drawing5.xml?ContentType=application/vnd.openxmlformats-officedocument.drawing+xml">
        <DigestMethod Algorithm="http://www.w3.org/2001/04/xmlenc#sha256"/>
        <DigestValue>8nktHXyXDmH365pzxhsDvUAjFgAg2LoDIy38lKXdj8g=</DigestValue>
      </Reference>
      <Reference URI="/xl/drawings/drawing6.xml?ContentType=application/vnd.openxmlformats-officedocument.drawing+xml">
        <DigestMethod Algorithm="http://www.w3.org/2001/04/xmlenc#sha256"/>
        <DigestValue>4zCOaGfjVzURBgOp3vu5EVPbsHzrNa8vnbDzS66v1Ts=</DigestValue>
      </Reference>
      <Reference URI="/xl/drawings/drawing7.xml?ContentType=application/vnd.openxmlformats-officedocument.drawing+xml">
        <DigestMethod Algorithm="http://www.w3.org/2001/04/xmlenc#sha256"/>
        <DigestValue>IC9VO8ZPStOfAN0GbdkrO3ZyrTb5GYJAJEbXa19bORk=</DigestValue>
      </Reference>
      <Reference URI="/xl/drawings/drawing8.xml?ContentType=application/vnd.openxmlformats-officedocument.drawing+xml">
        <DigestMethod Algorithm="http://www.w3.org/2001/04/xmlenc#sha256"/>
        <DigestValue>pYx2E1ndL0QJ9YZuij/kXGS4FXm6itPwa9jlQmREewI=</DigestValue>
      </Reference>
      <Reference URI="/xl/drawings/vmlDrawing1.vml?ContentType=application/vnd.openxmlformats-officedocument.vmlDrawing">
        <DigestMethod Algorithm="http://www.w3.org/2001/04/xmlenc#sha256"/>
        <DigestValue>EVJo9j/SUtQplEKvGMxI8gvy7muXK4kg0mER1pkfMEY=</DigestValue>
      </Reference>
      <Reference URI="/xl/drawings/vmlDrawing10.vml?ContentType=application/vnd.openxmlformats-officedocument.vmlDrawing">
        <DigestMethod Algorithm="http://www.w3.org/2001/04/xmlenc#sha256"/>
        <DigestValue>qFAVSNL3AxRCGJwO3UIFTSTg9r/ajoNLsMwRsA8ChXM=</DigestValue>
      </Reference>
      <Reference URI="/xl/drawings/vmlDrawing11.vml?ContentType=application/vnd.openxmlformats-officedocument.vmlDrawing">
        <DigestMethod Algorithm="http://www.w3.org/2001/04/xmlenc#sha256"/>
        <DigestValue>RIcxEHnOVSzhLd/aASeO0nqddHFJNAX+DmwMJIIi5ns=</DigestValue>
      </Reference>
      <Reference URI="/xl/drawings/vmlDrawing12.vml?ContentType=application/vnd.openxmlformats-officedocument.vmlDrawing">
        <DigestMethod Algorithm="http://www.w3.org/2001/04/xmlenc#sha256"/>
        <DigestValue>VUYDKNXhBy8FcqIhtVlpZJL2xX+ZPhMqzDxm1UC1RWo=</DigestValue>
      </Reference>
      <Reference URI="/xl/drawings/vmlDrawing13.vml?ContentType=application/vnd.openxmlformats-officedocument.vmlDrawing">
        <DigestMethod Algorithm="http://www.w3.org/2001/04/xmlenc#sha256"/>
        <DigestValue>4CmxP2uFmWZPk+eV19h4Pw0VQpM+hh31qJT4r9I6nTc=</DigestValue>
      </Reference>
      <Reference URI="/xl/drawings/vmlDrawing14.vml?ContentType=application/vnd.openxmlformats-officedocument.vmlDrawing">
        <DigestMethod Algorithm="http://www.w3.org/2001/04/xmlenc#sha256"/>
        <DigestValue>QSzaNd9YpcrsNBlG6qFndIG9XzSVlYoFz7j3B2scFhg=</DigestValue>
      </Reference>
      <Reference URI="/xl/drawings/vmlDrawing15.vml?ContentType=application/vnd.openxmlformats-officedocument.vmlDrawing">
        <DigestMethod Algorithm="http://www.w3.org/2001/04/xmlenc#sha256"/>
        <DigestValue>VsYPpyAbH1wUAc70he/AcTvwpAOoI1nm5McZQAiPwbU=</DigestValue>
      </Reference>
      <Reference URI="/xl/drawings/vmlDrawing16.vml?ContentType=application/vnd.openxmlformats-officedocument.vmlDrawing">
        <DigestMethod Algorithm="http://www.w3.org/2001/04/xmlenc#sha256"/>
        <DigestValue>aEDzyb8lYQQlbNG30NIXdoJ9fdAgooVfKkEc91z+D6w=</DigestValue>
      </Reference>
      <Reference URI="/xl/drawings/vmlDrawing2.vml?ContentType=application/vnd.openxmlformats-officedocument.vmlDrawing">
        <DigestMethod Algorithm="http://www.w3.org/2001/04/xmlenc#sha256"/>
        <DigestValue>d/znkDLc4tc1QP2VoAe/Pp1iGQHxzoOilzpUASpfshk=</DigestValue>
      </Reference>
      <Reference URI="/xl/drawings/vmlDrawing3.vml?ContentType=application/vnd.openxmlformats-officedocument.vmlDrawing">
        <DigestMethod Algorithm="http://www.w3.org/2001/04/xmlenc#sha256"/>
        <DigestValue>Omdi4wlHfzsnUO7AI9ZsqfH5y/c1E+DXnsSyiRqYcHY=</DigestValue>
      </Reference>
      <Reference URI="/xl/drawings/vmlDrawing4.vml?ContentType=application/vnd.openxmlformats-officedocument.vmlDrawing">
        <DigestMethod Algorithm="http://www.w3.org/2001/04/xmlenc#sha256"/>
        <DigestValue>FnTzjzetOp5YCgxuvv+QlqpSPmlYXYcRSOra0mpZE8U=</DigestValue>
      </Reference>
      <Reference URI="/xl/drawings/vmlDrawing5.vml?ContentType=application/vnd.openxmlformats-officedocument.vmlDrawing">
        <DigestMethod Algorithm="http://www.w3.org/2001/04/xmlenc#sha256"/>
        <DigestValue>5SdI6l2hNBcCmMK0lXdaGVKEmBMFmYgAxrO/wZvfjow=</DigestValue>
      </Reference>
      <Reference URI="/xl/drawings/vmlDrawing6.vml?ContentType=application/vnd.openxmlformats-officedocument.vmlDrawing">
        <DigestMethod Algorithm="http://www.w3.org/2001/04/xmlenc#sha256"/>
        <DigestValue>VQ5zS+VruGx8KrcZYECTawksQxB1AIq71vPGHRJcTXM=</DigestValue>
      </Reference>
      <Reference URI="/xl/drawings/vmlDrawing7.vml?ContentType=application/vnd.openxmlformats-officedocument.vmlDrawing">
        <DigestMethod Algorithm="http://www.w3.org/2001/04/xmlenc#sha256"/>
        <DigestValue>5/rct7QNJP5iTMbYSP5sIC7QtHtQKqbH6d/WAKXsFig=</DigestValue>
      </Reference>
      <Reference URI="/xl/drawings/vmlDrawing8.vml?ContentType=application/vnd.openxmlformats-officedocument.vmlDrawing">
        <DigestMethod Algorithm="http://www.w3.org/2001/04/xmlenc#sha256"/>
        <DigestValue>Afh7kfpqnFN2zn1jlsSvKnijMR42V2meS4b9DEwgsx8=</DigestValue>
      </Reference>
      <Reference URI="/xl/drawings/vmlDrawing9.vml?ContentType=application/vnd.openxmlformats-officedocument.vmlDrawing">
        <DigestMethod Algorithm="http://www.w3.org/2001/04/xmlenc#sha256"/>
        <DigestValue>vRyRrDsCh7h4xruZ7G5GuYqYl9RtFejgGrWhxNqNCcs=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R8U+CXq4n3ckmqv4eF7VLfTzKtYH7aWHBGFRd8zrZVM=</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u/ymRklIAYRdPc4bXINETTYSPToAhoVWL/QkxFyDCc0=</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DiNGCT9/vCPzqFfDPIW9dmDKdV8P2K/dUlbqrKWWmac=</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f0KcuTbPDCd//zgGWoi2dmfXa1mTpahpfGvCU+F/tzI=</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bg3ZEqoElIrwm7UBydYNBrja5clFrSbIUCyFfBd5NRI=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gao9jhWIwrHLCnu6LXJPFHBaGMRvNMUlATEKClPMpo8=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lidY6tgH6i/u6jkIt8LRLCxQytYSsgKGXFNS0CvAHR4=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+YQK0kShSVkvSc5x/GVG2AxvusIrmVs7t8SiQMpAnIs=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5rTq8Zny7PviGtqhmB/40e/BKvS47godiSpRvrBOJFU=</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7a9ypsAMhm/Bq1mb90Wq+giXZrxyWf/Z+1xY7vfDer4=</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o/0Oy3MlwSeijIR9FmbzaXD+vAkJ/MIV/DNIZYnVpaI=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+jECDjnGJ04lm2Ar9oXTorAJxhck8ohk0fpVPLWD2p4=</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5MrZ48hyXxUMMcBls4pBPP3mQT6R4L78yyhDjIKCGtE=</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rmw473BivIxxs53Y5gyeVlP3E0t+lv9vVGd98hczjd4=</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v4aLIjCPszKhCqeWfIMg2hvzut/Tx12vtjN19P0P24I=</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G3yHkUMPLyftubnAp4bIrkHaHEKnzi2DEeeep8Sg4+o=</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Zug6xh6Wz4Ep4ZqUpKtiUAOd63OsGDwbey2qsZ4Fyc0=</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sNiLy3cskbeHFSLWBIoUBYIcdabswJnuKBbsXtXYGt4=</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R+kOF00ZWS80neIFLcEuuZOsYB8tS/eY8OcvfdZ5GHE=</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WlSkjQ6vk6QIjUUmsFmUKLU8NzrJLp0/iGverqW2KVU=</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IRg5VcPXUv4p+NpwMuB98YNQLt/2Gtk0SoZp61lEXXE=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IbUYzfiXeoUzn4h919rFp27g2VaDVeFopixITND/G5E=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0Laj0ZBFZNv/IGOY5wcHvcoPE4E50RylLp1eZxHT+tY=</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13KOJcFDGbM1qhCqzKxJsy0LymtusDR1tkHynKBGcRs=</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y+ookSXj/zqUXVYpx0wyV8qJ/mSY9q3qW6SxmLmwX9g=</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yd5YnsNpz4YLo50rrHUrGQIq29YafXj4odRjzlFaJRs=</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D8qcut/8iOBSJlFYetFE3NaQnahPbgwDDJmaNTcpZuE=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xBVbyl9gD0h74pewowP0a6GMY3Z5XlGoS8NBvClOFWQ=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0ASCX9LKcXcIr3POr2hDj7Dr1+lZ1UHdEbRnToR5hMc=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BajPgriJrQTuV8fz8B+SQhdqgkW1Fsu2rodlcn4nEE4=</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wzBf2GcpOHSk+xngjIKvGcoBEHk0FY+QD4sUStYOi3k=</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uhz+V7Yspx/WRDO/IqSMzselfxpBUB3d3zerS/LhmjE=</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wy+vHa80gVEdVzACgKgvmMaIss/fh4Yxeyd/E1ZdAjk=</DigestValue>
      </Reference>
      <Reference URI="/xl/externalLinks/externalLink1.xml?ContentType=application/vnd.openxmlformats-officedocument.spreadsheetml.externalLink+xml">
        <DigestMethod Algorithm="http://www.w3.org/2001/04/xmlenc#sha256"/>
        <DigestValue>L4DFVN4LHh/Y/+qoGE+nhWNhn61vmeiYgrvNnQlg8ZA=</DigestValue>
      </Reference>
      <Reference URI="/xl/externalLinks/externalLink10.xml?ContentType=application/vnd.openxmlformats-officedocument.spreadsheetml.externalLink+xml">
        <DigestMethod Algorithm="http://www.w3.org/2001/04/xmlenc#sha256"/>
        <DigestValue>gG2I1XhYssh66HaxiUCw9lDC7AWnrX+eLF4l/sUVyt0=</DigestValue>
      </Reference>
      <Reference URI="/xl/externalLinks/externalLink11.xml?ContentType=application/vnd.openxmlformats-officedocument.spreadsheetml.externalLink+xml">
        <DigestMethod Algorithm="http://www.w3.org/2001/04/xmlenc#sha256"/>
        <DigestValue>gG2I1XhYssh66HaxiUCw9lDC7AWnrX+eLF4l/sUVyt0=</DigestValue>
      </Reference>
      <Reference URI="/xl/externalLinks/externalLink12.xml?ContentType=application/vnd.openxmlformats-officedocument.spreadsheetml.externalLink+xml">
        <DigestMethod Algorithm="http://www.w3.org/2001/04/xmlenc#sha256"/>
        <DigestValue>9HBZ+WLnN9uFbn88LUpmOZ66EIUtAxfZbkwmOy8f1F8=</DigestValue>
      </Reference>
      <Reference URI="/xl/externalLinks/externalLink13.xml?ContentType=application/vnd.openxmlformats-officedocument.spreadsheetml.externalLink+xml">
        <DigestMethod Algorithm="http://www.w3.org/2001/04/xmlenc#sha256"/>
        <DigestValue>yQaOpH6/LwnFsjfXplCYpHExx8NI20ts8Vio3az65aI=</DigestValue>
      </Reference>
      <Reference URI="/xl/externalLinks/externalLink14.xml?ContentType=application/vnd.openxmlformats-officedocument.spreadsheetml.externalLink+xml">
        <DigestMethod Algorithm="http://www.w3.org/2001/04/xmlenc#sha256"/>
        <DigestValue>ELf3MVaS++hFyRb+rZtu2Vyu83hn5iBcoOty/vlV9N4=</DigestValue>
      </Reference>
      <Reference URI="/xl/externalLinks/externalLink15.xml?ContentType=application/vnd.openxmlformats-officedocument.spreadsheetml.externalLink+xml">
        <DigestMethod Algorithm="http://www.w3.org/2001/04/xmlenc#sha256"/>
        <DigestValue>ELf3MVaS++hFyRb+rZtu2Vyu83hn5iBcoOty/vlV9N4=</DigestValue>
      </Reference>
      <Reference URI="/xl/externalLinks/externalLink16.xml?ContentType=application/vnd.openxmlformats-officedocument.spreadsheetml.externalLink+xml">
        <DigestMethod Algorithm="http://www.w3.org/2001/04/xmlenc#sha256"/>
        <DigestValue>jwLAmaIwOnxUdOeCkEOcgHVVsHrV3FjYMlWXQCMCWpo=</DigestValue>
      </Reference>
      <Reference URI="/xl/externalLinks/externalLink17.xml?ContentType=application/vnd.openxmlformats-officedocument.spreadsheetml.externalLink+xml">
        <DigestMethod Algorithm="http://www.w3.org/2001/04/xmlenc#sha256"/>
        <DigestValue>jwLAmaIwOnxUdOeCkEOcgHVVsHrV3FjYMlWXQCMCWpo=</DigestValue>
      </Reference>
      <Reference URI="/xl/externalLinks/externalLink18.xml?ContentType=application/vnd.openxmlformats-officedocument.spreadsheetml.externalLink+xml">
        <DigestMethod Algorithm="http://www.w3.org/2001/04/xmlenc#sha256"/>
        <DigestValue>ELf3MVaS++hFyRb+rZtu2Vyu83hn5iBcoOty/vlV9N4=</DigestValue>
      </Reference>
      <Reference URI="/xl/externalLinks/externalLink19.xml?ContentType=application/vnd.openxmlformats-officedocument.spreadsheetml.externalLink+xml">
        <DigestMethod Algorithm="http://www.w3.org/2001/04/xmlenc#sha256"/>
        <DigestValue>UVl2dAt8/mgFiGAEcuCoi2+sYk07kFa3muRxH6tJ1VQ=</DigestValue>
      </Reference>
      <Reference URI="/xl/externalLinks/externalLink2.xml?ContentType=application/vnd.openxmlformats-officedocument.spreadsheetml.externalLink+xml">
        <DigestMethod Algorithm="http://www.w3.org/2001/04/xmlenc#sha256"/>
        <DigestValue>L4DFVN4LHh/Y/+qoGE+nhWNhn61vmeiYgrvNnQlg8ZA=</DigestValue>
      </Reference>
      <Reference URI="/xl/externalLinks/externalLink20.xml?ContentType=application/vnd.openxmlformats-officedocument.spreadsheetml.externalLink+xml">
        <DigestMethod Algorithm="http://www.w3.org/2001/04/xmlenc#sha256"/>
        <DigestValue>t9rRyGMKi9lnxzb468Vx8VF+3KYXd0D3FQSd5+G//n4=</DigestValue>
      </Reference>
      <Reference URI="/xl/externalLinks/externalLink21.xml?ContentType=application/vnd.openxmlformats-officedocument.spreadsheetml.externalLink+xml">
        <DigestMethod Algorithm="http://www.w3.org/2001/04/xmlenc#sha256"/>
        <DigestValue>R3EmRo0SkOezvKAMLzG1zW006+2S6j/dJNLYfMLQwbo=</DigestValue>
      </Reference>
      <Reference URI="/xl/externalLinks/externalLink22.xml?ContentType=application/vnd.openxmlformats-officedocument.spreadsheetml.externalLink+xml">
        <DigestMethod Algorithm="http://www.w3.org/2001/04/xmlenc#sha256"/>
        <DigestValue>A5FM2Gz0A+qkxZq8XPshNmAjwr5k2XvoZLD8Tqpeu88=</DigestValue>
      </Reference>
      <Reference URI="/xl/externalLinks/externalLink23.xml?ContentType=application/vnd.openxmlformats-officedocument.spreadsheetml.externalLink+xml">
        <DigestMethod Algorithm="http://www.w3.org/2001/04/xmlenc#sha256"/>
        <DigestValue>D0wkIYFufHIsHOri2/p4XpP+ErbnKDXXMaSgRPzpwrg=</DigestValue>
      </Reference>
      <Reference URI="/xl/externalLinks/externalLink24.xml?ContentType=application/vnd.openxmlformats-officedocument.spreadsheetml.externalLink+xml">
        <DigestMethod Algorithm="http://www.w3.org/2001/04/xmlenc#sha256"/>
        <DigestValue>tmMJWTtD63rYcLx55qvdvfKTySaAv/Ti8eAmo7dJY5U=</DigestValue>
      </Reference>
      <Reference URI="/xl/externalLinks/externalLink25.xml?ContentType=application/vnd.openxmlformats-officedocument.spreadsheetml.externalLink+xml">
        <DigestMethod Algorithm="http://www.w3.org/2001/04/xmlenc#sha256"/>
        <DigestValue>tmMJWTtD63rYcLx55qvdvfKTySaAv/Ti8eAmo7dJY5U=</DigestValue>
      </Reference>
      <Reference URI="/xl/externalLinks/externalLink26.xml?ContentType=application/vnd.openxmlformats-officedocument.spreadsheetml.externalLink+xml">
        <DigestMethod Algorithm="http://www.w3.org/2001/04/xmlenc#sha256"/>
        <DigestValue>QhIvoukwhlLpIUupxpK1dYoAJ/q2XwBJ0NrA+rXlIHs=</DigestValue>
      </Reference>
      <Reference URI="/xl/externalLinks/externalLink27.xml?ContentType=application/vnd.openxmlformats-officedocument.spreadsheetml.externalLink+xml">
        <DigestMethod Algorithm="http://www.w3.org/2001/04/xmlenc#sha256"/>
        <DigestValue>9fOFKyLhv2aXFUd/AlqCrKqS9fZAWb/JnEdR+2AD6Is=</DigestValue>
      </Reference>
      <Reference URI="/xl/externalLinks/externalLink28.xml?ContentType=application/vnd.openxmlformats-officedocument.spreadsheetml.externalLink+xml">
        <DigestMethod Algorithm="http://www.w3.org/2001/04/xmlenc#sha256"/>
        <DigestValue>9fOFKyLhv2aXFUd/AlqCrKqS9fZAWb/JnEdR+2AD6Is=</DigestValue>
      </Reference>
      <Reference URI="/xl/externalLinks/externalLink29.xml?ContentType=application/vnd.openxmlformats-officedocument.spreadsheetml.externalLink+xml">
        <DigestMethod Algorithm="http://www.w3.org/2001/04/xmlenc#sha256"/>
        <DigestValue>bA/jTqHj7UcgcZEa3x5XD5+KMN50DtyUimS1RgXWPIk=</DigestValue>
      </Reference>
      <Reference URI="/xl/externalLinks/externalLink3.xml?ContentType=application/vnd.openxmlformats-officedocument.spreadsheetml.externalLink+xml">
        <DigestMethod Algorithm="http://www.w3.org/2001/04/xmlenc#sha256"/>
        <DigestValue>I1n5YLsk2fyy1jws/+RBIoyO9mm78KIb1KiMhMiTY5g=</DigestValue>
      </Reference>
      <Reference URI="/xl/externalLinks/externalLink30.xml?ContentType=application/vnd.openxmlformats-officedocument.spreadsheetml.externalLink+xml">
        <DigestMethod Algorithm="http://www.w3.org/2001/04/xmlenc#sha256"/>
        <DigestValue>75t9fADA73o10f7Fq5lYxuxNSIhe/D+4ruaJZQyDgt8=</DigestValue>
      </Reference>
      <Reference URI="/xl/externalLinks/externalLink31.xml?ContentType=application/vnd.openxmlformats-officedocument.spreadsheetml.externalLink+xml">
        <DigestMethod Algorithm="http://www.w3.org/2001/04/xmlenc#sha256"/>
        <DigestValue>L0p1FDmURngj/Pm57IOqIXTdo13l4YO8uYiAVESl41k=</DigestValue>
      </Reference>
      <Reference URI="/xl/externalLinks/externalLink32.xml?ContentType=application/vnd.openxmlformats-officedocument.spreadsheetml.externalLink+xml">
        <DigestMethod Algorithm="http://www.w3.org/2001/04/xmlenc#sha256"/>
        <DigestValue>iVptCsJv9nU8G/YRT0PXtdxyUmUWHkZxKXuYNeZ8a0I=</DigestValue>
      </Reference>
      <Reference URI="/xl/externalLinks/externalLink33.xml?ContentType=application/vnd.openxmlformats-officedocument.spreadsheetml.externalLink+xml">
        <DigestMethod Algorithm="http://www.w3.org/2001/04/xmlenc#sha256"/>
        <DigestValue>x9Tk4RoZZ4U5uwYcR66ukvmaQuc6Rl0T7RuPnkZf0Qc=</DigestValue>
      </Reference>
      <Reference URI="/xl/externalLinks/externalLink34.xml?ContentType=application/vnd.openxmlformats-officedocument.spreadsheetml.externalLink+xml">
        <DigestMethod Algorithm="http://www.w3.org/2001/04/xmlenc#sha256"/>
        <DigestValue>/pF9MtpIOaiXyiKR6BEZV3lJZWEPxY4mW7y4zyMazzM=</DigestValue>
      </Reference>
      <Reference URI="/xl/externalLinks/externalLink4.xml?ContentType=application/vnd.openxmlformats-officedocument.spreadsheetml.externalLink+xml">
        <DigestMethod Algorithm="http://www.w3.org/2001/04/xmlenc#sha256"/>
        <DigestValue>FZp2tP8GntVTjdlZwnl8v0LqxOM0FvdCA2y1C7V2JM0=</DigestValue>
      </Reference>
      <Reference URI="/xl/externalLinks/externalLink5.xml?ContentType=application/vnd.openxmlformats-officedocument.spreadsheetml.externalLink+xml">
        <DigestMethod Algorithm="http://www.w3.org/2001/04/xmlenc#sha256"/>
        <DigestValue>Fnnqaf171honG6UoXCPASHz3VSg4q850qmc27J/wBL8=</DigestValue>
      </Reference>
      <Reference URI="/xl/externalLinks/externalLink6.xml?ContentType=application/vnd.openxmlformats-officedocument.spreadsheetml.externalLink+xml">
        <DigestMethod Algorithm="http://www.w3.org/2001/04/xmlenc#sha256"/>
        <DigestValue>xgykFqnoEMht9DbekVaFs1JisxSMDYCJ1aE4RmbbRTw=</DigestValue>
      </Reference>
      <Reference URI="/xl/externalLinks/externalLink7.xml?ContentType=application/vnd.openxmlformats-officedocument.spreadsheetml.externalLink+xml">
        <DigestMethod Algorithm="http://www.w3.org/2001/04/xmlenc#sha256"/>
        <DigestValue>f+qI2uERkjk5NJybukEDwCJZ7auFp8V8Wg+VfNfdgO8=</DigestValue>
      </Reference>
      <Reference URI="/xl/externalLinks/externalLink8.xml?ContentType=application/vnd.openxmlformats-officedocument.spreadsheetml.externalLink+xml">
        <DigestMethod Algorithm="http://www.w3.org/2001/04/xmlenc#sha256"/>
        <DigestValue>+AXzxDF2HHXtqwDCUz4EJVS4I/RNTv3MN7dCjRwaJ+g=</DigestValue>
      </Reference>
      <Reference URI="/xl/externalLinks/externalLink9.xml?ContentType=application/vnd.openxmlformats-officedocument.spreadsheetml.externalLink+xml">
        <DigestMethod Algorithm="http://www.w3.org/2001/04/xmlenc#sha256"/>
        <DigestValue>+AXzxDF2HHXtqwDCUz4EJVS4I/RNTv3MN7dCjRwaJ+g=</DigestValue>
      </Reference>
      <Reference URI="/xl/media/image1.jpeg?ContentType=image/jpeg">
        <DigestMethod Algorithm="http://www.w3.org/2001/04/xmlenc#sha256"/>
        <DigestValue>KhJMzQNYnuUiQVdtWMpfHyMkWzUdc3d8GdprOyL5l7k=</DigestValue>
      </Reference>
      <Reference URI="/xl/media/image2.jpeg?ContentType=image/jpeg">
        <DigestMethod Algorithm="http://www.w3.org/2001/04/xmlenc#sha256"/>
        <DigestValue>gTbXjLfxr14J+BArUPZ2Z4WPzL1h25Hx1CL9Mvmtty4=</DigestValue>
      </Reference>
      <Reference URI="/xl/media/image3.jpeg?ContentType=image/jpeg">
        <DigestMethod Algorithm="http://www.w3.org/2001/04/xmlenc#sha256"/>
        <DigestValue>cmkU65pQL0P3XQj2DSC5NsJJYt+FVQZwZz8n9DziEvU=</DigestValue>
      </Reference>
      <Reference URI="/xl/media/image4.png?ContentType=image/png">
        <DigestMethod Algorithm="http://www.w3.org/2001/04/xmlenc#sha256"/>
        <DigestValue>zsmg6GL1mLd0j+sOwyIf6om6jck8ugFcnMVPpFlm4P0=</DigestValue>
      </Reference>
      <Reference URI="/xl/media/image5.jpeg?ContentType=image/jpeg">
        <DigestMethod Algorithm="http://www.w3.org/2001/04/xmlenc#sha256"/>
        <DigestValue>cmkU65pQL0P3XQj2DSC5NsJJYt+FVQZwZz8n9DziEvU=</DigestValue>
      </Reference>
      <Reference URI="/xl/printerSettings/printerSettings1.bin?ContentType=application/vnd.openxmlformats-officedocument.spreadsheetml.printerSettings">
        <DigestMethod Algorithm="http://www.w3.org/2001/04/xmlenc#sha256"/>
        <DigestValue>964wFSuf7mS8ShJIg7F3mrfLLoNfewp56lQpnt3UgfE=</DigestValue>
      </Reference>
      <Reference URI="/xl/printerSettings/printerSettings10.bin?ContentType=application/vnd.openxmlformats-officedocument.spreadsheetml.printerSettings">
        <DigestMethod Algorithm="http://www.w3.org/2001/04/xmlenc#sha256"/>
        <DigestValue>OOhogLH5P+qtiLI6PzBWp6VNAaVBtQfRh8BlA8AC2ro=</DigestValue>
      </Reference>
      <Reference URI="/xl/printerSettings/printerSettings11.bin?ContentType=application/vnd.openxmlformats-officedocument.spreadsheetml.printerSettings">
        <DigestMethod Algorithm="http://www.w3.org/2001/04/xmlenc#sha256"/>
        <DigestValue>OOhogLH5P+qtiLI6PzBWp6VNAaVBtQfRh8BlA8AC2ro=</DigestValue>
      </Reference>
      <Reference URI="/xl/printerSettings/printerSettings12.bin?ContentType=application/vnd.openxmlformats-officedocument.spreadsheetml.printerSettings">
        <DigestMethod Algorithm="http://www.w3.org/2001/04/xmlenc#sha256"/>
        <DigestValue>OOhogLH5P+qtiLI6PzBWp6VNAaVBtQfRh8BlA8AC2ro=</DigestValue>
      </Reference>
      <Reference URI="/xl/printerSettings/printerSettings13.bin?ContentType=application/vnd.openxmlformats-officedocument.spreadsheetml.printerSettings">
        <DigestMethod Algorithm="http://www.w3.org/2001/04/xmlenc#sha256"/>
        <DigestValue>yOHuibkpOiU4kPy0RGlTpxVAu53/FpGIL8+ykjp9Dbk=</DigestValue>
      </Reference>
      <Reference URI="/xl/printerSettings/printerSettings14.bin?ContentType=application/vnd.openxmlformats-officedocument.spreadsheetml.printerSettings">
        <DigestMethod Algorithm="http://www.w3.org/2001/04/xmlenc#sha256"/>
        <DigestValue>OOhogLH5P+qtiLI6PzBWp6VNAaVBtQfRh8BlA8AC2ro=</DigestValue>
      </Reference>
      <Reference URI="/xl/printerSettings/printerSettings15.bin?ContentType=application/vnd.openxmlformats-officedocument.spreadsheetml.printerSettings">
        <DigestMethod Algorithm="http://www.w3.org/2001/04/xmlenc#sha256"/>
        <DigestValue>OOhogLH5P+qtiLI6PzBWp6VNAaVBtQfRh8BlA8AC2ro=</DigestValue>
      </Reference>
      <Reference URI="/xl/printerSettings/printerSettings16.bin?ContentType=application/vnd.openxmlformats-officedocument.spreadsheetml.printerSettings">
        <DigestMethod Algorithm="http://www.w3.org/2001/04/xmlenc#sha256"/>
        <DigestValue>G2cjAcl6Xush5M9oDGuu7EnLYZHRg9bG0UxcDeN+gKQ=</DigestValue>
      </Reference>
      <Reference URI="/xl/printerSettings/printerSettings17.bin?ContentType=application/vnd.openxmlformats-officedocument.spreadsheetml.printerSettings">
        <DigestMethod Algorithm="http://www.w3.org/2001/04/xmlenc#sha256"/>
        <DigestValue>OOhogLH5P+qtiLI6PzBWp6VNAaVBtQfRh8BlA8AC2ro=</DigestValue>
      </Reference>
      <Reference URI="/xl/printerSettings/printerSettings18.bin?ContentType=application/vnd.openxmlformats-officedocument.spreadsheetml.printerSettings">
        <DigestMethod Algorithm="http://www.w3.org/2001/04/xmlenc#sha256"/>
        <DigestValue>G2cjAcl6Xush5M9oDGuu7EnLYZHRg9bG0UxcDeN+gKQ=</DigestValue>
      </Reference>
      <Reference URI="/xl/printerSettings/printerSettings19.bin?ContentType=application/vnd.openxmlformats-officedocument.spreadsheetml.printerSettings">
        <DigestMethod Algorithm="http://www.w3.org/2001/04/xmlenc#sha256"/>
        <DigestValue>3GKVqag151SgLKrI+/t9p57g9A3GtnLdrEl1ZyFQBEA=</DigestValue>
      </Reference>
      <Reference URI="/xl/printerSettings/printerSettings2.bin?ContentType=application/vnd.openxmlformats-officedocument.spreadsheetml.printerSettings">
        <DigestMethod Algorithm="http://www.w3.org/2001/04/xmlenc#sha256"/>
        <DigestValue>G2cjAcl6Xush5M9oDGuu7EnLYZHRg9bG0UxcDeN+gKQ=</DigestValue>
      </Reference>
      <Reference URI="/xl/printerSettings/printerSettings20.bin?ContentType=application/vnd.openxmlformats-officedocument.spreadsheetml.printerSettings">
        <DigestMethod Algorithm="http://www.w3.org/2001/04/xmlenc#sha256"/>
        <DigestValue>mUBSRY4/wKTzmlc/VfaKcL5no7JR7yiDMeeJBfnTaxQ=</DigestValue>
      </Reference>
      <Reference URI="/xl/printerSettings/printerSettings21.bin?ContentType=application/vnd.openxmlformats-officedocument.spreadsheetml.printerSettings">
        <DigestMethod Algorithm="http://www.w3.org/2001/04/xmlenc#sha256"/>
        <DigestValue>mUBSRY4/wKTzmlc/VfaKcL5no7JR7yiDMeeJBfnTaxQ=</DigestValue>
      </Reference>
      <Reference URI="/xl/printerSettings/printerSettings22.bin?ContentType=application/vnd.openxmlformats-officedocument.spreadsheetml.printerSettings">
        <DigestMethod Algorithm="http://www.w3.org/2001/04/xmlenc#sha256"/>
        <DigestValue>PdBqDDUtycNaiVOburcSvI0ud9iLHvhw1OygE0Cvwzo=</DigestValue>
      </Reference>
      <Reference URI="/xl/printerSettings/printerSettings23.bin?ContentType=application/vnd.openxmlformats-officedocument.spreadsheetml.printerSettings">
        <DigestMethod Algorithm="http://www.w3.org/2001/04/xmlenc#sha256"/>
        <DigestValue>V1/8zh0XxREJh91OQnXhSKSMz0/0Y02k8YolAKwK9qY=</DigestValue>
      </Reference>
      <Reference URI="/xl/printerSettings/printerSettings24.bin?ContentType=application/vnd.openxmlformats-officedocument.spreadsheetml.printerSettings">
        <DigestMethod Algorithm="http://www.w3.org/2001/04/xmlenc#sha256"/>
        <DigestValue>V1/8zh0XxREJh91OQnXhSKSMz0/0Y02k8YolAKwK9qY=</DigestValue>
      </Reference>
      <Reference URI="/xl/printerSettings/printerSettings25.bin?ContentType=application/vnd.openxmlformats-officedocument.spreadsheetml.printerSettings">
        <DigestMethod Algorithm="http://www.w3.org/2001/04/xmlenc#sha256"/>
        <DigestValue>mUBSRY4/wKTzmlc/VfaKcL5no7JR7yiDMeeJBfnTaxQ=</DigestValue>
      </Reference>
      <Reference URI="/xl/printerSettings/printerSettings26.bin?ContentType=application/vnd.openxmlformats-officedocument.spreadsheetml.printerSettings">
        <DigestMethod Algorithm="http://www.w3.org/2001/04/xmlenc#sha256"/>
        <DigestValue>G2cjAcl6Xush5M9oDGuu7EnLYZHRg9bG0UxcDeN+gKQ=</DigestValue>
      </Reference>
      <Reference URI="/xl/printerSettings/printerSettings27.bin?ContentType=application/vnd.openxmlformats-officedocument.spreadsheetml.printerSettings">
        <DigestMethod Algorithm="http://www.w3.org/2001/04/xmlenc#sha256"/>
        <DigestValue>OOhogLH5P+qtiLI6PzBWp6VNAaVBtQfRh8BlA8AC2ro=</DigestValue>
      </Reference>
      <Reference URI="/xl/printerSettings/printerSettings28.bin?ContentType=application/vnd.openxmlformats-officedocument.spreadsheetml.printerSettings">
        <DigestMethod Algorithm="http://www.w3.org/2001/04/xmlenc#sha256"/>
        <DigestValue>G2cjAcl6Xush5M9oDGuu7EnLYZHRg9bG0UxcDeN+gKQ=</DigestValue>
      </Reference>
      <Reference URI="/xl/printerSettings/printerSettings29.bin?ContentType=application/vnd.openxmlformats-officedocument.spreadsheetml.printerSettings">
        <DigestMethod Algorithm="http://www.w3.org/2001/04/xmlenc#sha256"/>
        <DigestValue>G2cjAcl6Xush5M9oDGuu7EnLYZHRg9bG0UxcDeN+gKQ=</DigestValue>
      </Reference>
      <Reference URI="/xl/printerSettings/printerSettings3.bin?ContentType=application/vnd.openxmlformats-officedocument.spreadsheetml.printerSettings">
        <DigestMethod Algorithm="http://www.w3.org/2001/04/xmlenc#sha256"/>
        <DigestValue>G2cjAcl6Xush5M9oDGuu7EnLYZHRg9bG0UxcDeN+gKQ=</DigestValue>
      </Reference>
      <Reference URI="/xl/printerSettings/printerSettings30.bin?ContentType=application/vnd.openxmlformats-officedocument.spreadsheetml.printerSettings">
        <DigestMethod Algorithm="http://www.w3.org/2001/04/xmlenc#sha256"/>
        <DigestValue>OOhogLH5P+qtiLI6PzBWp6VNAaVBtQfRh8BlA8AC2ro=</DigestValue>
      </Reference>
      <Reference URI="/xl/printerSettings/printerSettings31.bin?ContentType=application/vnd.openxmlformats-officedocument.spreadsheetml.printerSettings">
        <DigestMethod Algorithm="http://www.w3.org/2001/04/xmlenc#sha256"/>
        <DigestValue>OOhogLH5P+qtiLI6PzBWp6VNAaVBtQfRh8BlA8AC2ro=</DigestValue>
      </Reference>
      <Reference URI="/xl/printerSettings/printerSettings32.bin?ContentType=application/vnd.openxmlformats-officedocument.spreadsheetml.printerSettings">
        <DigestMethod Algorithm="http://www.w3.org/2001/04/xmlenc#sha256"/>
        <DigestValue>OOhogLH5P+qtiLI6PzBWp6VNAaVBtQfRh8BlA8AC2ro=</DigestValue>
      </Reference>
      <Reference URI="/xl/printerSettings/printerSettings33.bin?ContentType=application/vnd.openxmlformats-officedocument.spreadsheetml.printerSettings">
        <DigestMethod Algorithm="http://www.w3.org/2001/04/xmlenc#sha256"/>
        <DigestValue>G2cjAcl6Xush5M9oDGuu7EnLYZHRg9bG0UxcDeN+gKQ=</DigestValue>
      </Reference>
      <Reference URI="/xl/printerSettings/printerSettings34.bin?ContentType=application/vnd.openxmlformats-officedocument.spreadsheetml.printerSettings">
        <DigestMethod Algorithm="http://www.w3.org/2001/04/xmlenc#sha256"/>
        <DigestValue>OOhogLH5P+qtiLI6PzBWp6VNAaVBtQfRh8BlA8AC2ro=</DigestValue>
      </Reference>
      <Reference URI="/xl/printerSettings/printerSettings35.bin?ContentType=application/vnd.openxmlformats-officedocument.spreadsheetml.printerSettings">
        <DigestMethod Algorithm="http://www.w3.org/2001/04/xmlenc#sha256"/>
        <DigestValue>G2cjAcl6Xush5M9oDGuu7EnLYZHRg9bG0UxcDeN+gKQ=</DigestValue>
      </Reference>
      <Reference URI="/xl/printerSettings/printerSettings36.bin?ContentType=application/vnd.openxmlformats-officedocument.spreadsheetml.printerSettings">
        <DigestMethod Algorithm="http://www.w3.org/2001/04/xmlenc#sha256"/>
        <DigestValue>OOhogLH5P+qtiLI6PzBWp6VNAaVBtQfRh8BlA8AC2ro=</DigestValue>
      </Reference>
      <Reference URI="/xl/printerSettings/printerSettings4.bin?ContentType=application/vnd.openxmlformats-officedocument.spreadsheetml.printerSettings">
        <DigestMethod Algorithm="http://www.w3.org/2001/04/xmlenc#sha256"/>
        <DigestValue>mUBSRY4/wKTzmlc/VfaKcL5no7JR7yiDMeeJBfnTaxQ=</DigestValue>
      </Reference>
      <Reference URI="/xl/printerSettings/printerSettings5.bin?ContentType=application/vnd.openxmlformats-officedocument.spreadsheetml.printerSettings">
        <DigestMethod Algorithm="http://www.w3.org/2001/04/xmlenc#sha256"/>
        <DigestValue>Cnz+6qhSOfplobutO/oyT+JtQtEs54D6emrmTocEYBs=</DigestValue>
      </Reference>
      <Reference URI="/xl/printerSettings/printerSettings6.bin?ContentType=application/vnd.openxmlformats-officedocument.spreadsheetml.printerSettings">
        <DigestMethod Algorithm="http://www.w3.org/2001/04/xmlenc#sha256"/>
        <DigestValue>OtGEar7NEUqIafWA9OqVJyfyFX1Z4nSTH5nTGubne00=</DigestValue>
      </Reference>
      <Reference URI="/xl/printerSettings/printerSettings7.bin?ContentType=application/vnd.openxmlformats-officedocument.spreadsheetml.printerSettings">
        <DigestMethod Algorithm="http://www.w3.org/2001/04/xmlenc#sha256"/>
        <DigestValue>OtGEar7NEUqIafWA9OqVJyfyFX1Z4nSTH5nTGubne00=</DigestValue>
      </Reference>
      <Reference URI="/xl/printerSettings/printerSettings8.bin?ContentType=application/vnd.openxmlformats-officedocument.spreadsheetml.printerSettings">
        <DigestMethod Algorithm="http://www.w3.org/2001/04/xmlenc#sha256"/>
        <DigestValue>G2cjAcl6Xush5M9oDGuu7EnLYZHRg9bG0UxcDeN+gKQ=</DigestValue>
      </Reference>
      <Reference URI="/xl/printerSettings/printerSettings9.bin?ContentType=application/vnd.openxmlformats-officedocument.spreadsheetml.printerSettings">
        <DigestMethod Algorithm="http://www.w3.org/2001/04/xmlenc#sha256"/>
        <DigestValue>G2cjAcl6Xush5M9oDGuu7EnLYZHRg9bG0UxcDeN+gKQ=</DigestValue>
      </Reference>
      <Reference URI="/xl/sharedStrings.xml?ContentType=application/vnd.openxmlformats-officedocument.spreadsheetml.sharedStrings+xml">
        <DigestMethod Algorithm="http://www.w3.org/2001/04/xmlenc#sha256"/>
        <DigestValue>hV1x3cLegIivxg0FM7oNK9LfAF3NYWhqR1tpEzK+K/8=</DigestValue>
      </Reference>
      <Reference URI="/xl/styles.xml?ContentType=application/vnd.openxmlformats-officedocument.spreadsheetml.styles+xml">
        <DigestMethod Algorithm="http://www.w3.org/2001/04/xmlenc#sha256"/>
        <DigestValue>Zzy+ZXzhSW+i4Rd9mMxVnP9dxVZ6EhD16KMJq77oNk0=</DigestValue>
      </Reference>
      <Reference URI="/xl/theme/theme1.xml?ContentType=application/vnd.openxmlformats-officedocument.theme+xml">
        <DigestMethod Algorithm="http://www.w3.org/2001/04/xmlenc#sha256"/>
        <DigestValue>AcZLPRdm0zL/e3AHbF7FovRLcYbxMpe+wA5riBLvvYk=</DigestValue>
      </Reference>
      <Reference URI="/xl/workbook.xml?ContentType=application/vnd.openxmlformats-officedocument.spreadsheetml.sheet.main+xml">
        <DigestMethod Algorithm="http://www.w3.org/2001/04/xmlenc#sha256"/>
        <DigestValue>GJ13ae4c9c0Nn/YCBGBftY1c10XDMhMTIFKGo1Niu4w=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B/XJ12j3uz+vYmiRx6X9p3ZU/9ntrMdJvuNNxLS51kQ=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2V5nlZxYWPFxdwkpEzT21eam76TbyN4HdFx9XF5eCEk=</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H1Dj7e/2ySYzlBTFxLQTmGfV8rnz1uQx0+EBokIr1Sg=</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yqNGXUHfxmduUcCs3vs0lDBWz0ANB/3KmgIIV19P7jM=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yy59IsaZ7LJogGUimwXG1SWAHnRl0Pfrb3atkxnb54A=</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crJ2cu1E0ioHOYTJ8PI7DXMQeFfZTC7wIngJEVaLfbI=</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bgxsb/AncJ/aIr9YAVxKj8wANcJO2I7uolPEozrRWn0=</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XgVvDqsdEb92iNjOdlpJG8fmvIf3WoV4/fxYSZ7jXbY=</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bmrx6I/ZPChGuCObBkuhWDeFZw/GfpPkjp8wR/cP9zs=</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W/gV0MikPwKbuxtcAyPYdPz2BI1ZPvKzZ1IOiBCTsnE=</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ha7KcD31LjbhM9bkWFA3HE0ozWtbU5PTFqgzTaGUXD4=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DkGQWHYMCzTZP9tbSQOcafuo1gsEG/OXc1ZmFzb+mww=</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v2wQQxT3dWUWyXllVircODbQeDBmLYWeebKgOpBxHgo=</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KSvMPc92CI6mP9VIkVIJwBFyvcMBNsRDtriEism+/Bg=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5N2EbADCaF4p6w3vYboztnjwbRS0qFMdVPVzjlaS3QQ=</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whuv9IuTQQmh5bSs/JF/nMnMM6uVR1LOf2KBERo8IN4=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kAf8vLPDynRFTToeW//XxiwvPULbr8q+KfSD+FcvWEM=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g/JyOkAK8YbETA2eXRsXgazBu4uG+0HrXpPGyuJN5qc=</DigestValue>
      </Reference>
      <Reference URI="/xl/worksheets/sheet10.xml?ContentType=application/vnd.openxmlformats-officedocument.spreadsheetml.worksheet+xml">
        <DigestMethod Algorithm="http://www.w3.org/2001/04/xmlenc#sha256"/>
        <DigestValue>wcj5t2thx/RqIwY+Y5EnOm3SlEG0X4NSYNSwPTZl22c=</DigestValue>
      </Reference>
      <Reference URI="/xl/worksheets/sheet11.xml?ContentType=application/vnd.openxmlformats-officedocument.spreadsheetml.worksheet+xml">
        <DigestMethod Algorithm="http://www.w3.org/2001/04/xmlenc#sha256"/>
        <DigestValue>vn5LOecn2EA1WgV89+KQqYtr4F8IZUhlnaFFxtZwONY=</DigestValue>
      </Reference>
      <Reference URI="/xl/worksheets/sheet12.xml?ContentType=application/vnd.openxmlformats-officedocument.spreadsheetml.worksheet+xml">
        <DigestMethod Algorithm="http://www.w3.org/2001/04/xmlenc#sha256"/>
        <DigestValue>LuKsA/KevaCTqYE2xMoJpvEjWNHx7jsHbHiR2Ru0se8=</DigestValue>
      </Reference>
      <Reference URI="/xl/worksheets/sheet13.xml?ContentType=application/vnd.openxmlformats-officedocument.spreadsheetml.worksheet+xml">
        <DigestMethod Algorithm="http://www.w3.org/2001/04/xmlenc#sha256"/>
        <DigestValue>vYGLiS1dPk8GT1npy58P9uJxXLk2U7usv5nLXK1qf6I=</DigestValue>
      </Reference>
      <Reference URI="/xl/worksheets/sheet14.xml?ContentType=application/vnd.openxmlformats-officedocument.spreadsheetml.worksheet+xml">
        <DigestMethod Algorithm="http://www.w3.org/2001/04/xmlenc#sha256"/>
        <DigestValue>LwJFgLjzSw4RbXURetuLiuH2Dqn9BnXgngWh8Azl1w8=</DigestValue>
      </Reference>
      <Reference URI="/xl/worksheets/sheet15.xml?ContentType=application/vnd.openxmlformats-officedocument.spreadsheetml.worksheet+xml">
        <DigestMethod Algorithm="http://www.w3.org/2001/04/xmlenc#sha256"/>
        <DigestValue>NMQAZQq2y7y+IWjKxEG6r4xHVXhJHnuDsZKvI4lLogA=</DigestValue>
      </Reference>
      <Reference URI="/xl/worksheets/sheet16.xml?ContentType=application/vnd.openxmlformats-officedocument.spreadsheetml.worksheet+xml">
        <DigestMethod Algorithm="http://www.w3.org/2001/04/xmlenc#sha256"/>
        <DigestValue>hxGgNe3Omge6X8wukGzbK2YJc9E8wZ09cVBzv3m2C28=</DigestValue>
      </Reference>
      <Reference URI="/xl/worksheets/sheet17.xml?ContentType=application/vnd.openxmlformats-officedocument.spreadsheetml.worksheet+xml">
        <DigestMethod Algorithm="http://www.w3.org/2001/04/xmlenc#sha256"/>
        <DigestValue>7vDU6TqSQl65PBm4IHZp4qEwW62mssWU6RyM6ZFgPgY=</DigestValue>
      </Reference>
      <Reference URI="/xl/worksheets/sheet18.xml?ContentType=application/vnd.openxmlformats-officedocument.spreadsheetml.worksheet+xml">
        <DigestMethod Algorithm="http://www.w3.org/2001/04/xmlenc#sha256"/>
        <DigestValue>Vtf5A2Qo5ABK1JaPaCtAwc4me14IKN4KEvPgngLBxKI=</DigestValue>
      </Reference>
      <Reference URI="/xl/worksheets/sheet19.xml?ContentType=application/vnd.openxmlformats-officedocument.spreadsheetml.worksheet+xml">
        <DigestMethod Algorithm="http://www.w3.org/2001/04/xmlenc#sha256"/>
        <DigestValue>bDpHadgTPGXPOmBnH+8DdXbH5unGH1XM7CeMO4bRxdQ=</DigestValue>
      </Reference>
      <Reference URI="/xl/worksheets/sheet2.xml?ContentType=application/vnd.openxmlformats-officedocument.spreadsheetml.worksheet+xml">
        <DigestMethod Algorithm="http://www.w3.org/2001/04/xmlenc#sha256"/>
        <DigestValue>CzgO7TvcYQ75bEDiSpvto9vBUlMRhbuB/HWSY5GsPKs=</DigestValue>
      </Reference>
      <Reference URI="/xl/worksheets/sheet20.xml?ContentType=application/vnd.openxmlformats-officedocument.spreadsheetml.worksheet+xml">
        <DigestMethod Algorithm="http://www.w3.org/2001/04/xmlenc#sha256"/>
        <DigestValue>oQfHrYG0OiJxsDgTQAYnTFpD7CJvIGIPjaaFUlfpnZ4=</DigestValue>
      </Reference>
      <Reference URI="/xl/worksheets/sheet21.xml?ContentType=application/vnd.openxmlformats-officedocument.spreadsheetml.worksheet+xml">
        <DigestMethod Algorithm="http://www.w3.org/2001/04/xmlenc#sha256"/>
        <DigestValue>V7VTZ6XGXQ+iaTsjOMQiuwkkYOMwygRhrb/85G+ToCk=</DigestValue>
      </Reference>
      <Reference URI="/xl/worksheets/sheet22.xml?ContentType=application/vnd.openxmlformats-officedocument.spreadsheetml.worksheet+xml">
        <DigestMethod Algorithm="http://www.w3.org/2001/04/xmlenc#sha256"/>
        <DigestValue>gJgMWAAa+gbfhewMvUQ4i4XCuOq+T9wSIHsPnjfEmRs=</DigestValue>
      </Reference>
      <Reference URI="/xl/worksheets/sheet23.xml?ContentType=application/vnd.openxmlformats-officedocument.spreadsheetml.worksheet+xml">
        <DigestMethod Algorithm="http://www.w3.org/2001/04/xmlenc#sha256"/>
        <DigestValue>xi0VLhn6E1TNmICWuiFzyTC1QcUG8glh7clKVLBU5KQ=</DigestValue>
      </Reference>
      <Reference URI="/xl/worksheets/sheet24.xml?ContentType=application/vnd.openxmlformats-officedocument.spreadsheetml.worksheet+xml">
        <DigestMethod Algorithm="http://www.w3.org/2001/04/xmlenc#sha256"/>
        <DigestValue>hWs3UZL0CO/eI/GRvQIRbLAmmgqNUx+WmZmGuit2xGc=</DigestValue>
      </Reference>
      <Reference URI="/xl/worksheets/sheet25.xml?ContentType=application/vnd.openxmlformats-officedocument.spreadsheetml.worksheet+xml">
        <DigestMethod Algorithm="http://www.w3.org/2001/04/xmlenc#sha256"/>
        <DigestValue>0JCrCW/Mn6oMiNxo7KZnI7jso19GQQutGQZ6Pwq1Bcw=</DigestValue>
      </Reference>
      <Reference URI="/xl/worksheets/sheet26.xml?ContentType=application/vnd.openxmlformats-officedocument.spreadsheetml.worksheet+xml">
        <DigestMethod Algorithm="http://www.w3.org/2001/04/xmlenc#sha256"/>
        <DigestValue>qhGmjC+obn6I4Id3duLIK80tTw1vEGBLa2EnPvqO2eY=</DigestValue>
      </Reference>
      <Reference URI="/xl/worksheets/sheet27.xml?ContentType=application/vnd.openxmlformats-officedocument.spreadsheetml.worksheet+xml">
        <DigestMethod Algorithm="http://www.w3.org/2001/04/xmlenc#sha256"/>
        <DigestValue>7JSo5RHO9ObQCYAlfpSTV1pEtjz+vFE71INJlvHwyuM=</DigestValue>
      </Reference>
      <Reference URI="/xl/worksheets/sheet28.xml?ContentType=application/vnd.openxmlformats-officedocument.spreadsheetml.worksheet+xml">
        <DigestMethod Algorithm="http://www.w3.org/2001/04/xmlenc#sha256"/>
        <DigestValue>XtTu4pD7SRqdGEqWQZ7YHMUzbjktJLpBuLzH/OxZh4Y=</DigestValue>
      </Reference>
      <Reference URI="/xl/worksheets/sheet29.xml?ContentType=application/vnd.openxmlformats-officedocument.spreadsheetml.worksheet+xml">
        <DigestMethod Algorithm="http://www.w3.org/2001/04/xmlenc#sha256"/>
        <DigestValue>g0JRlMS5qaDIbV4Wn2KHhs7skj94wSyJv19TVG8gcdc=</DigestValue>
      </Reference>
      <Reference URI="/xl/worksheets/sheet3.xml?ContentType=application/vnd.openxmlformats-officedocument.spreadsheetml.worksheet+xml">
        <DigestMethod Algorithm="http://www.w3.org/2001/04/xmlenc#sha256"/>
        <DigestValue>SEp9Ax3Vjw+IW5r8E0rf5G+HrrinMw4sQkP25HY7+0s=</DigestValue>
      </Reference>
      <Reference URI="/xl/worksheets/sheet30.xml?ContentType=application/vnd.openxmlformats-officedocument.spreadsheetml.worksheet+xml">
        <DigestMethod Algorithm="http://www.w3.org/2001/04/xmlenc#sha256"/>
        <DigestValue>D0NqQ3/eUyP5+QRWPYOFBhRFTvuD6ZcjyF48RCsTEko=</DigestValue>
      </Reference>
      <Reference URI="/xl/worksheets/sheet31.xml?ContentType=application/vnd.openxmlformats-officedocument.spreadsheetml.worksheet+xml">
        <DigestMethod Algorithm="http://www.w3.org/2001/04/xmlenc#sha256"/>
        <DigestValue>Er9/+y/EdUeq5mgw2z0eVneHlpdK9CbApsSPentQr3o=</DigestValue>
      </Reference>
      <Reference URI="/xl/worksheets/sheet32.xml?ContentType=application/vnd.openxmlformats-officedocument.spreadsheetml.worksheet+xml">
        <DigestMethod Algorithm="http://www.w3.org/2001/04/xmlenc#sha256"/>
        <DigestValue>nijhHaIkKOoIlkS8QCTHcd+0G7kB6VRfSYAGvnaA1D0=</DigestValue>
      </Reference>
      <Reference URI="/xl/worksheets/sheet33.xml?ContentType=application/vnd.openxmlformats-officedocument.spreadsheetml.worksheet+xml">
        <DigestMethod Algorithm="http://www.w3.org/2001/04/xmlenc#sha256"/>
        <DigestValue>olGPjPMrXuxdeqEDd+7ibrn0GU8FU3LpV1XwhPFflKw=</DigestValue>
      </Reference>
      <Reference URI="/xl/worksheets/sheet34.xml?ContentType=application/vnd.openxmlformats-officedocument.spreadsheetml.worksheet+xml">
        <DigestMethod Algorithm="http://www.w3.org/2001/04/xmlenc#sha256"/>
        <DigestValue>/Nm5YGJsVyxrvpsGBZp7wVLnhW0/DLBODxpDMKonGdc=</DigestValue>
      </Reference>
      <Reference URI="/xl/worksheets/sheet35.xml?ContentType=application/vnd.openxmlformats-officedocument.spreadsheetml.worksheet+xml">
        <DigestMethod Algorithm="http://www.w3.org/2001/04/xmlenc#sha256"/>
        <DigestValue>qPA4KaAFlMcx4GikkrCWFz9b8ngVTuEamdXMm/7z548=</DigestValue>
      </Reference>
      <Reference URI="/xl/worksheets/sheet36.xml?ContentType=application/vnd.openxmlformats-officedocument.spreadsheetml.worksheet+xml">
        <DigestMethod Algorithm="http://www.w3.org/2001/04/xmlenc#sha256"/>
        <DigestValue>Th/waP4g++TtefGej6pSRMAkUtQ56XDtQ4KaGyFB8u8=</DigestValue>
      </Reference>
      <Reference URI="/xl/worksheets/sheet37.xml?ContentType=application/vnd.openxmlformats-officedocument.spreadsheetml.worksheet+xml">
        <DigestMethod Algorithm="http://www.w3.org/2001/04/xmlenc#sha256"/>
        <DigestValue>lDIG4cM2cl+ziJVqW1L+1Hd1QOvg+8iBPs/eOkMbKwA=</DigestValue>
      </Reference>
      <Reference URI="/xl/worksheets/sheet38.xml?ContentType=application/vnd.openxmlformats-officedocument.spreadsheetml.worksheet+xml">
        <DigestMethod Algorithm="http://www.w3.org/2001/04/xmlenc#sha256"/>
        <DigestValue>tUHvFYaNCgnIWTDXj6sTtoXOLGgypxny3pNayMGClT0=</DigestValue>
      </Reference>
      <Reference URI="/xl/worksheets/sheet39.xml?ContentType=application/vnd.openxmlformats-officedocument.spreadsheetml.worksheet+xml">
        <DigestMethod Algorithm="http://www.w3.org/2001/04/xmlenc#sha256"/>
        <DigestValue>lyoo9zgJtQp/aBBN5NCOnNUCFs5OEjPfrRV2WcQcXuo=</DigestValue>
      </Reference>
      <Reference URI="/xl/worksheets/sheet4.xml?ContentType=application/vnd.openxmlformats-officedocument.spreadsheetml.worksheet+xml">
        <DigestMethod Algorithm="http://www.w3.org/2001/04/xmlenc#sha256"/>
        <DigestValue>E3hykQrcoaYQUXMKnZ/YN+kvpeo+1nPzjqlzQKR9h8I=</DigestValue>
      </Reference>
      <Reference URI="/xl/worksheets/sheet40.xml?ContentType=application/vnd.openxmlformats-officedocument.spreadsheetml.worksheet+xml">
        <DigestMethod Algorithm="http://www.w3.org/2001/04/xmlenc#sha256"/>
        <DigestValue>nfoTUbCUpNc8qL69Mxm0ap8We0LJZAtvJy3NIMlK3xM=</DigestValue>
      </Reference>
      <Reference URI="/xl/worksheets/sheet41.xml?ContentType=application/vnd.openxmlformats-officedocument.spreadsheetml.worksheet+xml">
        <DigestMethod Algorithm="http://www.w3.org/2001/04/xmlenc#sha256"/>
        <DigestValue>YTIy8jLX2oPPUrvEECvt2Hc4S0+S7C2JfCIuwRl04oo=</DigestValue>
      </Reference>
      <Reference URI="/xl/worksheets/sheet42.xml?ContentType=application/vnd.openxmlformats-officedocument.spreadsheetml.worksheet+xml">
        <DigestMethod Algorithm="http://www.w3.org/2001/04/xmlenc#sha256"/>
        <DigestValue>K9dhDhAhByXVRHH7RKibd2oq4X5JxqJNSZonTprfZ4A=</DigestValue>
      </Reference>
      <Reference URI="/xl/worksheets/sheet43.xml?ContentType=application/vnd.openxmlformats-officedocument.spreadsheetml.worksheet+xml">
        <DigestMethod Algorithm="http://www.w3.org/2001/04/xmlenc#sha256"/>
        <DigestValue>ei1ARjYHDIQAGOce3mNEeoy/u0Ej/Vfp5Lw+t4+GXpM=</DigestValue>
      </Reference>
      <Reference URI="/xl/worksheets/sheet44.xml?ContentType=application/vnd.openxmlformats-officedocument.spreadsheetml.worksheet+xml">
        <DigestMethod Algorithm="http://www.w3.org/2001/04/xmlenc#sha256"/>
        <DigestValue>QzpplyxUkNL9b/ydKRgTXEDJ8E0blQmosotrS/c0Gqg=</DigestValue>
      </Reference>
      <Reference URI="/xl/worksheets/sheet45.xml?ContentType=application/vnd.openxmlformats-officedocument.spreadsheetml.worksheet+xml">
        <DigestMethod Algorithm="http://www.w3.org/2001/04/xmlenc#sha256"/>
        <DigestValue>wVyqmYMmNbAyhL5ApU3obNWgjnAMyaQAJiFL2bD+E6Y=</DigestValue>
      </Reference>
      <Reference URI="/xl/worksheets/sheet46.xml?ContentType=application/vnd.openxmlformats-officedocument.spreadsheetml.worksheet+xml">
        <DigestMethod Algorithm="http://www.w3.org/2001/04/xmlenc#sha256"/>
        <DigestValue>CNMj9fiLwgIbnuORFJUQ81V+KBx0To9ZOiAfJjkdibI=</DigestValue>
      </Reference>
      <Reference URI="/xl/worksheets/sheet47.xml?ContentType=application/vnd.openxmlformats-officedocument.spreadsheetml.worksheet+xml">
        <DigestMethod Algorithm="http://www.w3.org/2001/04/xmlenc#sha256"/>
        <DigestValue>/++fs5/YZ8bxt1VFB1yvIZaXK7jVoDLD+xWUfsBR/s4=</DigestValue>
      </Reference>
      <Reference URI="/xl/worksheets/sheet5.xml?ContentType=application/vnd.openxmlformats-officedocument.spreadsheetml.worksheet+xml">
        <DigestMethod Algorithm="http://www.w3.org/2001/04/xmlenc#sha256"/>
        <DigestValue>dakVH0G8WzoNhRndq1OTiPaCLW3WRw2jLo8tWM+qyhg=</DigestValue>
      </Reference>
      <Reference URI="/xl/worksheets/sheet6.xml?ContentType=application/vnd.openxmlformats-officedocument.spreadsheetml.worksheet+xml">
        <DigestMethod Algorithm="http://www.w3.org/2001/04/xmlenc#sha256"/>
        <DigestValue>T01fkxUH7AvU+9KPRz5EEXLYjBMHULh+bmKvVZYVgw0=</DigestValue>
      </Reference>
      <Reference URI="/xl/worksheets/sheet7.xml?ContentType=application/vnd.openxmlformats-officedocument.spreadsheetml.worksheet+xml">
        <DigestMethod Algorithm="http://www.w3.org/2001/04/xmlenc#sha256"/>
        <DigestValue>K+Mj7/6FlswLuCgkFW3GBDOGEkOo/9TL7DoEx9ypXqc=</DigestValue>
      </Reference>
      <Reference URI="/xl/worksheets/sheet8.xml?ContentType=application/vnd.openxmlformats-officedocument.spreadsheetml.worksheet+xml">
        <DigestMethod Algorithm="http://www.w3.org/2001/04/xmlenc#sha256"/>
        <DigestValue>ni4vsNl0QAsUm33DR4Dy4/VA9Z+gzBt/bj+JB0SjCc4=</DigestValue>
      </Reference>
      <Reference URI="/xl/worksheets/sheet9.xml?ContentType=application/vnd.openxmlformats-officedocument.spreadsheetml.worksheet+xml">
        <DigestMethod Algorithm="http://www.w3.org/2001/04/xmlenc#sha256"/>
        <DigestValue>b2rQ0ydUkaPFloZQJ4YtFIZf41+kvl+V8/XbuR6yimc=</DigestValue>
      </Reference>
    </Manifest>
    <SignatureProperties>
      <SignatureProperty Id="idSignatureTime" Target="#idPackageSignature">
        <mdssi:SignatureTime xmlns:mdssi="http://schemas.openxmlformats.org/package/2006/digital-signature">
          <mdssi:Format>YYYY-MM-DDThh:mm:ssTZD</mdssi:Format>
          <mdssi:Value>2020-06-30T21:24:03Z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16.0.12827/20</OfficeVersion>
          <ApplicationVersion>16.0.12827</ApplicationVersion>
          <Monitors>1</Monitors>
          <HorizontalResolution>3000</HorizontalResolution>
          <VerticalResolution>2000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2020-06-30T21:24:03Z</xd:SigningTime>
          <xd:SigningCertificate>
            <xd:Cert>
              <xd:CertDigest>
                <DigestMethod Algorithm="http://www.w3.org/2001/04/xmlenc#sha256"/>
                <DigestValue>bSJnxqapxlRAKk8RPZNSAHL561/3J249r/aI3AragL8=</DigestValue>
              </xd:CertDigest>
              <xd:IssuerSerial>
                <X509IssuerName>CN=CA-VIT S.A., O=VIT S.A., C=PY, SERIALNUMBER=RUC 80080099-0</X509IssuerName>
                <X509SerialNumber>774339870993453854309696577930446631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47</vt:i4>
      </vt:variant>
      <vt:variant>
        <vt:lpstr>Rangos con nombre</vt:lpstr>
      </vt:variant>
      <vt:variant>
        <vt:i4>31</vt:i4>
      </vt:variant>
    </vt:vector>
  </HeadingPairs>
  <TitlesOfParts>
    <vt:vector size="78" baseType="lpstr">
      <vt:lpstr>Encabezamiento</vt:lpstr>
      <vt:lpstr>CARATULA</vt:lpstr>
      <vt:lpstr>Contenido</vt:lpstr>
      <vt:lpstr>BG</vt:lpstr>
      <vt:lpstr>EERR</vt:lpstr>
      <vt:lpstr>EVPN</vt:lpstr>
      <vt:lpstr>EFE</vt:lpstr>
      <vt:lpstr>Flujo de Efectivo</vt:lpstr>
      <vt:lpstr>CA</vt:lpstr>
      <vt:lpstr>Flujo de Efectivo Res 5 92 (2)</vt:lpstr>
      <vt:lpstr>Nota 1</vt:lpstr>
      <vt:lpstr>Nota 2</vt:lpstr>
      <vt:lpstr>Nota 3</vt:lpstr>
      <vt:lpstr>Nota 4</vt:lpstr>
      <vt:lpstr>Nota 4.1</vt:lpstr>
      <vt:lpstr>Nota 5</vt:lpstr>
      <vt:lpstr>stock vehiculos</vt:lpstr>
      <vt:lpstr>Nota 6</vt:lpstr>
      <vt:lpstr>Nota 7</vt:lpstr>
      <vt:lpstr>Nota 8</vt:lpstr>
      <vt:lpstr>Nota 9</vt:lpstr>
      <vt:lpstr>Nota 10</vt:lpstr>
      <vt:lpstr>Nota 11</vt:lpstr>
      <vt:lpstr>Nota 12</vt:lpstr>
      <vt:lpstr>Nota 13</vt:lpstr>
      <vt:lpstr>Anexo A</vt:lpstr>
      <vt:lpstr>Anexo B</vt:lpstr>
      <vt:lpstr>CBU</vt:lpstr>
      <vt:lpstr>mayor de bienes de uso</vt:lpstr>
      <vt:lpstr>101</vt:lpstr>
      <vt:lpstr>COMPARATIVO</vt:lpstr>
      <vt:lpstr>Anexo C</vt:lpstr>
      <vt:lpstr>Anexo D</vt:lpstr>
      <vt:lpstr>Anexo E</vt:lpstr>
      <vt:lpstr>Anexo F</vt:lpstr>
      <vt:lpstr>Anexo G</vt:lpstr>
      <vt:lpstr>Anexo H</vt:lpstr>
      <vt:lpstr>Anexo I</vt:lpstr>
      <vt:lpstr>Anexo J</vt:lpstr>
      <vt:lpstr>Anexo K</vt:lpstr>
      <vt:lpstr>Hoja1</vt:lpstr>
      <vt:lpstr>Detalle de honorarios</vt:lpstr>
      <vt:lpstr>honorarios</vt:lpstr>
      <vt:lpstr>GASTOS SIN FACTURA</vt:lpstr>
      <vt:lpstr>IRACIS</vt:lpstr>
      <vt:lpstr>CREDITOS INCOBRABLES</vt:lpstr>
      <vt:lpstr>GND</vt:lpstr>
      <vt:lpstr>'Nota 2'!_Hlk43385170</vt:lpstr>
      <vt:lpstr>'Anexo A'!Área_de_impresión</vt:lpstr>
      <vt:lpstr>'Anexo B'!Área_de_impresión</vt:lpstr>
      <vt:lpstr>'Anexo C'!Área_de_impresión</vt:lpstr>
      <vt:lpstr>'Anexo D'!Área_de_impresión</vt:lpstr>
      <vt:lpstr>'Anexo E'!Área_de_impresión</vt:lpstr>
      <vt:lpstr>'Anexo F'!Área_de_impresión</vt:lpstr>
      <vt:lpstr>'Anexo G'!Área_de_impresión</vt:lpstr>
      <vt:lpstr>'Anexo H'!Área_de_impresión</vt:lpstr>
      <vt:lpstr>'Anexo I'!Área_de_impresión</vt:lpstr>
      <vt:lpstr>'Anexo J'!Área_de_impresión</vt:lpstr>
      <vt:lpstr>'Anexo K'!Área_de_impresión</vt:lpstr>
      <vt:lpstr>BG!Área_de_impresión</vt:lpstr>
      <vt:lpstr>CBU!Área_de_impresión</vt:lpstr>
      <vt:lpstr>EERR!Área_de_impresión</vt:lpstr>
      <vt:lpstr>EFE!Área_de_impresión</vt:lpstr>
      <vt:lpstr>Encabezamiento!Área_de_impresión</vt:lpstr>
      <vt:lpstr>EVPN!Área_de_impresión</vt:lpstr>
      <vt:lpstr>'Flujo de Efectivo Res 5 92 (2)'!Área_de_impresión</vt:lpstr>
      <vt:lpstr>honorarios!Área_de_impresión</vt:lpstr>
      <vt:lpstr>IRACIS!Área_de_impresión</vt:lpstr>
      <vt:lpstr>'Nota 10'!Área_de_impresión</vt:lpstr>
      <vt:lpstr>'Nota 11'!Área_de_impresión</vt:lpstr>
      <vt:lpstr>'Nota 3'!Área_de_impresión</vt:lpstr>
      <vt:lpstr>'Nota 4'!Área_de_impresión</vt:lpstr>
      <vt:lpstr>'Nota 4.1'!Área_de_impresión</vt:lpstr>
      <vt:lpstr>'Nota 5'!Área_de_impresión</vt:lpstr>
      <vt:lpstr>'Nota 6'!Área_de_impresión</vt:lpstr>
      <vt:lpstr>'Nota 7'!Área_de_impresión</vt:lpstr>
      <vt:lpstr>'Nota 8'!Área_de_impresión</vt:lpstr>
      <vt:lpstr>'Nota 9'!Área_de_impresión</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Microsoft Office User</cp:lastModifiedBy>
  <cp:lastPrinted>2020-06-10T20:31:14Z</cp:lastPrinted>
  <dcterms:created xsi:type="dcterms:W3CDTF">2004-04-15T20:03:32Z</dcterms:created>
  <dcterms:modified xsi:type="dcterms:W3CDTF">2020-06-30T20:24:31Z</dcterms:modified>
</cp:coreProperties>
</file>