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CONTABILIDAD\archivos de contabilidad\CONTABLES\Cierres\2020\DICIEMBRE 2020\"/>
    </mc:Choice>
  </mc:AlternateContent>
  <xr:revisionPtr revIDLastSave="0" documentId="13_ncr:1_{4712E759-0C38-4527-9355-C12F0230E838}" xr6:coauthVersionLast="45" xr6:coauthVersionMax="46" xr10:uidLastSave="{00000000-0000-0000-0000-000000000000}"/>
  <bookViews>
    <workbookView xWindow="-120" yWindow="-120" windowWidth="20730" windowHeight="11160" activeTab="2" xr2:uid="{CB6BA2A2-F87F-4F2E-B4C8-07349844A448}"/>
  </bookViews>
  <sheets>
    <sheet name="Indice" sheetId="2" r:id="rId1"/>
    <sheet name="Portada" sheetId="1" r:id="rId2"/>
    <sheet name="Información Gral." sheetId="3" r:id="rId3"/>
    <sheet name="EEFF" sheetId="4" r:id="rId4"/>
    <sheet name="EERR" sheetId="5" r:id="rId5"/>
    <sheet name="PN" sheetId="7" r:id="rId6"/>
    <sheet name="EFE" sheetId="6" r:id="rId7"/>
    <sheet name="Notas" sheetId="9" r:id="rId8"/>
  </sheets>
  <externalReferences>
    <externalReference r:id="rId9"/>
  </externalReferences>
  <definedNames>
    <definedName name="_xlnm.Print_Area" localSheetId="7">Notas!$B$1:$V$464</definedName>
    <definedName name="OLE_LINK1" localSheetId="6">EFE!#REF!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8" i="9" l="1"/>
  <c r="E428" i="9"/>
  <c r="E409" i="9" l="1"/>
  <c r="E338" i="9"/>
  <c r="E258" i="9"/>
  <c r="D258" i="9"/>
  <c r="E514" i="9"/>
  <c r="D514" i="9"/>
  <c r="E510" i="9"/>
  <c r="D510" i="9"/>
  <c r="E41" i="5"/>
  <c r="E42" i="5"/>
  <c r="E43" i="5"/>
  <c r="I192" i="9" l="1"/>
  <c r="G192" i="9"/>
  <c r="F192" i="9"/>
  <c r="D192" i="9"/>
  <c r="I189" i="9"/>
  <c r="G189" i="9"/>
  <c r="F189" i="9"/>
  <c r="D189" i="9"/>
  <c r="I183" i="9"/>
  <c r="G183" i="9"/>
  <c r="F183" i="9"/>
  <c r="D183" i="9"/>
  <c r="I179" i="9"/>
  <c r="I184" i="9" s="1"/>
  <c r="G179" i="9"/>
  <c r="F178" i="9"/>
  <c r="D177" i="9"/>
  <c r="D176" i="9"/>
  <c r="J303" i="9"/>
  <c r="H303" i="9"/>
  <c r="D36" i="6"/>
  <c r="D33" i="6"/>
  <c r="D30" i="6"/>
  <c r="D29" i="6"/>
  <c r="D25" i="6"/>
  <c r="D24" i="6"/>
  <c r="D23" i="6"/>
  <c r="D22" i="6"/>
  <c r="D21" i="6"/>
  <c r="D17" i="6"/>
  <c r="D16" i="6"/>
  <c r="D15" i="6"/>
  <c r="D14" i="6"/>
  <c r="C33" i="6"/>
  <c r="C30" i="6"/>
  <c r="C29" i="6"/>
  <c r="C25" i="6"/>
  <c r="C24" i="6"/>
  <c r="C23" i="6"/>
  <c r="C21" i="6"/>
  <c r="C16" i="6"/>
  <c r="C15" i="6"/>
  <c r="C14" i="6"/>
  <c r="E49" i="5"/>
  <c r="E45" i="5"/>
  <c r="E40" i="5"/>
  <c r="E39" i="5" s="1"/>
  <c r="E37" i="5"/>
  <c r="E36" i="5"/>
  <c r="E35" i="5"/>
  <c r="E32" i="5"/>
  <c r="E31" i="5"/>
  <c r="E30" i="5"/>
  <c r="E29" i="5"/>
  <c r="E28" i="5"/>
  <c r="E27" i="5"/>
  <c r="E26" i="5"/>
  <c r="E25" i="5"/>
  <c r="E24" i="5"/>
  <c r="E19" i="5"/>
  <c r="E18" i="5"/>
  <c r="E15" i="5"/>
  <c r="E14" i="5"/>
  <c r="D43" i="5"/>
  <c r="D42" i="5"/>
  <c r="D41" i="5"/>
  <c r="D40" i="5"/>
  <c r="D37" i="5"/>
  <c r="D35" i="5"/>
  <c r="D32" i="5"/>
  <c r="D31" i="5"/>
  <c r="D30" i="5"/>
  <c r="D29" i="5"/>
  <c r="D28" i="5"/>
  <c r="D27" i="5"/>
  <c r="D26" i="5"/>
  <c r="D25" i="5"/>
  <c r="D24" i="5"/>
  <c r="D19" i="5"/>
  <c r="D18" i="5"/>
  <c r="D15" i="5"/>
  <c r="D13" i="5" s="1"/>
  <c r="D14" i="5"/>
  <c r="D179" i="9" l="1"/>
  <c r="D184" i="9" s="1"/>
  <c r="I193" i="9"/>
  <c r="F193" i="9"/>
  <c r="D193" i="9"/>
  <c r="G184" i="9"/>
  <c r="G193" i="9"/>
  <c r="I195" i="9"/>
  <c r="D23" i="5"/>
  <c r="D454" i="9"/>
  <c r="F454" i="9" s="1"/>
  <c r="D455" i="9"/>
  <c r="F455" i="9" s="1"/>
  <c r="E456" i="9"/>
  <c r="D453" i="9"/>
  <c r="C453" i="9"/>
  <c r="D452" i="9"/>
  <c r="C452" i="9"/>
  <c r="M23" i="7"/>
  <c r="K13" i="7"/>
  <c r="H13" i="7"/>
  <c r="F13" i="7"/>
  <c r="C445" i="9"/>
  <c r="D444" i="9"/>
  <c r="C441" i="9"/>
  <c r="C444" i="9" s="1"/>
  <c r="F434" i="9"/>
  <c r="E434" i="9"/>
  <c r="F423" i="9"/>
  <c r="F429" i="9" s="1"/>
  <c r="E423" i="9"/>
  <c r="E429" i="9" s="1"/>
  <c r="D409" i="9"/>
  <c r="D395" i="9"/>
  <c r="E395" i="9"/>
  <c r="D375" i="9"/>
  <c r="E375" i="9"/>
  <c r="E360" i="9"/>
  <c r="D360" i="9"/>
  <c r="D338" i="9"/>
  <c r="G325" i="9"/>
  <c r="H325" i="9"/>
  <c r="F325" i="9"/>
  <c r="E325" i="9"/>
  <c r="D325" i="9"/>
  <c r="C325" i="9"/>
  <c r="I323" i="9"/>
  <c r="G302" i="9"/>
  <c r="K302" i="9" s="1"/>
  <c r="G301" i="9"/>
  <c r="K301" i="9" s="1"/>
  <c r="G300" i="9"/>
  <c r="K300" i="9" s="1"/>
  <c r="G299" i="9"/>
  <c r="K299" i="9" s="1"/>
  <c r="G298" i="9"/>
  <c r="K298" i="9" s="1"/>
  <c r="G297" i="9"/>
  <c r="K297" i="9" s="1"/>
  <c r="G296" i="9"/>
  <c r="G295" i="9"/>
  <c r="K295" i="9" s="1"/>
  <c r="G294" i="9"/>
  <c r="K294" i="9" s="1"/>
  <c r="E303" i="9"/>
  <c r="D303" i="9"/>
  <c r="C303" i="9"/>
  <c r="I42" i="4"/>
  <c r="H42" i="4"/>
  <c r="I33" i="4"/>
  <c r="H33" i="4"/>
  <c r="I23" i="4"/>
  <c r="H23" i="4"/>
  <c r="E33" i="4"/>
  <c r="D33" i="4"/>
  <c r="E23" i="4"/>
  <c r="E44" i="4" s="1"/>
  <c r="D23" i="4"/>
  <c r="D44" i="4" s="1"/>
  <c r="E245" i="9"/>
  <c r="D245" i="9"/>
  <c r="E225" i="9"/>
  <c r="E227" i="9" s="1"/>
  <c r="G195" i="9" l="1"/>
  <c r="D195" i="9"/>
  <c r="F452" i="9"/>
  <c r="F453" i="9"/>
  <c r="D456" i="9"/>
  <c r="C456" i="9"/>
  <c r="I324" i="9"/>
  <c r="I325" i="9" s="1"/>
  <c r="G303" i="9"/>
  <c r="K296" i="9"/>
  <c r="K303" i="9" s="1"/>
  <c r="D225" i="9"/>
  <c r="D227" i="9" s="1"/>
  <c r="F456" i="9" l="1"/>
  <c r="H191" i="9"/>
  <c r="H188" i="9"/>
  <c r="H187" i="9"/>
  <c r="H182" i="9"/>
  <c r="H181" i="9"/>
  <c r="H178" i="9"/>
  <c r="H177" i="9"/>
  <c r="H176" i="9"/>
  <c r="E191" i="9"/>
  <c r="E188" i="9"/>
  <c r="E187" i="9"/>
  <c r="E182" i="9"/>
  <c r="E181" i="9"/>
  <c r="E178" i="9"/>
  <c r="E177" i="9"/>
  <c r="F176" i="9"/>
  <c r="F179" i="9" s="1"/>
  <c r="F184" i="9" s="1"/>
  <c r="F195" i="9" s="1"/>
  <c r="E176" i="9" l="1"/>
  <c r="F23" i="7"/>
  <c r="F24" i="7" s="1"/>
  <c r="K24" i="7"/>
  <c r="L24" i="7"/>
  <c r="N24" i="7"/>
  <c r="L22" i="7"/>
  <c r="L23" i="7" s="1"/>
  <c r="K23" i="7"/>
  <c r="H23" i="7"/>
  <c r="H24" i="7" s="1"/>
  <c r="I23" i="7"/>
  <c r="G23" i="7"/>
  <c r="E23" i="7"/>
  <c r="E24" i="7" s="1"/>
  <c r="D23" i="7"/>
  <c r="J23" i="7"/>
  <c r="D31" i="6"/>
  <c r="C31" i="6"/>
  <c r="C26" i="6"/>
  <c r="C18" i="6"/>
  <c r="D12" i="6"/>
  <c r="C12" i="6"/>
  <c r="A9" i="6"/>
  <c r="A8" i="6"/>
  <c r="D39" i="5"/>
  <c r="E34" i="5"/>
  <c r="E17" i="5"/>
  <c r="D17" i="5"/>
  <c r="D21" i="5" s="1"/>
  <c r="E13" i="5"/>
  <c r="I34" i="4"/>
  <c r="I44" i="4" s="1"/>
  <c r="H34" i="4"/>
  <c r="H44" i="4" s="1"/>
  <c r="H14" i="4"/>
  <c r="C46" i="3"/>
  <c r="E45" i="3"/>
  <c r="E44" i="3"/>
  <c r="E43" i="3"/>
  <c r="C35" i="6" l="1"/>
  <c r="C14" i="7"/>
  <c r="C15" i="7" s="1"/>
  <c r="D26" i="6"/>
  <c r="D18" i="6"/>
  <c r="D35" i="6" s="1"/>
  <c r="D34" i="5"/>
  <c r="D47" i="5" s="1"/>
  <c r="D50" i="5" s="1"/>
  <c r="E23" i="5"/>
  <c r="E21" i="5"/>
  <c r="E46" i="3"/>
  <c r="D37" i="6" l="1"/>
  <c r="C36" i="6" s="1"/>
  <c r="C37" i="6" s="1"/>
  <c r="E47" i="5"/>
  <c r="E50" i="5" s="1"/>
  <c r="C17" i="7"/>
  <c r="C21" i="7"/>
  <c r="C22" i="7" s="1"/>
  <c r="C23" i="7" s="1"/>
  <c r="F44" i="3"/>
  <c r="F45" i="3"/>
  <c r="F43" i="3"/>
  <c r="F46" i="3" l="1"/>
</calcChain>
</file>

<file path=xl/sharedStrings.xml><?xml version="1.0" encoding="utf-8"?>
<sst xmlns="http://schemas.openxmlformats.org/spreadsheetml/2006/main" count="752" uniqueCount="560">
  <si>
    <t xml:space="preserve">Estados financieros correspondientes al </t>
  </si>
  <si>
    <t>ejercicio finalizado el 31 de diciembre de 2020</t>
  </si>
  <si>
    <t>Penner Automotores S.R.L.</t>
  </si>
  <si>
    <t>Orlando Penner</t>
  </si>
  <si>
    <t>Representante Legal</t>
  </si>
  <si>
    <t>Ronald Duerksen</t>
  </si>
  <si>
    <t>Contador</t>
  </si>
  <si>
    <t>Contenido</t>
  </si>
  <si>
    <t>Estados Financieros</t>
  </si>
  <si>
    <t>Abreviaturas:</t>
  </si>
  <si>
    <t>US$ - Dólares Estadounidenses</t>
  </si>
  <si>
    <t>Gs. – Guaraníes</t>
  </si>
  <si>
    <t xml:space="preserve">Portada              </t>
  </si>
  <si>
    <t>BCA - Benitez Codas y Asociados</t>
  </si>
  <si>
    <t>Auditor Externo</t>
  </si>
  <si>
    <t>Información general de la Sociedad</t>
  </si>
  <si>
    <t>Información al 31 de diciembre de 2020</t>
  </si>
  <si>
    <r>
      <t>1.</t>
    </r>
    <r>
      <rPr>
        <b/>
        <sz val="7"/>
        <color theme="1"/>
        <rFont val="Times New Roman"/>
        <family val="1"/>
      </rPr>
      <t xml:space="preserve">         </t>
    </r>
    <r>
      <rPr>
        <b/>
        <u/>
        <sz val="10"/>
        <color theme="1"/>
        <rFont val="Arial"/>
        <family val="2"/>
      </rPr>
      <t>IDENTIFICACIÓN</t>
    </r>
  </si>
  <si>
    <r>
      <t>1.1</t>
    </r>
    <r>
      <rPr>
        <b/>
        <sz val="7"/>
        <color theme="1"/>
        <rFont val="Times New Roman"/>
        <family val="1"/>
      </rPr>
      <t xml:space="preserve">       </t>
    </r>
    <r>
      <rPr>
        <b/>
        <sz val="10"/>
        <color theme="1"/>
        <rFont val="Arial"/>
        <family val="2"/>
      </rPr>
      <t>Nombre o Razón Social</t>
    </r>
    <r>
      <rPr>
        <sz val="10"/>
        <color theme="1"/>
        <rFont val="Arial"/>
        <family val="2"/>
      </rPr>
      <t>: Penner Automotores S.R.L.</t>
    </r>
  </si>
  <si>
    <r>
      <t>1.2</t>
    </r>
    <r>
      <rPr>
        <b/>
        <sz val="7"/>
        <color theme="1"/>
        <rFont val="Times New Roman"/>
        <family val="1"/>
      </rPr>
      <t xml:space="preserve">       </t>
    </r>
    <r>
      <rPr>
        <b/>
        <sz val="10"/>
        <color theme="1"/>
        <rFont val="Arial"/>
        <family val="2"/>
      </rPr>
      <t>Registro CNV</t>
    </r>
    <r>
      <rPr>
        <sz val="10"/>
        <color theme="1"/>
        <rFont val="Arial"/>
        <family val="2"/>
      </rPr>
      <t>: Resolución 6E/18 del 7 de febrero de 2018</t>
    </r>
  </si>
  <si>
    <r>
      <t>1.4</t>
    </r>
    <r>
      <rPr>
        <b/>
        <sz val="7"/>
        <color theme="1"/>
        <rFont val="Times New Roman"/>
        <family val="1"/>
      </rPr>
      <t xml:space="preserve">       </t>
    </r>
    <r>
      <rPr>
        <b/>
        <sz val="10"/>
        <color theme="1"/>
        <rFont val="Arial"/>
        <family val="2"/>
      </rPr>
      <t>Dirección oficina principal</t>
    </r>
    <r>
      <rPr>
        <sz val="10"/>
        <color theme="1"/>
        <rFont val="Arial"/>
        <family val="2"/>
      </rPr>
      <t>: Ruta Transchaco esq. Yaguarón</t>
    </r>
  </si>
  <si>
    <r>
      <t>1.5</t>
    </r>
    <r>
      <rPr>
        <b/>
        <sz val="7"/>
        <color theme="1"/>
        <rFont val="Times New Roman"/>
        <family val="1"/>
      </rPr>
      <t xml:space="preserve">       </t>
    </r>
    <r>
      <rPr>
        <b/>
        <sz val="10"/>
        <color theme="1"/>
        <rFont val="Arial"/>
        <family val="2"/>
      </rPr>
      <t>Teléfono</t>
    </r>
    <r>
      <rPr>
        <sz val="10"/>
        <color theme="1"/>
        <rFont val="Arial"/>
        <family val="2"/>
      </rPr>
      <t>: (021) 289-7000</t>
    </r>
  </si>
  <si>
    <r>
      <t>2.</t>
    </r>
    <r>
      <rPr>
        <b/>
        <sz val="7"/>
        <color theme="1"/>
        <rFont val="Times New Roman"/>
        <family val="1"/>
      </rPr>
      <t xml:space="preserve">         </t>
    </r>
    <r>
      <rPr>
        <b/>
        <u/>
        <sz val="10"/>
        <color theme="1"/>
        <rFont val="Arial"/>
        <family val="2"/>
      </rPr>
      <t>ANTECEDENTES DE CONSTITUCIÓN DE LA SOCIEDAD</t>
    </r>
  </si>
  <si>
    <r>
      <t>2.1</t>
    </r>
    <r>
      <rPr>
        <b/>
        <sz val="7"/>
        <color theme="1"/>
        <rFont val="Times New Roman"/>
        <family val="1"/>
      </rPr>
      <t xml:space="preserve">       </t>
    </r>
    <r>
      <rPr>
        <b/>
        <sz val="10"/>
        <color theme="1"/>
        <rFont val="Arial"/>
        <family val="2"/>
      </rPr>
      <t>Escritura</t>
    </r>
    <r>
      <rPr>
        <sz val="10"/>
        <color theme="1"/>
        <rFont val="Arial"/>
        <family val="2"/>
      </rPr>
      <t xml:space="preserve"> </t>
    </r>
    <r>
      <rPr>
        <b/>
        <sz val="10"/>
        <color theme="1"/>
        <rFont val="Arial"/>
        <family val="2"/>
      </rPr>
      <t>Nº</t>
    </r>
    <r>
      <rPr>
        <sz val="10"/>
        <color theme="1"/>
        <rFont val="Arial"/>
        <family val="2"/>
      </rPr>
      <t xml:space="preserve">: 427 de fecha 1 de setiembre de 2014. </t>
    </r>
  </si>
  <si>
    <t xml:space="preserve">Lida Insfran </t>
  </si>
  <si>
    <t>Síndico</t>
  </si>
  <si>
    <r>
      <t>3.</t>
    </r>
    <r>
      <rPr>
        <b/>
        <sz val="7"/>
        <color theme="1"/>
        <rFont val="Times New Roman"/>
        <family val="1"/>
      </rPr>
      <t xml:space="preserve">         </t>
    </r>
    <r>
      <rPr>
        <b/>
        <u/>
        <sz val="10"/>
        <color theme="1"/>
        <rFont val="Arial"/>
        <family val="2"/>
      </rPr>
      <t xml:space="preserve">ADMINISTRACIÓN: </t>
    </r>
  </si>
  <si>
    <t>Cargo</t>
  </si>
  <si>
    <t>Nombre y apellido</t>
  </si>
  <si>
    <t>Representante legal</t>
  </si>
  <si>
    <t>Presidente</t>
  </si>
  <si>
    <t>Director Titular</t>
  </si>
  <si>
    <t>Síndico Titular</t>
  </si>
  <si>
    <t>Plana ejecutiva</t>
  </si>
  <si>
    <t xml:space="preserve">     - Gerente General</t>
  </si>
  <si>
    <t>Lida Insfran</t>
  </si>
  <si>
    <r>
      <t>4.</t>
    </r>
    <r>
      <rPr>
        <b/>
        <sz val="7"/>
        <color theme="1"/>
        <rFont val="Times New Roman"/>
        <family val="1"/>
      </rPr>
      <t xml:space="preserve">         </t>
    </r>
    <r>
      <rPr>
        <b/>
        <u/>
        <sz val="10"/>
        <color theme="1"/>
        <rFont val="Arial"/>
        <family val="2"/>
      </rPr>
      <t xml:space="preserve">CAPITAL Y PROPIEDAD: </t>
    </r>
  </si>
  <si>
    <t>Socio</t>
  </si>
  <si>
    <t>Cantidad de</t>
  </si>
  <si>
    <t>Valor nominal de c/acción</t>
  </si>
  <si>
    <t>Monto</t>
  </si>
  <si>
    <t>%</t>
  </si>
  <si>
    <t>Cuotas</t>
  </si>
  <si>
    <t>Orlando Penner Durksen</t>
  </si>
  <si>
    <t>M.F.Inversiones S.A.</t>
  </si>
  <si>
    <t xml:space="preserve">TOTALES </t>
  </si>
  <si>
    <t>Capital Suscripto e integrado: 38.500.000.000.-</t>
  </si>
  <si>
    <r>
      <t>5.</t>
    </r>
    <r>
      <rPr>
        <b/>
        <sz val="7"/>
        <color theme="1"/>
        <rFont val="Times New Roman"/>
        <family val="1"/>
      </rPr>
      <t xml:space="preserve">         </t>
    </r>
    <r>
      <rPr>
        <b/>
        <u/>
        <sz val="10"/>
        <color theme="1"/>
        <rFont val="Arial"/>
        <family val="2"/>
      </rPr>
      <t>AUDITOR EXTERNO INDEPENDIENTE</t>
    </r>
  </si>
  <si>
    <r>
      <t>5.1</t>
    </r>
    <r>
      <rPr>
        <b/>
        <sz val="7"/>
        <color theme="1"/>
        <rFont val="Times New Roman"/>
        <family val="1"/>
      </rPr>
      <t xml:space="preserve">       </t>
    </r>
    <r>
      <rPr>
        <b/>
        <sz val="10"/>
        <color theme="1"/>
        <rFont val="Arial"/>
        <family val="2"/>
      </rPr>
      <t>Auditor externo independiente designado:</t>
    </r>
    <r>
      <rPr>
        <sz val="10"/>
        <color theme="1"/>
        <rFont val="Arial"/>
        <family val="2"/>
      </rPr>
      <t xml:space="preserve"> BCA – Benítez Codas &amp; Asociados (Corresponsal en Paraguay de KPMG International Cooperative)</t>
    </r>
  </si>
  <si>
    <r>
      <t>5.2</t>
    </r>
    <r>
      <rPr>
        <b/>
        <sz val="7"/>
        <color theme="1"/>
        <rFont val="Times New Roman"/>
        <family val="1"/>
      </rPr>
      <t xml:space="preserve">       </t>
    </r>
    <r>
      <rPr>
        <b/>
        <sz val="10"/>
        <color theme="1"/>
        <rFont val="Arial"/>
        <family val="2"/>
      </rPr>
      <t>Número de inscripción en el registro de la CNV</t>
    </r>
    <r>
      <rPr>
        <sz val="10"/>
        <color theme="1"/>
        <rFont val="Arial"/>
        <family val="2"/>
      </rPr>
      <t>: AE 015</t>
    </r>
  </si>
  <si>
    <r>
      <t>6.</t>
    </r>
    <r>
      <rPr>
        <b/>
        <sz val="7"/>
        <color theme="1"/>
        <rFont val="Times New Roman"/>
        <family val="1"/>
      </rPr>
      <t xml:space="preserve">         </t>
    </r>
    <r>
      <rPr>
        <b/>
        <u/>
        <sz val="10"/>
        <color theme="1"/>
        <rFont val="Arial"/>
        <family val="2"/>
      </rPr>
      <t>PERSONAS VINCULADAS</t>
    </r>
  </si>
  <si>
    <t xml:space="preserve">Parte vinculadas </t>
  </si>
  <si>
    <r>
      <t>6.1</t>
    </r>
    <r>
      <rPr>
        <b/>
        <sz val="7"/>
        <color theme="1"/>
        <rFont val="Times New Roman"/>
        <family val="1"/>
      </rPr>
      <t xml:space="preserve">        </t>
    </r>
    <r>
      <rPr>
        <b/>
        <sz val="10"/>
        <color theme="1"/>
        <rFont val="Arial"/>
        <family val="2"/>
      </rPr>
      <t>Principales Accionistas</t>
    </r>
  </si>
  <si>
    <t>La entidad no posee inversiones en valores de otras empresas que representen mas del 10% del activo de la sociedad al cierre del ejercicio informado.</t>
  </si>
  <si>
    <t xml:space="preserve">6.1        Otras partes vinculadas </t>
  </si>
  <si>
    <t>La entidad no posee bienes otorgados en garantías en más del 20% en garantía de obligaciones de otras empresas en el ejercicio informado.</t>
  </si>
  <si>
    <t>Estado de situación patrimonial</t>
  </si>
  <si>
    <t>al 31 de diciembre de 2020</t>
  </si>
  <si>
    <t>Presentado en forma comparativa con el ejercicio anterior finalizado el 31 de diciembre de 2019</t>
  </si>
  <si>
    <t>(En guaraníes)</t>
  </si>
  <si>
    <t>ACTIVO CORRIENTE</t>
  </si>
  <si>
    <t>Nota</t>
  </si>
  <si>
    <t>PASIVO CORRIENTE</t>
  </si>
  <si>
    <t>ACTIVO NO CORRIENTE</t>
  </si>
  <si>
    <t>PASIVO NO CORRIENTE</t>
  </si>
  <si>
    <t>PATRIMONIO NETO</t>
  </si>
  <si>
    <t xml:space="preserve">    Total del Pasivo y Patrimonio Neto</t>
  </si>
  <si>
    <t>ACTIVO</t>
  </si>
  <si>
    <t>31.12.2020</t>
  </si>
  <si>
    <t>31.12.2019</t>
  </si>
  <si>
    <t>PASIVO</t>
  </si>
  <si>
    <t>Total del Activo Corriente</t>
  </si>
  <si>
    <t>Total del Activo no Corriente</t>
  </si>
  <si>
    <t>Créditos por ventas</t>
  </si>
  <si>
    <t>Otros créditos</t>
  </si>
  <si>
    <t>Prestamos a personas vinculadas</t>
  </si>
  <si>
    <t>Inversiones en bienes inmuebles</t>
  </si>
  <si>
    <t>Propiedades, planta y equipo</t>
  </si>
  <si>
    <t>Bienes en fideicomiso</t>
  </si>
  <si>
    <t>Activos intangibles</t>
  </si>
  <si>
    <t>Total del Activo</t>
  </si>
  <si>
    <t>Deudas comerciales</t>
  </si>
  <si>
    <t>Deudas financieras</t>
  </si>
  <si>
    <t>Deudas financieras por bonos</t>
  </si>
  <si>
    <t>Deudas diversas</t>
  </si>
  <si>
    <t xml:space="preserve">Capital </t>
  </si>
  <si>
    <t xml:space="preserve">Reservas   </t>
  </si>
  <si>
    <t>Revalúo técnico</t>
  </si>
  <si>
    <t xml:space="preserve">Resultados acumulados </t>
  </si>
  <si>
    <t>Resultado del año</t>
  </si>
  <si>
    <t>TOTAL PATRIMONIO NETO</t>
  </si>
  <si>
    <t>Total del Pasivo no Corriente</t>
  </si>
  <si>
    <t>Total del Pasivo Corriente</t>
  </si>
  <si>
    <t xml:space="preserve">Total Pasivo </t>
  </si>
  <si>
    <t xml:space="preserve">Estado de resultados </t>
  </si>
  <si>
    <t>correspondiente al ejercicio ecónomico finalizado 31 de diciembre de 2020</t>
  </si>
  <si>
    <t xml:space="preserve">INGRESOS OPERATIVOS </t>
  </si>
  <si>
    <t xml:space="preserve">Ingresos por venta de vehículos </t>
  </si>
  <si>
    <t>Ingresos por otros servicios</t>
  </si>
  <si>
    <t>COSTO DE BIENES Y SERVICIOS VENDIDOS</t>
  </si>
  <si>
    <t>Costos por venta de vehículos</t>
  </si>
  <si>
    <t>Costos por otros servicios</t>
  </si>
  <si>
    <t xml:space="preserve">RESULTADO BRUTO </t>
  </si>
  <si>
    <t>GASTOS DE ADMINISTRACIÓN Y VENTAS</t>
  </si>
  <si>
    <t xml:space="preserve">Retribuciones personales y cargas sociales </t>
  </si>
  <si>
    <t>Previsiones</t>
  </si>
  <si>
    <t>Depreciaciones</t>
  </si>
  <si>
    <t>Honorarios profesionales</t>
  </si>
  <si>
    <t>Gastos no deducibles</t>
  </si>
  <si>
    <t>Impuestos, tasas y patentes</t>
  </si>
  <si>
    <t>Seguros devengados</t>
  </si>
  <si>
    <t>Mantenimiento de propiedades, planta y equipo</t>
  </si>
  <si>
    <t>Otros gastos</t>
  </si>
  <si>
    <t>RESULTADOS DIVERSOS</t>
  </si>
  <si>
    <t>Resultados por venta de propiedades, planta y equipo</t>
  </si>
  <si>
    <t>Resultado por venta de las inversiones inmuebles</t>
  </si>
  <si>
    <t>-</t>
  </si>
  <si>
    <t>Otros ingresos</t>
  </si>
  <si>
    <t>RESULTADOS FINANCIEROS</t>
  </si>
  <si>
    <t>Intereses perdidos</t>
  </si>
  <si>
    <t>Diferencia de cambio</t>
  </si>
  <si>
    <t>Intereses ganados</t>
  </si>
  <si>
    <t>Gastos financieros</t>
  </si>
  <si>
    <t>IMPUESTO A LA RENTA</t>
  </si>
  <si>
    <t>RESULTADO ANTES DE RESERVA LEGAL</t>
  </si>
  <si>
    <t>Reserva legal</t>
  </si>
  <si>
    <t>RESULTADO NETO</t>
  </si>
  <si>
    <t>Las notas 1 a 11 que se acompañan forman parte integrante de estos estados.</t>
  </si>
  <si>
    <t xml:space="preserve">Estado de flujo de efectivo </t>
  </si>
  <si>
    <t>Cobranzas efectuadas a clientes</t>
  </si>
  <si>
    <t>Pagos efectuados a proveedores y empleados</t>
  </si>
  <si>
    <t>Impuesto a la renta</t>
  </si>
  <si>
    <t xml:space="preserve">Cobro por venta de propiedades, planta y equipo </t>
  </si>
  <si>
    <t>Cobro por venta de inversiones inmuebles</t>
  </si>
  <si>
    <t>Adquisiciones de propiedades, planta y equipo</t>
  </si>
  <si>
    <t>Cobro de Inversiones inmuebles</t>
  </si>
  <si>
    <t>Inversiones en otras empresas</t>
  </si>
  <si>
    <t>Efectivo desembolsos por préstamos financieros</t>
  </si>
  <si>
    <t>Intereses pagados</t>
  </si>
  <si>
    <t>Efecto de las variaciones en tipo de cambio sobre el saldo en efectivo</t>
  </si>
  <si>
    <t>4. Disminución/Aumento neto de efectivo y equivalentes de efectivo</t>
  </si>
  <si>
    <t>5. Efectivo y equivalentes de efectivo al inicio del año</t>
  </si>
  <si>
    <t>6. Efectivo y equivalentes de efectivo al final del año</t>
  </si>
  <si>
    <t>Flujo de efectivo por actividades operativas</t>
  </si>
  <si>
    <t>Efectivo neto de actividades de operación</t>
  </si>
  <si>
    <t>Flujo de efectivo por actividades de inversión</t>
  </si>
  <si>
    <t>Efectivo (utilizado) generado en actividades de inversión</t>
  </si>
  <si>
    <t>Flujo de efectivo por actividades de financiamiento</t>
  </si>
  <si>
    <t>Efectivo neto en actividades de financiamiento</t>
  </si>
  <si>
    <t>PENNER AUTOMOTORES S.R.L.</t>
  </si>
  <si>
    <t xml:space="preserve">ESTADO DE EVOLUCION DEL PATRIMONIO NETO </t>
  </si>
  <si>
    <t>(En miles de guaraníes)</t>
  </si>
  <si>
    <t>Por el año finalizado el 31/12/2020 comparativo con el ejercicio anterior</t>
  </si>
  <si>
    <t>Total</t>
  </si>
  <si>
    <t>Movimientos</t>
  </si>
  <si>
    <t>Capital</t>
  </si>
  <si>
    <t>Reservas</t>
  </si>
  <si>
    <t>Otros</t>
  </si>
  <si>
    <t>Resultados</t>
  </si>
  <si>
    <t>Patrimonio neto</t>
  </si>
  <si>
    <t>Suscripto</t>
  </si>
  <si>
    <t>A integrar</t>
  </si>
  <si>
    <t>Integrado</t>
  </si>
  <si>
    <t>Legal</t>
  </si>
  <si>
    <t>Facultativa</t>
  </si>
  <si>
    <t>Revalúo</t>
  </si>
  <si>
    <t>Prima de Emisión</t>
  </si>
  <si>
    <t>Superavit por revaluación de acciones</t>
  </si>
  <si>
    <t>Acumulados</t>
  </si>
  <si>
    <t>Del ejercicio</t>
  </si>
  <si>
    <t>Ejercicio actual</t>
  </si>
  <si>
    <t>Ejercicio anterior</t>
  </si>
  <si>
    <t>Superávit por revaluación de acciones</t>
  </si>
  <si>
    <t>Resultado del ejercicio</t>
  </si>
  <si>
    <t>Saldos al 31.12.2019</t>
  </si>
  <si>
    <t xml:space="preserve">Aportes de capital </t>
  </si>
  <si>
    <t>Distribución de utilidades</t>
  </si>
  <si>
    <t>Prima de emisión</t>
  </si>
  <si>
    <t>Reserva de revalúo Ley 125/91</t>
  </si>
  <si>
    <t>Capitalización de reservas</t>
  </si>
  <si>
    <t>Absorción de pérdidas</t>
  </si>
  <si>
    <t>Constitución de reserva legal</t>
  </si>
  <si>
    <t>Saldos al 31.12.2020</t>
  </si>
  <si>
    <t xml:space="preserve">Notas a los estados financieros </t>
  </si>
  <si>
    <t xml:space="preserve"> (En guaraníes)</t>
  </si>
  <si>
    <t>Nota 1  Consideración de los estados financieros</t>
  </si>
  <si>
    <t>Nota 2  Información básica de la empresa</t>
  </si>
  <si>
    <t>A la fecha de emisión, los presentes estados financieros, fueron aprobados por el Acta de Reunión de Socios Nº 3 con fecha 26 de febrero del año 2021</t>
  </si>
  <si>
    <t>2.1 Naturaleza Jurídica de las actividades de la Sociedad.</t>
  </si>
  <si>
    <t>La Sociedad fue constituida originalmente bajo la denominación de Pro – Chaco S.R.L., según consta en la Escritura Pública número 32, de Fecha 7 de agosto de 2001, de cuyo testimonio se tomó razón en la Dirección General de los Registros Públicos. Registro de Personas Jurídicas y Asociaciones, el 30 de agosto de 2001 y en el Registro Público de Comercio, también el 30 de agosto de 2001.</t>
  </si>
  <si>
    <t xml:space="preserve">Por escritura pública número 81, del 18 de setiembre de 2006, fue modificada la primera cláusula del contrato constitutivo, cambiándose la denominación de la firma a la de Penner Automotores Sociedad de Responsabilidad Limitada, de todo lo cual se tomó razón en la Dirección General de los Registros Públicos, en el Registro de Personas Jurídicas y Asociaciones, el 13 de noviembre de 2006. </t>
  </si>
  <si>
    <t>Según escritura pública Nº 103 de fecha 3 de marzo de 2016 de aumento de capital en Gs.13.131.000.000. (Reserva de revalúo 1.359.000.000, resultados acumulados 4.152.000.000, fondo de reserva 1.600.000.000 y resultados del ejercicio 6.018.000.000) y capital actual Gs. 25.369.000.000 quedando el mismo en Gs. 38.500.000.000 dividido en 38.500 cuotas por valor de Gs. 1.000.000.</t>
  </si>
  <si>
    <t>En fecha 3/4/2017 según escritura pública Nº174 se resolvió el ingreso de la firma al Mercado de Valores y su inscripción como emisora de obligaciones ante las autoridades de dicho mercado.</t>
  </si>
  <si>
    <t>Según escritura pública Nº 293 de fecha 18/5/2018 de aumento de capital en Gs.15.310.000.000 correspondiente al Revalúo Técnico y el capital actual Gs. 38.500.000.000. Quedando el mismo en Gs. 53.810.000.000 dividido en 53.810 cuotas por valor de Gs. 1.000.000.</t>
  </si>
  <si>
    <t xml:space="preserve">La última modificación fue en fecha 6/6/2018 según escritura pública N° 340 se resuelve realizar en parte proporcional a sus respectivas participaciones, un rescate de cuotas sociales equivalente a 15.310 cuotas sociales, cuyo valor nominal es de Gs.15.310.000.000, dicho monto será compensado con la deuda que la empresa Nordland S.A. tiene con la empresa Penner Automotores S.R.L. El nuevo capital de la sociedad será de Gs. 38.500.000.000 dividido en 38.500 cuotas por valor de Gs. 1.000.000. </t>
  </si>
  <si>
    <t>En fecha 20/11/2018 según escritura pública N° 464 se resuelve que el señor Orlando Penner y Ronald Durksen ceden, venden y transfieren parte de sus cuotas sociales a favor de la firma MF Inversiones S.A. 5.775 cuotas sociales de Gs. 1.000.000 cada un equivalente a Gs. 5.775.000.000 que constituye el 15% de las cuotas sociales de la Sociedad.</t>
  </si>
  <si>
    <t>2.2 Participación en otras empresas.</t>
  </si>
  <si>
    <t>La entidad no posee partipaciones en otras empresas.</t>
  </si>
  <si>
    <t>Nota 3   Principales políticas y prácticas contables aplicadas</t>
  </si>
  <si>
    <t>3.1 Bases de preparación de los estados financieros</t>
  </si>
  <si>
    <t xml:space="preserve">Los presentes estados financieros han sido formulados de acuerdo con los lineamientos generales de las normas contables emitidas por la Comisión Nacional de Valores y Normas de Información Financiera emitidas por el Consejo de Contadores Públicos del Paraguay, en cuanto a las prácticas contables usuales y el plan de cuentas establecido acorde con el funcionamiento de la Entidad. </t>
  </si>
  <si>
    <t>Algunas cifras correspondientes al año terminado el 31 de diciembre de 2019 fueron reclasificadas en los presentes estados financieros con el fin de hacerlas comparables con las del año actual y facilitar su comparación.</t>
  </si>
  <si>
    <t>A continuación se resumen las políticas de contabilidad más significativas aplicadas por la Sociedad:</t>
  </si>
  <si>
    <r>
      <t>a.</t>
    </r>
    <r>
      <rPr>
        <b/>
        <sz val="7"/>
        <color theme="1"/>
        <rFont val="Times New Roman"/>
        <family val="1"/>
      </rPr>
      <t xml:space="preserve">     </t>
    </r>
    <r>
      <rPr>
        <b/>
        <sz val="10"/>
        <color theme="1"/>
        <rFont val="Arial"/>
        <family val="2"/>
      </rPr>
      <t>Bases de contabilización</t>
    </r>
  </si>
  <si>
    <t>Los estados financieros se expresan en guaraníes y han sido preparados siguiendo los criterios de las normas de información financiera vigentes en Paraguay sobre la base de costos históricos (excepto por el revalúo de los bienes de uso hasta el ejercicio finalizado el 31 de diciembre de 2019 y por el tratamiento asignado a los activos y pasivos monetarios en moneda extranjera, tal como se expone en los puntos a y c de esta nota en su apartado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</si>
  <si>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Según el índice general de precios al consumidor publicado por el Banco Central del Paraguay, la inflación correspondiente al período finalizado el 31 de diciembre de 2020 fue 2,2% y la correspondiente al ejercicio finalizado el 31 de diciembre de 2019 fue 2,8%.</t>
  </si>
  <si>
    <r>
      <t>b.</t>
    </r>
    <r>
      <rPr>
        <b/>
        <sz val="7"/>
        <color theme="1"/>
        <rFont val="Times New Roman"/>
        <family val="1"/>
      </rPr>
      <t xml:space="preserve">     </t>
    </r>
    <r>
      <rPr>
        <b/>
        <sz val="10"/>
        <color theme="1"/>
        <rFont val="Arial"/>
        <family val="2"/>
      </rPr>
      <t>Uso de estimaciones</t>
    </r>
  </si>
  <si>
    <t xml:space="preserve">La preparación de los presentes estados financieros requiere que la Gerencia y el Directorio de la Sociedad realicen estimaciones y evaluaciones que afectan el monto de los activos y pasivos registrados y contingentes a la fecha de cierre, como así también los ingresos y egresos registrados en el periodo. Los resultados reales futuros pueden diferir de las estimaciones y evaluaciones realizadas a la fecha de preparación de los presentes estados financieros. </t>
  </si>
  <si>
    <t xml:space="preserve">El efecto en los estados financieros de las modificaciones que, en su caso, se derivasen de los ajustes a efectuar durante los próximos años, es reconocido en el año en que la estimación es modificada y en los años futuros afectados, o sea, se registra en forma prospectiva. 
Las áreas más significativas en las que la Dirección de la Sociedad ha realizado estimaciones de incertidumbre y juicios críticos en la aplicación de políticas contables y que tienen un mayor efecto sobre el importe reconocido en los estados financieros conciernen las previsiones para deudores incobrables, los valores residuales y las depreciaciones de los bienes de uso y el cargo por impuesto a la renta. 
</t>
  </si>
  <si>
    <r>
      <t>c.</t>
    </r>
    <r>
      <rPr>
        <b/>
        <sz val="7"/>
        <color theme="1"/>
        <rFont val="Times New Roman"/>
        <family val="1"/>
      </rPr>
      <t xml:space="preserve">    </t>
    </r>
    <r>
      <rPr>
        <b/>
        <sz val="10"/>
        <color theme="1"/>
        <rFont val="Arial"/>
        <family val="2"/>
      </rPr>
      <t>Información comparativa</t>
    </r>
  </si>
  <si>
    <t>Los estados financieros al 31 de diciembre de 2020 y la información complementaria, se presentan en forma comparativa con los respectivos estados e información complementaria de acuerdo a lo expuesto en la nota 3.1.</t>
  </si>
  <si>
    <t>3.2 Criterios de valuación</t>
  </si>
  <si>
    <r>
      <t>a.</t>
    </r>
    <r>
      <rPr>
        <b/>
        <sz val="7"/>
        <color theme="1"/>
        <rFont val="Times New Roman"/>
        <family val="1"/>
      </rPr>
      <t xml:space="preserve">     </t>
    </r>
    <r>
      <rPr>
        <b/>
        <sz val="10"/>
        <color theme="1"/>
        <rFont val="Arial"/>
        <family val="2"/>
      </rPr>
      <t>Moneda extranjera</t>
    </r>
  </si>
  <si>
    <t xml:space="preserve">Las diferencias de cambio originadas por fluctuaciones en los tipos de cambio producidos entre las fechas de concertación de las operaciones y su liquidación o valuación al cierre del ejercicio, son reconocidas en resultados en el período en que ocurren. 
 </t>
  </si>
  <si>
    <r>
      <t>b.</t>
    </r>
    <r>
      <rPr>
        <b/>
        <sz val="7"/>
        <color theme="1"/>
        <rFont val="Times New Roman"/>
        <family val="1"/>
      </rPr>
      <t xml:space="preserve">    </t>
    </r>
    <r>
      <rPr>
        <b/>
        <sz val="10"/>
        <color theme="1"/>
        <rFont val="Arial"/>
        <family val="2"/>
      </rPr>
      <t>Inversiones</t>
    </r>
  </si>
  <si>
    <t>Las inversiones están valuadas a su costo menos cualquier pérdida por deterioro y a valor tasación según informe realizado en el mes de noviembre del 2017 por el Ing. Rafael Sapienza Ávila.</t>
  </si>
  <si>
    <r>
      <t>c.</t>
    </r>
    <r>
      <rPr>
        <b/>
        <sz val="7"/>
        <color theme="1"/>
        <rFont val="Times New Roman"/>
        <family val="1"/>
      </rPr>
      <t xml:space="preserve">     </t>
    </r>
    <r>
      <rPr>
        <b/>
        <sz val="10"/>
        <color theme="1"/>
        <rFont val="Arial"/>
        <family val="2"/>
      </rPr>
      <t>Bienes de uso</t>
    </r>
  </si>
  <si>
    <t xml:space="preserve">Los bienes de uso están valuados a su costo revaluado hasta el 31 de diciembre de 2019, de acuerdo con las disposiciones de la Ley 125/91, utilizando los coeficientes que reflejan la inflación en el país. A partir del 1 de enero de 2020, se discontinua el ajuste parcial de los mismos. </t>
  </si>
  <si>
    <t>El poder ejecutivo podrá establecer el revalúo obligatorio de los bienes del activo fijo, cuando la variación del Índice de Precios al Consumo determinado por el Banco Central del Paraguay alcance al menos 20% acumulado desde el ejercicio en el cual se haya dispuesto el último ajuste por revalúo. El incremento neto en el valor de los bienes tiene como contrapartida una reserva especial que forma parte del Patrimonio Neto cuyo único destino podrá ser la capitalización.</t>
  </si>
  <si>
    <t>Al valor de costo revaluado se computan las depreciaciones acumuladas, tal como se explica en el apartado 3.4.a. de esta nota.</t>
  </si>
  <si>
    <t>Los gastos de mantenimiento son cargados a resultados. El valor residual de los bienes de uso, considerados en su conjunto, no excede su valor recuperable al cierre del ejercicio.</t>
  </si>
  <si>
    <t>3.3 Política de constitución de previsiones</t>
  </si>
  <si>
    <t>Las previsiones para incobrables son estimadas y constituidas en base al análisis individual de los deudores, realizado por la gerencia de la Sociedad sobre el total de sus cuentas por cobrar judicializadas</t>
  </si>
  <si>
    <t>3.4  Política de Depreciaciones y Amortizaciones</t>
  </si>
  <si>
    <r>
      <t>a.</t>
    </r>
    <r>
      <rPr>
        <b/>
        <sz val="7"/>
        <color theme="1"/>
        <rFont val="Times New Roman"/>
        <family val="1"/>
      </rPr>
      <t xml:space="preserve">          </t>
    </r>
    <r>
      <rPr>
        <b/>
        <sz val="10"/>
        <color theme="1"/>
        <rFont val="Arial"/>
        <family val="2"/>
      </rPr>
      <t>Bienes de uso</t>
    </r>
  </si>
  <si>
    <t>Los bienes de uso son depreciados utilizando el método lineal a partir del mes siguiente de su incorporación al patrimonio de la sociedad de acuerdo con las siguientes vidas útiles:</t>
  </si>
  <si>
    <t>Tipo de bien</t>
  </si>
  <si>
    <t>Vida útil (años) (*)</t>
  </si>
  <si>
    <t>Equipos de informática</t>
  </si>
  <si>
    <t>Muebles y útiles</t>
  </si>
  <si>
    <t>Máquinas y equipos</t>
  </si>
  <si>
    <t>Mejoras en predio ajeno</t>
  </si>
  <si>
    <r>
      <t>b.</t>
    </r>
    <r>
      <rPr>
        <b/>
        <sz val="7"/>
        <color theme="1"/>
        <rFont val="Times New Roman"/>
        <family val="1"/>
      </rPr>
      <t xml:space="preserve">         </t>
    </r>
    <r>
      <rPr>
        <b/>
        <sz val="10"/>
        <color theme="1"/>
        <rFont val="Arial"/>
        <family val="2"/>
      </rPr>
      <t>Cargos diferidos y Activos Intangibles</t>
    </r>
  </si>
  <si>
    <t>Los cargos diferidos y activos intangibles son amortizados utilizando el método lineal a partir del mes siguiente de su incorporación al patrimonio de la sociedad.</t>
  </si>
  <si>
    <t>Los años de amortización son los siguientes:</t>
  </si>
  <si>
    <t>Años de amortización (*)</t>
  </si>
  <si>
    <t>Licencias</t>
  </si>
  <si>
    <t>(*) Años de vida útil aplicables para los bienes incorporados a partir del 1 de enero de 2020</t>
  </si>
  <si>
    <t>Edificios</t>
  </si>
  <si>
    <t xml:space="preserve">Rodados </t>
  </si>
  <si>
    <t>Instalaciones</t>
  </si>
  <si>
    <t>Registro de marca</t>
  </si>
  <si>
    <t>3.5 Política de reconocimiento de ingresos</t>
  </si>
  <si>
    <r>
      <t>a.</t>
    </r>
    <r>
      <rPr>
        <b/>
        <sz val="7"/>
        <color theme="1"/>
        <rFont val="Times New Roman"/>
        <family val="1"/>
      </rPr>
      <t xml:space="preserve">     </t>
    </r>
    <r>
      <rPr>
        <b/>
        <sz val="10"/>
        <color theme="1"/>
        <rFont val="Arial"/>
        <family val="2"/>
      </rPr>
      <t>Intereses sobre títulos y otros valores</t>
    </r>
  </si>
  <si>
    <t>Los intereses generados son reconocidos como ingresos conforme se devengan.</t>
  </si>
  <si>
    <r>
      <t>b.</t>
    </r>
    <r>
      <rPr>
        <b/>
        <sz val="7"/>
        <color theme="1"/>
        <rFont val="Times New Roman"/>
        <family val="1"/>
      </rPr>
      <t xml:space="preserve">    </t>
    </r>
    <r>
      <rPr>
        <b/>
        <sz val="10"/>
        <color theme="1"/>
        <rFont val="Arial"/>
        <family val="2"/>
      </rPr>
      <t>Venta de títulos</t>
    </r>
  </si>
  <si>
    <t xml:space="preserve">Se reconoce como ingreso la diferencia de precio entre el valor de venta de un activo propio y el valor de adquisición. </t>
  </si>
  <si>
    <t>3.6  Estado de flujo de efectivo</t>
  </si>
  <si>
    <t>Para la preparación del estado de flujos de efectivo 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 Se utiliza el método directo para la preparación del mismo.</t>
  </si>
  <si>
    <t>3.7  Normas aplicadas para la consolidación de estados financieros</t>
  </si>
  <si>
    <t>No aplicable. Los presentes Estados Financieros no incluyen información consolidada.</t>
  </si>
  <si>
    <t>Nota 4  Cambio de políticas y procedimientos de contabilidad</t>
  </si>
  <si>
    <t>Las políticas y procedimientos aplicados para la preparación de los presentes estados financieros, no presentan cambios respecto a los utilizados en el ejercicio anterior.</t>
  </si>
  <si>
    <t>Nota 5  Criterios específicos de valuación</t>
  </si>
  <si>
    <r>
      <t>a.</t>
    </r>
    <r>
      <rPr>
        <b/>
        <sz val="7"/>
        <color theme="1"/>
        <rFont val="Times New Roman"/>
        <family val="1"/>
      </rPr>
      <t xml:space="preserve">     </t>
    </r>
    <r>
      <rPr>
        <b/>
        <sz val="10"/>
        <color theme="1"/>
        <rFont val="Arial"/>
        <family val="2"/>
      </rPr>
      <t>Valuación de la moneda extranjera</t>
    </r>
  </si>
  <si>
    <t>El siguiente es el detalle de las principales cotizaciones de las monedas extranjeras operadas por la Sociedad a la fecha de balance:</t>
  </si>
  <si>
    <t>Cambio de estimaciones contables durante el 2020</t>
  </si>
  <si>
    <t>Al 31 de diciembre de 2020, como resultado de las nuevas medidas implementadas por la Administración Tributaria (Subsecretaría de Estado de Tributación) a través del Decreto Nº 3.182/2019 se estableció la determinación del valor residual de las propiedades, planta y equipo a efectos impositivos. Considerando la información nueva disponible la entidad adoptó el mismo criterio para la valuación contable de dichos bienes.</t>
  </si>
  <si>
    <t>El efecto de esta modificación en el periodo finalizado el 31 de diciembre de 2020, considerando los nuevos valores residuales, generó una disminución en el gasto de depreciación por valor de Gs. 143.774.886</t>
  </si>
  <si>
    <t>Se espera que la depreciación de estos activos se vea afectada de manera similar en los próximos años, por efecto del cambio en la estimación contable</t>
  </si>
  <si>
    <t>Promedio</t>
  </si>
  <si>
    <t>Cierre</t>
  </si>
  <si>
    <t>Dólar estadounidense</t>
  </si>
  <si>
    <t>Las transacciones en moneda extranjera son convertidas al Guaraní a la cotización vigente en la fecha de la transacción. Los activos y pasivos monetarios denominados en moneda extranjera son convertidos al Guaraní a la cotización vigente a la fecha de cierre de los estados financieros. Las diferencias de cambio resultantes figuran presentadas en el Estado de Resultados</t>
  </si>
  <si>
    <r>
      <t>b.</t>
    </r>
    <r>
      <rPr>
        <b/>
        <sz val="7"/>
        <color theme="1"/>
        <rFont val="Times New Roman"/>
        <family val="1"/>
      </rPr>
      <t xml:space="preserve">     </t>
    </r>
    <r>
      <rPr>
        <b/>
        <sz val="10"/>
        <color theme="1"/>
        <rFont val="Arial"/>
        <family val="2"/>
      </rPr>
      <t>Posición en moneda extranjera</t>
    </r>
  </si>
  <si>
    <t>Efectivo y equivalentes de efectivo</t>
  </si>
  <si>
    <t>Créditos por venta</t>
  </si>
  <si>
    <t>Créditos en gestión de cobro</t>
  </si>
  <si>
    <t>TOTAL ACTIVO</t>
  </si>
  <si>
    <t>TOTAL PASIVO</t>
  </si>
  <si>
    <t>POSICIÓN NETA</t>
  </si>
  <si>
    <t xml:space="preserve"> Saldo en Moneda Extranjera </t>
  </si>
  <si>
    <t>Tipo de cambio 31.12.2020</t>
  </si>
  <si>
    <t>Saldo en Moneda local al 31.12.2020</t>
  </si>
  <si>
    <t>Saldo en Moneda local al 31.12.2019</t>
  </si>
  <si>
    <t>Tipo de cambio 31.12.2019</t>
  </si>
  <si>
    <t>Detalle</t>
  </si>
  <si>
    <t>Moneda</t>
  </si>
  <si>
    <t>USD</t>
  </si>
  <si>
    <t xml:space="preserve">c.  Disponibilidades </t>
  </si>
  <si>
    <t>El rubro de disponibilidades se compone de la siguiente manera:</t>
  </si>
  <si>
    <t>Banco Itaú Paraguay S.A.</t>
  </si>
  <si>
    <t>Banco BBVA Paraguay</t>
  </si>
  <si>
    <t>Cooperativa Fernheim Ltda.</t>
  </si>
  <si>
    <t>Recaudaciones a depositar</t>
  </si>
  <si>
    <t>Visión Banco S.A.E.C.A.</t>
  </si>
  <si>
    <t>Banco GNB S.A.</t>
  </si>
  <si>
    <t>Cooperativa Chortitzer Ltda.</t>
  </si>
  <si>
    <t>Banco Continental S.A.E.C.A.</t>
  </si>
  <si>
    <t>Banco Regional S.A.E.C.A.</t>
  </si>
  <si>
    <t>Bancop S.A.</t>
  </si>
  <si>
    <t>Banco Atlas S.A.</t>
  </si>
  <si>
    <t>d.  Créditos por ventas</t>
  </si>
  <si>
    <t>Los créditos por ventas se componen de la siguiente manera:</t>
  </si>
  <si>
    <t>Documentos y cuentas por cobrar</t>
  </si>
  <si>
    <t>Subtotal</t>
  </si>
  <si>
    <t>Previsión para incobrables ( - )</t>
  </si>
  <si>
    <t>Clientes locales</t>
  </si>
  <si>
    <t xml:space="preserve">Corto Plazo </t>
  </si>
  <si>
    <t>Menos: Intereses a vencer s/ créditos</t>
  </si>
  <si>
    <t>Créditos judiciales</t>
  </si>
  <si>
    <t>Vehículos</t>
  </si>
  <si>
    <t>Vehículos y Repuestos</t>
  </si>
  <si>
    <t>Repuestos para la venta</t>
  </si>
  <si>
    <t>Ordenes de trabajo en proceso</t>
  </si>
  <si>
    <t>5.c</t>
  </si>
  <si>
    <t>5.d</t>
  </si>
  <si>
    <t>5.e</t>
  </si>
  <si>
    <t>5.f</t>
  </si>
  <si>
    <t xml:space="preserve">Largo Plazo </t>
  </si>
  <si>
    <t>Total al 31.12.2020</t>
  </si>
  <si>
    <t>Total al 31.12.2019</t>
  </si>
  <si>
    <t>e.  Otros créditos</t>
  </si>
  <si>
    <t>Los otros créditos se componen de la siguiente manera:</t>
  </si>
  <si>
    <t>Créditos fiscales</t>
  </si>
  <si>
    <t>Gastos a recuperar de clientes</t>
  </si>
  <si>
    <t>Anticipo a proveedores</t>
  </si>
  <si>
    <t>Anticipos al personal</t>
  </si>
  <si>
    <t>Gastos a devengar</t>
  </si>
  <si>
    <t>Seguros en gestión de cobro</t>
  </si>
  <si>
    <t>Deudores varios</t>
  </si>
  <si>
    <t>Documentos a cobrar</t>
  </si>
  <si>
    <t>Honorarios a vencer</t>
  </si>
  <si>
    <t>Nordland S.A.</t>
  </si>
  <si>
    <t>5.g</t>
  </si>
  <si>
    <t>Bienes de cambio</t>
  </si>
  <si>
    <t>f.  Bienes de cambio</t>
  </si>
  <si>
    <t>g.  Inversiones inmuebles</t>
  </si>
  <si>
    <t>El movimiento de las inversiones inmuebles es el siguiente:</t>
  </si>
  <si>
    <t>Saldo inicial</t>
  </si>
  <si>
    <t>Altas de inmuebles</t>
  </si>
  <si>
    <t>Bajas de inmuebles</t>
  </si>
  <si>
    <t xml:space="preserve">Total </t>
  </si>
  <si>
    <t>Prestamos a personas vinculadas Corriente</t>
  </si>
  <si>
    <t xml:space="preserve">Son inversiones financieras en otra entidad del grupo, que constan de préstamos financieros a una tasa determinada sobre saldo </t>
  </si>
  <si>
    <t xml:space="preserve">devengadas mensualmente. Estas inversiones van variando en capital según se cumplen los plazos y según la necesidad de capital </t>
  </si>
  <si>
    <t>de la empresa vinculada. Los saldos reflejados corresponden al corte de cada periodo, al 31/12/2020 fue cancelada la deuda por parte de Nordland.</t>
  </si>
  <si>
    <t>Inversiones en bienes inmuebles no corrientes</t>
  </si>
  <si>
    <t xml:space="preserve">Al 31 de diciembre de 2020 la entidad posee derechos de usufructos vitalicio de un inmueble ubicado en la Ciudad de Filadelfia </t>
  </si>
  <si>
    <t xml:space="preserve">y uno en la ciudad de Loma Plata, (la cual fue revaluada según tasación y en la cual se encuentra el showroom). </t>
  </si>
  <si>
    <t>Tambien posee derechos sobre dos grupos de lotes en el Complejo Boreal, de la empresa vinculada Nordland S.A.</t>
  </si>
  <si>
    <t>5.h</t>
  </si>
  <si>
    <t>El movimiento de los bienes de uso en cada ejercicio ha sido el siguiente:</t>
  </si>
  <si>
    <r>
      <t>h.</t>
    </r>
    <r>
      <rPr>
        <b/>
        <sz val="7"/>
        <color theme="1"/>
        <rFont val="Times New Roman"/>
        <family val="1"/>
      </rPr>
      <t xml:space="preserve">     </t>
    </r>
    <r>
      <rPr>
        <b/>
        <sz val="10"/>
        <color theme="1"/>
        <rFont val="Arial"/>
        <family val="2"/>
      </rPr>
      <t>Bienes de uso</t>
    </r>
  </si>
  <si>
    <t>Cuentas</t>
  </si>
  <si>
    <t>VALORES DE ORIGEN</t>
  </si>
  <si>
    <t>DEPRECIACIONES</t>
  </si>
  <si>
    <t>Neto Resultante</t>
  </si>
  <si>
    <t>Al Inicio del Periodo</t>
  </si>
  <si>
    <t>Altas y Trasf. Del Periodo</t>
  </si>
  <si>
    <t>Reclas./Bajas del Periodo</t>
  </si>
  <si>
    <t>Revalúo del Periodo</t>
  </si>
  <si>
    <t>Al Cierre del Periodo</t>
  </si>
  <si>
    <t>Acumuladas al inicio del Periodo</t>
  </si>
  <si>
    <t>Acumuladas al cierre del periodo</t>
  </si>
  <si>
    <t>Bienes en Fideicomiso (*)</t>
  </si>
  <si>
    <t>Edificaciones</t>
  </si>
  <si>
    <t>Rodados</t>
  </si>
  <si>
    <t>Muebles y Equipos de Oficina</t>
  </si>
  <si>
    <t>Maquinarias</t>
  </si>
  <si>
    <t>Edificaciones en Predio Ajeno</t>
  </si>
  <si>
    <t>Herramientas y Enseres</t>
  </si>
  <si>
    <t>Equipos de Informatica</t>
  </si>
  <si>
    <t>Total al 31/12/20</t>
  </si>
  <si>
    <t>Total al 31/12/19</t>
  </si>
  <si>
    <t>Bienes de uso</t>
  </si>
  <si>
    <t>(*) Posee bienes en Fideicomiso con Banco Rio como Fiduciaria y Banco Continental como Beneficiario a 20 años.</t>
  </si>
  <si>
    <t>Los inmuebles en fideicomiso son las siguientes las cuales están ubicadas en el Distrito de Santísima Trinidad:</t>
  </si>
  <si>
    <t xml:space="preserve">Primer inmueble: Finca N° 83, Cta. Ctral. 15-0211-14 </t>
  </si>
  <si>
    <t xml:space="preserve">Segundo inmueble: Finca N° 13287, Cta. Ctral. 15-1221-06 </t>
  </si>
  <si>
    <t xml:space="preserve">Tercer inmueble: Finca N° 13288, Cta. Ctral. 15-1221-04 </t>
  </si>
  <si>
    <t>Cuarto inmueble: Finca N° 13288, Cta. Ctral. 15-1221-03 E31</t>
  </si>
  <si>
    <t xml:space="preserve">Quinto inmueble: Finca N° 13288, Cta. Ctral. 15-1221-05. </t>
  </si>
  <si>
    <t xml:space="preserve">Sexto inmueble: Finca N° 13978, Cta. Ctral. 15-1221-02. </t>
  </si>
  <si>
    <t>Séptimo inmueble: Finca N° 15689, Cta. Ctral. 15-1222-04.</t>
  </si>
  <si>
    <r>
      <t>i.</t>
    </r>
    <r>
      <rPr>
        <b/>
        <sz val="7"/>
        <color theme="1"/>
        <rFont val="Times New Roman"/>
        <family val="1"/>
      </rPr>
      <t xml:space="preserve">     </t>
    </r>
    <r>
      <rPr>
        <b/>
        <sz val="10"/>
        <color theme="1"/>
        <rFont val="Arial"/>
        <family val="2"/>
      </rPr>
      <t>Intangibles</t>
    </r>
  </si>
  <si>
    <t>5.i</t>
  </si>
  <si>
    <t>Concepto</t>
  </si>
  <si>
    <t xml:space="preserve"> Aumentos </t>
  </si>
  <si>
    <t>Los movimientos de los intangibles de la Sociedad es el siguiente:</t>
  </si>
  <si>
    <t>AMORTIZACIONES</t>
  </si>
  <si>
    <t>Aumentos</t>
  </si>
  <si>
    <t>Del Período</t>
  </si>
  <si>
    <t>Registro de Marcas</t>
  </si>
  <si>
    <r>
      <t>j.</t>
    </r>
    <r>
      <rPr>
        <b/>
        <sz val="7"/>
        <color theme="1"/>
        <rFont val="Times New Roman"/>
        <family val="1"/>
      </rPr>
      <t xml:space="preserve">     </t>
    </r>
    <r>
      <rPr>
        <b/>
        <sz val="10"/>
        <color theme="1"/>
        <rFont val="Arial"/>
        <family val="2"/>
      </rPr>
      <t>Deudas comerciales</t>
    </r>
  </si>
  <si>
    <t>El detalle de Deudas comerciales es el siguiente:</t>
  </si>
  <si>
    <t>Anticipos de clientes</t>
  </si>
  <si>
    <t>Diesa S.A.</t>
  </si>
  <si>
    <t>Cuevas Hermanos S.A.</t>
  </si>
  <si>
    <t>Otros proveedores</t>
  </si>
  <si>
    <t>5.j</t>
  </si>
  <si>
    <r>
      <t>k.</t>
    </r>
    <r>
      <rPr>
        <b/>
        <sz val="7"/>
        <color theme="1"/>
        <rFont val="Times New Roman"/>
        <family val="1"/>
      </rPr>
      <t xml:space="preserve">     </t>
    </r>
    <r>
      <rPr>
        <b/>
        <sz val="10"/>
        <color theme="1"/>
        <rFont val="Arial"/>
        <family val="2"/>
      </rPr>
      <t>Deudas financieras</t>
    </r>
  </si>
  <si>
    <t>El detalle de Deudas financieras es el siguiente:</t>
  </si>
  <si>
    <t>Préstamos de terceros</t>
  </si>
  <si>
    <t>Financiera El Comercio S.A.E.C.A.</t>
  </si>
  <si>
    <t>Financiera Paraguayo Japonesa</t>
  </si>
  <si>
    <t>Banco Rio S.A.</t>
  </si>
  <si>
    <t>Banco Interfisa S.A.E.C.A.</t>
  </si>
  <si>
    <t>Banco BASA S.A.</t>
  </si>
  <si>
    <t>Menos: Intereses préstamos con terceros</t>
  </si>
  <si>
    <t>Menos: Intereses a vencer</t>
  </si>
  <si>
    <t>5.k</t>
  </si>
  <si>
    <t>Los intereses pactados se ubican entre el 9% y el 13,5% anual durante el 2020; 8,75y el 15% anual durante 2019. El vencimiento máximo a noviembre 2023. </t>
  </si>
  <si>
    <t>Los intereses por los préstamos con terceros y vinculadas se ubican entre el 8% y el 12% anual durante el 2020; 8% y el 13% anual durante el 2019. El vencimiento máximo a julio 2022.</t>
  </si>
  <si>
    <t>5.l</t>
  </si>
  <si>
    <t>El detalle de Deudas financieras con fideicomiso es el siguiente:</t>
  </si>
  <si>
    <r>
      <t>l.</t>
    </r>
    <r>
      <rPr>
        <b/>
        <sz val="7"/>
        <color theme="1"/>
        <rFont val="Times New Roman"/>
        <family val="1"/>
      </rPr>
      <t xml:space="preserve">     </t>
    </r>
    <r>
      <rPr>
        <b/>
        <sz val="10"/>
        <color theme="1"/>
        <rFont val="Arial"/>
        <family val="2"/>
      </rPr>
      <t xml:space="preserve">Deudas financieras con fideicomiso </t>
    </r>
  </si>
  <si>
    <t>Deudas financieras con fideicomiso</t>
  </si>
  <si>
    <t>Banco Río S.A.</t>
  </si>
  <si>
    <t>5.m</t>
  </si>
  <si>
    <t>Los inmuebles en Fideicomiso con Bancio Rio como Fiduciaria y Banco Continental como Beneficiario a 20 años. Los inmuebles en fideicomiso están ubicadas en el Distrito de Santísima Trinidad y son las siguientes:</t>
  </si>
  <si>
    <t>-      Séptimo inmueble: Finca N° 15689, Cta. Ctral. 15-1222-04</t>
  </si>
  <si>
    <r>
      <t xml:space="preserve">-      </t>
    </r>
    <r>
      <rPr>
        <sz val="10"/>
        <color rgb="FF000000"/>
        <rFont val="Arial"/>
        <family val="2"/>
      </rPr>
      <t xml:space="preserve">Primer inmueble: Finca N° 83, Cta. Ctral. 15-0211-14 </t>
    </r>
  </si>
  <si>
    <r>
      <t xml:space="preserve">-      </t>
    </r>
    <r>
      <rPr>
        <sz val="10"/>
        <color rgb="FF000000"/>
        <rFont val="Arial"/>
        <family val="2"/>
      </rPr>
      <t xml:space="preserve">Segundo inmueble: Finca N° 13287, Cta. Ctral. 15-1221-06 </t>
    </r>
  </si>
  <si>
    <r>
      <t xml:space="preserve">-      </t>
    </r>
    <r>
      <rPr>
        <sz val="10"/>
        <color rgb="FF000000"/>
        <rFont val="Arial"/>
        <family val="2"/>
      </rPr>
      <t xml:space="preserve">Tercer inmueble: Finca N° 13288, Cta. Ctral. 15-1221-04 </t>
    </r>
  </si>
  <si>
    <r>
      <t xml:space="preserve">-      </t>
    </r>
    <r>
      <rPr>
        <sz val="10"/>
        <color rgb="FF000000"/>
        <rFont val="Arial"/>
        <family val="2"/>
      </rPr>
      <t xml:space="preserve">Cuarto inmueble: Finca N° 13288, Cta. Ctral. 15-1221-03. </t>
    </r>
  </si>
  <si>
    <r>
      <t xml:space="preserve">-      </t>
    </r>
    <r>
      <rPr>
        <sz val="10"/>
        <color rgb="FF000000"/>
        <rFont val="Arial"/>
        <family val="2"/>
      </rPr>
      <t xml:space="preserve">Quinto inmueble: Finca N° 13288, Cta. Ctral. 15-1221-05. </t>
    </r>
  </si>
  <si>
    <r>
      <t xml:space="preserve">-      </t>
    </r>
    <r>
      <rPr>
        <sz val="10"/>
        <color rgb="FF000000"/>
        <rFont val="Arial"/>
        <family val="2"/>
      </rPr>
      <t xml:space="preserve">Sexto inmueble: Finca N° 13978, Cta. Ctral. 15-1221-02. </t>
    </r>
  </si>
  <si>
    <r>
      <t>m.</t>
    </r>
    <r>
      <rPr>
        <b/>
        <sz val="7"/>
        <color theme="1"/>
        <rFont val="Times New Roman"/>
        <family val="1"/>
      </rPr>
      <t xml:space="preserve">     </t>
    </r>
    <r>
      <rPr>
        <b/>
        <sz val="10"/>
        <color theme="1"/>
        <rFont val="Arial"/>
        <family val="2"/>
      </rPr>
      <t>Deudas por bonos emitidos</t>
    </r>
  </si>
  <si>
    <t>El detalle de Deudas por bonos emitidos es el siguiente:</t>
  </si>
  <si>
    <t>Deudas por bonos emitidos</t>
  </si>
  <si>
    <t>Bonos a pagar</t>
  </si>
  <si>
    <t>(-) Intereses por bonos no devengados</t>
  </si>
  <si>
    <t>Los intereses se ubican entre el 11,5% y el 14% anual durante el 2019 y el 2018. El vencimiento máximo a diciembre 2023.</t>
  </si>
  <si>
    <t>El detalle de las Deudas diversas es el siguiente:</t>
  </si>
  <si>
    <t>Acreedores fiscales</t>
  </si>
  <si>
    <t>Remuneraciones y cargas sociales a pagar</t>
  </si>
  <si>
    <r>
      <t>n.</t>
    </r>
    <r>
      <rPr>
        <b/>
        <sz val="7"/>
        <color theme="1"/>
        <rFont val="Times New Roman"/>
        <family val="1"/>
      </rPr>
      <t xml:space="preserve">     </t>
    </r>
    <r>
      <rPr>
        <b/>
        <sz val="10"/>
        <color theme="1"/>
        <rFont val="Arial"/>
        <family val="2"/>
      </rPr>
      <t xml:space="preserve">Deudas diversas </t>
    </r>
  </si>
  <si>
    <t>5.n</t>
  </si>
  <si>
    <r>
      <t>ñ.</t>
    </r>
    <r>
      <rPr>
        <b/>
        <sz val="7"/>
        <color theme="1"/>
        <rFont val="Times New Roman"/>
        <family val="1"/>
      </rPr>
      <t xml:space="preserve">    </t>
    </r>
    <r>
      <rPr>
        <b/>
        <sz val="10"/>
        <color theme="1"/>
        <rFont val="Arial"/>
        <family val="2"/>
      </rPr>
      <t>Otros Pasivos Corrientes y No Corrientes</t>
    </r>
  </si>
  <si>
    <t>La Sociedad no cuenta con saldos por este concepto.</t>
  </si>
  <si>
    <r>
      <t>o.</t>
    </r>
    <r>
      <rPr>
        <b/>
        <sz val="7"/>
        <color theme="1"/>
        <rFont val="Times New Roman"/>
        <family val="1"/>
      </rPr>
      <t xml:space="preserve">    </t>
    </r>
    <r>
      <rPr>
        <b/>
        <sz val="10"/>
        <color theme="1"/>
        <rFont val="Arial"/>
        <family val="2"/>
      </rPr>
      <t>Saldos  con personas y empresas relacionadas</t>
    </r>
  </si>
  <si>
    <t>Los saldos con personas y empresas relacionadas se componen de la siguiente manera:</t>
  </si>
  <si>
    <t>Nombre</t>
  </si>
  <si>
    <t>Relación</t>
  </si>
  <si>
    <t>Tipo de operación</t>
  </si>
  <si>
    <t xml:space="preserve"> 31.12.2019 </t>
  </si>
  <si>
    <t>Sociedad Vinculada </t>
  </si>
  <si>
    <t>Disponible</t>
  </si>
  <si>
    <t>Total Activo</t>
  </si>
  <si>
    <t>Pasivo</t>
  </si>
  <si>
    <t>Total Pasivo</t>
  </si>
  <si>
    <t>Inversiones</t>
  </si>
  <si>
    <t xml:space="preserve"> 31.12.2020</t>
  </si>
  <si>
    <t>Activo no Corriente</t>
  </si>
  <si>
    <t>Inversiones inmobiliaras</t>
  </si>
  <si>
    <t>Activo Corriente</t>
  </si>
  <si>
    <t>Total Activo Corriente</t>
  </si>
  <si>
    <t>Total Activo no Corriente</t>
  </si>
  <si>
    <t>Persona vinculada</t>
  </si>
  <si>
    <r>
      <t>p.</t>
    </r>
    <r>
      <rPr>
        <b/>
        <sz val="7"/>
        <rFont val="Times New Roman"/>
        <family val="1"/>
      </rPr>
      <t>     </t>
    </r>
    <r>
      <rPr>
        <b/>
        <sz val="10"/>
        <rFont val="Arial"/>
        <family val="2"/>
      </rPr>
      <t>Transacciones con personas y empresas vinculadas</t>
    </r>
  </si>
  <si>
    <t>Las transacciones con personas y empresas vinculadas durante el período fueron los siguientes:</t>
  </si>
  <si>
    <t>Persona o empresa relacionada</t>
  </si>
  <si>
    <t xml:space="preserve"> Total ingresos </t>
  </si>
  <si>
    <t xml:space="preserve"> Total egresos </t>
  </si>
  <si>
    <t>Total 31.12.2020</t>
  </si>
  <si>
    <t>Total 31.12.2019</t>
  </si>
  <si>
    <t>El movimiento del Patrimonio Neto de la Sociedad es el siguiente:</t>
  </si>
  <si>
    <r>
      <t>q.</t>
    </r>
    <r>
      <rPr>
        <b/>
        <sz val="7"/>
        <rFont val="Times New Roman"/>
        <family val="1"/>
      </rPr>
      <t>     </t>
    </r>
    <r>
      <rPr>
        <b/>
        <sz val="10"/>
        <rFont val="Arial"/>
        <family val="2"/>
      </rPr>
      <t>Patrimonio Neto</t>
    </r>
  </si>
  <si>
    <t xml:space="preserve"> Disminuciones </t>
  </si>
  <si>
    <t xml:space="preserve"> Saldo al cierre </t>
  </si>
  <si>
    <t>Capital integrado</t>
  </si>
  <si>
    <t>Resultados acumulados</t>
  </si>
  <si>
    <t>Resultado del período</t>
  </si>
  <si>
    <t>5.q</t>
  </si>
  <si>
    <t>r.    Costo de bienes y servicios vendidos</t>
  </si>
  <si>
    <t>Costo de vehiculos nuevos</t>
  </si>
  <si>
    <t>Costo de vehiculos usados</t>
  </si>
  <si>
    <t>Gastos de gestion judicial</t>
  </si>
  <si>
    <t>Gestion de cobranzas</t>
  </si>
  <si>
    <t>Costo de venta taller</t>
  </si>
  <si>
    <t>Remuneraciones taller</t>
  </si>
  <si>
    <t>Comisiones pagadas taller</t>
  </si>
  <si>
    <t>Descuentos concedidos</t>
  </si>
  <si>
    <t xml:space="preserve">Alquileres pagados </t>
  </si>
  <si>
    <t>Electricidad, agua y teléfono</t>
  </si>
  <si>
    <t>Gastos de escribanía asuncion</t>
  </si>
  <si>
    <t>Publicidad y propaganda</t>
  </si>
  <si>
    <t>Combustible y lubricante</t>
  </si>
  <si>
    <t>Cargas sociales taller</t>
  </si>
  <si>
    <t xml:space="preserve">Gastos de seguridad privada </t>
  </si>
  <si>
    <t xml:space="preserve">Gastos de vehiculos </t>
  </si>
  <si>
    <t xml:space="preserve">Insumos varios </t>
  </si>
  <si>
    <t>Limpieza de vehiculo</t>
  </si>
  <si>
    <t>r.1 Costos por venta de vehiculos</t>
  </si>
  <si>
    <t>r.2 Costos por otros servicios</t>
  </si>
  <si>
    <t>5.r.2</t>
  </si>
  <si>
    <t>5.r.1</t>
  </si>
  <si>
    <t>El rubro de los costos está compuesto de la siguiente forma:</t>
  </si>
  <si>
    <t>s.   Gastos del personal</t>
  </si>
  <si>
    <t>5.s</t>
  </si>
  <si>
    <t>Los gastos del personal incurridos por la sociedad han sido las siguientes:</t>
  </si>
  <si>
    <t>Remuneraciones</t>
  </si>
  <si>
    <t>Cargas sociales</t>
  </si>
  <si>
    <t>Gastos del personal</t>
  </si>
  <si>
    <t>El número promedio de empleados durante el año terminado el 31 de diciembre de 2020 fue de 35 (42 durante el 2019).</t>
  </si>
  <si>
    <t>El cálculo del Impuesto a la Renta empresarial ha sido el siguiente:</t>
  </si>
  <si>
    <t>Perdida/ganancia contable ante de impuestos</t>
  </si>
  <si>
    <t>Tasa de impuesto</t>
  </si>
  <si>
    <t>Impuesto sobre utilidad</t>
  </si>
  <si>
    <t>Total Impuesto a la Renta</t>
  </si>
  <si>
    <t>t.  Resultados financieros</t>
  </si>
  <si>
    <t>Los resultados financieros se componen de la siguiente manera:</t>
  </si>
  <si>
    <t>Intereses - Asunción</t>
  </si>
  <si>
    <t>Intereses - Filadelfia</t>
  </si>
  <si>
    <t>Intereses Moratorios</t>
  </si>
  <si>
    <t>Intereses Punitorios</t>
  </si>
  <si>
    <t>Intereses pagados a Proveedores</t>
  </si>
  <si>
    <t>Intereses por Deudas con terceros</t>
  </si>
  <si>
    <t>t.1 Intereses perdidos</t>
  </si>
  <si>
    <t>5.t.1</t>
  </si>
  <si>
    <t>5.t.2</t>
  </si>
  <si>
    <t>5.u</t>
  </si>
  <si>
    <t xml:space="preserve">t.2 Gastos financieros </t>
  </si>
  <si>
    <t>u.  Impuesto a la Renta</t>
  </si>
  <si>
    <t>Intereses por Bonos</t>
  </si>
  <si>
    <t xml:space="preserve">Las operaciones de la Sociedad, en general, están gravadas por el impuesto a la renta empresarial (IRE) cuya tasa general es del 10%. </t>
  </si>
  <si>
    <t>Nota 6  Información referente a contingencias y compromisos</t>
  </si>
  <si>
    <r>
      <t>a.</t>
    </r>
    <r>
      <rPr>
        <b/>
        <sz val="7"/>
        <color theme="1"/>
        <rFont val="Times New Roman"/>
        <family val="1"/>
      </rPr>
      <t xml:space="preserve">     </t>
    </r>
    <r>
      <rPr>
        <b/>
        <sz val="10"/>
        <color theme="1"/>
        <rFont val="Arial"/>
        <family val="2"/>
      </rPr>
      <t>Compromisos Socios</t>
    </r>
  </si>
  <si>
    <t xml:space="preserve">A la fecha de emisión de los presentes estados financieros la Sociedad no posee compromisos de los Socios. </t>
  </si>
  <si>
    <r>
      <t>b.</t>
    </r>
    <r>
      <rPr>
        <b/>
        <sz val="7"/>
        <color theme="1"/>
        <rFont val="Times New Roman"/>
        <family val="1"/>
      </rPr>
      <t xml:space="preserve">    </t>
    </r>
    <r>
      <rPr>
        <b/>
        <sz val="10"/>
        <color theme="1"/>
        <rFont val="Arial"/>
        <family val="2"/>
      </rPr>
      <t>Contingencias legales</t>
    </r>
  </si>
  <si>
    <t>A la fecha de emisión de los presentes estados contables la Sociedad no registra juicios u otras acciones legales que pudieran producir variaciones sobre los importes reportados como saldos al cierre.</t>
  </si>
  <si>
    <r>
      <t>c.</t>
    </r>
    <r>
      <rPr>
        <b/>
        <sz val="7"/>
        <color theme="1"/>
        <rFont val="Times New Roman"/>
        <family val="1"/>
      </rPr>
      <t xml:space="preserve">     </t>
    </r>
    <r>
      <rPr>
        <b/>
        <sz val="10"/>
        <color theme="1"/>
        <rFont val="Arial"/>
        <family val="2"/>
      </rPr>
      <t>Garantías constituidas</t>
    </r>
  </si>
  <si>
    <t>A la fecha del presente informe la Sociedad no posee Garantías constituidas.</t>
  </si>
  <si>
    <t>Nota 7  Hechos posteriores al cierre de ejercicio</t>
  </si>
  <si>
    <t>A la fecha de emisión de los presentes estados financieros, no han ocurrido hechos significativos que impliquen alteraciones significativas a la estructura patrimonial o financiera o, a los resultados de la Sociedad al 31 de diciembre de 2020.</t>
  </si>
  <si>
    <t>Nota 8 Limitación a la libre disponibilidad de los activos o del patrimonio y cualquier restricción al derecho de propiedad</t>
  </si>
  <si>
    <t>a) Al  31 de diciembre de 2020 y al 31 de diciembre de 2019 existen las siguientes limitaciones:</t>
  </si>
  <si>
    <r>
      <t>b)</t>
    </r>
    <r>
      <rPr>
        <b/>
        <sz val="7"/>
        <color rgb="FF000000"/>
        <rFont val="Times New Roman"/>
        <family val="1"/>
      </rPr>
      <t xml:space="preserve">    </t>
    </r>
    <r>
      <rPr>
        <b/>
        <sz val="10"/>
        <color rgb="FF000000"/>
        <rFont val="Arial"/>
        <family val="2"/>
      </rPr>
      <t>Cuentas de Orden</t>
    </r>
  </si>
  <si>
    <t>A la fecha del presente informe la entidad no registra cuentas de orden</t>
  </si>
  <si>
    <t>Nota 9  Cambios contables</t>
  </si>
  <si>
    <t>Nota 10  Restricciones para distribución de utilidades</t>
  </si>
  <si>
    <t>Restricción a la distribución de utilidades:</t>
  </si>
  <si>
    <t>b) El incremento patrimonial producido por el revalúo de los bienes de uso sólo podrá ser capitalizado, no pudiendo ser distribuido como dividendo, utilidad o beneficio.</t>
  </si>
  <si>
    <t xml:space="preserve">c) De acuerdo con el régimen tributario establecido por la Ley Nº 6.380/19, la distribución de utilidades estarán gravadas por el Impuesto a los Dividendos y Utilidades (IDU) a una tasa del 8% en caso de que se residentes y al 15% en caso de no residentes. 
Durante el primer año de vigencia, se prevén tasas extraordinarias del 5% y 10% en caso de residentes y no residentes respectivamente, aplicables a la distribución de ganancias acumuladas generadas en ejercicios anteriores.
</t>
  </si>
  <si>
    <t>a) De acuerdo con la legislación vigente las sociedades por cuotas, deben constituir una reserva legal no menor al 5% de las utilidades netas del ejercicio, hasta alcanzar el 20% del capital suscripto.</t>
  </si>
  <si>
    <t>Nota 11  Sanciones</t>
  </si>
  <si>
    <t xml:space="preserve">A la fecha de emisión de los presentes estados contables, no existen sanciones de ninguna naturaleza que la Comisión Nacional de Valores u otras instituciones fiscalizadoras hayan cursado a la Sociedad. </t>
  </si>
  <si>
    <t>Los Bienes de cambio se componen de la siguiente manera:</t>
  </si>
  <si>
    <t>Costo incorp. veh. en existencia</t>
  </si>
  <si>
    <t>Movimiento de previsiones</t>
  </si>
  <si>
    <t>Honorarios profesionales a pagar</t>
  </si>
  <si>
    <t>1.  Balance General</t>
  </si>
  <si>
    <t xml:space="preserve">2.  Estado de Resultados </t>
  </si>
  <si>
    <t xml:space="preserve">3.  Estado de Evolución del Patrimonio Neto </t>
  </si>
  <si>
    <t>4  Estado de Flujos de Efectivo</t>
  </si>
  <si>
    <t>5  Notas a los Estados Financieros</t>
  </si>
  <si>
    <t>Información Gral.</t>
  </si>
  <si>
    <r>
      <t>2.3</t>
    </r>
    <r>
      <rPr>
        <b/>
        <sz val="7"/>
        <color theme="1"/>
        <rFont val="Times New Roman"/>
        <family val="1"/>
      </rPr>
      <t xml:space="preserve">       </t>
    </r>
    <r>
      <rPr>
        <b/>
        <sz val="10"/>
        <color theme="1"/>
        <rFont val="Arial"/>
        <family val="2"/>
      </rPr>
      <t>Reformas de estatutos:</t>
    </r>
    <r>
      <rPr>
        <sz val="10"/>
        <color theme="1"/>
        <rFont val="Arial"/>
        <family val="2"/>
      </rPr>
      <t xml:space="preserve"> La última modificación de estatutos fue realizada en fecha 20/11/2018 según escritura pública N° 464 se resuelve que el señor Orlando Penner y Ronald Durksen ceden, venden y transfieren parte de sus cuotas sociales a favor de la firma MF Inversiones S.A. 5.775 cuotas sociales de Gs. 1.000.000 cada un equivalente a Gs. 5.775.000.000 que constituye el 15% de las cuotas sociales de la Sociedad.</t>
    </r>
  </si>
  <si>
    <t>Software Informático</t>
  </si>
  <si>
    <t>30/11/2017 Inmueble Complejo Boreal</t>
  </si>
  <si>
    <t>31/12/2013 Inmueble Hindenburg Filadelfia</t>
  </si>
  <si>
    <t>Tasación inmueble Loma Plata (Showroom)</t>
  </si>
  <si>
    <t>31/12/2011 Inmueble Loma Plata</t>
  </si>
  <si>
    <t>Detalle de inversiones inmueble</t>
  </si>
  <si>
    <r>
      <t>1.3</t>
    </r>
    <r>
      <rPr>
        <b/>
        <sz val="7"/>
        <color theme="1"/>
        <rFont val="Times New Roman"/>
        <family val="1"/>
      </rPr>
      <t xml:space="preserve">       </t>
    </r>
    <r>
      <rPr>
        <b/>
        <sz val="10"/>
        <color theme="1"/>
        <rFont val="Arial"/>
        <family val="2"/>
      </rPr>
      <t>Código Bolsa</t>
    </r>
    <r>
      <rPr>
        <sz val="10"/>
        <color theme="1"/>
        <rFont val="Arial"/>
        <family val="2"/>
      </rPr>
      <t xml:space="preserve">: </t>
    </r>
    <r>
      <rPr>
        <b/>
        <sz val="10"/>
        <color theme="1"/>
        <rFont val="Arial"/>
        <family val="2"/>
      </rPr>
      <t>Res 1739/18</t>
    </r>
  </si>
  <si>
    <r>
      <t>1.6</t>
    </r>
    <r>
      <rPr>
        <b/>
        <sz val="7"/>
        <color theme="1"/>
        <rFont val="Times New Roman"/>
        <family val="1"/>
      </rPr>
      <t xml:space="preserve">       </t>
    </r>
    <r>
      <rPr>
        <b/>
        <sz val="10"/>
        <color theme="1"/>
        <rFont val="Arial"/>
        <family val="2"/>
      </rPr>
      <t>E-mail</t>
    </r>
    <r>
      <rPr>
        <sz val="10"/>
        <color theme="1"/>
        <rFont val="Arial"/>
        <family val="2"/>
      </rPr>
      <t>:</t>
    </r>
    <r>
      <rPr>
        <b/>
        <sz val="10"/>
        <color theme="1"/>
        <rFont val="Arial"/>
        <family val="2"/>
      </rPr>
      <t xml:space="preserve"> </t>
    </r>
    <r>
      <rPr>
        <sz val="10"/>
        <color theme="1"/>
        <rFont val="Arial"/>
        <family val="2"/>
      </rPr>
      <t>penner@penner.com.py</t>
    </r>
  </si>
  <si>
    <r>
      <t xml:space="preserve">1.7     Sitio página web: </t>
    </r>
    <r>
      <rPr>
        <sz val="10"/>
        <color theme="1"/>
        <rFont val="Arial"/>
        <family val="2"/>
      </rPr>
      <t xml:space="preserve">grupopenner.com.py </t>
    </r>
  </si>
  <si>
    <r>
      <t>1.8</t>
    </r>
    <r>
      <rPr>
        <b/>
        <sz val="7"/>
        <color theme="1"/>
        <rFont val="Times New Roman"/>
        <family val="1"/>
      </rPr>
      <t xml:space="preserve">       </t>
    </r>
    <r>
      <rPr>
        <b/>
        <sz val="10"/>
        <color theme="1"/>
        <rFont val="Arial"/>
        <family val="2"/>
      </rPr>
      <t xml:space="preserve">Domicilio legal: </t>
    </r>
    <r>
      <rPr>
        <sz val="10"/>
        <color theme="1"/>
        <rFont val="Arial"/>
        <family val="2"/>
      </rPr>
      <t>Ruta Transchaco esq. Yaguarón</t>
    </r>
  </si>
  <si>
    <r>
      <t>2.2</t>
    </r>
    <r>
      <rPr>
        <b/>
        <sz val="7"/>
        <color theme="1"/>
        <rFont val="Times New Roman"/>
        <family val="1"/>
      </rPr>
      <t xml:space="preserve">       </t>
    </r>
    <r>
      <rPr>
        <b/>
        <sz val="10"/>
        <color theme="1"/>
        <rFont val="Arial"/>
        <family val="2"/>
      </rPr>
      <t>Inscripción en el Registro Público de Comercio:</t>
    </r>
    <r>
      <rPr>
        <sz val="10"/>
        <color theme="1"/>
        <rFont val="Arial"/>
        <family val="2"/>
      </rPr>
      <t xml:space="preserve"> N° 667 serie B seccion Contratos folio 6.230 y siguientes de fecha 30 de agosto de 2001.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</si>
</sst>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_ ;_ * \-#,##0_ ;_ * &quot;-&quot;_ ;_ @_ "/>
    <numFmt numFmtId="165" formatCode="_ * #,##0.00_ ;_ * \-#,##0.00_ ;_ * &quot;-&quot;??_ ;_ @_ "/>
    <numFmt numFmtId="166" formatCode="_-* #,##0.00\ _€_-;\-* #,##0.00\ _€_-;_-* &quot;-&quot;??\ _€_-;_-@_-"/>
    <numFmt numFmtId="167" formatCode="_-* #,##0\ _€_-;\-* #,##0\ _€_-;_-* &quot;-&quot;??\ _€_-;_-@_-"/>
    <numFmt numFmtId="168" formatCode="General_)"/>
    <numFmt numFmtId="169" formatCode="_(* #,##0_);_(* \(#,##0\);_(* &quot;-&quot;_);_(@_)"/>
    <numFmt numFmtId="170" formatCode="_ * #,##0_ ;_ * \-#,##0_ ;_ * &quot;-&quot;??_ ;_ @_ "/>
    <numFmt numFmtId="171" formatCode="_ * #,##0.00_ ;_ * \-#,##0.00_ ;_ * &quot;-&quot;_ ;_ @_ "/>
  </numFmts>
  <fonts count="51">
    <font>
      <sz val="11"/>
      <color theme="1"/>
      <name val="Calibri"/>
      <family val="2"/>
      <scheme val="minor"/>
    </font>
    <font>
      <sz val="11"/>
      <color theme="1"/>
      <name val="Calibri"/>
      <family val="2"/>
      <scheme val="minor"/>
    </font>
    <font>
      <b/>
      <sz val="11"/>
      <color theme="1"/>
      <name val="Calibri"/>
      <family val="2"/>
      <scheme val="minor"/>
    </font>
    <font>
      <b/>
      <sz val="16"/>
      <color theme="1"/>
      <name val="Arial"/>
      <family val="2"/>
    </font>
    <font>
      <b/>
      <sz val="10"/>
      <color theme="1"/>
      <name val="Trebuchet MS"/>
      <family val="2"/>
    </font>
    <font>
      <b/>
      <sz val="12"/>
      <color theme="1"/>
      <name val="Trebuchet MS"/>
      <family val="2"/>
    </font>
    <font>
      <sz val="12"/>
      <color theme="1"/>
      <name val="Arial"/>
      <family val="2"/>
    </font>
    <font>
      <sz val="11"/>
      <name val="Times New Roman"/>
      <family val="1"/>
    </font>
    <font>
      <b/>
      <sz val="10"/>
      <color theme="1"/>
      <name val="Times New Roman"/>
      <family val="1"/>
    </font>
    <font>
      <sz val="12"/>
      <color theme="1"/>
      <name val="Times New Roman"/>
      <family val="1"/>
    </font>
    <font>
      <sz val="10"/>
      <color theme="1"/>
      <name val="Times New Roman"/>
      <family val="1"/>
    </font>
    <font>
      <sz val="11"/>
      <color theme="1"/>
      <name val="Times New Roman"/>
      <family val="1"/>
    </font>
    <font>
      <sz val="10"/>
      <name val="Times New Roman"/>
      <family val="1"/>
    </font>
    <font>
      <sz val="14"/>
      <color theme="1"/>
      <name val="Arial"/>
      <family val="2"/>
    </font>
    <font>
      <sz val="11"/>
      <color theme="1"/>
      <name val="Arial"/>
      <family val="2"/>
    </font>
    <font>
      <b/>
      <sz val="10"/>
      <color theme="1"/>
      <name val="Arial"/>
      <family val="2"/>
    </font>
    <font>
      <b/>
      <sz val="7"/>
      <color theme="1"/>
      <name val="Times New Roman"/>
      <family val="1"/>
    </font>
    <font>
      <b/>
      <u/>
      <sz val="10"/>
      <color theme="1"/>
      <name val="Arial"/>
      <family val="2"/>
    </font>
    <font>
      <sz val="10"/>
      <color theme="1"/>
      <name val="Arial"/>
      <family val="2"/>
    </font>
    <font>
      <b/>
      <sz val="10"/>
      <color rgb="FF000000"/>
      <name val="Arial"/>
      <family val="2"/>
    </font>
    <font>
      <sz val="10"/>
      <color rgb="FF000000"/>
      <name val="Arial"/>
      <family val="2"/>
    </font>
    <font>
      <sz val="10"/>
      <name val="Arial"/>
      <family val="2"/>
    </font>
    <font>
      <b/>
      <sz val="11"/>
      <name val="Times New Roman"/>
      <family val="1"/>
    </font>
    <font>
      <sz val="11"/>
      <color rgb="FF000000"/>
      <name val="Times New Roman"/>
      <family val="1"/>
    </font>
    <font>
      <b/>
      <sz val="10"/>
      <color indexed="8"/>
      <name val="Arial"/>
      <family val="2"/>
    </font>
    <font>
      <sz val="10"/>
      <color indexed="8"/>
      <name val="Arial"/>
      <family val="2"/>
    </font>
    <font>
      <sz val="12"/>
      <name val="Courier"/>
      <family val="3"/>
    </font>
    <font>
      <sz val="18"/>
      <name val="Arial"/>
      <family val="2"/>
    </font>
    <font>
      <b/>
      <sz val="11"/>
      <color theme="1"/>
      <name val="Arial"/>
      <family val="2"/>
    </font>
    <font>
      <b/>
      <sz val="10"/>
      <name val="Times New Roman"/>
      <family val="1"/>
    </font>
    <font>
      <b/>
      <sz val="10"/>
      <name val="Arial"/>
      <family val="2"/>
    </font>
    <font>
      <sz val="10"/>
      <color rgb="FF000000"/>
      <name val="Times New Roman"/>
      <family val="1"/>
    </font>
    <font>
      <sz val="9"/>
      <color theme="1"/>
      <name val="Arial"/>
      <family val="2"/>
    </font>
    <font>
      <b/>
      <u/>
      <sz val="10"/>
      <color rgb="FF000000"/>
      <name val="Arial"/>
      <family val="2"/>
    </font>
    <font>
      <sz val="18"/>
      <color theme="1"/>
      <name val="Arial"/>
      <family val="2"/>
    </font>
    <font>
      <b/>
      <sz val="11"/>
      <color theme="1"/>
      <name val="Verdana"/>
      <family val="2"/>
    </font>
    <font>
      <b/>
      <sz val="12"/>
      <name val="Times New Roman"/>
      <family val="1"/>
    </font>
    <font>
      <b/>
      <i/>
      <sz val="10"/>
      <color rgb="FF000000"/>
      <name val="Arial"/>
      <family val="2"/>
    </font>
    <font>
      <b/>
      <sz val="11"/>
      <color rgb="FF000000"/>
      <name val="Times New Roman"/>
      <family val="1"/>
    </font>
    <font>
      <b/>
      <sz val="9"/>
      <color rgb="FF000000"/>
      <name val="Arial"/>
      <family val="2"/>
    </font>
    <font>
      <sz val="9"/>
      <color rgb="FF000000"/>
      <name val="Arial"/>
      <family val="2"/>
    </font>
    <font>
      <b/>
      <u/>
      <sz val="10"/>
      <name val="Arial"/>
      <family val="2"/>
    </font>
    <font>
      <sz val="9"/>
      <color theme="1"/>
      <name val="Times New Roman"/>
      <family val="1"/>
    </font>
    <font>
      <b/>
      <sz val="9"/>
      <color theme="1"/>
      <name val="Times New Roman"/>
      <family val="1"/>
    </font>
    <font>
      <b/>
      <sz val="10"/>
      <color rgb="FF000000"/>
      <name val="Arial "/>
    </font>
    <font>
      <b/>
      <sz val="10"/>
      <color theme="1"/>
      <name val="Arial "/>
    </font>
    <font>
      <sz val="10"/>
      <color theme="1"/>
      <name val="Arial "/>
    </font>
    <font>
      <sz val="10"/>
      <color rgb="FF000000"/>
      <name val="Arial "/>
    </font>
    <font>
      <b/>
      <sz val="7"/>
      <name val="Times New Roman"/>
      <family val="1"/>
    </font>
    <font>
      <sz val="14"/>
      <color rgb="FF000000"/>
      <name val="Arial"/>
      <family val="2"/>
    </font>
    <font>
      <b/>
      <sz val="7"/>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8" fontId="26" fillId="0" borderId="0"/>
    <xf numFmtId="166" fontId="1" fillId="0" borderId="0" applyFont="0" applyFill="0" applyBorder="0" applyAlignment="0" applyProtection="0"/>
    <xf numFmtId="0" fontId="21" fillId="0" borderId="0"/>
    <xf numFmtId="169"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cellStyleXfs>
  <cellXfs count="542">
    <xf numFmtId="0" fontId="0" fillId="0" borderId="0" xfId="0"/>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7" fillId="0" borderId="0" xfId="0" applyFont="1" applyAlignment="1">
      <alignment horizontal="center"/>
    </xf>
    <xf numFmtId="0" fontId="8" fillId="0" borderId="0" xfId="0" applyFont="1" applyAlignment="1">
      <alignment horizontal="right" vertical="center"/>
    </xf>
    <xf numFmtId="0" fontId="9" fillId="0" borderId="0" xfId="0" applyFont="1" applyAlignment="1">
      <alignment vertical="center" wrapText="1"/>
    </xf>
    <xf numFmtId="0" fontId="0" fillId="0" borderId="0" xfId="0" applyAlignment="1"/>
    <xf numFmtId="0" fontId="0" fillId="0" borderId="1" xfId="0" applyBorder="1"/>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vertical="center"/>
    </xf>
    <xf numFmtId="0" fontId="19" fillId="0" borderId="2"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22" fillId="0" borderId="0" xfId="0" applyFont="1" applyAlignment="1">
      <alignment horizontal="center"/>
    </xf>
    <xf numFmtId="0" fontId="7" fillId="0" borderId="0" xfId="0" applyFont="1"/>
    <xf numFmtId="0" fontId="7" fillId="0" borderId="0" xfId="0" applyFont="1" applyAlignment="1">
      <alignment horizontal="center" vertical="top" wrapText="1"/>
    </xf>
    <xf numFmtId="0" fontId="7" fillId="0" borderId="0" xfId="0" applyFont="1" applyFill="1"/>
    <xf numFmtId="0" fontId="0" fillId="0" borderId="0" xfId="0" applyFill="1"/>
    <xf numFmtId="0" fontId="24" fillId="0" borderId="2" xfId="0" applyFont="1" applyBorder="1" applyAlignment="1">
      <alignment horizontal="center" vertical="center" wrapText="1"/>
    </xf>
    <xf numFmtId="0" fontId="25" fillId="0" borderId="2" xfId="0" applyFont="1" applyBorder="1" applyAlignment="1">
      <alignment vertical="center"/>
    </xf>
    <xf numFmtId="167" fontId="25" fillId="0" borderId="2" xfId="1" applyNumberFormat="1" applyFont="1" applyBorder="1" applyAlignment="1">
      <alignment horizontal="center" vertical="center"/>
    </xf>
    <xf numFmtId="3" fontId="25" fillId="0" borderId="2" xfId="0" applyNumberFormat="1" applyFont="1" applyBorder="1" applyAlignment="1">
      <alignment horizontal="right" vertical="center"/>
    </xf>
    <xf numFmtId="9" fontId="20" fillId="0" borderId="2" xfId="3" applyFont="1" applyBorder="1" applyAlignment="1">
      <alignment horizontal="center" vertical="center"/>
    </xf>
    <xf numFmtId="0" fontId="24" fillId="0" borderId="2" xfId="0" applyFont="1" applyBorder="1" applyAlignment="1">
      <alignment vertical="center"/>
    </xf>
    <xf numFmtId="3" fontId="24" fillId="0" borderId="2" xfId="0" applyNumberFormat="1" applyFont="1" applyBorder="1" applyAlignment="1">
      <alignment horizontal="center" vertical="center"/>
    </xf>
    <xf numFmtId="0" fontId="24" fillId="0" borderId="2" xfId="0" applyFont="1" applyBorder="1" applyAlignment="1">
      <alignment horizontal="right" vertical="center"/>
    </xf>
    <xf numFmtId="3" fontId="24" fillId="0" borderId="2" xfId="0" applyNumberFormat="1" applyFont="1" applyBorder="1" applyAlignment="1">
      <alignment horizontal="right" vertical="center"/>
    </xf>
    <xf numFmtId="9" fontId="24" fillId="0" borderId="2" xfId="3" applyFont="1" applyBorder="1" applyAlignment="1">
      <alignment horizontal="center" vertical="center"/>
    </xf>
    <xf numFmtId="0" fontId="14" fillId="0" borderId="0" xfId="0" applyFont="1"/>
    <xf numFmtId="0" fontId="18" fillId="0" borderId="0" xfId="0" applyFont="1"/>
    <xf numFmtId="0" fontId="12" fillId="0" borderId="0" xfId="0" applyFont="1"/>
    <xf numFmtId="0" fontId="12" fillId="0" borderId="0" xfId="0" applyFont="1" applyAlignment="1"/>
    <xf numFmtId="168" fontId="27" fillId="3" borderId="0" xfId="4" applyFont="1" applyFill="1"/>
    <xf numFmtId="169" fontId="27" fillId="3" borderId="0" xfId="4" applyNumberFormat="1" applyFont="1" applyFill="1" applyAlignment="1">
      <alignment horizontal="left" wrapText="1"/>
    </xf>
    <xf numFmtId="0" fontId="14" fillId="0" borderId="0" xfId="0" applyFont="1" applyAlignment="1">
      <alignment horizontal="left" vertical="center"/>
    </xf>
    <xf numFmtId="0" fontId="28" fillId="0" borderId="0" xfId="0" applyFont="1" applyAlignment="1">
      <alignment horizontal="left" vertical="center"/>
    </xf>
    <xf numFmtId="0" fontId="14" fillId="0" borderId="0" xfId="0" applyFont="1" applyAlignment="1">
      <alignment vertical="center"/>
    </xf>
    <xf numFmtId="0" fontId="29" fillId="0" borderId="0" xfId="0" applyFont="1"/>
    <xf numFmtId="3" fontId="0" fillId="0" borderId="0" xfId="0" applyNumberFormat="1"/>
    <xf numFmtId="169" fontId="0" fillId="0" borderId="0" xfId="0" applyNumberFormat="1"/>
    <xf numFmtId="0" fontId="0" fillId="0" borderId="0" xfId="0" applyBorder="1"/>
    <xf numFmtId="0" fontId="2" fillId="0" borderId="0" xfId="0" applyFont="1"/>
    <xf numFmtId="0" fontId="2" fillId="0" borderId="0" xfId="0" applyFont="1" applyBorder="1" applyAlignment="1">
      <alignment horizontal="center"/>
    </xf>
    <xf numFmtId="164" fontId="0" fillId="0" borderId="0" xfId="2" applyFont="1" applyBorder="1"/>
    <xf numFmtId="168" fontId="27" fillId="0" borderId="0" xfId="4" applyFont="1" applyAlignment="1">
      <alignment horizontal="left"/>
    </xf>
    <xf numFmtId="168" fontId="27" fillId="0" borderId="0" xfId="4" applyFont="1" applyAlignment="1">
      <alignment horizontal="left" wrapText="1"/>
    </xf>
    <xf numFmtId="0" fontId="30" fillId="0" borderId="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9" xfId="0" applyFont="1" applyBorder="1" applyAlignment="1">
      <alignment horizontal="center" vertical="center" wrapText="1"/>
    </xf>
    <xf numFmtId="0" fontId="18" fillId="0" borderId="4" xfId="0" applyFont="1" applyBorder="1"/>
    <xf numFmtId="14" fontId="18" fillId="0" borderId="14" xfId="0" applyNumberFormat="1" applyFont="1" applyBorder="1"/>
    <xf numFmtId="14" fontId="18" fillId="0" borderId="5" xfId="0" applyNumberFormat="1" applyFont="1" applyBorder="1"/>
    <xf numFmtId="0" fontId="18" fillId="0" borderId="0" xfId="0" applyFont="1" applyBorder="1"/>
    <xf numFmtId="0" fontId="18" fillId="0" borderId="14" xfId="0" applyFont="1" applyBorder="1"/>
    <xf numFmtId="0" fontId="15" fillId="0" borderId="4" xfId="0" applyFont="1" applyBorder="1"/>
    <xf numFmtId="0" fontId="18" fillId="0" borderId="5" xfId="0" applyFont="1" applyBorder="1"/>
    <xf numFmtId="0" fontId="15" fillId="0" borderId="0" xfId="0" applyFont="1" applyBorder="1"/>
    <xf numFmtId="164" fontId="18" fillId="0" borderId="14" xfId="2" applyFont="1" applyBorder="1"/>
    <xf numFmtId="164" fontId="18" fillId="0" borderId="5" xfId="2" applyFont="1" applyBorder="1"/>
    <xf numFmtId="0" fontId="18" fillId="0" borderId="14" xfId="0" applyFont="1" applyBorder="1" applyAlignment="1">
      <alignment horizontal="center"/>
    </xf>
    <xf numFmtId="3" fontId="18" fillId="0" borderId="14" xfId="0" applyNumberFormat="1" applyFont="1" applyBorder="1"/>
    <xf numFmtId="3" fontId="18" fillId="0" borderId="5" xfId="0" applyNumberFormat="1" applyFont="1" applyBorder="1"/>
    <xf numFmtId="0" fontId="18" fillId="0" borderId="6" xfId="0" applyFont="1" applyBorder="1"/>
    <xf numFmtId="164" fontId="18" fillId="0" borderId="15" xfId="2" applyFont="1" applyBorder="1"/>
    <xf numFmtId="164" fontId="18" fillId="0" borderId="7" xfId="2" applyFont="1" applyBorder="1"/>
    <xf numFmtId="0" fontId="18" fillId="0" borderId="1" xfId="0" applyFont="1" applyBorder="1"/>
    <xf numFmtId="0" fontId="18" fillId="0" borderId="15" xfId="0" applyFont="1" applyBorder="1" applyAlignment="1">
      <alignment horizontal="center"/>
    </xf>
    <xf numFmtId="3" fontId="18" fillId="0" borderId="15" xfId="0" applyNumberFormat="1" applyFont="1" applyBorder="1"/>
    <xf numFmtId="3" fontId="18" fillId="0" borderId="7" xfId="0" applyNumberFormat="1" applyFont="1" applyBorder="1"/>
    <xf numFmtId="0" fontId="15" fillId="0" borderId="8" xfId="0" applyFont="1" applyBorder="1"/>
    <xf numFmtId="0" fontId="18" fillId="0" borderId="8" xfId="0" applyFont="1" applyBorder="1" applyAlignment="1">
      <alignment horizontal="center"/>
    </xf>
    <xf numFmtId="164" fontId="15" fillId="0" borderId="2" xfId="2" applyFont="1" applyBorder="1"/>
    <xf numFmtId="0" fontId="15" fillId="0" borderId="9" xfId="0" applyFont="1" applyBorder="1"/>
    <xf numFmtId="0" fontId="18" fillId="0" borderId="2" xfId="0" applyFont="1" applyBorder="1" applyAlignment="1">
      <alignment horizontal="center"/>
    </xf>
    <xf numFmtId="3" fontId="15" fillId="0" borderId="2" xfId="0" applyNumberFormat="1" applyFont="1" applyBorder="1"/>
    <xf numFmtId="3" fontId="15" fillId="0" borderId="10" xfId="0" applyNumberFormat="1" applyFont="1" applyBorder="1"/>
    <xf numFmtId="0" fontId="18" fillId="0" borderId="11" xfId="0" applyFont="1" applyBorder="1"/>
    <xf numFmtId="0" fontId="18" fillId="0" borderId="11" xfId="0" applyFont="1" applyBorder="1" applyAlignment="1">
      <alignment horizontal="center"/>
    </xf>
    <xf numFmtId="164" fontId="18" fillId="0" borderId="16" xfId="2" applyFont="1" applyBorder="1"/>
    <xf numFmtId="164" fontId="18" fillId="0" borderId="13" xfId="2" applyFont="1" applyBorder="1"/>
    <xf numFmtId="0" fontId="18" fillId="0" borderId="12" xfId="0" applyFont="1" applyBorder="1"/>
    <xf numFmtId="0" fontId="18" fillId="0" borderId="16" xfId="0" applyFont="1" applyBorder="1" applyAlignment="1">
      <alignment horizontal="center"/>
    </xf>
    <xf numFmtId="0" fontId="18" fillId="0" borderId="16" xfId="0" applyFont="1" applyBorder="1"/>
    <xf numFmtId="0" fontId="18" fillId="0" borderId="13" xfId="0" applyFont="1" applyBorder="1"/>
    <xf numFmtId="0" fontId="15" fillId="0" borderId="4" xfId="0" applyFont="1" applyBorder="1" applyAlignment="1">
      <alignment horizontal="center"/>
    </xf>
    <xf numFmtId="164" fontId="15" fillId="0" borderId="14" xfId="2" applyFont="1" applyBorder="1"/>
    <xf numFmtId="0" fontId="15" fillId="0" borderId="11" xfId="0" applyFont="1" applyBorder="1" applyAlignment="1">
      <alignment horizontal="left"/>
    </xf>
    <xf numFmtId="0" fontId="15" fillId="0" borderId="2" xfId="0" applyFont="1" applyBorder="1" applyAlignment="1">
      <alignment horizontal="center"/>
    </xf>
    <xf numFmtId="0" fontId="15" fillId="0" borderId="16" xfId="0" applyFont="1" applyBorder="1" applyAlignment="1">
      <alignment horizontal="left"/>
    </xf>
    <xf numFmtId="0" fontId="15" fillId="0" borderId="11" xfId="0" applyFont="1" applyBorder="1"/>
    <xf numFmtId="164" fontId="15" fillId="0" borderId="16" xfId="2" applyFont="1" applyBorder="1"/>
    <xf numFmtId="164" fontId="15" fillId="0" borderId="13" xfId="2" applyFont="1" applyBorder="1"/>
    <xf numFmtId="0" fontId="15" fillId="0" borderId="12" xfId="0" applyFont="1" applyBorder="1"/>
    <xf numFmtId="0" fontId="15" fillId="0" borderId="16" xfId="0" applyFont="1" applyBorder="1" applyAlignment="1">
      <alignment horizontal="center"/>
    </xf>
    <xf numFmtId="3" fontId="15" fillId="0" borderId="16" xfId="0" applyNumberFormat="1" applyFont="1" applyBorder="1"/>
    <xf numFmtId="3" fontId="18" fillId="0" borderId="16" xfId="0" applyNumberFormat="1" applyFont="1" applyBorder="1"/>
    <xf numFmtId="3" fontId="18" fillId="0" borderId="13" xfId="0" applyNumberFormat="1" applyFont="1" applyBorder="1"/>
    <xf numFmtId="169" fontId="18" fillId="0" borderId="14" xfId="0" applyNumberFormat="1" applyFont="1" applyBorder="1"/>
    <xf numFmtId="0" fontId="15" fillId="0" borderId="2" xfId="0" applyFont="1" applyBorder="1"/>
    <xf numFmtId="0" fontId="18" fillId="0" borderId="15" xfId="0" applyFont="1" applyBorder="1"/>
    <xf numFmtId="0" fontId="15" fillId="0" borderId="6" xfId="0" applyFont="1" applyBorder="1"/>
    <xf numFmtId="0" fontId="15" fillId="0" borderId="15" xfId="0" applyFont="1" applyBorder="1"/>
    <xf numFmtId="164" fontId="15" fillId="0" borderId="15" xfId="2" applyFont="1" applyBorder="1"/>
    <xf numFmtId="0" fontId="31" fillId="0" borderId="0" xfId="0" applyFont="1" applyAlignment="1">
      <alignment horizontal="right" vertical="center"/>
    </xf>
    <xf numFmtId="0" fontId="32" fillId="0" borderId="0" xfId="0" applyFont="1"/>
    <xf numFmtId="0" fontId="20" fillId="0" borderId="8" xfId="0" applyFont="1" applyBorder="1" applyAlignment="1">
      <alignment horizontal="right" vertical="center"/>
    </xf>
    <xf numFmtId="0" fontId="33" fillId="0" borderId="2" xfId="0" applyFont="1" applyBorder="1" applyAlignment="1">
      <alignment horizontal="center" vertical="center"/>
    </xf>
    <xf numFmtId="0" fontId="19" fillId="0" borderId="4" xfId="0" applyFont="1" applyBorder="1" applyAlignment="1">
      <alignment vertical="center"/>
    </xf>
    <xf numFmtId="0" fontId="20" fillId="0" borderId="14" xfId="0" applyFont="1" applyBorder="1" applyAlignment="1">
      <alignment horizontal="center" vertical="center"/>
    </xf>
    <xf numFmtId="3" fontId="19" fillId="0" borderId="0" xfId="0" applyNumberFormat="1" applyFont="1" applyBorder="1" applyAlignment="1">
      <alignment horizontal="right" vertical="center"/>
    </xf>
    <xf numFmtId="3" fontId="19" fillId="0" borderId="14" xfId="0" applyNumberFormat="1" applyFont="1" applyBorder="1" applyAlignment="1">
      <alignment horizontal="right" vertical="center"/>
    </xf>
    <xf numFmtId="0" fontId="20" fillId="0" borderId="4" xfId="0" applyFont="1" applyBorder="1" applyAlignment="1">
      <alignment vertical="center"/>
    </xf>
    <xf numFmtId="3" fontId="20" fillId="4" borderId="0" xfId="0" applyNumberFormat="1" applyFont="1" applyFill="1" applyBorder="1" applyAlignment="1">
      <alignment horizontal="right" vertical="center"/>
    </xf>
    <xf numFmtId="3" fontId="20" fillId="4" borderId="14" xfId="0" applyNumberFormat="1" applyFont="1" applyFill="1" applyBorder="1" applyAlignment="1">
      <alignment horizontal="right" vertical="center"/>
    </xf>
    <xf numFmtId="169" fontId="19" fillId="0" borderId="0" xfId="0" applyNumberFormat="1" applyFont="1" applyBorder="1" applyAlignment="1">
      <alignment horizontal="right" vertical="center"/>
    </xf>
    <xf numFmtId="169" fontId="19" fillId="0" borderId="14" xfId="0" applyNumberFormat="1" applyFont="1" applyBorder="1" applyAlignment="1">
      <alignment horizontal="right" vertical="center"/>
    </xf>
    <xf numFmtId="0" fontId="19" fillId="0" borderId="14" xfId="0" applyFont="1" applyBorder="1" applyAlignment="1">
      <alignment horizontal="center" vertical="center"/>
    </xf>
    <xf numFmtId="169" fontId="18" fillId="0" borderId="0" xfId="0" applyNumberFormat="1" applyFont="1" applyBorder="1" applyAlignment="1">
      <alignment horizontal="right" vertical="center"/>
    </xf>
    <xf numFmtId="169" fontId="20" fillId="0" borderId="14" xfId="0" applyNumberFormat="1" applyFont="1" applyBorder="1" applyAlignment="1">
      <alignment horizontal="right" vertical="center"/>
    </xf>
    <xf numFmtId="0" fontId="19" fillId="0" borderId="4" xfId="0" applyFont="1" applyBorder="1" applyAlignment="1">
      <alignment horizontal="right" vertical="center"/>
    </xf>
    <xf numFmtId="0" fontId="20" fillId="0" borderId="0" xfId="0" applyFont="1" applyBorder="1" applyAlignment="1">
      <alignment horizontal="right" vertical="center"/>
    </xf>
    <xf numFmtId="0" fontId="20" fillId="0" borderId="14" xfId="0" applyFont="1" applyBorder="1" applyAlignment="1">
      <alignment horizontal="right" vertical="center"/>
    </xf>
    <xf numFmtId="0" fontId="20" fillId="0" borderId="0" xfId="0" applyFont="1" applyBorder="1" applyAlignment="1">
      <alignment horizontal="center" vertical="center"/>
    </xf>
    <xf numFmtId="169" fontId="15" fillId="0" borderId="0" xfId="0" applyNumberFormat="1" applyFont="1" applyBorder="1" applyAlignment="1">
      <alignment horizontal="right" vertical="center"/>
    </xf>
    <xf numFmtId="169" fontId="15" fillId="0" borderId="14" xfId="0" applyNumberFormat="1" applyFont="1" applyBorder="1" applyAlignment="1">
      <alignment horizontal="right" vertical="center"/>
    </xf>
    <xf numFmtId="169" fontId="18" fillId="0" borderId="14" xfId="0" applyNumberFormat="1" applyFont="1" applyBorder="1" applyAlignment="1">
      <alignment horizontal="right" vertical="center"/>
    </xf>
    <xf numFmtId="0" fontId="20" fillId="0" borderId="4" xfId="0" applyFont="1" applyBorder="1" applyAlignment="1">
      <alignment horizontal="right" vertical="center"/>
    </xf>
    <xf numFmtId="3" fontId="18" fillId="0" borderId="0" xfId="0" applyNumberFormat="1" applyFont="1" applyBorder="1" applyAlignment="1">
      <alignment horizontal="right" vertical="center"/>
    </xf>
    <xf numFmtId="3" fontId="20" fillId="0" borderId="14" xfId="0" applyNumberFormat="1" applyFont="1" applyBorder="1" applyAlignment="1">
      <alignment horizontal="right" vertical="center"/>
    </xf>
    <xf numFmtId="0" fontId="20" fillId="0" borderId="1" xfId="0" applyFont="1" applyBorder="1" applyAlignment="1">
      <alignment horizontal="right" vertical="center"/>
    </xf>
    <xf numFmtId="169" fontId="18" fillId="0" borderId="15" xfId="0" applyNumberFormat="1" applyFont="1" applyBorder="1" applyAlignment="1">
      <alignment horizontal="right" vertical="center"/>
    </xf>
    <xf numFmtId="3" fontId="19" fillId="0" borderId="15" xfId="0" applyNumberFormat="1" applyFont="1" applyBorder="1" applyAlignment="1">
      <alignment horizontal="right" vertical="center"/>
    </xf>
    <xf numFmtId="0" fontId="19" fillId="4" borderId="4" xfId="0" applyFont="1" applyFill="1" applyBorder="1" applyAlignment="1">
      <alignment vertical="center"/>
    </xf>
    <xf numFmtId="0" fontId="19" fillId="0" borderId="0" xfId="0" applyFont="1" applyBorder="1" applyAlignment="1">
      <alignment horizontal="right" vertical="center"/>
    </xf>
    <xf numFmtId="0" fontId="19" fillId="0" borderId="14" xfId="0" applyFont="1" applyBorder="1" applyAlignment="1">
      <alignment horizontal="right" vertical="center"/>
    </xf>
    <xf numFmtId="0" fontId="20" fillId="4" borderId="4" xfId="0" applyFont="1" applyFill="1" applyBorder="1" applyAlignment="1">
      <alignment vertical="center"/>
    </xf>
    <xf numFmtId="3" fontId="20" fillId="0" borderId="15" xfId="0" applyNumberFormat="1" applyFont="1" applyBorder="1" applyAlignment="1">
      <alignment horizontal="right" vertical="center"/>
    </xf>
    <xf numFmtId="0" fontId="19" fillId="4" borderId="6" xfId="0" applyFont="1" applyFill="1" applyBorder="1" applyAlignment="1">
      <alignment vertical="center"/>
    </xf>
    <xf numFmtId="0" fontId="20" fillId="0" borderId="15" xfId="0" applyFont="1" applyBorder="1" applyAlignment="1">
      <alignment horizontal="right" vertical="center"/>
    </xf>
    <xf numFmtId="3" fontId="19" fillId="0" borderId="9" xfId="0" applyNumberFormat="1" applyFont="1" applyBorder="1" applyAlignment="1">
      <alignment horizontal="right" vertical="center"/>
    </xf>
    <xf numFmtId="3" fontId="19" fillId="0" borderId="2" xfId="0" applyNumberFormat="1" applyFont="1" applyBorder="1" applyAlignment="1">
      <alignment horizontal="right" vertical="center"/>
    </xf>
    <xf numFmtId="0" fontId="20" fillId="0" borderId="16" xfId="0" applyFont="1" applyBorder="1" applyAlignment="1">
      <alignment horizontal="center" vertical="center"/>
    </xf>
    <xf numFmtId="0" fontId="34" fillId="0" borderId="0" xfId="0" applyFont="1" applyAlignment="1">
      <alignment horizontal="left" vertical="center"/>
    </xf>
    <xf numFmtId="0" fontId="34" fillId="0" borderId="0" xfId="0" applyFont="1" applyAlignment="1">
      <alignment horizontal="left" vertical="center" wrapText="1"/>
    </xf>
    <xf numFmtId="0" fontId="35" fillId="0" borderId="0" xfId="0" applyFont="1" applyAlignment="1">
      <alignment horizontal="left" vertical="center" wrapText="1"/>
    </xf>
    <xf numFmtId="0" fontId="34" fillId="0" borderId="0" xfId="0" applyFont="1" applyAlignment="1">
      <alignment vertical="center"/>
    </xf>
    <xf numFmtId="0" fontId="11" fillId="0" borderId="0" xfId="0" applyFont="1"/>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vertical="center"/>
    </xf>
    <xf numFmtId="169" fontId="18" fillId="0" borderId="1" xfId="0" applyNumberFormat="1" applyFont="1" applyBorder="1" applyAlignment="1">
      <alignment horizontal="right" vertical="center"/>
    </xf>
    <xf numFmtId="169" fontId="18" fillId="0" borderId="5" xfId="0" applyNumberFormat="1" applyFont="1" applyBorder="1" applyAlignment="1">
      <alignment horizontal="right" vertical="center"/>
    </xf>
    <xf numFmtId="0" fontId="18" fillId="0" borderId="16" xfId="0" applyFont="1" applyBorder="1" applyAlignment="1">
      <alignment horizontal="left" vertical="center"/>
    </xf>
    <xf numFmtId="0" fontId="18" fillId="0" borderId="13" xfId="0" applyFont="1" applyBorder="1" applyAlignment="1">
      <alignment horizontal="left" vertical="center"/>
    </xf>
    <xf numFmtId="0" fontId="18" fillId="0" borderId="4" xfId="0" applyFont="1" applyBorder="1" applyAlignment="1">
      <alignment horizontal="left" vertical="center"/>
    </xf>
    <xf numFmtId="3" fontId="18" fillId="0" borderId="14" xfId="0" applyNumberFormat="1" applyFont="1" applyBorder="1" applyAlignment="1">
      <alignment horizontal="right" vertical="center"/>
    </xf>
    <xf numFmtId="3" fontId="18" fillId="0" borderId="5" xfId="0" applyNumberFormat="1" applyFont="1" applyBorder="1" applyAlignment="1">
      <alignment horizontal="right" vertical="center"/>
    </xf>
    <xf numFmtId="0" fontId="18" fillId="0" borderId="15" xfId="0" applyFont="1" applyBorder="1" applyAlignment="1">
      <alignment horizontal="right" vertical="center"/>
    </xf>
    <xf numFmtId="3" fontId="18" fillId="0" borderId="7" xfId="0" applyNumberFormat="1" applyFont="1" applyBorder="1" applyAlignment="1">
      <alignment horizontal="right" vertical="center"/>
    </xf>
    <xf numFmtId="3" fontId="15" fillId="0" borderId="14" xfId="0" applyNumberFormat="1" applyFont="1" applyBorder="1" applyAlignment="1">
      <alignment horizontal="right" vertical="center"/>
    </xf>
    <xf numFmtId="3" fontId="15" fillId="0" borderId="5" xfId="0" applyNumberFormat="1" applyFont="1" applyBorder="1" applyAlignment="1">
      <alignment horizontal="right" vertical="center"/>
    </xf>
    <xf numFmtId="0" fontId="18" fillId="0" borderId="14" xfId="0" applyFont="1" applyBorder="1" applyAlignment="1">
      <alignment horizontal="right" vertical="center"/>
    </xf>
    <xf numFmtId="0" fontId="18" fillId="0" borderId="5" xfId="0" applyFont="1" applyBorder="1" applyAlignment="1">
      <alignment horizontal="right" vertical="center"/>
    </xf>
    <xf numFmtId="0" fontId="18" fillId="0" borderId="4" xfId="0" applyFont="1" applyBorder="1" applyAlignment="1">
      <alignment vertical="center"/>
    </xf>
    <xf numFmtId="0" fontId="15" fillId="0" borderId="4" xfId="0" applyFont="1" applyBorder="1" applyAlignment="1">
      <alignment vertical="center"/>
    </xf>
    <xf numFmtId="0" fontId="15" fillId="0" borderId="4" xfId="0" applyFont="1" applyBorder="1" applyAlignment="1">
      <alignment horizontal="left" vertical="center"/>
    </xf>
    <xf numFmtId="0" fontId="15" fillId="0" borderId="6" xfId="0" applyFont="1" applyBorder="1" applyAlignment="1">
      <alignment horizontal="left" vertical="center"/>
    </xf>
    <xf numFmtId="3" fontId="15" fillId="0" borderId="15" xfId="0" applyNumberFormat="1" applyFont="1" applyBorder="1" applyAlignment="1">
      <alignment horizontal="right" vertical="center"/>
    </xf>
    <xf numFmtId="3" fontId="15" fillId="0" borderId="7" xfId="0" applyNumberFormat="1" applyFont="1" applyBorder="1" applyAlignment="1">
      <alignment horizontal="right" vertical="center"/>
    </xf>
    <xf numFmtId="0" fontId="18" fillId="0" borderId="11" xfId="0" applyFont="1" applyBorder="1" applyAlignment="1">
      <alignment wrapText="1"/>
    </xf>
    <xf numFmtId="167" fontId="15" fillId="0" borderId="2" xfId="5" applyNumberFormat="1" applyFont="1" applyFill="1" applyBorder="1" applyAlignment="1">
      <alignment horizontal="center" wrapText="1"/>
    </xf>
    <xf numFmtId="0" fontId="15" fillId="0" borderId="11" xfId="0" applyFont="1" applyBorder="1" applyAlignment="1">
      <alignment wrapText="1"/>
    </xf>
    <xf numFmtId="0" fontId="15" fillId="0" borderId="4" xfId="0" applyFont="1" applyBorder="1" applyAlignment="1">
      <alignment vertical="center" wrapText="1"/>
    </xf>
    <xf numFmtId="3" fontId="18" fillId="0" borderId="15" xfId="0" applyNumberFormat="1" applyFont="1" applyBorder="1" applyAlignment="1">
      <alignment horizontal="right" vertical="center"/>
    </xf>
    <xf numFmtId="3" fontId="15" fillId="0" borderId="2" xfId="0" applyNumberFormat="1" applyFont="1" applyBorder="1" applyAlignment="1">
      <alignment horizontal="right" vertical="center"/>
    </xf>
    <xf numFmtId="0" fontId="30" fillId="0" borderId="2" xfId="0" applyFont="1" applyBorder="1" applyAlignment="1">
      <alignment horizontal="center" vertical="center" wrapText="1"/>
    </xf>
    <xf numFmtId="0" fontId="21" fillId="0" borderId="2" xfId="0" applyFont="1" applyBorder="1"/>
    <xf numFmtId="0" fontId="30" fillId="0" borderId="2" xfId="0" applyFont="1" applyBorder="1"/>
    <xf numFmtId="0" fontId="18" fillId="0" borderId="15" xfId="0" applyFont="1" applyBorder="1" applyAlignment="1">
      <alignment vertical="center" wrapText="1"/>
    </xf>
    <xf numFmtId="0" fontId="15" fillId="0" borderId="17" xfId="0" applyFont="1" applyBorder="1" applyAlignment="1">
      <alignment wrapText="1"/>
    </xf>
    <xf numFmtId="0" fontId="15" fillId="0" borderId="16" xfId="0" applyFont="1" applyBorder="1" applyAlignment="1">
      <alignment wrapText="1"/>
    </xf>
    <xf numFmtId="0" fontId="18" fillId="2" borderId="2" xfId="0" applyFont="1" applyFill="1" applyBorder="1" applyAlignment="1">
      <alignment wrapText="1"/>
    </xf>
    <xf numFmtId="0" fontId="18" fillId="0" borderId="2" xfId="0" applyFont="1" applyBorder="1" applyAlignment="1">
      <alignment wrapText="1"/>
    </xf>
    <xf numFmtId="0" fontId="18" fillId="0" borderId="2" xfId="0" applyFont="1" applyBorder="1" applyAlignment="1">
      <alignment vertical="top" wrapText="1"/>
    </xf>
    <xf numFmtId="0" fontId="15" fillId="0" borderId="19" xfId="0" applyFont="1" applyBorder="1" applyAlignment="1">
      <alignment wrapText="1"/>
    </xf>
    <xf numFmtId="169" fontId="15" fillId="0" borderId="2" xfId="7" applyFont="1" applyBorder="1" applyAlignment="1">
      <alignment horizontal="right"/>
    </xf>
    <xf numFmtId="169" fontId="15" fillId="0" borderId="4" xfId="7" applyFont="1" applyBorder="1" applyAlignment="1">
      <alignment horizontal="right"/>
    </xf>
    <xf numFmtId="169" fontId="15" fillId="0" borderId="14" xfId="7" applyFont="1" applyBorder="1" applyAlignment="1">
      <alignment horizontal="right"/>
    </xf>
    <xf numFmtId="169" fontId="18" fillId="0" borderId="2" xfId="7" applyFont="1" applyBorder="1" applyAlignment="1">
      <alignment horizontal="right"/>
    </xf>
    <xf numFmtId="170" fontId="18" fillId="0" borderId="2" xfId="1" applyNumberFormat="1" applyFont="1" applyBorder="1" applyAlignment="1">
      <alignment horizontal="right"/>
    </xf>
    <xf numFmtId="0" fontId="21" fillId="0" borderId="2" xfId="6" applyFont="1" applyBorder="1" applyAlignment="1">
      <alignment horizontal="right"/>
    </xf>
    <xf numFmtId="169" fontId="15" fillId="0" borderId="14" xfId="7" applyFont="1" applyBorder="1" applyAlignment="1">
      <alignment horizontal="right" vertical="center"/>
    </xf>
    <xf numFmtId="169" fontId="15" fillId="0" borderId="6" xfId="7" applyFont="1" applyBorder="1" applyAlignment="1">
      <alignment horizontal="right"/>
    </xf>
    <xf numFmtId="169" fontId="15" fillId="0" borderId="15" xfId="7" applyFont="1" applyBorder="1" applyAlignment="1">
      <alignment horizontal="right"/>
    </xf>
    <xf numFmtId="169" fontId="15" fillId="0" borderId="17" xfId="7" applyFont="1" applyBorder="1" applyAlignment="1">
      <alignment horizontal="right"/>
    </xf>
    <xf numFmtId="169" fontId="15" fillId="2" borderId="18" xfId="7" applyFont="1" applyFill="1" applyBorder="1" applyAlignment="1">
      <alignment horizontal="right"/>
    </xf>
    <xf numFmtId="169" fontId="15" fillId="2" borderId="17" xfId="7" applyFont="1" applyFill="1" applyBorder="1" applyAlignment="1">
      <alignment horizontal="right"/>
    </xf>
    <xf numFmtId="169" fontId="15" fillId="2" borderId="3" xfId="7" applyFont="1" applyFill="1" applyBorder="1" applyAlignment="1">
      <alignment horizontal="right"/>
    </xf>
    <xf numFmtId="169" fontId="15" fillId="0" borderId="18" xfId="7" applyFont="1" applyBorder="1" applyAlignment="1">
      <alignment horizontal="right"/>
    </xf>
    <xf numFmtId="169" fontId="15" fillId="0" borderId="19" xfId="7" applyFont="1" applyBorder="1" applyAlignment="1">
      <alignment horizontal="right"/>
    </xf>
    <xf numFmtId="169" fontId="15" fillId="0" borderId="20" xfId="7" applyFont="1" applyBorder="1" applyAlignment="1">
      <alignment horizontal="right"/>
    </xf>
    <xf numFmtId="164" fontId="18" fillId="0" borderId="2" xfId="2" applyFont="1" applyBorder="1" applyAlignment="1">
      <alignment horizontal="right"/>
    </xf>
    <xf numFmtId="0" fontId="34" fillId="0" borderId="0" xfId="0" applyFont="1" applyAlignment="1">
      <alignment horizontal="left" vertical="top"/>
    </xf>
    <xf numFmtId="0" fontId="6"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justify" vertical="center"/>
    </xf>
    <xf numFmtId="0" fontId="18" fillId="0" borderId="0" xfId="0" applyFont="1" applyAlignment="1">
      <alignment horizontal="left" vertical="center" wrapText="1"/>
    </xf>
    <xf numFmtId="0" fontId="11" fillId="0" borderId="0" xfId="0" applyFont="1" applyAlignment="1">
      <alignment vertical="center" wrapText="1"/>
    </xf>
    <xf numFmtId="0" fontId="18" fillId="0" borderId="0" xfId="0" applyFont="1" applyAlignment="1">
      <alignment horizontal="justify"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left"/>
    </xf>
    <xf numFmtId="0" fontId="15" fillId="0" borderId="0" xfId="0" applyFont="1" applyAlignment="1">
      <alignment vertical="top"/>
    </xf>
    <xf numFmtId="0" fontId="11" fillId="0" borderId="0" xfId="0" applyFont="1" applyAlignment="1">
      <alignment horizontal="left" wrapText="1"/>
    </xf>
    <xf numFmtId="0" fontId="37" fillId="0" borderId="0" xfId="0" applyFont="1" applyAlignment="1">
      <alignment horizontal="left" vertical="center"/>
    </xf>
    <xf numFmtId="0" fontId="11" fillId="4" borderId="0" xfId="0" applyFont="1" applyFill="1" applyAlignment="1">
      <alignment horizontal="center" vertical="center"/>
    </xf>
    <xf numFmtId="0" fontId="23" fillId="4" borderId="0" xfId="0" applyFont="1" applyFill="1" applyAlignment="1">
      <alignment horizontal="center" vertical="center"/>
    </xf>
    <xf numFmtId="0" fontId="38" fillId="4" borderId="0" xfId="0" applyFont="1" applyFill="1" applyAlignment="1">
      <alignment horizontal="center" vertical="center"/>
    </xf>
    <xf numFmtId="3" fontId="23" fillId="4" borderId="0" xfId="0" applyNumberFormat="1" applyFont="1" applyFill="1" applyAlignment="1">
      <alignment horizontal="center" vertical="center"/>
    </xf>
    <xf numFmtId="3" fontId="31" fillId="4" borderId="0" xfId="0" applyNumberFormat="1" applyFont="1" applyFill="1" applyAlignment="1">
      <alignment horizontal="center" vertical="center"/>
    </xf>
    <xf numFmtId="0" fontId="38" fillId="4" borderId="9" xfId="0" applyFont="1" applyFill="1" applyBorder="1" applyAlignment="1">
      <alignment horizontal="center" vertical="center"/>
    </xf>
    <xf numFmtId="0" fontId="23" fillId="4" borderId="0" xfId="0" applyFont="1" applyFill="1" applyAlignment="1">
      <alignment horizontal="right" vertical="center"/>
    </xf>
    <xf numFmtId="0" fontId="10" fillId="0" borderId="0" xfId="0" applyFont="1"/>
    <xf numFmtId="0" fontId="39" fillId="0" borderId="9" xfId="0" applyFont="1" applyBorder="1" applyAlignment="1">
      <alignment horizontal="center" vertical="center" wrapText="1"/>
    </xf>
    <xf numFmtId="0" fontId="15" fillId="0" borderId="8" xfId="0" applyFont="1" applyBorder="1" applyAlignment="1">
      <alignment vertical="center"/>
    </xf>
    <xf numFmtId="0" fontId="15" fillId="0" borderId="11" xfId="0" applyFont="1" applyBorder="1" applyAlignment="1">
      <alignment vertical="center"/>
    </xf>
    <xf numFmtId="0" fontId="18" fillId="0" borderId="9" xfId="0" applyFont="1" applyBorder="1"/>
    <xf numFmtId="0" fontId="18" fillId="0" borderId="10" xfId="0" applyFont="1" applyBorder="1"/>
    <xf numFmtId="0" fontId="20" fillId="4" borderId="11" xfId="0" applyFont="1" applyFill="1" applyBorder="1" applyAlignment="1">
      <alignment vertical="center"/>
    </xf>
    <xf numFmtId="3" fontId="18" fillId="0" borderId="12" xfId="0" applyNumberFormat="1" applyFont="1" applyBorder="1" applyAlignment="1">
      <alignment horizontal="right" vertical="center"/>
    </xf>
    <xf numFmtId="3" fontId="18" fillId="0" borderId="13" xfId="0" applyNumberFormat="1" applyFont="1" applyBorder="1" applyAlignment="1">
      <alignment horizontal="right" vertical="center"/>
    </xf>
    <xf numFmtId="0" fontId="20" fillId="4" borderId="6" xfId="0" applyFont="1" applyFill="1" applyBorder="1" applyAlignment="1">
      <alignment vertical="center"/>
    </xf>
    <xf numFmtId="3" fontId="18" fillId="0" borderId="1" xfId="0" applyNumberFormat="1" applyFont="1" applyBorder="1" applyAlignment="1">
      <alignment horizontal="right" vertical="center"/>
    </xf>
    <xf numFmtId="3" fontId="15" fillId="0" borderId="0" xfId="0" applyNumberFormat="1" applyFont="1" applyBorder="1" applyAlignment="1">
      <alignment horizontal="right" vertical="center"/>
    </xf>
    <xf numFmtId="0" fontId="18" fillId="0" borderId="9" xfId="0" applyFont="1" applyBorder="1" applyAlignment="1">
      <alignment horizontal="right" vertical="center"/>
    </xf>
    <xf numFmtId="0" fontId="15" fillId="0" borderId="9" xfId="0" applyFont="1" applyBorder="1" applyAlignment="1">
      <alignment horizontal="right" vertical="center"/>
    </xf>
    <xf numFmtId="0" fontId="18" fillId="0" borderId="10" xfId="0" applyFont="1" applyBorder="1" applyAlignment="1">
      <alignment horizontal="right" vertical="center"/>
    </xf>
    <xf numFmtId="3" fontId="20" fillId="0" borderId="12" xfId="0" applyNumberFormat="1" applyFont="1" applyBorder="1" applyAlignment="1">
      <alignment horizontal="right" vertical="center"/>
    </xf>
    <xf numFmtId="3" fontId="20" fillId="0" borderId="13" xfId="0" applyNumberFormat="1" applyFont="1" applyBorder="1" applyAlignment="1">
      <alignment horizontal="right" vertical="center"/>
    </xf>
    <xf numFmtId="3" fontId="20" fillId="0" borderId="1" xfId="0" applyNumberFormat="1" applyFont="1" applyBorder="1" applyAlignment="1">
      <alignment horizontal="right" vertical="center"/>
    </xf>
    <xf numFmtId="3" fontId="20" fillId="0" borderId="7" xfId="0" applyNumberFormat="1" applyFont="1" applyBorder="1" applyAlignment="1">
      <alignment horizontal="right" vertical="center"/>
    </xf>
    <xf numFmtId="0" fontId="18" fillId="0" borderId="8" xfId="0" applyFont="1" applyBorder="1"/>
    <xf numFmtId="3" fontId="15" fillId="0" borderId="9" xfId="0" applyNumberFormat="1" applyFont="1" applyBorder="1" applyAlignment="1">
      <alignment horizontal="right" vertical="center"/>
    </xf>
    <xf numFmtId="3" fontId="15" fillId="0" borderId="10" xfId="0" applyNumberFormat="1" applyFont="1" applyBorder="1" applyAlignment="1">
      <alignment horizontal="right" vertical="center"/>
    </xf>
    <xf numFmtId="0" fontId="18" fillId="0" borderId="9" xfId="0" applyFont="1" applyBorder="1" applyAlignment="1">
      <alignment vertical="center"/>
    </xf>
    <xf numFmtId="0" fontId="15" fillId="0" borderId="9" xfId="0" applyFont="1" applyBorder="1" applyAlignment="1">
      <alignment vertical="center"/>
    </xf>
    <xf numFmtId="0" fontId="18" fillId="0" borderId="10" xfId="0" applyFont="1" applyBorder="1" applyAlignment="1">
      <alignment vertical="center"/>
    </xf>
    <xf numFmtId="0" fontId="18" fillId="0" borderId="0" xfId="0" applyFont="1" applyBorder="1" applyAlignment="1">
      <alignment vertical="center"/>
    </xf>
    <xf numFmtId="0" fontId="18" fillId="0" borderId="5" xfId="0" applyFont="1" applyBorder="1" applyAlignment="1">
      <alignment vertical="center"/>
    </xf>
    <xf numFmtId="0" fontId="19" fillId="0" borderId="9" xfId="0" applyFont="1" applyBorder="1" applyAlignment="1">
      <alignment horizontal="center" vertical="center" wrapText="1"/>
    </xf>
    <xf numFmtId="166" fontId="15" fillId="0" borderId="9" xfId="8" applyFont="1" applyFill="1" applyBorder="1" applyAlignment="1">
      <alignment horizontal="center" vertical="center" wrapText="1"/>
    </xf>
    <xf numFmtId="167" fontId="15" fillId="0" borderId="10" xfId="8" applyNumberFormat="1" applyFont="1" applyFill="1" applyBorder="1" applyAlignment="1">
      <alignment horizontal="center" vertical="center" wrapText="1"/>
    </xf>
    <xf numFmtId="0" fontId="19" fillId="0" borderId="12" xfId="0" applyFont="1" applyBorder="1" applyAlignment="1">
      <alignment horizontal="center" vertical="center" wrapText="1"/>
    </xf>
    <xf numFmtId="166" fontId="15" fillId="0" borderId="12" xfId="8" applyFont="1" applyFill="1" applyBorder="1" applyAlignment="1">
      <alignment horizontal="center" vertical="center" wrapText="1"/>
    </xf>
    <xf numFmtId="167" fontId="15" fillId="0" borderId="12" xfId="8" applyNumberFormat="1" applyFont="1" applyFill="1" applyBorder="1" applyAlignment="1">
      <alignment horizontal="center" vertical="center" wrapText="1"/>
    </xf>
    <xf numFmtId="167" fontId="15" fillId="0" borderId="13" xfId="8" applyNumberFormat="1" applyFont="1" applyFill="1" applyBorder="1" applyAlignment="1">
      <alignment horizontal="center" vertical="center" wrapText="1"/>
    </xf>
    <xf numFmtId="171" fontId="18" fillId="0" borderId="12" xfId="2" applyNumberFormat="1" applyFont="1" applyBorder="1"/>
    <xf numFmtId="171" fontId="18" fillId="0" borderId="0" xfId="2" applyNumberFormat="1" applyFont="1" applyBorder="1"/>
    <xf numFmtId="171" fontId="18" fillId="0" borderId="1" xfId="2" applyNumberFormat="1" applyFont="1" applyBorder="1"/>
    <xf numFmtId="0" fontId="20" fillId="0" borderId="11" xfId="0" applyFont="1" applyBorder="1" applyAlignment="1">
      <alignment vertical="center"/>
    </xf>
    <xf numFmtId="169" fontId="18" fillId="0" borderId="12" xfId="0" applyNumberFormat="1" applyFont="1" applyBorder="1" applyAlignment="1">
      <alignment horizontal="right" vertical="center"/>
    </xf>
    <xf numFmtId="169" fontId="18" fillId="0" borderId="13" xfId="0" applyNumberFormat="1" applyFont="1" applyBorder="1" applyAlignment="1">
      <alignment horizontal="right" vertical="center"/>
    </xf>
    <xf numFmtId="0" fontId="20" fillId="0" borderId="6" xfId="0" applyFont="1" applyBorder="1" applyAlignment="1">
      <alignment vertical="center"/>
    </xf>
    <xf numFmtId="169" fontId="18" fillId="0" borderId="7" xfId="0" applyNumberFormat="1" applyFont="1" applyBorder="1" applyAlignment="1">
      <alignment horizontal="right" vertical="center"/>
    </xf>
    <xf numFmtId="171" fontId="15" fillId="0" borderId="0" xfId="2" applyNumberFormat="1" applyFont="1" applyBorder="1"/>
    <xf numFmtId="0" fontId="20" fillId="0" borderId="8" xfId="0" applyFont="1" applyBorder="1" applyAlignment="1">
      <alignment vertical="center"/>
    </xf>
    <xf numFmtId="169" fontId="18" fillId="0" borderId="10" xfId="0" applyNumberFormat="1" applyFont="1" applyBorder="1" applyAlignment="1">
      <alignment horizontal="right" vertical="center"/>
    </xf>
    <xf numFmtId="169" fontId="15" fillId="0" borderId="9" xfId="0" applyNumberFormat="1" applyFont="1" applyBorder="1" applyAlignment="1">
      <alignment horizontal="right" vertical="center"/>
    </xf>
    <xf numFmtId="171" fontId="15" fillId="0" borderId="9" xfId="2" applyNumberFormat="1" applyFont="1" applyBorder="1"/>
    <xf numFmtId="0" fontId="40" fillId="0" borderId="0" xfId="0" applyFont="1" applyAlignment="1">
      <alignment horizontal="center" vertical="center"/>
    </xf>
    <xf numFmtId="0" fontId="40" fillId="0" borderId="12" xfId="0" applyFont="1" applyBorder="1" applyAlignment="1">
      <alignment horizontal="center" vertical="center"/>
    </xf>
    <xf numFmtId="0" fontId="40" fillId="0" borderId="0" xfId="0" applyFont="1" applyBorder="1" applyAlignment="1">
      <alignment horizontal="center" vertical="center"/>
    </xf>
    <xf numFmtId="0" fontId="40" fillId="0" borderId="1" xfId="0" applyFont="1" applyBorder="1" applyAlignment="1">
      <alignment horizontal="center" vertical="center"/>
    </xf>
    <xf numFmtId="14" fontId="15" fillId="2" borderId="2" xfId="0" applyNumberFormat="1" applyFont="1" applyFill="1" applyBorder="1" applyAlignment="1">
      <alignment horizontal="center"/>
    </xf>
    <xf numFmtId="0" fontId="15" fillId="2" borderId="8" xfId="0" applyFont="1" applyFill="1" applyBorder="1"/>
    <xf numFmtId="14" fontId="15" fillId="2" borderId="10" xfId="0" applyNumberFormat="1" applyFont="1" applyFill="1" applyBorder="1" applyAlignment="1">
      <alignment horizontal="center"/>
    </xf>
    <xf numFmtId="0" fontId="19" fillId="4" borderId="8"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8" fillId="4" borderId="4" xfId="0" applyFont="1" applyFill="1" applyBorder="1" applyAlignment="1">
      <alignment horizontal="left" vertical="center"/>
    </xf>
    <xf numFmtId="0" fontId="18" fillId="4" borderId="6" xfId="0" applyFont="1" applyFill="1" applyBorder="1" applyAlignment="1">
      <alignment horizontal="left" vertical="center"/>
    </xf>
    <xf numFmtId="164" fontId="19" fillId="4" borderId="10" xfId="2" applyFont="1" applyFill="1" applyBorder="1" applyAlignment="1">
      <alignment vertical="center"/>
    </xf>
    <xf numFmtId="164" fontId="18" fillId="0" borderId="0" xfId="2" applyFont="1" applyBorder="1"/>
    <xf numFmtId="0" fontId="18" fillId="4" borderId="5" xfId="0" applyFont="1" applyFill="1" applyBorder="1" applyAlignment="1">
      <alignment horizontal="left" vertical="center"/>
    </xf>
    <xf numFmtId="0" fontId="18" fillId="4" borderId="7" xfId="0" applyFont="1" applyFill="1" applyBorder="1" applyAlignment="1">
      <alignment horizontal="left" vertical="center"/>
    </xf>
    <xf numFmtId="164" fontId="19" fillId="4" borderId="2" xfId="2" applyFont="1" applyFill="1" applyBorder="1" applyAlignment="1">
      <alignment vertical="center"/>
    </xf>
    <xf numFmtId="169" fontId="18" fillId="0" borderId="2" xfId="0" applyNumberFormat="1" applyFont="1" applyBorder="1" applyAlignment="1">
      <alignment horizontal="right" vertical="center"/>
    </xf>
    <xf numFmtId="0" fontId="30" fillId="0" borderId="8" xfId="0" applyFont="1" applyBorder="1"/>
    <xf numFmtId="0" fontId="21" fillId="0" borderId="4" xfId="0" applyFont="1" applyBorder="1"/>
    <xf numFmtId="0" fontId="21" fillId="0" borderId="6" xfId="0" applyFont="1" applyBorder="1"/>
    <xf numFmtId="167" fontId="30" fillId="0" borderId="2" xfId="1" applyNumberFormat="1" applyFont="1" applyBorder="1"/>
    <xf numFmtId="164" fontId="21" fillId="0" borderId="14" xfId="2" applyFont="1" applyBorder="1" applyAlignment="1">
      <alignment horizontal="right"/>
    </xf>
    <xf numFmtId="164" fontId="30" fillId="0" borderId="2" xfId="2" applyFont="1" applyBorder="1" applyAlignment="1">
      <alignment horizontal="right"/>
    </xf>
    <xf numFmtId="164" fontId="21" fillId="0" borderId="5" xfId="2" applyFont="1" applyBorder="1" applyAlignment="1">
      <alignment horizontal="right"/>
    </xf>
    <xf numFmtId="164" fontId="30" fillId="0" borderId="10" xfId="2" applyFont="1" applyBorder="1" applyAlignment="1">
      <alignment horizontal="right"/>
    </xf>
    <xf numFmtId="0" fontId="19" fillId="4" borderId="11" xfId="0" applyFont="1" applyFill="1" applyBorder="1" applyAlignment="1">
      <alignment horizontal="left" vertical="center" wrapText="1"/>
    </xf>
    <xf numFmtId="164" fontId="19" fillId="4" borderId="16" xfId="2" applyFont="1" applyFill="1" applyBorder="1" applyAlignment="1">
      <alignment vertical="center"/>
    </xf>
    <xf numFmtId="164" fontId="19" fillId="4" borderId="13" xfId="2" applyFont="1" applyFill="1" applyBorder="1" applyAlignment="1">
      <alignment vertical="center"/>
    </xf>
    <xf numFmtId="0" fontId="19" fillId="4" borderId="1"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21" fillId="0" borderId="11" xfId="0" applyFont="1" applyBorder="1"/>
    <xf numFmtId="3" fontId="18" fillId="0" borderId="16" xfId="0" applyNumberFormat="1" applyFont="1" applyBorder="1" applyAlignment="1">
      <alignment horizontal="right" vertical="center"/>
    </xf>
    <xf numFmtId="3" fontId="19" fillId="0" borderId="10" xfId="0" applyNumberFormat="1" applyFont="1" applyBorder="1"/>
    <xf numFmtId="0" fontId="30" fillId="0" borderId="0" xfId="0" applyFont="1" applyFill="1" applyBorder="1"/>
    <xf numFmtId="0" fontId="41" fillId="0" borderId="0" xfId="0" applyFont="1"/>
    <xf numFmtId="0" fontId="21" fillId="0" borderId="0" xfId="0" applyFont="1"/>
    <xf numFmtId="0" fontId="18" fillId="0" borderId="0" xfId="0" applyFont="1" applyAlignment="1">
      <alignment horizontal="left" vertical="top"/>
    </xf>
    <xf numFmtId="0" fontId="0" fillId="0" borderId="0" xfId="0" applyBorder="1" applyAlignment="1">
      <alignment horizontal="center" vertical="center" wrapText="1"/>
    </xf>
    <xf numFmtId="0" fontId="0" fillId="0" borderId="0" xfId="0" applyBorder="1" applyAlignment="1">
      <alignment vertical="center"/>
    </xf>
    <xf numFmtId="164" fontId="18" fillId="0" borderId="4" xfId="2" applyFont="1" applyBorder="1"/>
    <xf numFmtId="164" fontId="18" fillId="0" borderId="11" xfId="2" applyFont="1" applyBorder="1"/>
    <xf numFmtId="164" fontId="18" fillId="0" borderId="12" xfId="2" applyFont="1" applyBorder="1"/>
    <xf numFmtId="164" fontId="18" fillId="0" borderId="6" xfId="2" applyFont="1" applyBorder="1"/>
    <xf numFmtId="9" fontId="18" fillId="0" borderId="16" xfId="3" applyFont="1" applyBorder="1" applyAlignment="1">
      <alignment horizontal="center"/>
    </xf>
    <xf numFmtId="9" fontId="18" fillId="0" borderId="14" xfId="3" applyFont="1" applyBorder="1" applyAlignment="1">
      <alignment horizontal="center"/>
    </xf>
    <xf numFmtId="9" fontId="15" fillId="0" borderId="2" xfId="3" applyFont="1" applyBorder="1" applyAlignment="1">
      <alignment horizontal="center"/>
    </xf>
    <xf numFmtId="9" fontId="15" fillId="0" borderId="15" xfId="3" applyFont="1" applyBorder="1" applyAlignment="1">
      <alignment horizontal="center"/>
    </xf>
    <xf numFmtId="14" fontId="18" fillId="0" borderId="16" xfId="0" applyNumberFormat="1" applyFont="1" applyBorder="1"/>
    <xf numFmtId="3" fontId="20" fillId="0" borderId="14" xfId="0" applyNumberFormat="1" applyFont="1" applyBorder="1"/>
    <xf numFmtId="3" fontId="42" fillId="0" borderId="0" xfId="0" applyNumberFormat="1" applyFont="1"/>
    <xf numFmtId="3" fontId="43" fillId="0" borderId="0" xfId="0" applyNumberFormat="1" applyFont="1"/>
    <xf numFmtId="164" fontId="43" fillId="0" borderId="0" xfId="2" applyFont="1"/>
    <xf numFmtId="164" fontId="0" fillId="0" borderId="0" xfId="0" applyNumberFormat="1" applyBorder="1"/>
    <xf numFmtId="169" fontId="15" fillId="0" borderId="15" xfId="0" applyNumberFormat="1" applyFont="1" applyBorder="1" applyAlignment="1">
      <alignment horizontal="right" vertical="center"/>
    </xf>
    <xf numFmtId="164" fontId="15" fillId="0" borderId="7" xfId="2" applyFont="1" applyBorder="1"/>
    <xf numFmtId="164" fontId="15" fillId="0" borderId="6" xfId="2" applyFont="1" applyBorder="1"/>
    <xf numFmtId="167" fontId="0" fillId="0" borderId="0" xfId="0" applyNumberFormat="1"/>
    <xf numFmtId="0" fontId="20" fillId="0" borderId="0" xfId="0" applyFont="1" applyAlignment="1">
      <alignment vertical="center"/>
    </xf>
    <xf numFmtId="3" fontId="20" fillId="0" borderId="16" xfId="0" applyNumberFormat="1" applyFont="1" applyBorder="1"/>
    <xf numFmtId="3" fontId="20" fillId="0" borderId="15" xfId="0" applyNumberFormat="1" applyFont="1" applyBorder="1"/>
    <xf numFmtId="167" fontId="21" fillId="0" borderId="2" xfId="1" applyNumberFormat="1" applyFont="1" applyBorder="1"/>
    <xf numFmtId="3" fontId="20" fillId="0" borderId="5" xfId="0" applyNumberFormat="1" applyFont="1" applyBorder="1" applyAlignment="1">
      <alignment horizontal="right" vertical="center"/>
    </xf>
    <xf numFmtId="0" fontId="18" fillId="0" borderId="7" xfId="0" applyFont="1" applyBorder="1"/>
    <xf numFmtId="0" fontId="46" fillId="0" borderId="0" xfId="0" applyFont="1" applyBorder="1"/>
    <xf numFmtId="0" fontId="46" fillId="0" borderId="14" xfId="0" applyFont="1" applyBorder="1"/>
    <xf numFmtId="164" fontId="46" fillId="0" borderId="14" xfId="2" applyFont="1" applyBorder="1"/>
    <xf numFmtId="169" fontId="46" fillId="0" borderId="14" xfId="0" applyNumberFormat="1" applyFont="1" applyBorder="1" applyAlignment="1">
      <alignment horizontal="right" vertical="center"/>
    </xf>
    <xf numFmtId="0" fontId="44" fillId="4" borderId="11" xfId="0" applyFont="1" applyFill="1" applyBorder="1" applyAlignment="1">
      <alignment horizontal="left" vertical="center" wrapText="1"/>
    </xf>
    <xf numFmtId="0" fontId="46" fillId="0" borderId="13" xfId="0" applyFont="1" applyBorder="1"/>
    <xf numFmtId="3" fontId="45" fillId="0" borderId="2" xfId="0" applyNumberFormat="1" applyFont="1" applyBorder="1"/>
    <xf numFmtId="0" fontId="44" fillId="4" borderId="8" xfId="0" applyFont="1" applyFill="1" applyBorder="1" applyAlignment="1">
      <alignment horizontal="left" vertical="center" wrapText="1"/>
    </xf>
    <xf numFmtId="0" fontId="46" fillId="0" borderId="9" xfId="0" applyFont="1" applyBorder="1"/>
    <xf numFmtId="0" fontId="47" fillId="0" borderId="4" xfId="0" applyFont="1" applyBorder="1" applyAlignment="1">
      <alignment vertical="center" wrapText="1"/>
    </xf>
    <xf numFmtId="3" fontId="47" fillId="0" borderId="16" xfId="0" applyNumberFormat="1" applyFont="1" applyBorder="1" applyAlignment="1">
      <alignment horizontal="right" vertical="center"/>
    </xf>
    <xf numFmtId="3" fontId="47" fillId="0" borderId="16" xfId="0" applyNumberFormat="1" applyFont="1" applyBorder="1"/>
    <xf numFmtId="0" fontId="47" fillId="0" borderId="4" xfId="0" applyFont="1" applyBorder="1" applyAlignment="1">
      <alignment vertical="center"/>
    </xf>
    <xf numFmtId="3" fontId="47" fillId="0" borderId="14" xfId="0" applyNumberFormat="1" applyFont="1" applyBorder="1" applyAlignment="1">
      <alignment horizontal="right" vertical="center"/>
    </xf>
    <xf numFmtId="3" fontId="47" fillId="0" borderId="14" xfId="0" applyNumberFormat="1" applyFont="1" applyBorder="1"/>
    <xf numFmtId="0" fontId="19" fillId="4" borderId="4" xfId="0" applyFont="1" applyFill="1" applyBorder="1" applyAlignment="1">
      <alignment vertical="center" wrapText="1"/>
    </xf>
    <xf numFmtId="3" fontId="15" fillId="0" borderId="2" xfId="0" applyNumberFormat="1" applyFont="1" applyBorder="1" applyAlignment="1">
      <alignment horizontal="right"/>
    </xf>
    <xf numFmtId="3" fontId="15" fillId="0" borderId="10" xfId="0" applyNumberFormat="1" applyFont="1" applyBorder="1" applyAlignment="1">
      <alignment horizontal="right"/>
    </xf>
    <xf numFmtId="0" fontId="19" fillId="4" borderId="8" xfId="0" applyFont="1" applyFill="1" applyBorder="1" applyAlignment="1">
      <alignment vertical="center" wrapText="1"/>
    </xf>
    <xf numFmtId="3" fontId="20" fillId="0" borderId="16" xfId="0" applyNumberFormat="1" applyFont="1" applyBorder="1" applyAlignment="1">
      <alignment horizontal="right" vertical="center"/>
    </xf>
    <xf numFmtId="3" fontId="19" fillId="0" borderId="15" xfId="0" applyNumberFormat="1" applyFont="1" applyBorder="1" applyAlignment="1">
      <alignment horizontal="right"/>
    </xf>
    <xf numFmtId="3" fontId="19" fillId="0" borderId="7" xfId="0" applyNumberFormat="1" applyFont="1" applyBorder="1" applyAlignment="1">
      <alignment horizontal="right"/>
    </xf>
    <xf numFmtId="0" fontId="20" fillId="0" borderId="0" xfId="0" applyFont="1"/>
    <xf numFmtId="0" fontId="18" fillId="0" borderId="0" xfId="0" applyFont="1" applyAlignment="1">
      <alignment horizontal="left" vertical="center" indent="4"/>
    </xf>
    <xf numFmtId="0" fontId="18" fillId="0" borderId="11" xfId="0" applyFont="1" applyBorder="1" applyAlignment="1">
      <alignment vertical="center"/>
    </xf>
    <xf numFmtId="0" fontId="18" fillId="0" borderId="6" xfId="0" applyFont="1" applyBorder="1" applyAlignment="1">
      <alignment vertical="center"/>
    </xf>
    <xf numFmtId="3" fontId="15" fillId="0" borderId="8" xfId="0" applyNumberFormat="1" applyFont="1" applyBorder="1"/>
    <xf numFmtId="3" fontId="15" fillId="0" borderId="15" xfId="0" applyNumberFormat="1" applyFont="1" applyBorder="1"/>
    <xf numFmtId="0" fontId="20" fillId="0" borderId="2" xfId="0" applyFont="1" applyBorder="1" applyAlignment="1">
      <alignment horizontal="center"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0" fontId="39" fillId="0" borderId="0" xfId="0" applyFont="1" applyBorder="1" applyAlignment="1">
      <alignment horizontal="center" vertical="center"/>
    </xf>
    <xf numFmtId="0" fontId="47" fillId="0" borderId="2" xfId="0" applyFont="1" applyBorder="1" applyAlignment="1">
      <alignment horizontal="center" vertical="center" wrapText="1"/>
    </xf>
    <xf numFmtId="164" fontId="47" fillId="0" borderId="2" xfId="2" applyFont="1" applyBorder="1" applyAlignment="1">
      <alignment horizontal="right" vertical="center" wrapText="1"/>
    </xf>
    <xf numFmtId="0" fontId="44" fillId="0" borderId="2" xfId="0" applyFont="1" applyBorder="1" applyAlignment="1">
      <alignment vertical="center" wrapText="1"/>
    </xf>
    <xf numFmtId="0" fontId="44" fillId="0" borderId="2" xfId="0" applyFont="1" applyBorder="1" applyAlignment="1">
      <alignment horizontal="center" vertical="center" wrapText="1"/>
    </xf>
    <xf numFmtId="3" fontId="44" fillId="0" borderId="2" xfId="0" applyNumberFormat="1" applyFont="1" applyBorder="1" applyAlignment="1">
      <alignment horizontal="right" vertical="center" wrapText="1"/>
    </xf>
    <xf numFmtId="0" fontId="44" fillId="0" borderId="11" xfId="0" applyFont="1" applyBorder="1" applyAlignment="1">
      <alignment horizontal="left" vertical="center" wrapText="1"/>
    </xf>
    <xf numFmtId="0" fontId="44" fillId="0" borderId="12" xfId="0" applyFont="1" applyBorder="1" applyAlignment="1">
      <alignment horizontal="left" vertical="center" wrapText="1"/>
    </xf>
    <xf numFmtId="0" fontId="47" fillId="0" borderId="2" xfId="0" applyFont="1" applyBorder="1"/>
    <xf numFmtId="3" fontId="47" fillId="0" borderId="10" xfId="0" applyNumberFormat="1" applyFont="1" applyBorder="1"/>
    <xf numFmtId="3" fontId="47" fillId="0" borderId="8" xfId="0" applyNumberFormat="1" applyFont="1" applyBorder="1"/>
    <xf numFmtId="3" fontId="47" fillId="0" borderId="2" xfId="0" applyNumberFormat="1" applyFont="1" applyBorder="1"/>
    <xf numFmtId="0" fontId="44" fillId="0" borderId="8" xfId="0" applyFont="1" applyBorder="1" applyAlignment="1">
      <alignment horizontal="left" vertical="center"/>
    </xf>
    <xf numFmtId="0" fontId="44" fillId="0" borderId="9" xfId="0" applyFont="1" applyBorder="1" applyAlignment="1">
      <alignment horizontal="center" vertical="center"/>
    </xf>
    <xf numFmtId="0" fontId="20" fillId="0" borderId="15" xfId="0" applyFont="1" applyBorder="1" applyAlignment="1">
      <alignment horizontal="center"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20" fillId="0" borderId="8" xfId="0" applyFont="1" applyBorder="1"/>
    <xf numFmtId="3" fontId="20" fillId="0" borderId="2" xfId="0" applyNumberFormat="1" applyFont="1" applyBorder="1"/>
    <xf numFmtId="3" fontId="20" fillId="0" borderId="10" xfId="0" applyNumberFormat="1" applyFont="1" applyBorder="1"/>
    <xf numFmtId="3" fontId="20" fillId="0" borderId="7" xfId="0" applyNumberFormat="1" applyFont="1" applyBorder="1"/>
    <xf numFmtId="0" fontId="30" fillId="0" borderId="0" xfId="0" applyFont="1" applyAlignment="1">
      <alignment horizontal="left" vertical="center"/>
    </xf>
    <xf numFmtId="0" fontId="19" fillId="0" borderId="6" xfId="0" applyFont="1" applyBorder="1" applyAlignment="1">
      <alignment vertical="center"/>
    </xf>
    <xf numFmtId="3" fontId="44" fillId="0" borderId="2" xfId="0" applyNumberFormat="1" applyFont="1" applyBorder="1" applyAlignment="1">
      <alignment horizontal="right" vertical="center"/>
    </xf>
    <xf numFmtId="3" fontId="44" fillId="0" borderId="10" xfId="0" applyNumberFormat="1" applyFont="1" applyBorder="1" applyAlignment="1">
      <alignment horizontal="right" vertical="center"/>
    </xf>
    <xf numFmtId="0" fontId="19" fillId="0" borderId="8" xfId="0" applyFont="1" applyBorder="1" applyAlignment="1">
      <alignment vertical="center"/>
    </xf>
    <xf numFmtId="169" fontId="15" fillId="0" borderId="2" xfId="0" applyNumberFormat="1" applyFont="1" applyBorder="1" applyAlignment="1">
      <alignment horizontal="right" vertical="center"/>
    </xf>
    <xf numFmtId="3" fontId="18" fillId="0" borderId="11" xfId="0" applyNumberFormat="1" applyFont="1" applyBorder="1"/>
    <xf numFmtId="0" fontId="15" fillId="0" borderId="0" xfId="0" applyFont="1" applyAlignment="1">
      <alignment horizontal="left" vertical="center" indent="2"/>
    </xf>
    <xf numFmtId="164" fontId="0" fillId="0" borderId="0" xfId="0" applyNumberFormat="1"/>
    <xf numFmtId="0" fontId="19" fillId="0" borderId="16" xfId="0" applyFont="1" applyBorder="1" applyAlignment="1">
      <alignment vertical="center"/>
    </xf>
    <xf numFmtId="0" fontId="19" fillId="0" borderId="16" xfId="0" applyFont="1" applyBorder="1" applyAlignment="1">
      <alignment horizontal="center" vertical="center"/>
    </xf>
    <xf numFmtId="0" fontId="19" fillId="0" borderId="13" xfId="0" applyFont="1" applyBorder="1" applyAlignment="1">
      <alignment horizontal="center" vertical="center"/>
    </xf>
    <xf numFmtId="164" fontId="15" fillId="0" borderId="4" xfId="2" applyFont="1" applyBorder="1"/>
    <xf numFmtId="164" fontId="15" fillId="4" borderId="2" xfId="2" applyFont="1" applyFill="1" applyBorder="1" applyAlignment="1">
      <alignment horizontal="center" vertical="center"/>
    </xf>
    <xf numFmtId="164" fontId="15" fillId="4" borderId="10" xfId="2" applyFont="1" applyFill="1" applyBorder="1" applyAlignment="1">
      <alignment horizontal="center" vertical="center"/>
    </xf>
    <xf numFmtId="0" fontId="11" fillId="4" borderId="0" xfId="0" applyFont="1" applyFill="1" applyAlignment="1">
      <alignment horizontal="right" vertical="center"/>
    </xf>
    <xf numFmtId="3" fontId="20" fillId="4" borderId="13" xfId="0" applyNumberFormat="1" applyFont="1" applyFill="1" applyBorder="1" applyAlignment="1">
      <alignment horizontal="right" vertical="center"/>
    </xf>
    <xf numFmtId="9" fontId="20" fillId="4" borderId="15" xfId="0" applyNumberFormat="1" applyFont="1" applyFill="1" applyBorder="1" applyAlignment="1">
      <alignment horizontal="right" vertical="center"/>
    </xf>
    <xf numFmtId="9" fontId="20" fillId="4" borderId="7" xfId="0" applyNumberFormat="1" applyFont="1" applyFill="1" applyBorder="1" applyAlignment="1">
      <alignment horizontal="right" vertical="center"/>
    </xf>
    <xf numFmtId="3" fontId="20" fillId="4" borderId="5" xfId="0" applyNumberFormat="1" applyFont="1" applyFill="1" applyBorder="1" applyAlignment="1">
      <alignment horizontal="right" vertical="center"/>
    </xf>
    <xf numFmtId="3" fontId="20" fillId="4" borderId="7" xfId="0" applyNumberFormat="1" applyFont="1" applyFill="1" applyBorder="1" applyAlignment="1">
      <alignment horizontal="right" vertical="center"/>
    </xf>
    <xf numFmtId="0" fontId="19" fillId="4" borderId="8" xfId="0" applyFont="1" applyFill="1" applyBorder="1" applyAlignment="1">
      <alignment vertical="center"/>
    </xf>
    <xf numFmtId="3" fontId="19" fillId="4" borderId="10" xfId="0" applyNumberFormat="1" applyFont="1" applyFill="1" applyBorder="1" applyAlignment="1">
      <alignment horizontal="right" vertical="center"/>
    </xf>
    <xf numFmtId="0" fontId="18" fillId="0" borderId="4" xfId="0" applyFont="1" applyBorder="1" applyAlignment="1">
      <alignment horizontal="left"/>
    </xf>
    <xf numFmtId="0" fontId="15" fillId="0" borderId="14" xfId="0" applyFont="1" applyBorder="1" applyAlignment="1">
      <alignment horizontal="center"/>
    </xf>
    <xf numFmtId="0" fontId="6" fillId="0" borderId="0" xfId="0" applyFont="1" applyAlignment="1">
      <alignment horizontal="left" vertical="top"/>
    </xf>
    <xf numFmtId="0" fontId="20" fillId="0" borderId="0" xfId="0" applyFont="1" applyAlignment="1">
      <alignment horizontal="left" vertical="top"/>
    </xf>
    <xf numFmtId="0" fontId="20" fillId="0" borderId="0" xfId="0" applyFont="1" applyAlignment="1">
      <alignment vertical="top"/>
    </xf>
    <xf numFmtId="0" fontId="49"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vertical="center"/>
    </xf>
    <xf numFmtId="0" fontId="6" fillId="0" borderId="0" xfId="0" applyFont="1" applyAlignment="1">
      <alignment horizontal="justify" vertical="center"/>
    </xf>
    <xf numFmtId="0" fontId="19" fillId="0" borderId="0" xfId="0" applyFont="1" applyAlignment="1">
      <alignment horizontal="justify" vertical="center"/>
    </xf>
    <xf numFmtId="14" fontId="15" fillId="2" borderId="9" xfId="0" applyNumberFormat="1" applyFont="1" applyFill="1" applyBorder="1" applyAlignment="1">
      <alignment horizontal="center" vertical="center"/>
    </xf>
    <xf numFmtId="3" fontId="20" fillId="0" borderId="11" xfId="0" applyNumberFormat="1" applyFont="1" applyBorder="1"/>
    <xf numFmtId="3" fontId="20" fillId="0" borderId="4" xfId="0" applyNumberFormat="1" applyFont="1" applyBorder="1"/>
    <xf numFmtId="3" fontId="20" fillId="0" borderId="6" xfId="0" applyNumberFormat="1" applyFont="1" applyBorder="1"/>
    <xf numFmtId="0" fontId="32" fillId="0" borderId="0" xfId="0" applyFont="1" applyFill="1"/>
    <xf numFmtId="0" fontId="20" fillId="0" borderId="16" xfId="0" applyFont="1" applyBorder="1"/>
    <xf numFmtId="0" fontId="20" fillId="0" borderId="14" xfId="0" applyFont="1" applyBorder="1"/>
    <xf numFmtId="0" fontId="20" fillId="0" borderId="15" xfId="0" applyFont="1" applyBorder="1"/>
    <xf numFmtId="0" fontId="20" fillId="0" borderId="2" xfId="0" applyFont="1" applyBorder="1"/>
    <xf numFmtId="0" fontId="19" fillId="0" borderId="10" xfId="0" applyFont="1" applyBorder="1" applyAlignment="1">
      <alignment horizontal="center" vertical="center" wrapText="1"/>
    </xf>
    <xf numFmtId="3" fontId="20" fillId="0" borderId="16" xfId="0" applyNumberFormat="1" applyFont="1" applyBorder="1" applyAlignment="1">
      <alignment horizontal="right" vertical="center" wrapText="1"/>
    </xf>
    <xf numFmtId="3" fontId="20" fillId="0" borderId="13" xfId="0" applyNumberFormat="1" applyFont="1" applyBorder="1" applyAlignment="1">
      <alignment horizontal="right" vertical="center" wrapText="1"/>
    </xf>
    <xf numFmtId="3" fontId="20" fillId="0" borderId="5" xfId="0" applyNumberFormat="1" applyFont="1" applyBorder="1" applyAlignment="1">
      <alignment horizontal="right" vertical="center" wrapText="1"/>
    </xf>
    <xf numFmtId="3" fontId="23" fillId="0" borderId="0" xfId="0" applyNumberFormat="1" applyFont="1" applyAlignment="1">
      <alignment horizontal="right" vertical="center" wrapText="1"/>
    </xf>
    <xf numFmtId="0" fontId="30" fillId="0" borderId="0" xfId="0" applyFont="1" applyBorder="1" applyAlignment="1">
      <alignment horizontal="center" vertical="center" wrapText="1"/>
    </xf>
    <xf numFmtId="164" fontId="21" fillId="0" borderId="0" xfId="2" applyFont="1" applyBorder="1"/>
    <xf numFmtId="0" fontId="21" fillId="0" borderId="0" xfId="0" applyFont="1" applyBorder="1"/>
    <xf numFmtId="164" fontId="20" fillId="0" borderId="0" xfId="2" applyFont="1" applyBorder="1"/>
    <xf numFmtId="14" fontId="15" fillId="2" borderId="8" xfId="0" applyNumberFormat="1" applyFont="1" applyFill="1" applyBorder="1" applyAlignment="1">
      <alignment horizontal="center"/>
    </xf>
    <xf numFmtId="0" fontId="0" fillId="0" borderId="9" xfId="0" applyBorder="1"/>
    <xf numFmtId="0" fontId="18" fillId="0" borderId="10" xfId="0" applyFont="1" applyBorder="1" applyAlignment="1"/>
    <xf numFmtId="3" fontId="20" fillId="0" borderId="4" xfId="0" applyNumberFormat="1" applyFont="1" applyBorder="1" applyAlignment="1">
      <alignment horizontal="right" vertical="center" wrapText="1"/>
    </xf>
    <xf numFmtId="3" fontId="20" fillId="0" borderId="14"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0" fontId="0" fillId="0" borderId="10" xfId="0" applyBorder="1"/>
    <xf numFmtId="3" fontId="19" fillId="0" borderId="2" xfId="0" applyNumberFormat="1" applyFont="1" applyBorder="1" applyAlignment="1">
      <alignment horizontal="right" vertical="center" wrapText="1"/>
    </xf>
    <xf numFmtId="3" fontId="19" fillId="0" borderId="10" xfId="0" applyNumberFormat="1" applyFont="1" applyBorder="1" applyAlignment="1">
      <alignment horizontal="right" vertical="center" wrapText="1"/>
    </xf>
    <xf numFmtId="0" fontId="20" fillId="0" borderId="14" xfId="0" applyFont="1" applyBorder="1" applyAlignment="1">
      <alignment horizontal="right" vertical="center" wrapText="1"/>
    </xf>
    <xf numFmtId="0" fontId="15" fillId="0" borderId="8" xfId="0" applyFont="1" applyBorder="1" applyAlignment="1">
      <alignment horizontal="center" vertical="center" wrapText="1"/>
    </xf>
    <xf numFmtId="0" fontId="0" fillId="0" borderId="13" xfId="0" applyBorder="1"/>
    <xf numFmtId="0" fontId="0" fillId="0" borderId="7" xfId="0" applyBorder="1"/>
    <xf numFmtId="0" fontId="0" fillId="0" borderId="5" xfId="0" applyBorder="1"/>
    <xf numFmtId="164" fontId="18" fillId="0" borderId="12" xfId="2" applyFont="1" applyBorder="1" applyAlignment="1">
      <alignment horizontal="right" vertical="center"/>
    </xf>
    <xf numFmtId="164" fontId="18" fillId="0" borderId="16" xfId="2" applyFont="1" applyBorder="1" applyAlignment="1">
      <alignment horizontal="right" vertical="center"/>
    </xf>
    <xf numFmtId="164" fontId="18" fillId="0" borderId="0" xfId="2" applyFont="1" applyBorder="1" applyAlignment="1">
      <alignment horizontal="right" vertical="center"/>
    </xf>
    <xf numFmtId="164" fontId="18" fillId="0" borderId="14" xfId="2" applyFont="1" applyBorder="1" applyAlignment="1">
      <alignment horizontal="right" vertical="center"/>
    </xf>
    <xf numFmtId="164" fontId="18" fillId="0" borderId="14" xfId="2" applyFont="1" applyBorder="1" applyAlignment="1">
      <alignment horizontal="right" vertical="center" indent="5"/>
    </xf>
    <xf numFmtId="164" fontId="18" fillId="0" borderId="1" xfId="2" applyFont="1" applyBorder="1" applyAlignment="1">
      <alignment horizontal="right" vertical="center"/>
    </xf>
    <xf numFmtId="164" fontId="18" fillId="0" borderId="15" xfId="2" applyFont="1" applyBorder="1" applyAlignment="1">
      <alignment horizontal="right" vertical="center" indent="5"/>
    </xf>
    <xf numFmtId="0" fontId="15" fillId="0" borderId="6" xfId="0" applyFont="1" applyBorder="1" applyAlignment="1">
      <alignment vertical="center"/>
    </xf>
    <xf numFmtId="164" fontId="15" fillId="0" borderId="1" xfId="2" applyFont="1" applyBorder="1" applyAlignment="1">
      <alignment horizontal="right" vertical="center"/>
    </xf>
    <xf numFmtId="164" fontId="15" fillId="0" borderId="15" xfId="2" applyFont="1" applyBorder="1" applyAlignment="1">
      <alignment horizontal="right" vertical="center"/>
    </xf>
    <xf numFmtId="14" fontId="15" fillId="2" borderId="16" xfId="0" applyNumberFormat="1" applyFont="1" applyFill="1" applyBorder="1" applyAlignment="1">
      <alignment horizontal="center" vertical="center"/>
    </xf>
    <xf numFmtId="0" fontId="15" fillId="0" borderId="0" xfId="0" applyFont="1" applyFill="1" applyAlignment="1">
      <alignment horizontal="left" vertical="center"/>
    </xf>
    <xf numFmtId="0" fontId="19" fillId="0" borderId="2" xfId="0" applyFont="1" applyFill="1" applyBorder="1" applyAlignment="1">
      <alignment horizontal="left" vertical="center"/>
    </xf>
    <xf numFmtId="0" fontId="19" fillId="0" borderId="2" xfId="0" applyFont="1" applyFill="1" applyBorder="1" applyAlignment="1">
      <alignment horizontal="center" vertical="center"/>
    </xf>
    <xf numFmtId="0" fontId="20" fillId="0" borderId="2" xfId="0" applyFont="1" applyFill="1" applyBorder="1" applyAlignment="1">
      <alignment vertical="center"/>
    </xf>
    <xf numFmtId="0" fontId="18" fillId="0" borderId="2" xfId="0" applyFont="1" applyFill="1" applyBorder="1" applyAlignment="1">
      <alignment vertical="center"/>
    </xf>
    <xf numFmtId="0" fontId="15" fillId="0" borderId="0" xfId="0" applyFont="1" applyFill="1" applyAlignment="1">
      <alignment horizontal="left" vertical="center" wrapText="1"/>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168" fontId="27" fillId="3" borderId="0" xfId="4" applyFont="1" applyFill="1" applyAlignment="1">
      <alignment horizontal="left" wrapText="1"/>
    </xf>
    <xf numFmtId="168" fontId="27" fillId="0" borderId="0" xfId="4" applyFont="1" applyAlignment="1">
      <alignment horizontal="left" wrapText="1"/>
    </xf>
    <xf numFmtId="0" fontId="36" fillId="0" borderId="0" xfId="0" applyFont="1" applyAlignment="1">
      <alignment horizontal="center"/>
    </xf>
    <xf numFmtId="0" fontId="22" fillId="0" borderId="0" xfId="0" applyFont="1" applyAlignment="1">
      <alignment horizontal="center"/>
    </xf>
    <xf numFmtId="0" fontId="12" fillId="0" borderId="0" xfId="0" applyFont="1" applyAlignment="1">
      <alignment horizontal="center"/>
    </xf>
    <xf numFmtId="0" fontId="29" fillId="0" borderId="0" xfId="0" applyFont="1" applyAlignment="1">
      <alignment horizontal="center"/>
    </xf>
    <xf numFmtId="0" fontId="30" fillId="0" borderId="8" xfId="6" applyFont="1" applyBorder="1" applyAlignment="1">
      <alignment horizontal="center" vertical="center"/>
    </xf>
    <xf numFmtId="0" fontId="30" fillId="0" borderId="10" xfId="6" applyFont="1" applyBorder="1" applyAlignment="1">
      <alignment horizontal="center" vertical="center"/>
    </xf>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30" fillId="0" borderId="9" xfId="6" applyFont="1" applyBorder="1" applyAlignment="1">
      <alignment horizontal="center" vertical="center"/>
    </xf>
    <xf numFmtId="0" fontId="15" fillId="0" borderId="0" xfId="0" applyFont="1" applyAlignment="1">
      <alignment horizontal="left" vertical="center"/>
    </xf>
    <xf numFmtId="0" fontId="18" fillId="0" borderId="0" xfId="0" applyFont="1" applyAlignment="1">
      <alignment horizontal="left" vertical="center" wrapText="1"/>
    </xf>
    <xf numFmtId="0" fontId="34" fillId="0" borderId="0" xfId="0" applyFont="1" applyAlignment="1">
      <alignment horizontal="left" vertical="top"/>
    </xf>
    <xf numFmtId="0" fontId="6" fillId="0" borderId="0" xfId="0" applyFont="1" applyAlignment="1">
      <alignment horizontal="left" vertical="center"/>
    </xf>
    <xf numFmtId="0" fontId="18" fillId="2" borderId="0" xfId="0" applyFont="1" applyFill="1" applyAlignment="1">
      <alignment horizontal="left" vertical="top" wrapText="1"/>
    </xf>
    <xf numFmtId="0" fontId="18" fillId="0" borderId="0" xfId="0" applyFont="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center" wrapText="1"/>
    </xf>
    <xf numFmtId="0" fontId="15" fillId="0" borderId="0" xfId="0" applyFont="1" applyAlignment="1">
      <alignment horizontal="left" vertical="top"/>
    </xf>
    <xf numFmtId="0" fontId="17" fillId="0" borderId="0" xfId="0" applyFont="1" applyAlignment="1">
      <alignment horizontal="left" vertical="center" wrapText="1"/>
    </xf>
    <xf numFmtId="0" fontId="18" fillId="0" borderId="0" xfId="0" applyFont="1" applyAlignment="1">
      <alignment horizontal="left" vertical="top"/>
    </xf>
    <xf numFmtId="0" fontId="6" fillId="0" borderId="0" xfId="0" applyFont="1" applyAlignment="1">
      <alignment horizontal="left" vertical="top"/>
    </xf>
    <xf numFmtId="0" fontId="38" fillId="4" borderId="9" xfId="0" applyFont="1" applyFill="1" applyBorder="1" applyAlignment="1">
      <alignment horizontal="center" vertical="center"/>
    </xf>
    <xf numFmtId="0" fontId="18" fillId="0" borderId="0" xfId="0" applyFont="1" applyAlignment="1">
      <alignment horizontal="left" wrapText="1"/>
    </xf>
    <xf numFmtId="0" fontId="18" fillId="0" borderId="4" xfId="0" applyFont="1" applyBorder="1" applyAlignment="1">
      <alignment vertical="center"/>
    </xf>
    <xf numFmtId="0" fontId="18" fillId="0" borderId="5" xfId="0"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15" fillId="0" borderId="16"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3"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9" fillId="4" borderId="11" xfId="0" applyFont="1" applyFill="1" applyBorder="1" applyAlignment="1">
      <alignment horizontal="left" vertical="center"/>
    </xf>
    <xf numFmtId="0" fontId="19" fillId="4" borderId="13" xfId="0" applyFont="1" applyFill="1" applyBorder="1" applyAlignment="1">
      <alignment horizontal="left" vertical="center"/>
    </xf>
    <xf numFmtId="0" fontId="19" fillId="4" borderId="6" xfId="0" applyFont="1" applyFill="1" applyBorder="1" applyAlignment="1">
      <alignment horizontal="left" vertical="center"/>
    </xf>
    <xf numFmtId="0" fontId="19" fillId="4" borderId="7" xfId="0" applyFont="1" applyFill="1" applyBorder="1" applyAlignment="1">
      <alignment horizontal="left" vertical="center"/>
    </xf>
    <xf numFmtId="0" fontId="18" fillId="0" borderId="11" xfId="0" applyFont="1" applyBorder="1" applyAlignment="1">
      <alignment vertical="center"/>
    </xf>
    <xf numFmtId="0" fontId="18" fillId="0" borderId="13" xfId="0" applyFont="1" applyBorder="1" applyAlignment="1">
      <alignment vertical="center"/>
    </xf>
    <xf numFmtId="0" fontId="30" fillId="0" borderId="16" xfId="0" applyFont="1" applyBorder="1" applyAlignment="1">
      <alignment horizontal="center" vertical="center"/>
    </xf>
    <xf numFmtId="0" fontId="30" fillId="0" borderId="15" xfId="0" applyFont="1" applyBorder="1" applyAlignment="1">
      <alignment horizontal="center" vertical="center"/>
    </xf>
    <xf numFmtId="0" fontId="44" fillId="4" borderId="11" xfId="0" applyFont="1" applyFill="1" applyBorder="1" applyAlignment="1">
      <alignment horizontal="left" vertical="center"/>
    </xf>
    <xf numFmtId="0" fontId="44" fillId="4" borderId="13" xfId="0" applyFont="1" applyFill="1" applyBorder="1" applyAlignment="1">
      <alignment horizontal="left" vertical="center"/>
    </xf>
    <xf numFmtId="0" fontId="44" fillId="4" borderId="6" xfId="0" applyFont="1" applyFill="1" applyBorder="1" applyAlignment="1">
      <alignment horizontal="left" vertical="center"/>
    </xf>
    <xf numFmtId="0" fontId="44" fillId="4" borderId="7" xfId="0" applyFont="1" applyFill="1" applyBorder="1" applyAlignment="1">
      <alignment horizontal="left" vertical="center"/>
    </xf>
    <xf numFmtId="0" fontId="45" fillId="0" borderId="13" xfId="0" applyFont="1" applyBorder="1" applyAlignment="1">
      <alignment horizontal="center" vertical="center"/>
    </xf>
    <xf numFmtId="0" fontId="45" fillId="0" borderId="5" xfId="0" applyFont="1" applyBorder="1" applyAlignment="1">
      <alignment horizontal="center" vertical="center"/>
    </xf>
    <xf numFmtId="0" fontId="45" fillId="0" borderId="16" xfId="0" applyFont="1" applyBorder="1" applyAlignment="1">
      <alignment horizontal="center" vertical="center"/>
    </xf>
    <xf numFmtId="0" fontId="45" fillId="0" borderId="14" xfId="0" applyFont="1" applyBorder="1" applyAlignment="1">
      <alignment horizontal="center" vertical="center"/>
    </xf>
    <xf numFmtId="0" fontId="30" fillId="0" borderId="2" xfId="0" applyFont="1" applyBorder="1" applyAlignment="1">
      <alignment horizontal="center" vertical="center"/>
    </xf>
    <xf numFmtId="0" fontId="30" fillId="0" borderId="8" xfId="0" applyFont="1" applyBorder="1" applyAlignment="1">
      <alignment horizontal="center"/>
    </xf>
    <xf numFmtId="0" fontId="30" fillId="0" borderId="9" xfId="0" applyFont="1" applyBorder="1" applyAlignment="1">
      <alignment horizontal="center"/>
    </xf>
    <xf numFmtId="0" fontId="30" fillId="0" borderId="10" xfId="0" applyFont="1" applyBorder="1" applyAlignment="1">
      <alignment horizontal="center"/>
    </xf>
    <xf numFmtId="0" fontId="15" fillId="0" borderId="11" xfId="0" applyFont="1" applyBorder="1" applyAlignment="1">
      <alignment horizontal="center" vertical="center"/>
    </xf>
    <xf numFmtId="0" fontId="15" fillId="0" borderId="6" xfId="0" applyFont="1" applyBorder="1" applyAlignment="1">
      <alignment horizontal="center" vertical="center"/>
    </xf>
    <xf numFmtId="0" fontId="20" fillId="0" borderId="0" xfId="0" applyFont="1" applyAlignment="1">
      <alignment horizontal="left" vertical="top" wrapText="1"/>
    </xf>
    <xf numFmtId="0" fontId="15" fillId="0" borderId="14" xfId="0" applyFont="1" applyBorder="1" applyAlignment="1">
      <alignment horizontal="center" vertical="center"/>
    </xf>
    <xf numFmtId="0" fontId="19" fillId="4" borderId="4" xfId="0" applyFont="1" applyFill="1" applyBorder="1" applyAlignment="1">
      <alignment horizontal="left" vertical="center"/>
    </xf>
    <xf numFmtId="0" fontId="19" fillId="4" borderId="5" xfId="0" applyFont="1" applyFill="1" applyBorder="1" applyAlignment="1">
      <alignment horizontal="left" vertical="center"/>
    </xf>
    <xf numFmtId="0" fontId="11" fillId="0" borderId="0" xfId="0" applyFont="1" applyAlignment="1">
      <alignment horizontal="left" vertical="center"/>
    </xf>
  </cellXfs>
  <cellStyles count="10">
    <cellStyle name="Comma [0] 2" xfId="7" xr:uid="{11B8F677-8E9D-4F21-BAB6-CE952400923D}"/>
    <cellStyle name="Comma 3" xfId="5" xr:uid="{C245F86A-B392-4F85-B869-132454A0D0ED}"/>
    <cellStyle name="Millares" xfId="1" builtinId="3"/>
    <cellStyle name="Millares [0]" xfId="2" builtinId="6"/>
    <cellStyle name="Millares [0] 2" xfId="9" xr:uid="{16CA1AFE-612A-42D5-ADA8-0552B5613359}"/>
    <cellStyle name="Millares 10" xfId="8" xr:uid="{73F6FD8C-F7A7-481A-A2D0-805AEAEC938F}"/>
    <cellStyle name="Normal" xfId="0" builtinId="0"/>
    <cellStyle name="Normal 12" xfId="6" xr:uid="{778402C3-C323-4EDA-B5B2-6E8C77024B47}"/>
    <cellStyle name="Normal_Estados Fiscal 1999" xfId="4" xr:uid="{49F0FE83-971F-41A6-AEA2-DB5C3036EE7F}"/>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1630680</xdr:colOff>
      <xdr:row>1</xdr:row>
      <xdr:rowOff>45720</xdr:rowOff>
    </xdr:from>
    <xdr:to>
      <xdr:col>2</xdr:col>
      <xdr:colOff>3977640</xdr:colOff>
      <xdr:row>5</xdr:row>
      <xdr:rowOff>26670</xdr:rowOff>
    </xdr:to>
    <xdr:pic>
      <xdr:nvPicPr>
        <xdr:cNvPr id="2" name="Imagen 1" descr="ORG-LOGO-GRUPO-PENNER">
          <a:extLst>
            <a:ext uri="{FF2B5EF4-FFF2-40B4-BE49-F238E27FC236}">
              <a16:creationId xmlns:a16="http://schemas.microsoft.com/office/drawing/2014/main" id="{9CF7F153-93A7-4435-A6CC-1F0DA066B4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5640" y="228600"/>
          <a:ext cx="2346960" cy="7124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563880</xdr:colOff>
      <xdr:row>3</xdr:row>
      <xdr:rowOff>99060</xdr:rowOff>
    </xdr:from>
    <xdr:to>
      <xdr:col>3</xdr:col>
      <xdr:colOff>297180</xdr:colOff>
      <xdr:row>6</xdr:row>
      <xdr:rowOff>114300</xdr:rowOff>
    </xdr:to>
    <xdr:pic>
      <xdr:nvPicPr>
        <xdr:cNvPr id="3" name="Imagen 2" descr="ORG-LOGO-GRUPO-PENNER">
          <a:extLst>
            <a:ext uri="{FF2B5EF4-FFF2-40B4-BE49-F238E27FC236}">
              <a16:creationId xmlns:a16="http://schemas.microsoft.com/office/drawing/2014/main" id="{435C9C4E-63C9-4408-913C-D1A331E1D6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3880" y="647700"/>
          <a:ext cx="1729740" cy="647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220980</xdr:colOff>
      <xdr:row>1</xdr:row>
      <xdr:rowOff>28575</xdr:rowOff>
    </xdr:from>
    <xdr:to>
      <xdr:col>3</xdr:col>
      <xdr:colOff>662940</xdr:colOff>
      <xdr:row>5</xdr:row>
      <xdr:rowOff>9525</xdr:rowOff>
    </xdr:to>
    <xdr:pic>
      <xdr:nvPicPr>
        <xdr:cNvPr id="2" name="Imagen 1" descr="ORG-LOGO-GRUPO-PENNER">
          <a:extLst>
            <a:ext uri="{FF2B5EF4-FFF2-40B4-BE49-F238E27FC236}">
              <a16:creationId xmlns:a16="http://schemas.microsoft.com/office/drawing/2014/main" id="{3AEF147D-FC12-4048-9A46-02890D4C26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960" y="211455"/>
          <a:ext cx="2156460" cy="71247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129540</xdr:colOff>
      <xdr:row>1</xdr:row>
      <xdr:rowOff>68580</xdr:rowOff>
    </xdr:from>
    <xdr:to>
      <xdr:col>4</xdr:col>
      <xdr:colOff>594360</xdr:colOff>
      <xdr:row>5</xdr:row>
      <xdr:rowOff>49530</xdr:rowOff>
    </xdr:to>
    <xdr:pic>
      <xdr:nvPicPr>
        <xdr:cNvPr id="2" name="Imagen 1" descr="ORG-LOGO-GRUPO-PENNER">
          <a:extLst>
            <a:ext uri="{FF2B5EF4-FFF2-40B4-BE49-F238E27FC236}">
              <a16:creationId xmlns:a16="http://schemas.microsoft.com/office/drawing/2014/main" id="{B9A24801-9772-4B7A-9A4D-90203996D5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9920" y="251460"/>
          <a:ext cx="2346960" cy="71247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1272540</xdr:colOff>
      <xdr:row>0</xdr:row>
      <xdr:rowOff>144780</xdr:rowOff>
    </xdr:from>
    <xdr:to>
      <xdr:col>3</xdr:col>
      <xdr:colOff>190500</xdr:colOff>
      <xdr:row>4</xdr:row>
      <xdr:rowOff>125730</xdr:rowOff>
    </xdr:to>
    <xdr:pic>
      <xdr:nvPicPr>
        <xdr:cNvPr id="2" name="Imagen 1" descr="ORG-LOGO-GRUPO-PENNER">
          <a:extLst>
            <a:ext uri="{FF2B5EF4-FFF2-40B4-BE49-F238E27FC236}">
              <a16:creationId xmlns:a16="http://schemas.microsoft.com/office/drawing/2014/main" id="{C042FC45-838A-406E-A1F2-39811F3486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5020" y="144780"/>
          <a:ext cx="2346960" cy="71247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320040</xdr:colOff>
      <xdr:row>1</xdr:row>
      <xdr:rowOff>114300</xdr:rowOff>
    </xdr:from>
    <xdr:to>
      <xdr:col>1</xdr:col>
      <xdr:colOff>2872740</xdr:colOff>
      <xdr:row>5</xdr:row>
      <xdr:rowOff>137160</xdr:rowOff>
    </xdr:to>
    <xdr:pic>
      <xdr:nvPicPr>
        <xdr:cNvPr id="2" name="Imagen 1" descr="ORG-LOGO-GRUPO-PENNER">
          <a:extLst>
            <a:ext uri="{FF2B5EF4-FFF2-40B4-BE49-F238E27FC236}">
              <a16:creationId xmlns:a16="http://schemas.microsoft.com/office/drawing/2014/main" id="{3D447091-5385-4FFB-AA92-FE15AA76CD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2520" y="297180"/>
          <a:ext cx="2552700" cy="76962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594360</xdr:colOff>
      <xdr:row>1</xdr:row>
      <xdr:rowOff>15240</xdr:rowOff>
    </xdr:from>
    <xdr:to>
      <xdr:col>1</xdr:col>
      <xdr:colOff>3147060</xdr:colOff>
      <xdr:row>5</xdr:row>
      <xdr:rowOff>1270</xdr:rowOff>
    </xdr:to>
    <xdr:pic>
      <xdr:nvPicPr>
        <xdr:cNvPr id="2" name="Imagen 1" descr="ORG-LOGO-GRUPO-PENNER">
          <a:extLst>
            <a:ext uri="{FF2B5EF4-FFF2-40B4-BE49-F238E27FC236}">
              <a16:creationId xmlns:a16="http://schemas.microsoft.com/office/drawing/2014/main" id="{EC1D4B70-793A-4398-9558-5A445A46EB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6840" y="198120"/>
          <a:ext cx="2552700" cy="7124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403860</xdr:colOff>
      <xdr:row>1</xdr:row>
      <xdr:rowOff>53340</xdr:rowOff>
    </xdr:from>
    <xdr:to>
      <xdr:col>5</xdr:col>
      <xdr:colOff>411480</xdr:colOff>
      <xdr:row>5</xdr:row>
      <xdr:rowOff>91440</xdr:rowOff>
    </xdr:to>
    <xdr:pic>
      <xdr:nvPicPr>
        <xdr:cNvPr id="2" name="Imagen 1" descr="ORG-LOGO-GRUPO-PENNER">
          <a:extLst>
            <a:ext uri="{FF2B5EF4-FFF2-40B4-BE49-F238E27FC236}">
              <a16:creationId xmlns:a16="http://schemas.microsoft.com/office/drawing/2014/main" id="{31F4A107-A197-4918-BAC9-E9980CB30D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8820" y="236220"/>
          <a:ext cx="2552700" cy="7696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machuca/AppData/Local/Microsoft/Windows/INetCache/Content.Outlook/IPQV0X5D/2.%20Estados%20Financieros%20-Puente%20Casa%20de%20Bolsa%20Diciembre%202020%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F GRAL"/>
      <sheetName val="EEFF "/>
      <sheetName val="EERR"/>
      <sheetName val="EFE indirecto"/>
      <sheetName val="Armado EFE indirecto"/>
      <sheetName val="EFE"/>
      <sheetName val="Aux CF"/>
      <sheetName val="PN"/>
      <sheetName val="NOTAS"/>
      <sheetName val="BCE"/>
    </sheetNames>
    <sheetDataSet>
      <sheetData sheetId="0" refreshError="1"/>
      <sheetData sheetId="1" refreshError="1"/>
      <sheetData sheetId="2" refreshError="1"/>
      <sheetData sheetId="3">
        <row r="8">
          <cell r="B8" t="str">
            <v>correspondiente al ejercicio ecónomico finalizado 31 de diciembre de 2020</v>
          </cell>
        </row>
        <row r="9">
          <cell r="B9" t="str">
            <v>Presentado en forma comparativa con el ejercicio anterior finalizado el 31 de diciembre de 2019</v>
          </cell>
        </row>
        <row r="12">
          <cell r="C12" t="str">
            <v>31.12.2020</v>
          </cell>
          <cell r="D12" t="str">
            <v>31.12.2019</v>
          </cell>
        </row>
      </sheetData>
      <sheetData sheetId="4" refreshError="1"/>
      <sheetData sheetId="5" refreshError="1"/>
      <sheetData sheetId="6" refreshError="1"/>
      <sheetData sheetId="7" refreshError="1"/>
      <sheetData sheetId="8"/>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puentenet.com.py/"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C31C2-4384-4A68-8E98-DEF9F63656C4}">
  <dimension ref="C3:C23"/>
  <sheetViews>
    <sheetView workbookViewId="0">
      <selection activeCell="C15" sqref="C15"/>
    </sheetView>
  </sheetViews>
  <sheetFormatPr baseColWidth="10" defaultRowHeight="15"/>
  <cols>
    <col min="3" max="3" width="64.42578125" bestFit="1" customWidth="1"/>
  </cols>
  <sheetData>
    <row r="3" spans="3:3">
      <c r="C3" s="47" t="s">
        <v>7</v>
      </c>
    </row>
    <row r="5" spans="3:3">
      <c r="C5" t="s">
        <v>12</v>
      </c>
    </row>
    <row r="7" spans="3:3">
      <c r="C7" t="s">
        <v>547</v>
      </c>
    </row>
    <row r="9" spans="3:3">
      <c r="C9" s="47" t="s">
        <v>8</v>
      </c>
    </row>
    <row r="11" spans="3:3">
      <c r="C11" t="s">
        <v>542</v>
      </c>
    </row>
    <row r="13" spans="3:3">
      <c r="C13" t="s">
        <v>543</v>
      </c>
    </row>
    <row r="15" spans="3:3">
      <c r="C15" t="s">
        <v>544</v>
      </c>
    </row>
    <row r="17" spans="3:3">
      <c r="C17" t="s">
        <v>545</v>
      </c>
    </row>
    <row r="19" spans="3:3">
      <c r="C19" t="s">
        <v>546</v>
      </c>
    </row>
    <row r="21" spans="3:3">
      <c r="C21" t="s">
        <v>9</v>
      </c>
    </row>
    <row r="22" spans="3:3">
      <c r="C22" t="s">
        <v>10</v>
      </c>
    </row>
    <row r="23" spans="3:3">
      <c r="C23" t="s">
        <v>11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2A8BA-F08C-4B98-A0C2-065BCA67AE8F}">
  <dimension ref="A5:K27"/>
  <sheetViews>
    <sheetView workbookViewId="0">
      <selection activeCell="A17" sqref="A17:K20"/>
    </sheetView>
  </sheetViews>
  <sheetFormatPr baseColWidth="10" defaultRowHeight="15"/>
  <cols>
    <col min="1" max="1" width="8.7109375" customWidth="1"/>
    <col min="2" max="2" width="8.85546875" customWidth="1"/>
    <col min="4" max="4" width="13.28515625" customWidth="1"/>
    <col min="6" max="6" width="14.7109375" customWidth="1"/>
    <col min="8" max="8" width="9.140625" customWidth="1"/>
  </cols>
  <sheetData>
    <row r="5" spans="3:6" ht="20.25">
      <c r="F5" s="1" t="s">
        <v>2</v>
      </c>
    </row>
    <row r="6" spans="3:6">
      <c r="C6" s="2"/>
    </row>
    <row r="7" spans="3:6" ht="18">
      <c r="C7" s="3"/>
    </row>
    <row r="8" spans="3:6" ht="15.75">
      <c r="F8" s="4" t="s">
        <v>0</v>
      </c>
    </row>
    <row r="9" spans="3:6" ht="15.75">
      <c r="F9" s="4" t="s">
        <v>1</v>
      </c>
    </row>
    <row r="17" spans="1:11">
      <c r="A17" s="11"/>
      <c r="B17" s="11"/>
      <c r="C17" s="11"/>
      <c r="E17" s="11"/>
      <c r="F17" s="11"/>
      <c r="G17" s="11"/>
      <c r="I17" s="11"/>
      <c r="J17" s="11"/>
      <c r="K17" s="11"/>
    </row>
    <row r="18" spans="1:11">
      <c r="B18" s="7" t="s">
        <v>3</v>
      </c>
      <c r="C18" s="5"/>
      <c r="D18" s="5"/>
      <c r="F18" s="7" t="s">
        <v>5</v>
      </c>
      <c r="J18" s="7" t="s">
        <v>24</v>
      </c>
    </row>
    <row r="19" spans="1:11">
      <c r="B19" s="7" t="s">
        <v>4</v>
      </c>
      <c r="C19" s="6"/>
      <c r="D19" s="6"/>
      <c r="F19" s="7" t="s">
        <v>6</v>
      </c>
      <c r="J19" s="7" t="s">
        <v>25</v>
      </c>
    </row>
    <row r="25" spans="1:11">
      <c r="E25" s="11"/>
      <c r="F25" s="11"/>
      <c r="G25" s="11"/>
    </row>
    <row r="26" spans="1:11">
      <c r="F26" s="7" t="s">
        <v>13</v>
      </c>
    </row>
    <row r="27" spans="1:11">
      <c r="F27" s="7" t="s">
        <v>14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B39F4-E958-4727-8AFE-56ED2BCF0BE4}">
  <dimension ref="A7:K63"/>
  <sheetViews>
    <sheetView tabSelected="1" topLeftCell="A16" workbookViewId="0">
      <selection activeCell="F28" sqref="F28"/>
    </sheetView>
  </sheetViews>
  <sheetFormatPr baseColWidth="10" defaultRowHeight="15"/>
  <cols>
    <col min="2" max="2" width="19.42578125" bestFit="1" customWidth="1"/>
    <col min="3" max="3" width="25" bestFit="1" customWidth="1"/>
    <col min="4" max="4" width="11.7109375" bestFit="1" customWidth="1"/>
    <col min="5" max="5" width="14.85546875" bestFit="1" customWidth="1"/>
    <col min="6" max="6" width="11.7109375" bestFit="1" customWidth="1"/>
  </cols>
  <sheetData>
    <row r="7" spans="1:4" ht="18">
      <c r="D7" s="12" t="s">
        <v>15</v>
      </c>
    </row>
    <row r="8" spans="1:4">
      <c r="D8" s="13" t="s">
        <v>16</v>
      </c>
    </row>
    <row r="10" spans="1:4">
      <c r="A10" s="14" t="s">
        <v>17</v>
      </c>
    </row>
    <row r="12" spans="1:4">
      <c r="A12" s="14" t="s">
        <v>18</v>
      </c>
    </row>
    <row r="13" spans="1:4">
      <c r="A13" s="14" t="s">
        <v>19</v>
      </c>
    </row>
    <row r="14" spans="1:4">
      <c r="A14" s="470" t="s">
        <v>555</v>
      </c>
    </row>
    <row r="15" spans="1:4">
      <c r="A15" s="14" t="s">
        <v>20</v>
      </c>
    </row>
    <row r="16" spans="1:4">
      <c r="A16" s="14" t="s">
        <v>21</v>
      </c>
    </row>
    <row r="17" spans="1:11">
      <c r="A17" s="470" t="s">
        <v>556</v>
      </c>
    </row>
    <row r="18" spans="1:11">
      <c r="A18" s="14" t="s">
        <v>557</v>
      </c>
    </row>
    <row r="19" spans="1:11">
      <c r="A19" s="14" t="s">
        <v>558</v>
      </c>
    </row>
    <row r="21" spans="1:11">
      <c r="A21" s="14" t="s">
        <v>22</v>
      </c>
    </row>
    <row r="23" spans="1:11">
      <c r="A23" s="14" t="s">
        <v>23</v>
      </c>
    </row>
    <row r="24" spans="1:11">
      <c r="A24" s="14" t="s">
        <v>559</v>
      </c>
    </row>
    <row r="25" spans="1:11" ht="46.9" customHeight="1">
      <c r="A25" s="475" t="s">
        <v>548</v>
      </c>
      <c r="B25" s="475"/>
      <c r="C25" s="475"/>
      <c r="D25" s="475"/>
      <c r="E25" s="475"/>
      <c r="F25" s="475"/>
      <c r="G25" s="475"/>
      <c r="H25" s="475"/>
      <c r="I25" s="475"/>
      <c r="J25" s="475"/>
      <c r="K25" s="475"/>
    </row>
    <row r="27" spans="1:11">
      <c r="A27" s="15" t="s">
        <v>26</v>
      </c>
    </row>
    <row r="28" spans="1:11">
      <c r="A28" s="15"/>
    </row>
    <row r="29" spans="1:11">
      <c r="B29" s="471" t="s">
        <v>27</v>
      </c>
      <c r="C29" s="472" t="s">
        <v>28</v>
      </c>
    </row>
    <row r="30" spans="1:11">
      <c r="B30" s="471" t="s">
        <v>29</v>
      </c>
      <c r="C30" s="473" t="s">
        <v>3</v>
      </c>
    </row>
    <row r="31" spans="1:11">
      <c r="B31" s="471" t="s">
        <v>30</v>
      </c>
      <c r="C31" s="473" t="s">
        <v>3</v>
      </c>
    </row>
    <row r="32" spans="1:11">
      <c r="B32" s="471" t="s">
        <v>31</v>
      </c>
      <c r="C32" s="473" t="s">
        <v>3</v>
      </c>
    </row>
    <row r="33" spans="1:10">
      <c r="B33" s="471" t="s">
        <v>32</v>
      </c>
      <c r="C33" s="473" t="s">
        <v>35</v>
      </c>
    </row>
    <row r="34" spans="1:10">
      <c r="B34" s="471" t="s">
        <v>33</v>
      </c>
      <c r="C34" s="474"/>
    </row>
    <row r="35" spans="1:10">
      <c r="B35" s="471" t="s">
        <v>34</v>
      </c>
      <c r="C35" s="473" t="s">
        <v>3</v>
      </c>
    </row>
    <row r="37" spans="1:10">
      <c r="A37" s="15" t="s">
        <v>36</v>
      </c>
    </row>
    <row r="39" spans="1:10">
      <c r="A39" s="22" t="s">
        <v>46</v>
      </c>
      <c r="B39" s="23"/>
      <c r="C39" s="23"/>
      <c r="D39" s="23"/>
      <c r="E39" s="23"/>
      <c r="F39" s="23"/>
      <c r="G39" s="23"/>
      <c r="H39" s="23"/>
      <c r="I39" s="23"/>
      <c r="J39" s="23"/>
    </row>
    <row r="40" spans="1:10">
      <c r="A40" s="17"/>
    </row>
    <row r="41" spans="1:10">
      <c r="A41" s="19"/>
      <c r="B41" s="476" t="s">
        <v>37</v>
      </c>
      <c r="C41" s="24" t="s">
        <v>38</v>
      </c>
      <c r="D41" s="477" t="s">
        <v>39</v>
      </c>
      <c r="E41" s="476" t="s">
        <v>40</v>
      </c>
      <c r="F41" s="476" t="s">
        <v>41</v>
      </c>
      <c r="G41" s="20"/>
    </row>
    <row r="42" spans="1:10" ht="27" customHeight="1">
      <c r="A42" s="19"/>
      <c r="B42" s="476"/>
      <c r="C42" s="24" t="s">
        <v>42</v>
      </c>
      <c r="D42" s="477"/>
      <c r="E42" s="476"/>
      <c r="F42" s="476"/>
      <c r="G42" s="20"/>
    </row>
    <row r="43" spans="1:10">
      <c r="A43" s="19"/>
      <c r="B43" s="25" t="s">
        <v>43</v>
      </c>
      <c r="C43" s="26">
        <v>32340</v>
      </c>
      <c r="D43" s="27">
        <v>1000000</v>
      </c>
      <c r="E43" s="27">
        <f>+C43*D43</f>
        <v>32340000000</v>
      </c>
      <c r="F43" s="28">
        <f>+E43/$E$46</f>
        <v>0.84</v>
      </c>
      <c r="G43" s="20"/>
      <c r="H43" s="18"/>
    </row>
    <row r="44" spans="1:10">
      <c r="A44" s="19"/>
      <c r="B44" s="25" t="s">
        <v>44</v>
      </c>
      <c r="C44" s="26">
        <v>5775</v>
      </c>
      <c r="D44" s="27">
        <v>1000000</v>
      </c>
      <c r="E44" s="27">
        <f t="shared" ref="E44:E45" si="0">+C44*D44</f>
        <v>5775000000</v>
      </c>
      <c r="F44" s="28">
        <f t="shared" ref="F44:F45" si="1">+E44/$E$46</f>
        <v>0.15</v>
      </c>
      <c r="G44" s="20"/>
      <c r="H44" s="18"/>
    </row>
    <row r="45" spans="1:10">
      <c r="A45" s="19"/>
      <c r="B45" s="25" t="s">
        <v>5</v>
      </c>
      <c r="C45" s="26">
        <v>385</v>
      </c>
      <c r="D45" s="27">
        <v>1000000</v>
      </c>
      <c r="E45" s="27">
        <f t="shared" si="0"/>
        <v>385000000</v>
      </c>
      <c r="F45" s="28">
        <f t="shared" si="1"/>
        <v>0.01</v>
      </c>
      <c r="G45" s="20"/>
      <c r="H45" s="18"/>
    </row>
    <row r="46" spans="1:10">
      <c r="A46" s="21"/>
      <c r="B46" s="29" t="s">
        <v>45</v>
      </c>
      <c r="C46" s="30">
        <f>SUM(C43:C45)</f>
        <v>38500</v>
      </c>
      <c r="D46" s="31"/>
      <c r="E46" s="32">
        <f>SUM(E43:E45)</f>
        <v>38500000000</v>
      </c>
      <c r="F46" s="33">
        <f>SUM(F43:F45)</f>
        <v>1</v>
      </c>
      <c r="G46" s="20"/>
      <c r="H46" s="18"/>
    </row>
    <row r="48" spans="1:10">
      <c r="A48" s="15" t="s">
        <v>47</v>
      </c>
    </row>
    <row r="50" spans="1:5">
      <c r="A50" s="15" t="s">
        <v>48</v>
      </c>
    </row>
    <row r="51" spans="1:5">
      <c r="A51" s="15" t="s">
        <v>49</v>
      </c>
    </row>
    <row r="53" spans="1:5">
      <c r="A53" s="15" t="s">
        <v>50</v>
      </c>
    </row>
    <row r="55" spans="1:5">
      <c r="A55" s="15" t="s">
        <v>51</v>
      </c>
    </row>
    <row r="57" spans="1:5">
      <c r="A57" s="15" t="s">
        <v>52</v>
      </c>
    </row>
    <row r="58" spans="1:5">
      <c r="A58" s="35" t="s">
        <v>43</v>
      </c>
    </row>
    <row r="59" spans="1:5">
      <c r="A59" s="35"/>
    </row>
    <row r="60" spans="1:5">
      <c r="A60" s="15" t="s">
        <v>54</v>
      </c>
    </row>
    <row r="61" spans="1:5">
      <c r="A61" s="35" t="s">
        <v>53</v>
      </c>
    </row>
    <row r="63" spans="1:5">
      <c r="A63" s="37" t="s">
        <v>55</v>
      </c>
      <c r="B63" s="37"/>
      <c r="C63" s="37"/>
      <c r="D63" s="37"/>
      <c r="E63" s="37"/>
    </row>
  </sheetData>
  <mergeCells count="5">
    <mergeCell ref="A25:K25"/>
    <mergeCell ref="B41:B42"/>
    <mergeCell ref="D41:D42"/>
    <mergeCell ref="E41:E42"/>
    <mergeCell ref="F41:F42"/>
  </mergeCells>
  <hyperlinks>
    <hyperlink ref="A18" r:id="rId1" display="http://www.puentenet.com.py/" xr:uid="{EA19A83E-8520-42C0-A584-11D4B1155DD4}"/>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13F75-31C4-4E15-8237-6B5D9983DDA0}">
  <dimension ref="A8:K53"/>
  <sheetViews>
    <sheetView topLeftCell="A31" workbookViewId="0">
      <selection activeCell="A21" sqref="A21"/>
    </sheetView>
  </sheetViews>
  <sheetFormatPr baseColWidth="10" defaultRowHeight="15"/>
  <cols>
    <col min="1" max="1" width="11.5703125" customWidth="1"/>
    <col min="2" max="2" width="32.7109375" bestFit="1" customWidth="1"/>
    <col min="3" max="3" width="11.7109375" bestFit="1" customWidth="1"/>
    <col min="4" max="5" width="15.7109375" bestFit="1" customWidth="1"/>
    <col min="6" max="6" width="32.28515625" bestFit="1" customWidth="1"/>
    <col min="7" max="7" width="5.28515625" bestFit="1" customWidth="1"/>
    <col min="8" max="9" width="14.7109375" bestFit="1" customWidth="1"/>
  </cols>
  <sheetData>
    <row r="8" spans="1:9" ht="23.25">
      <c r="A8" s="478" t="s">
        <v>56</v>
      </c>
      <c r="B8" s="478"/>
      <c r="C8" s="478"/>
      <c r="D8" s="478"/>
    </row>
    <row r="9" spans="1:9" ht="23.25">
      <c r="A9" s="38" t="s">
        <v>57</v>
      </c>
      <c r="B9" s="39"/>
      <c r="C9" s="39"/>
      <c r="D9" s="39"/>
    </row>
    <row r="10" spans="1:9">
      <c r="A10" s="42" t="s">
        <v>58</v>
      </c>
      <c r="B10" s="42"/>
      <c r="C10" s="42"/>
      <c r="D10" s="42"/>
    </row>
    <row r="11" spans="1:9">
      <c r="A11" s="17" t="s">
        <v>59</v>
      </c>
      <c r="B11" s="40"/>
      <c r="C11" s="41"/>
      <c r="D11" s="41"/>
    </row>
    <row r="14" spans="1:9">
      <c r="B14" s="52" t="s">
        <v>67</v>
      </c>
      <c r="C14" s="52" t="s">
        <v>61</v>
      </c>
      <c r="D14" s="53" t="s">
        <v>68</v>
      </c>
      <c r="E14" s="54" t="s">
        <v>69</v>
      </c>
      <c r="F14" s="55" t="s">
        <v>70</v>
      </c>
      <c r="G14" s="53" t="s">
        <v>61</v>
      </c>
      <c r="H14" s="53" t="str">
        <f>+$D$14</f>
        <v>31.12.2020</v>
      </c>
      <c r="I14" s="54" t="s">
        <v>69</v>
      </c>
    </row>
    <row r="15" spans="1:9">
      <c r="B15" s="56"/>
      <c r="C15" s="56"/>
      <c r="D15" s="325"/>
      <c r="E15" s="325"/>
      <c r="F15" s="59"/>
      <c r="G15" s="60"/>
      <c r="H15" s="57"/>
      <c r="I15" s="58"/>
    </row>
    <row r="16" spans="1:9">
      <c r="B16" s="61" t="s">
        <v>60</v>
      </c>
      <c r="C16" s="56"/>
      <c r="D16" s="60"/>
      <c r="E16" s="60"/>
      <c r="F16" s="63" t="s">
        <v>62</v>
      </c>
      <c r="G16" s="60"/>
      <c r="H16" s="60"/>
      <c r="I16" s="62"/>
    </row>
    <row r="17" spans="2:9">
      <c r="B17" s="56"/>
      <c r="C17" s="56"/>
      <c r="D17" s="60"/>
      <c r="E17" s="60"/>
      <c r="F17" s="59"/>
      <c r="G17" s="60"/>
      <c r="H17" s="60"/>
      <c r="I17" s="62"/>
    </row>
    <row r="18" spans="2:9">
      <c r="B18" s="56" t="s">
        <v>265</v>
      </c>
      <c r="C18" s="91" t="s">
        <v>305</v>
      </c>
      <c r="D18" s="326">
        <v>3013281672</v>
      </c>
      <c r="E18" s="135">
        <v>5446049951</v>
      </c>
      <c r="F18" s="59" t="s">
        <v>81</v>
      </c>
      <c r="G18" s="91" t="s">
        <v>390</v>
      </c>
      <c r="H18" s="67">
        <v>11879229439</v>
      </c>
      <c r="I18" s="68">
        <v>11535746001</v>
      </c>
    </row>
    <row r="19" spans="2:9">
      <c r="B19" s="56" t="s">
        <v>73</v>
      </c>
      <c r="C19" s="91" t="s">
        <v>306</v>
      </c>
      <c r="D19" s="326">
        <v>26231356915</v>
      </c>
      <c r="E19" s="135">
        <v>26214485263</v>
      </c>
      <c r="F19" s="59" t="s">
        <v>82</v>
      </c>
      <c r="G19" s="91" t="s">
        <v>401</v>
      </c>
      <c r="H19" s="67">
        <v>26105876995</v>
      </c>
      <c r="I19" s="68">
        <v>53739696576</v>
      </c>
    </row>
    <row r="20" spans="2:9">
      <c r="B20" s="56" t="s">
        <v>74</v>
      </c>
      <c r="C20" s="91" t="s">
        <v>307</v>
      </c>
      <c r="D20" s="326">
        <v>9915644161</v>
      </c>
      <c r="E20" s="135">
        <v>6959972172</v>
      </c>
      <c r="F20" s="59" t="s">
        <v>407</v>
      </c>
      <c r="G20" s="91" t="s">
        <v>404</v>
      </c>
      <c r="H20" s="67">
        <v>2747561433</v>
      </c>
      <c r="I20" s="68">
        <v>7750359946</v>
      </c>
    </row>
    <row r="21" spans="2:9">
      <c r="B21" s="56" t="s">
        <v>325</v>
      </c>
      <c r="C21" s="91" t="s">
        <v>308</v>
      </c>
      <c r="D21" s="326">
        <v>19014695346</v>
      </c>
      <c r="E21" s="135">
        <v>21830462284</v>
      </c>
      <c r="F21" s="59" t="s">
        <v>83</v>
      </c>
      <c r="G21" s="91" t="s">
        <v>409</v>
      </c>
      <c r="H21" s="67">
        <v>5999044638</v>
      </c>
      <c r="I21" s="68">
        <v>1998347708</v>
      </c>
    </row>
    <row r="22" spans="2:9">
      <c r="B22" s="69" t="s">
        <v>75</v>
      </c>
      <c r="C22" s="91" t="s">
        <v>324</v>
      </c>
      <c r="D22" s="70">
        <v>0</v>
      </c>
      <c r="E22" s="135">
        <v>4364093300</v>
      </c>
      <c r="F22" s="72" t="s">
        <v>84</v>
      </c>
      <c r="G22" s="91" t="s">
        <v>428</v>
      </c>
      <c r="H22" s="74">
        <v>280141119</v>
      </c>
      <c r="I22" s="75">
        <v>249547507</v>
      </c>
    </row>
    <row r="23" spans="2:9">
      <c r="B23" s="76" t="s">
        <v>71</v>
      </c>
      <c r="C23" s="77"/>
      <c r="D23" s="78">
        <f>SUM(D18:D22)</f>
        <v>58174978094</v>
      </c>
      <c r="E23" s="78">
        <f>SUM(E18:E22)</f>
        <v>64815062970</v>
      </c>
      <c r="F23" s="79" t="s">
        <v>92</v>
      </c>
      <c r="G23" s="80"/>
      <c r="H23" s="81">
        <f>SUM(H18:H22)</f>
        <v>47011853624</v>
      </c>
      <c r="I23" s="81">
        <f>SUM(I18:I22)</f>
        <v>75273697738</v>
      </c>
    </row>
    <row r="24" spans="2:9">
      <c r="B24" s="83"/>
      <c r="C24" s="84"/>
      <c r="D24" s="85"/>
      <c r="E24" s="85"/>
      <c r="F24" s="87"/>
      <c r="G24" s="88"/>
      <c r="H24" s="89"/>
      <c r="I24" s="90"/>
    </row>
    <row r="25" spans="2:9">
      <c r="B25" s="61" t="s">
        <v>63</v>
      </c>
      <c r="C25" s="91"/>
      <c r="D25" s="92"/>
      <c r="E25" s="92"/>
      <c r="F25" s="63" t="s">
        <v>64</v>
      </c>
      <c r="G25" s="66"/>
      <c r="H25" s="60"/>
      <c r="I25" s="62"/>
    </row>
    <row r="26" spans="2:9">
      <c r="B26" s="61"/>
      <c r="C26" s="91"/>
      <c r="D26" s="92"/>
      <c r="E26" s="92"/>
      <c r="F26" s="63"/>
      <c r="G26" s="66"/>
      <c r="H26" s="60"/>
      <c r="I26" s="62"/>
    </row>
    <row r="27" spans="2:9">
      <c r="B27" s="56" t="s">
        <v>73</v>
      </c>
      <c r="C27" s="91" t="s">
        <v>306</v>
      </c>
      <c r="D27" s="135">
        <v>29218604830</v>
      </c>
      <c r="E27" s="326">
        <v>35370179824</v>
      </c>
      <c r="F27" s="59" t="s">
        <v>81</v>
      </c>
      <c r="G27" s="91" t="s">
        <v>390</v>
      </c>
      <c r="H27" s="64">
        <v>0</v>
      </c>
      <c r="I27" s="65">
        <v>0</v>
      </c>
    </row>
    <row r="28" spans="2:9">
      <c r="B28" s="56" t="s">
        <v>74</v>
      </c>
      <c r="C28" s="91" t="s">
        <v>307</v>
      </c>
      <c r="D28" s="326">
        <v>8340941027</v>
      </c>
      <c r="E28" s="326">
        <v>11675718539</v>
      </c>
      <c r="F28" s="59" t="s">
        <v>82</v>
      </c>
      <c r="G28" s="91" t="s">
        <v>401</v>
      </c>
      <c r="H28" s="67">
        <v>20633273618</v>
      </c>
      <c r="I28" s="68">
        <v>5361844753</v>
      </c>
    </row>
    <row r="29" spans="2:9">
      <c r="B29" s="56" t="s">
        <v>76</v>
      </c>
      <c r="C29" s="91" t="s">
        <v>324</v>
      </c>
      <c r="D29" s="64">
        <v>13811601260</v>
      </c>
      <c r="E29" s="64">
        <v>14167706577</v>
      </c>
      <c r="F29" s="59" t="s">
        <v>407</v>
      </c>
      <c r="G29" s="91" t="s">
        <v>404</v>
      </c>
      <c r="H29" s="67">
        <v>22104930266</v>
      </c>
      <c r="I29" s="68">
        <v>11097364704</v>
      </c>
    </row>
    <row r="30" spans="2:9">
      <c r="B30" s="56" t="s">
        <v>77</v>
      </c>
      <c r="C30" s="91" t="s">
        <v>341</v>
      </c>
      <c r="D30" s="64">
        <v>2993559718</v>
      </c>
      <c r="E30" s="64">
        <v>3517715346</v>
      </c>
      <c r="F30" s="59" t="s">
        <v>83</v>
      </c>
      <c r="G30" s="91" t="s">
        <v>428</v>
      </c>
      <c r="H30" s="67">
        <v>12000955362</v>
      </c>
      <c r="I30" s="68">
        <v>18000318264</v>
      </c>
    </row>
    <row r="31" spans="2:9">
      <c r="B31" s="56" t="s">
        <v>78</v>
      </c>
      <c r="C31" s="91" t="s">
        <v>341</v>
      </c>
      <c r="D31" s="64">
        <v>27511095919</v>
      </c>
      <c r="E31" s="64">
        <v>27687532822</v>
      </c>
      <c r="F31" s="59"/>
      <c r="G31" s="66"/>
      <c r="H31" s="67"/>
      <c r="I31" s="68"/>
    </row>
    <row r="32" spans="2:9">
      <c r="B32" s="69" t="s">
        <v>79</v>
      </c>
      <c r="C32" s="91" t="s">
        <v>376</v>
      </c>
      <c r="D32" s="70">
        <v>70188507</v>
      </c>
      <c r="E32" s="70">
        <v>92221854</v>
      </c>
      <c r="F32" s="72"/>
      <c r="G32" s="73"/>
      <c r="H32" s="74"/>
      <c r="I32" s="75"/>
    </row>
    <row r="33" spans="2:9">
      <c r="B33" s="93" t="s">
        <v>72</v>
      </c>
      <c r="C33" s="76"/>
      <c r="D33" s="78">
        <f>SUM(D27:D32)</f>
        <v>81945991261</v>
      </c>
      <c r="E33" s="78">
        <f>SUM(E27:E32)</f>
        <v>92511074962</v>
      </c>
      <c r="F33" s="79" t="s">
        <v>91</v>
      </c>
      <c r="G33" s="94"/>
      <c r="H33" s="81">
        <f>SUM(H27:H32)</f>
        <v>54739159246</v>
      </c>
      <c r="I33" s="81">
        <f>SUM(I27:I32)</f>
        <v>34459527721</v>
      </c>
    </row>
    <row r="34" spans="2:9">
      <c r="B34" s="95"/>
      <c r="C34" s="96"/>
      <c r="D34" s="97"/>
      <c r="E34" s="98"/>
      <c r="F34" s="99" t="s">
        <v>93</v>
      </c>
      <c r="G34" s="100"/>
      <c r="H34" s="101">
        <f>+H23+H33</f>
        <v>101751012870</v>
      </c>
      <c r="I34" s="101">
        <f>+I23+I33</f>
        <v>109733225459</v>
      </c>
    </row>
    <row r="35" spans="2:9">
      <c r="B35" s="60"/>
      <c r="C35" s="56"/>
      <c r="D35" s="64"/>
      <c r="E35" s="65"/>
      <c r="F35" s="87"/>
      <c r="G35" s="88"/>
      <c r="H35" s="102"/>
      <c r="I35" s="103"/>
    </row>
    <row r="36" spans="2:9">
      <c r="B36" s="60"/>
      <c r="C36" s="56"/>
      <c r="D36" s="64"/>
      <c r="E36" s="65"/>
      <c r="F36" s="63" t="s">
        <v>65</v>
      </c>
      <c r="G36" s="66"/>
      <c r="H36" s="67"/>
      <c r="I36" s="68"/>
    </row>
    <row r="37" spans="2:9">
      <c r="B37" s="60"/>
      <c r="C37" s="56"/>
      <c r="D37" s="64"/>
      <c r="E37" s="65"/>
      <c r="F37" s="59" t="s">
        <v>85</v>
      </c>
      <c r="G37" s="418" t="s">
        <v>464</v>
      </c>
      <c r="H37" s="67">
        <v>38500000000</v>
      </c>
      <c r="I37" s="68">
        <v>38500000000</v>
      </c>
    </row>
    <row r="38" spans="2:9">
      <c r="B38" s="60"/>
      <c r="C38" s="56"/>
      <c r="D38" s="64"/>
      <c r="E38" s="65"/>
      <c r="F38" s="59" t="s">
        <v>86</v>
      </c>
      <c r="G38" s="418" t="s">
        <v>464</v>
      </c>
      <c r="H38" s="67">
        <v>4226145229</v>
      </c>
      <c r="I38" s="68">
        <v>4226145227</v>
      </c>
    </row>
    <row r="39" spans="2:9">
      <c r="B39" s="60"/>
      <c r="C39" s="56"/>
      <c r="D39" s="64"/>
      <c r="E39" s="65"/>
      <c r="F39" s="59" t="s">
        <v>87</v>
      </c>
      <c r="G39" s="418" t="s">
        <v>464</v>
      </c>
      <c r="H39" s="67">
        <v>1014632</v>
      </c>
      <c r="I39" s="68">
        <v>1014632</v>
      </c>
    </row>
    <row r="40" spans="2:9">
      <c r="B40" s="60"/>
      <c r="C40" s="56"/>
      <c r="D40" s="64"/>
      <c r="E40" s="65"/>
      <c r="F40" s="59" t="s">
        <v>88</v>
      </c>
      <c r="G40" s="418" t="s">
        <v>464</v>
      </c>
      <c r="H40" s="67">
        <v>4865752614</v>
      </c>
      <c r="I40" s="68">
        <v>4439899904</v>
      </c>
    </row>
    <row r="41" spans="2:9">
      <c r="B41" s="60"/>
      <c r="C41" s="56"/>
      <c r="D41" s="64"/>
      <c r="E41" s="65"/>
      <c r="F41" s="59" t="s">
        <v>89</v>
      </c>
      <c r="G41" s="418" t="s">
        <v>464</v>
      </c>
      <c r="H41" s="104">
        <v>-9222955990</v>
      </c>
      <c r="I41" s="68">
        <v>425852710</v>
      </c>
    </row>
    <row r="42" spans="2:9">
      <c r="B42" s="60"/>
      <c r="C42" s="56"/>
      <c r="D42" s="64"/>
      <c r="E42" s="65"/>
      <c r="F42" s="79" t="s">
        <v>90</v>
      </c>
      <c r="G42" s="105"/>
      <c r="H42" s="81">
        <f>SUM(H37:H41)</f>
        <v>38369956485</v>
      </c>
      <c r="I42" s="81">
        <f>SUM(I37:I41)</f>
        <v>47592912473</v>
      </c>
    </row>
    <row r="43" spans="2:9">
      <c r="B43" s="106"/>
      <c r="C43" s="69"/>
      <c r="D43" s="70"/>
      <c r="E43" s="71"/>
      <c r="F43" s="79"/>
      <c r="G43" s="105"/>
      <c r="H43" s="81"/>
      <c r="I43" s="82"/>
    </row>
    <row r="44" spans="2:9">
      <c r="B44" s="107" t="s">
        <v>80</v>
      </c>
      <c r="C44" s="108"/>
      <c r="D44" s="109">
        <f>+D23+D33</f>
        <v>140120969355</v>
      </c>
      <c r="E44" s="109">
        <f>+E23+E33</f>
        <v>157326137932</v>
      </c>
      <c r="F44" s="105" t="s">
        <v>66</v>
      </c>
      <c r="G44" s="105"/>
      <c r="H44" s="82">
        <f>+H34+H42</f>
        <v>140120969355</v>
      </c>
      <c r="I44" s="82">
        <f>+I34+I42</f>
        <v>157326137932</v>
      </c>
    </row>
    <row r="45" spans="2:9">
      <c r="H45" s="44"/>
      <c r="I45" s="44"/>
    </row>
    <row r="46" spans="2:9">
      <c r="B46" s="431" t="s">
        <v>127</v>
      </c>
      <c r="C46" s="23"/>
      <c r="D46" s="23"/>
      <c r="E46" s="23"/>
      <c r="H46" s="44"/>
      <c r="I46" s="44"/>
    </row>
    <row r="47" spans="2:9">
      <c r="B47" s="111"/>
      <c r="H47" s="44"/>
      <c r="I47" s="44"/>
    </row>
    <row r="48" spans="2:9">
      <c r="B48" s="111"/>
      <c r="H48" s="44"/>
      <c r="I48" s="44"/>
    </row>
    <row r="49" spans="1:11">
      <c r="B49" s="111"/>
      <c r="H49" s="44"/>
      <c r="I49" s="44"/>
    </row>
    <row r="50" spans="1:11">
      <c r="H50" s="44"/>
      <c r="I50" s="44"/>
    </row>
    <row r="51" spans="1:11">
      <c r="A51" s="46"/>
      <c r="B51" s="11"/>
      <c r="C51" s="46"/>
      <c r="E51" s="11"/>
      <c r="F51" s="11"/>
      <c r="G51" s="11"/>
      <c r="I51" s="11"/>
      <c r="J51" s="11"/>
      <c r="K51" s="11"/>
    </row>
    <row r="52" spans="1:11">
      <c r="A52" s="46"/>
      <c r="B52" s="7" t="s">
        <v>3</v>
      </c>
      <c r="C52" s="48"/>
      <c r="D52" s="5"/>
      <c r="F52" s="7" t="s">
        <v>5</v>
      </c>
      <c r="J52" s="7" t="s">
        <v>24</v>
      </c>
    </row>
    <row r="53" spans="1:11">
      <c r="B53" s="7" t="s">
        <v>4</v>
      </c>
      <c r="C53" s="6"/>
      <c r="D53" s="6"/>
      <c r="F53" s="7" t="s">
        <v>6</v>
      </c>
      <c r="J53" s="7" t="s">
        <v>25</v>
      </c>
    </row>
  </sheetData>
  <mergeCells count="1">
    <mergeCell ref="A8:D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1F4B-984C-48F1-9369-D73DA8A134AF}">
  <dimension ref="A7:K58"/>
  <sheetViews>
    <sheetView topLeftCell="A40" workbookViewId="0">
      <selection activeCell="B41" sqref="B41"/>
    </sheetView>
  </sheetViews>
  <sheetFormatPr baseColWidth="10" defaultRowHeight="15"/>
  <cols>
    <col min="2" max="2" width="45" bestFit="1" customWidth="1"/>
    <col min="3" max="3" width="5" bestFit="1" customWidth="1"/>
    <col min="4" max="4" width="17.28515625" customWidth="1"/>
    <col min="5" max="5" width="17.42578125" customWidth="1"/>
  </cols>
  <sheetData>
    <row r="7" spans="1:5" ht="23.25">
      <c r="A7" s="479" t="s">
        <v>94</v>
      </c>
      <c r="B7" s="479"/>
      <c r="C7" s="479"/>
      <c r="D7" s="15"/>
    </row>
    <row r="8" spans="1:5" ht="23.25">
      <c r="A8" s="50" t="s">
        <v>95</v>
      </c>
      <c r="B8" s="51"/>
      <c r="C8" s="51"/>
      <c r="D8" s="15"/>
    </row>
    <row r="9" spans="1:5">
      <c r="A9" s="42" t="s">
        <v>58</v>
      </c>
      <c r="B9" s="42"/>
      <c r="C9" s="42"/>
    </row>
    <row r="10" spans="1:5">
      <c r="A10" s="17" t="s">
        <v>59</v>
      </c>
    </row>
    <row r="12" spans="1:5">
      <c r="B12" s="112"/>
      <c r="C12" s="113" t="s">
        <v>61</v>
      </c>
      <c r="D12" s="55" t="s">
        <v>68</v>
      </c>
      <c r="E12" s="53" t="s">
        <v>69</v>
      </c>
    </row>
    <row r="13" spans="1:5">
      <c r="B13" s="114" t="s">
        <v>96</v>
      </c>
      <c r="C13" s="115"/>
      <c r="D13" s="116">
        <f>+D14+D15</f>
        <v>65649028243</v>
      </c>
      <c r="E13" s="117">
        <f>+E14+E15</f>
        <v>86138099484</v>
      </c>
    </row>
    <row r="14" spans="1:5">
      <c r="B14" s="118" t="s">
        <v>97</v>
      </c>
      <c r="C14" s="115"/>
      <c r="D14" s="119">
        <f>51908901407</f>
        <v>51908901407</v>
      </c>
      <c r="E14" s="120">
        <f>68636116147</f>
        <v>68636116147</v>
      </c>
    </row>
    <row r="15" spans="1:5">
      <c r="B15" s="118" t="s">
        <v>98</v>
      </c>
      <c r="C15" s="115"/>
      <c r="D15" s="119">
        <f>13740126836</f>
        <v>13740126836</v>
      </c>
      <c r="E15" s="120">
        <f>17501983337</f>
        <v>17501983337</v>
      </c>
    </row>
    <row r="16" spans="1:5">
      <c r="B16" s="118"/>
      <c r="C16" s="115"/>
      <c r="D16" s="119"/>
      <c r="E16" s="120"/>
    </row>
    <row r="17" spans="2:5">
      <c r="B17" s="114" t="s">
        <v>99</v>
      </c>
      <c r="C17" s="115"/>
      <c r="D17" s="121">
        <f>+D18+D19</f>
        <v>-55865778198</v>
      </c>
      <c r="E17" s="122">
        <f>+E18+E19</f>
        <v>-68481451228</v>
      </c>
    </row>
    <row r="18" spans="2:5">
      <c r="B18" s="118" t="s">
        <v>100</v>
      </c>
      <c r="C18" s="115" t="s">
        <v>487</v>
      </c>
      <c r="D18" s="124">
        <f>-45250072940</f>
        <v>-45250072940</v>
      </c>
      <c r="E18" s="125">
        <f>-57004912223</f>
        <v>-57004912223</v>
      </c>
    </row>
    <row r="19" spans="2:5">
      <c r="B19" s="118" t="s">
        <v>101</v>
      </c>
      <c r="C19" s="115" t="s">
        <v>486</v>
      </c>
      <c r="D19" s="124">
        <f>-10615705258</f>
        <v>-10615705258</v>
      </c>
      <c r="E19" s="125">
        <f>-11476539005</f>
        <v>-11476539005</v>
      </c>
    </row>
    <row r="20" spans="2:5">
      <c r="B20" s="126"/>
      <c r="C20" s="115"/>
      <c r="D20" s="127"/>
      <c r="E20" s="128"/>
    </row>
    <row r="21" spans="2:5">
      <c r="B21" s="114" t="s">
        <v>102</v>
      </c>
      <c r="C21" s="115"/>
      <c r="D21" s="116">
        <f>+D13+D17</f>
        <v>9783250045</v>
      </c>
      <c r="E21" s="117">
        <f>+E13+E17</f>
        <v>17656648256</v>
      </c>
    </row>
    <row r="22" spans="2:5">
      <c r="B22" s="126"/>
      <c r="C22" s="115"/>
      <c r="D22" s="129"/>
      <c r="E22" s="115"/>
    </row>
    <row r="23" spans="2:5">
      <c r="B23" s="114" t="s">
        <v>103</v>
      </c>
      <c r="C23" s="115"/>
      <c r="D23" s="130">
        <f>SUM(D24:D32)</f>
        <v>-6811817833</v>
      </c>
      <c r="E23" s="131">
        <f>SUM(E24:E32)</f>
        <v>-5966788851</v>
      </c>
    </row>
    <row r="24" spans="2:5">
      <c r="B24" s="118" t="s">
        <v>104</v>
      </c>
      <c r="C24" s="123" t="s">
        <v>490</v>
      </c>
      <c r="D24" s="124">
        <f>-2551354808</f>
        <v>-2551354808</v>
      </c>
      <c r="E24" s="132">
        <f>-2810072276</f>
        <v>-2810072276</v>
      </c>
    </row>
    <row r="25" spans="2:5">
      <c r="B25" s="118" t="s">
        <v>105</v>
      </c>
      <c r="C25" s="123"/>
      <c r="D25" s="124">
        <f>-1457685402</f>
        <v>-1457685402</v>
      </c>
      <c r="E25" s="132">
        <f>-100208177</f>
        <v>-100208177</v>
      </c>
    </row>
    <row r="26" spans="2:5">
      <c r="B26" s="118" t="s">
        <v>106</v>
      </c>
      <c r="C26" s="123"/>
      <c r="D26" s="124">
        <f>-816136887</f>
        <v>-816136887</v>
      </c>
      <c r="E26" s="132">
        <f>-632317142</f>
        <v>-632317142</v>
      </c>
    </row>
    <row r="27" spans="2:5">
      <c r="B27" s="118" t="s">
        <v>107</v>
      </c>
      <c r="C27" s="123"/>
      <c r="D27" s="124">
        <f>-524553099</f>
        <v>-524553099</v>
      </c>
      <c r="E27" s="132">
        <f>-533299618</f>
        <v>-533299618</v>
      </c>
    </row>
    <row r="28" spans="2:5">
      <c r="B28" s="118" t="s">
        <v>108</v>
      </c>
      <c r="C28" s="123"/>
      <c r="D28" s="124">
        <f>-512180081</f>
        <v>-512180081</v>
      </c>
      <c r="E28" s="132">
        <f>-584304115</f>
        <v>-584304115</v>
      </c>
    </row>
    <row r="29" spans="2:5">
      <c r="B29" s="118" t="s">
        <v>109</v>
      </c>
      <c r="C29" s="123"/>
      <c r="D29" s="124">
        <f>-185463993</f>
        <v>-185463993</v>
      </c>
      <c r="E29" s="132">
        <f>-145558142</f>
        <v>-145558142</v>
      </c>
    </row>
    <row r="30" spans="2:5">
      <c r="B30" s="118" t="s">
        <v>110</v>
      </c>
      <c r="C30" s="123"/>
      <c r="D30" s="124">
        <f>-130075641</f>
        <v>-130075641</v>
      </c>
      <c r="E30" s="132">
        <f>-100771505</f>
        <v>-100771505</v>
      </c>
    </row>
    <row r="31" spans="2:5">
      <c r="B31" s="118" t="s">
        <v>111</v>
      </c>
      <c r="C31" s="123"/>
      <c r="D31" s="124">
        <f>-61909652</f>
        <v>-61909652</v>
      </c>
      <c r="E31" s="132">
        <f>-116461279</f>
        <v>-116461279</v>
      </c>
    </row>
    <row r="32" spans="2:5">
      <c r="B32" s="118" t="s">
        <v>112</v>
      </c>
      <c r="C32" s="123"/>
      <c r="D32" s="124">
        <f>-572458270</f>
        <v>-572458270</v>
      </c>
      <c r="E32" s="132">
        <f>-943796597</f>
        <v>-943796597</v>
      </c>
    </row>
    <row r="33" spans="2:5">
      <c r="B33" s="133"/>
      <c r="C33" s="123"/>
      <c r="D33" s="127"/>
      <c r="E33" s="128"/>
    </row>
    <row r="34" spans="2:5">
      <c r="B34" s="114" t="s">
        <v>113</v>
      </c>
      <c r="C34" s="123"/>
      <c r="D34" s="116">
        <f>SUM(D35:D37)</f>
        <v>61547012</v>
      </c>
      <c r="E34" s="117">
        <f>SUM(E35:E37)</f>
        <v>2017651342</v>
      </c>
    </row>
    <row r="35" spans="2:5">
      <c r="B35" s="118" t="s">
        <v>114</v>
      </c>
      <c r="C35" s="123"/>
      <c r="D35" s="134">
        <f>50542363</f>
        <v>50542363</v>
      </c>
      <c r="E35" s="135">
        <f>45909091</f>
        <v>45909091</v>
      </c>
    </row>
    <row r="36" spans="2:5">
      <c r="B36" s="118" t="s">
        <v>115</v>
      </c>
      <c r="C36" s="123"/>
      <c r="D36" s="127" t="s">
        <v>116</v>
      </c>
      <c r="E36" s="135">
        <f>1952972309</f>
        <v>1952972309</v>
      </c>
    </row>
    <row r="37" spans="2:5">
      <c r="B37" s="118" t="s">
        <v>117</v>
      </c>
      <c r="C37" s="123"/>
      <c r="D37" s="134">
        <f>11004649</f>
        <v>11004649</v>
      </c>
      <c r="E37" s="135">
        <f>18769942</f>
        <v>18769942</v>
      </c>
    </row>
    <row r="38" spans="2:5">
      <c r="B38" s="133"/>
      <c r="C38" s="123"/>
      <c r="D38" s="129"/>
      <c r="E38" s="115"/>
    </row>
    <row r="39" spans="2:5">
      <c r="B39" s="114" t="s">
        <v>118</v>
      </c>
      <c r="C39" s="123"/>
      <c r="D39" s="130">
        <f>SUM(D40:D43)</f>
        <v>-12255935214</v>
      </c>
      <c r="E39" s="131">
        <f>SUM(E40:E43)</f>
        <v>-13204061152</v>
      </c>
    </row>
    <row r="40" spans="2:5">
      <c r="B40" s="118" t="s">
        <v>119</v>
      </c>
      <c r="C40" s="123" t="s">
        <v>510</v>
      </c>
      <c r="D40" s="124">
        <f>-10509958059</f>
        <v>-10509958059</v>
      </c>
      <c r="E40" s="132">
        <f>-11912452779</f>
        <v>-11912452779</v>
      </c>
    </row>
    <row r="41" spans="2:5">
      <c r="B41" s="118" t="s">
        <v>120</v>
      </c>
      <c r="C41" s="123"/>
      <c r="D41" s="124">
        <f>433155150</f>
        <v>433155150</v>
      </c>
      <c r="E41" s="132">
        <f>959204675</f>
        <v>959204675</v>
      </c>
    </row>
    <row r="42" spans="2:5">
      <c r="B42" s="118" t="s">
        <v>121</v>
      </c>
      <c r="C42" s="123"/>
      <c r="D42" s="124">
        <f>676150421</f>
        <v>676150421</v>
      </c>
      <c r="E42" s="132">
        <f>611105556</f>
        <v>611105556</v>
      </c>
    </row>
    <row r="43" spans="2:5">
      <c r="B43" s="118" t="s">
        <v>122</v>
      </c>
      <c r="C43" s="123" t="s">
        <v>511</v>
      </c>
      <c r="D43" s="124">
        <f>-2855282726</f>
        <v>-2855282726</v>
      </c>
      <c r="E43" s="132">
        <f>-2861918604</f>
        <v>-2861918604</v>
      </c>
    </row>
    <row r="44" spans="2:5">
      <c r="B44" s="133"/>
      <c r="C44" s="123"/>
      <c r="D44" s="129"/>
      <c r="E44" s="115"/>
    </row>
    <row r="45" spans="2:5">
      <c r="B45" s="118" t="s">
        <v>123</v>
      </c>
      <c r="C45" s="123" t="s">
        <v>512</v>
      </c>
      <c r="D45" s="136" t="s">
        <v>116</v>
      </c>
      <c r="E45" s="137">
        <f>-55183585</f>
        <v>-55183585</v>
      </c>
    </row>
    <row r="46" spans="2:5">
      <c r="B46" s="133"/>
      <c r="C46" s="115"/>
      <c r="D46" s="148"/>
      <c r="E46" s="148"/>
    </row>
    <row r="47" spans="2:5">
      <c r="B47" s="114" t="s">
        <v>124</v>
      </c>
      <c r="C47" s="128"/>
      <c r="D47" s="331">
        <f>+D21+D23+D34+D39</f>
        <v>-9222955990</v>
      </c>
      <c r="E47" s="138">
        <f>+E21+E23+E34+E39+E45</f>
        <v>448266010</v>
      </c>
    </row>
    <row r="48" spans="2:5">
      <c r="B48" s="139"/>
      <c r="C48" s="128"/>
      <c r="D48" s="140"/>
      <c r="E48" s="141"/>
    </row>
    <row r="49" spans="1:11">
      <c r="B49" s="142" t="s">
        <v>125</v>
      </c>
      <c r="C49" s="128"/>
      <c r="D49" s="136" t="s">
        <v>116</v>
      </c>
      <c r="E49" s="137">
        <f>-22413300</f>
        <v>-22413300</v>
      </c>
    </row>
    <row r="50" spans="1:11">
      <c r="B50" s="144" t="s">
        <v>126</v>
      </c>
      <c r="C50" s="145"/>
      <c r="D50" s="399">
        <f>+D47</f>
        <v>-9222955990</v>
      </c>
      <c r="E50" s="147">
        <f>+E47+E49</f>
        <v>425852710</v>
      </c>
    </row>
    <row r="51" spans="1:11">
      <c r="B51" s="110"/>
      <c r="C51" s="110"/>
      <c r="D51" s="110"/>
      <c r="E51" s="110"/>
    </row>
    <row r="53" spans="1:11">
      <c r="B53" s="431" t="s">
        <v>127</v>
      </c>
      <c r="C53" s="23"/>
      <c r="D53" s="23"/>
    </row>
    <row r="56" spans="1:11">
      <c r="A56" s="46"/>
      <c r="B56" s="11"/>
      <c r="C56" s="46"/>
      <c r="E56" s="11"/>
      <c r="F56" s="11"/>
      <c r="G56" s="11"/>
      <c r="I56" s="11"/>
      <c r="J56" s="11"/>
      <c r="K56" s="11"/>
    </row>
    <row r="57" spans="1:11">
      <c r="B57" s="7" t="s">
        <v>3</v>
      </c>
      <c r="C57" s="5"/>
      <c r="D57" s="5"/>
      <c r="F57" s="7" t="s">
        <v>5</v>
      </c>
      <c r="J57" s="7" t="s">
        <v>24</v>
      </c>
    </row>
    <row r="58" spans="1:11">
      <c r="B58" s="7" t="s">
        <v>4</v>
      </c>
      <c r="C58" s="6"/>
      <c r="D58" s="6"/>
      <c r="F58" s="7" t="s">
        <v>6</v>
      </c>
      <c r="J58" s="7" t="s">
        <v>25</v>
      </c>
    </row>
  </sheetData>
  <mergeCells count="1">
    <mergeCell ref="A7:C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32EC7-60A1-4DFC-AEDD-4A1C6AA2A0ED}">
  <dimension ref="A1:N27"/>
  <sheetViews>
    <sheetView topLeftCell="A8" workbookViewId="0">
      <selection activeCell="B14" sqref="B14"/>
    </sheetView>
  </sheetViews>
  <sheetFormatPr baseColWidth="10" defaultRowHeight="15"/>
  <cols>
    <col min="2" max="2" width="50.42578125" customWidth="1"/>
    <col min="5" max="5" width="15" bestFit="1" customWidth="1"/>
    <col min="6" max="6" width="14" bestFit="1" customWidth="1"/>
    <col min="8" max="8" width="14" bestFit="1" customWidth="1"/>
    <col min="9" max="9" width="12.42578125" bestFit="1" customWidth="1"/>
    <col min="10" max="10" width="18.42578125" customWidth="1"/>
    <col min="11" max="11" width="15.7109375" customWidth="1"/>
    <col min="12" max="12" width="14.42578125" customWidth="1"/>
    <col min="13" max="14" width="15" bestFit="1" customWidth="1"/>
  </cols>
  <sheetData>
    <row r="1" spans="1:14">
      <c r="A1" s="36"/>
      <c r="B1" s="36"/>
      <c r="C1" s="36"/>
      <c r="D1" s="36"/>
      <c r="E1" s="36"/>
      <c r="F1" s="36"/>
      <c r="G1" s="36"/>
      <c r="H1" s="36"/>
      <c r="I1" s="36"/>
      <c r="J1" s="36"/>
      <c r="K1" s="36"/>
    </row>
    <row r="2" spans="1:14">
      <c r="A2" s="36"/>
      <c r="B2" s="36"/>
      <c r="C2" s="36"/>
      <c r="D2" s="36"/>
      <c r="E2" s="36"/>
      <c r="F2" s="36"/>
      <c r="G2" s="36"/>
      <c r="H2" s="36"/>
      <c r="I2" s="36"/>
      <c r="J2" s="36"/>
      <c r="K2" s="36"/>
    </row>
    <row r="3" spans="1:14" ht="15.75">
      <c r="A3" s="36"/>
      <c r="B3" s="480" t="s">
        <v>149</v>
      </c>
      <c r="C3" s="480"/>
      <c r="D3" s="480"/>
      <c r="E3" s="480"/>
      <c r="F3" s="480"/>
      <c r="G3" s="480"/>
      <c r="H3" s="480"/>
      <c r="I3" s="480"/>
      <c r="J3" s="480"/>
      <c r="K3" s="480"/>
    </row>
    <row r="4" spans="1:14">
      <c r="A4" s="36"/>
      <c r="B4" s="36"/>
      <c r="C4" s="36"/>
      <c r="D4" s="36"/>
      <c r="E4" s="36"/>
      <c r="F4" s="36"/>
      <c r="G4" s="36"/>
      <c r="H4" s="36"/>
      <c r="I4" s="36"/>
      <c r="J4" s="36"/>
      <c r="K4" s="36"/>
    </row>
    <row r="5" spans="1:14">
      <c r="A5" s="36"/>
      <c r="B5" s="481" t="s">
        <v>150</v>
      </c>
      <c r="C5" s="481"/>
      <c r="D5" s="481"/>
      <c r="E5" s="481"/>
      <c r="F5" s="481"/>
      <c r="G5" s="481"/>
      <c r="H5" s="481"/>
      <c r="I5" s="481"/>
      <c r="J5" s="481"/>
      <c r="K5" s="481"/>
    </row>
    <row r="6" spans="1:14">
      <c r="A6" s="36"/>
      <c r="B6" s="36"/>
      <c r="C6" s="36"/>
      <c r="D6" s="36"/>
      <c r="E6" s="36"/>
      <c r="F6" s="36"/>
      <c r="G6" s="36"/>
      <c r="H6" s="36"/>
      <c r="I6" s="36"/>
      <c r="J6" s="36"/>
      <c r="K6" s="36"/>
    </row>
    <row r="7" spans="1:14">
      <c r="A7" s="36"/>
      <c r="B7" s="482" t="s">
        <v>151</v>
      </c>
      <c r="C7" s="482"/>
      <c r="D7" s="482"/>
      <c r="E7" s="482"/>
      <c r="F7" s="482"/>
      <c r="G7" s="482"/>
      <c r="H7" s="482"/>
      <c r="I7" s="482"/>
      <c r="J7" s="482"/>
      <c r="K7" s="482"/>
    </row>
    <row r="8" spans="1:14">
      <c r="A8" s="36"/>
      <c r="B8" s="36"/>
      <c r="C8" s="36"/>
      <c r="D8" s="36"/>
      <c r="E8" s="36"/>
      <c r="F8" s="36"/>
      <c r="G8" s="36"/>
      <c r="H8" s="36"/>
      <c r="I8" s="36"/>
      <c r="J8" s="36"/>
      <c r="K8" s="36"/>
    </row>
    <row r="9" spans="1:14">
      <c r="A9" s="36"/>
      <c r="B9" s="483" t="s">
        <v>152</v>
      </c>
      <c r="C9" s="483"/>
      <c r="D9" s="483"/>
      <c r="E9" s="483"/>
      <c r="F9" s="483"/>
      <c r="G9" s="483"/>
      <c r="H9" s="483"/>
      <c r="I9" s="483"/>
      <c r="J9" s="483"/>
      <c r="K9" s="483"/>
    </row>
    <row r="10" spans="1:14">
      <c r="A10" s="36"/>
      <c r="B10" s="36"/>
      <c r="C10" s="36"/>
      <c r="D10" s="36"/>
      <c r="E10" s="36"/>
      <c r="F10" s="36"/>
      <c r="G10" s="36"/>
      <c r="H10" s="36"/>
      <c r="I10" s="36"/>
      <c r="J10" s="36"/>
      <c r="K10" s="36"/>
    </row>
    <row r="11" spans="1:14">
      <c r="A11" s="43"/>
      <c r="B11" s="486" t="s">
        <v>154</v>
      </c>
      <c r="C11" s="484" t="s">
        <v>155</v>
      </c>
      <c r="D11" s="488"/>
      <c r="E11" s="485"/>
      <c r="F11" s="484" t="s">
        <v>156</v>
      </c>
      <c r="G11" s="488"/>
      <c r="H11" s="485"/>
      <c r="I11" s="484" t="s">
        <v>157</v>
      </c>
      <c r="J11" s="485"/>
      <c r="K11" s="484" t="s">
        <v>158</v>
      </c>
      <c r="L11" s="485"/>
      <c r="M11" s="484" t="s">
        <v>159</v>
      </c>
      <c r="N11" s="485"/>
    </row>
    <row r="12" spans="1:14" ht="37.15" customHeight="1">
      <c r="A12" s="43"/>
      <c r="B12" s="487"/>
      <c r="C12" s="54" t="s">
        <v>160</v>
      </c>
      <c r="D12" s="54" t="s">
        <v>161</v>
      </c>
      <c r="E12" s="54" t="s">
        <v>162</v>
      </c>
      <c r="F12" s="54" t="s">
        <v>163</v>
      </c>
      <c r="G12" s="54" t="s">
        <v>164</v>
      </c>
      <c r="H12" s="53" t="s">
        <v>165</v>
      </c>
      <c r="I12" s="53" t="s">
        <v>166</v>
      </c>
      <c r="J12" s="55" t="s">
        <v>167</v>
      </c>
      <c r="K12" s="53" t="s">
        <v>168</v>
      </c>
      <c r="L12" s="53" t="s">
        <v>169</v>
      </c>
      <c r="M12" s="55" t="s">
        <v>170</v>
      </c>
      <c r="N12" s="53" t="s">
        <v>171</v>
      </c>
    </row>
    <row r="13" spans="1:14">
      <c r="B13" s="187" t="s">
        <v>174</v>
      </c>
      <c r="C13" s="192">
        <v>0</v>
      </c>
      <c r="D13" s="192">
        <v>0</v>
      </c>
      <c r="E13" s="192">
        <v>38500000000</v>
      </c>
      <c r="F13" s="192">
        <f>1274957479</f>
        <v>1274957479</v>
      </c>
      <c r="G13" s="192">
        <v>0</v>
      </c>
      <c r="H13" s="192">
        <f>2951187748+1014632</f>
        <v>2952202380</v>
      </c>
      <c r="I13" s="192">
        <v>0</v>
      </c>
      <c r="J13" s="192">
        <v>0</v>
      </c>
      <c r="K13" s="192">
        <f>+EEFF!I40+EEFF!I41</f>
        <v>4865752614</v>
      </c>
      <c r="L13" s="192">
        <v>0</v>
      </c>
      <c r="M13" s="193"/>
      <c r="N13" s="194"/>
    </row>
    <row r="14" spans="1:14">
      <c r="B14" s="188" t="s">
        <v>175</v>
      </c>
      <c r="C14" s="195">
        <f>+SUM(C13:C13)</f>
        <v>0</v>
      </c>
      <c r="D14" s="196">
        <v>0</v>
      </c>
      <c r="E14" s="195">
        <v>0</v>
      </c>
      <c r="F14" s="195">
        <v>0</v>
      </c>
      <c r="G14" s="195">
        <v>0</v>
      </c>
      <c r="H14" s="195">
        <v>0</v>
      </c>
      <c r="I14" s="195">
        <v>0</v>
      </c>
      <c r="J14" s="195">
        <v>0</v>
      </c>
      <c r="K14" s="197"/>
      <c r="L14" s="195">
        <v>0</v>
      </c>
      <c r="M14" s="193"/>
      <c r="N14" s="198"/>
    </row>
    <row r="15" spans="1:14">
      <c r="B15" s="189" t="s">
        <v>176</v>
      </c>
      <c r="C15" s="195">
        <f>+SUM(C13:C14)</f>
        <v>0</v>
      </c>
      <c r="D15" s="195">
        <v>0</v>
      </c>
      <c r="E15" s="208">
        <v>0</v>
      </c>
      <c r="F15" s="208">
        <v>0</v>
      </c>
      <c r="G15" s="208">
        <v>0</v>
      </c>
      <c r="H15" s="208">
        <v>0</v>
      </c>
      <c r="I15" s="208">
        <v>0</v>
      </c>
      <c r="J15" s="195">
        <v>0</v>
      </c>
      <c r="K15" s="195">
        <v>0</v>
      </c>
      <c r="L15" s="195">
        <v>0</v>
      </c>
      <c r="M15" s="193"/>
      <c r="N15" s="198"/>
    </row>
    <row r="16" spans="1:14">
      <c r="B16" s="189" t="s">
        <v>177</v>
      </c>
      <c r="C16" s="195">
        <v>0</v>
      </c>
      <c r="D16" s="195">
        <v>0</v>
      </c>
      <c r="E16" s="208">
        <v>0</v>
      </c>
      <c r="F16" s="208">
        <v>0</v>
      </c>
      <c r="G16" s="208">
        <v>0</v>
      </c>
      <c r="H16" s="208">
        <v>0</v>
      </c>
      <c r="I16" s="208">
        <v>0</v>
      </c>
      <c r="J16" s="195">
        <v>0</v>
      </c>
      <c r="K16" s="195">
        <v>0</v>
      </c>
      <c r="L16" s="195">
        <v>0</v>
      </c>
      <c r="M16" s="193"/>
      <c r="N16" s="198"/>
    </row>
    <row r="17" spans="2:14">
      <c r="B17" s="189" t="s">
        <v>178</v>
      </c>
      <c r="C17" s="195">
        <f>+SUM(C13:C15)</f>
        <v>0</v>
      </c>
      <c r="D17" s="195">
        <v>0</v>
      </c>
      <c r="E17" s="208">
        <v>0</v>
      </c>
      <c r="F17" s="208">
        <v>0</v>
      </c>
      <c r="G17" s="208">
        <v>0</v>
      </c>
      <c r="H17" s="208">
        <v>0</v>
      </c>
      <c r="I17" s="208">
        <v>0</v>
      </c>
      <c r="J17" s="195">
        <v>0</v>
      </c>
      <c r="K17" s="195">
        <v>0</v>
      </c>
      <c r="L17" s="195">
        <v>0</v>
      </c>
      <c r="M17" s="193"/>
      <c r="N17" s="198"/>
    </row>
    <row r="18" spans="2:14">
      <c r="B18" s="189" t="s">
        <v>179</v>
      </c>
      <c r="C18" s="195">
        <v>0</v>
      </c>
      <c r="D18" s="195">
        <v>0</v>
      </c>
      <c r="E18" s="208">
        <v>0</v>
      </c>
      <c r="F18" s="208">
        <v>0</v>
      </c>
      <c r="G18" s="208">
        <v>0</v>
      </c>
      <c r="H18" s="208">
        <v>0</v>
      </c>
      <c r="I18" s="208">
        <v>0</v>
      </c>
      <c r="J18" s="195">
        <v>0</v>
      </c>
      <c r="K18" s="195">
        <v>0</v>
      </c>
      <c r="L18" s="195">
        <v>0</v>
      </c>
      <c r="M18" s="193"/>
      <c r="N18" s="198"/>
    </row>
    <row r="19" spans="2:14">
      <c r="B19" s="189" t="s">
        <v>180</v>
      </c>
      <c r="C19" s="195">
        <v>0</v>
      </c>
      <c r="D19" s="195">
        <v>0</v>
      </c>
      <c r="E19" s="208">
        <v>0</v>
      </c>
      <c r="F19" s="208"/>
      <c r="G19" s="208">
        <v>0</v>
      </c>
      <c r="H19" s="208">
        <v>0</v>
      </c>
      <c r="I19" s="208">
        <v>0</v>
      </c>
      <c r="J19" s="195">
        <v>0</v>
      </c>
      <c r="K19" s="195">
        <v>0</v>
      </c>
      <c r="L19" s="195"/>
      <c r="M19" s="193"/>
      <c r="N19" s="198"/>
    </row>
    <row r="20" spans="2:14">
      <c r="B20" s="189" t="s">
        <v>181</v>
      </c>
      <c r="C20" s="195">
        <v>0</v>
      </c>
      <c r="D20" s="195">
        <v>0</v>
      </c>
      <c r="E20" s="195">
        <v>0</v>
      </c>
      <c r="F20" s="195">
        <v>0</v>
      </c>
      <c r="G20" s="195">
        <v>0</v>
      </c>
      <c r="H20" s="195">
        <v>0</v>
      </c>
      <c r="I20" s="195">
        <v>0</v>
      </c>
      <c r="J20" s="195">
        <v>0</v>
      </c>
      <c r="K20" s="195">
        <v>0</v>
      </c>
      <c r="L20" s="195"/>
      <c r="M20" s="193"/>
      <c r="N20" s="198"/>
    </row>
    <row r="21" spans="2:14">
      <c r="B21" s="190" t="s">
        <v>172</v>
      </c>
      <c r="C21" s="195">
        <f>+SUM(C13:C15)</f>
        <v>0</v>
      </c>
      <c r="D21" s="195">
        <v>0</v>
      </c>
      <c r="E21" s="195">
        <v>0</v>
      </c>
      <c r="F21" s="195">
        <v>0</v>
      </c>
      <c r="G21" s="195">
        <v>0</v>
      </c>
      <c r="H21" s="195">
        <v>0</v>
      </c>
      <c r="I21" s="195">
        <v>0</v>
      </c>
      <c r="J21" s="195">
        <v>0</v>
      </c>
      <c r="K21" s="195">
        <v>0</v>
      </c>
      <c r="L21" s="195">
        <v>0</v>
      </c>
      <c r="M21" s="193"/>
      <c r="N21" s="198"/>
    </row>
    <row r="22" spans="2:14">
      <c r="B22" s="185" t="s">
        <v>173</v>
      </c>
      <c r="C22" s="195">
        <f>+SUM(C13:C21)</f>
        <v>0</v>
      </c>
      <c r="D22" s="195">
        <v>0</v>
      </c>
      <c r="E22" s="195">
        <v>0</v>
      </c>
      <c r="F22" s="195">
        <v>0</v>
      </c>
      <c r="G22" s="195">
        <v>0</v>
      </c>
      <c r="H22" s="195">
        <v>0</v>
      </c>
      <c r="I22" s="195">
        <v>0</v>
      </c>
      <c r="J22" s="195">
        <v>0</v>
      </c>
      <c r="K22" s="195">
        <v>0</v>
      </c>
      <c r="L22" s="195">
        <f>+EEFF!H41</f>
        <v>-9222955990</v>
      </c>
      <c r="M22" s="199"/>
      <c r="N22" s="200"/>
    </row>
    <row r="23" spans="2:14" ht="15.75" thickBot="1">
      <c r="B23" s="186" t="s">
        <v>182</v>
      </c>
      <c r="C23" s="201">
        <f t="shared" ref="C23:L23" si="0">+SUM(C13:C22)</f>
        <v>0</v>
      </c>
      <c r="D23" s="202">
        <f t="shared" si="0"/>
        <v>0</v>
      </c>
      <c r="E23" s="202">
        <f t="shared" si="0"/>
        <v>38500000000</v>
      </c>
      <c r="F23" s="202">
        <f t="shared" si="0"/>
        <v>1274957479</v>
      </c>
      <c r="G23" s="202">
        <f t="shared" si="0"/>
        <v>0</v>
      </c>
      <c r="H23" s="203">
        <f t="shared" si="0"/>
        <v>2952202380</v>
      </c>
      <c r="I23" s="203">
        <f t="shared" si="0"/>
        <v>0</v>
      </c>
      <c r="J23" s="204">
        <f t="shared" si="0"/>
        <v>0</v>
      </c>
      <c r="K23" s="203">
        <f t="shared" si="0"/>
        <v>4865752614</v>
      </c>
      <c r="L23" s="201">
        <f t="shared" si="0"/>
        <v>-9222955990</v>
      </c>
      <c r="M23" s="205">
        <f>+EEFF!H42</f>
        <v>38369956485</v>
      </c>
      <c r="N23" s="205">
        <v>0</v>
      </c>
    </row>
    <row r="24" spans="2:14" ht="16.5" thickTop="1" thickBot="1">
      <c r="B24" s="191" t="s">
        <v>174</v>
      </c>
      <c r="C24" s="206">
        <v>0</v>
      </c>
      <c r="D24" s="207">
        <v>0</v>
      </c>
      <c r="E24" s="207">
        <f>+E23</f>
        <v>38500000000</v>
      </c>
      <c r="F24" s="207">
        <f>+F23</f>
        <v>1274957479</v>
      </c>
      <c r="G24" s="207">
        <v>0</v>
      </c>
      <c r="H24" s="207">
        <f>+H23</f>
        <v>2952202380</v>
      </c>
      <c r="I24" s="207">
        <v>0</v>
      </c>
      <c r="J24" s="207">
        <v>0</v>
      </c>
      <c r="K24" s="207">
        <f>+EEFF!I40</f>
        <v>4439899904</v>
      </c>
      <c r="L24" s="207">
        <f>+EEFF!I41</f>
        <v>425852710</v>
      </c>
      <c r="M24" s="207"/>
      <c r="N24" s="207">
        <f>+EEFF!I42</f>
        <v>47592912473</v>
      </c>
    </row>
    <row r="25" spans="2:14" ht="15.75" thickTop="1">
      <c r="L25" s="45"/>
    </row>
    <row r="26" spans="2:14">
      <c r="L26" s="45"/>
    </row>
    <row r="27" spans="2:14">
      <c r="B27" s="431" t="s">
        <v>127</v>
      </c>
    </row>
  </sheetData>
  <mergeCells count="10">
    <mergeCell ref="M11:N11"/>
    <mergeCell ref="B11:B12"/>
    <mergeCell ref="C11:E11"/>
    <mergeCell ref="F11:H11"/>
    <mergeCell ref="I11:J11"/>
    <mergeCell ref="B3:K3"/>
    <mergeCell ref="B5:K5"/>
    <mergeCell ref="B7:K7"/>
    <mergeCell ref="B9:K9"/>
    <mergeCell ref="K11:L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9645F-C676-4B5F-85E7-3D74824A9C35}">
  <dimension ref="A7:K48"/>
  <sheetViews>
    <sheetView topLeftCell="A10" zoomScaleNormal="100" workbookViewId="0">
      <selection activeCell="C16" sqref="C16"/>
    </sheetView>
  </sheetViews>
  <sheetFormatPr baseColWidth="10" defaultRowHeight="15"/>
  <cols>
    <col min="2" max="2" width="56.7109375" bestFit="1" customWidth="1"/>
    <col min="3" max="4" width="15.7109375" bestFit="1" customWidth="1"/>
  </cols>
  <sheetData>
    <row r="7" spans="1:5" ht="23.25">
      <c r="A7" s="152" t="s">
        <v>128</v>
      </c>
      <c r="B7" s="152"/>
      <c r="C7" s="152"/>
    </row>
    <row r="8" spans="1:5" ht="23.25">
      <c r="A8" s="149" t="str">
        <f>+[1]EERR!$B$8</f>
        <v>correspondiente al ejercicio ecónomico finalizado 31 de diciembre de 2020</v>
      </c>
      <c r="B8" s="150"/>
      <c r="C8" s="150"/>
    </row>
    <row r="9" spans="1:5">
      <c r="A9" s="42" t="str">
        <f>+[1]EERR!$B$9</f>
        <v>Presentado en forma comparativa con el ejercicio anterior finalizado el 31 de diciembre de 2019</v>
      </c>
      <c r="B9" s="42"/>
      <c r="C9" s="42"/>
    </row>
    <row r="10" spans="1:5">
      <c r="A10" s="17" t="s">
        <v>59</v>
      </c>
      <c r="B10" s="151"/>
      <c r="C10" s="151"/>
    </row>
    <row r="12" spans="1:5">
      <c r="B12" s="176"/>
      <c r="C12" s="177" t="str">
        <f>+[1]EERR!$C$12</f>
        <v>31.12.2020</v>
      </c>
      <c r="D12" s="177" t="str">
        <f>+[1]EERR!$D$12</f>
        <v>31.12.2019</v>
      </c>
    </row>
    <row r="13" spans="1:5">
      <c r="B13" s="178" t="s">
        <v>143</v>
      </c>
      <c r="C13" s="159"/>
      <c r="D13" s="160"/>
      <c r="E13" s="154"/>
    </row>
    <row r="14" spans="1:5">
      <c r="B14" s="161" t="s">
        <v>129</v>
      </c>
      <c r="C14" s="162">
        <f>71794736234</f>
        <v>71794736234</v>
      </c>
      <c r="D14" s="163">
        <f>84190904319</f>
        <v>84190904319</v>
      </c>
    </row>
    <row r="15" spans="1:5">
      <c r="B15" s="161" t="s">
        <v>130</v>
      </c>
      <c r="C15" s="132">
        <f>-58292509637</f>
        <v>-58292509637</v>
      </c>
      <c r="D15" s="158">
        <f>-79440107468</f>
        <v>-79440107468</v>
      </c>
    </row>
    <row r="16" spans="1:5">
      <c r="B16" s="161" t="s">
        <v>121</v>
      </c>
      <c r="C16" s="162">
        <f>676150421</f>
        <v>676150421</v>
      </c>
      <c r="D16" s="163">
        <f>611105556</f>
        <v>611105556</v>
      </c>
    </row>
    <row r="17" spans="2:4">
      <c r="B17" s="161" t="s">
        <v>131</v>
      </c>
      <c r="C17" s="164" t="s">
        <v>116</v>
      </c>
      <c r="D17" s="165">
        <f>-162814352</f>
        <v>-162814352</v>
      </c>
    </row>
    <row r="18" spans="2:4">
      <c r="B18" s="179" t="s">
        <v>144</v>
      </c>
      <c r="C18" s="166">
        <f>SUM(C14:C17)</f>
        <v>14178377018</v>
      </c>
      <c r="D18" s="167">
        <f>SUM(D14:D17)</f>
        <v>5199088055</v>
      </c>
    </row>
    <row r="19" spans="2:4">
      <c r="B19" s="161"/>
      <c r="C19" s="168"/>
      <c r="D19" s="169"/>
    </row>
    <row r="20" spans="2:4">
      <c r="B20" s="179" t="s">
        <v>145</v>
      </c>
      <c r="C20" s="168"/>
      <c r="D20" s="169"/>
    </row>
    <row r="21" spans="2:4">
      <c r="B21" s="170" t="s">
        <v>132</v>
      </c>
      <c r="C21" s="162">
        <f>310782659</f>
        <v>310782659</v>
      </c>
      <c r="D21" s="163">
        <f>240692433</f>
        <v>240692433</v>
      </c>
    </row>
    <row r="22" spans="2:4">
      <c r="B22" s="170" t="s">
        <v>133</v>
      </c>
      <c r="C22" s="168" t="s">
        <v>116</v>
      </c>
      <c r="D22" s="163">
        <f>1952972309</f>
        <v>1952972309</v>
      </c>
    </row>
    <row r="23" spans="2:4">
      <c r="B23" s="170" t="s">
        <v>134</v>
      </c>
      <c r="C23" s="132">
        <f>-353751299</f>
        <v>-353751299</v>
      </c>
      <c r="D23" s="132">
        <f>-1949735598</f>
        <v>-1949735598</v>
      </c>
    </row>
    <row r="24" spans="2:4">
      <c r="B24" s="170" t="s">
        <v>135</v>
      </c>
      <c r="C24" s="162">
        <f>356105317</f>
        <v>356105317</v>
      </c>
      <c r="D24" s="163">
        <f>3670597629</f>
        <v>3670597629</v>
      </c>
    </row>
    <row r="25" spans="2:4">
      <c r="B25" s="170" t="s">
        <v>136</v>
      </c>
      <c r="C25" s="180">
        <f>4364093300</f>
        <v>4364093300</v>
      </c>
      <c r="D25" s="165">
        <f>5794351916</f>
        <v>5794351916</v>
      </c>
    </row>
    <row r="26" spans="2:4">
      <c r="B26" s="179" t="s">
        <v>146</v>
      </c>
      <c r="C26" s="166">
        <f>SUM(C21:C25)</f>
        <v>4677229977</v>
      </c>
      <c r="D26" s="166">
        <f>SUM(D21:D25)</f>
        <v>9708878689</v>
      </c>
    </row>
    <row r="27" spans="2:4">
      <c r="B27" s="161"/>
      <c r="C27" s="168"/>
      <c r="D27" s="169"/>
    </row>
    <row r="28" spans="2:4">
      <c r="B28" s="179" t="s">
        <v>147</v>
      </c>
      <c r="C28" s="168"/>
      <c r="D28" s="169"/>
    </row>
    <row r="29" spans="2:4">
      <c r="B29" s="170" t="s">
        <v>137</v>
      </c>
      <c r="C29" s="132">
        <f>-8356289639</f>
        <v>-8356289639</v>
      </c>
      <c r="D29" s="132">
        <f>-734312122</f>
        <v>-734312122</v>
      </c>
    </row>
    <row r="30" spans="2:4">
      <c r="B30" s="170" t="s">
        <v>138</v>
      </c>
      <c r="C30" s="137">
        <f>-13365240785</f>
        <v>-13365240785</v>
      </c>
      <c r="D30" s="137">
        <f>-14774371383</f>
        <v>-14774371383</v>
      </c>
    </row>
    <row r="31" spans="2:4">
      <c r="B31" s="179" t="s">
        <v>148</v>
      </c>
      <c r="C31" s="131">
        <f>SUM(C29:C30)</f>
        <v>-21721530424</v>
      </c>
      <c r="D31" s="131">
        <f>SUM(D29:D30)</f>
        <v>-15508683505</v>
      </c>
    </row>
    <row r="32" spans="2:4">
      <c r="B32" s="161"/>
      <c r="C32" s="168"/>
      <c r="D32" s="169"/>
    </row>
    <row r="33" spans="2:11">
      <c r="B33" s="161" t="s">
        <v>139</v>
      </c>
      <c r="C33" s="180">
        <f>433155150</f>
        <v>433155150</v>
      </c>
      <c r="D33" s="165">
        <f>959204675</f>
        <v>959204675</v>
      </c>
    </row>
    <row r="34" spans="2:11">
      <c r="B34" s="161"/>
      <c r="C34" s="162"/>
      <c r="D34" s="163"/>
    </row>
    <row r="35" spans="2:11">
      <c r="B35" s="171" t="s">
        <v>140</v>
      </c>
      <c r="C35" s="131">
        <f>+C18+C26+C31+C33</f>
        <v>-2432768279</v>
      </c>
      <c r="D35" s="131">
        <f>+D18+D26+D31+D33</f>
        <v>358487914</v>
      </c>
    </row>
    <row r="36" spans="2:11">
      <c r="B36" s="172" t="s">
        <v>141</v>
      </c>
      <c r="C36" s="174">
        <f>+D37</f>
        <v>5446049951</v>
      </c>
      <c r="D36" s="175">
        <f>5087562037</f>
        <v>5087562037</v>
      </c>
    </row>
    <row r="37" spans="2:11">
      <c r="B37" s="173" t="s">
        <v>142</v>
      </c>
      <c r="C37" s="181">
        <f>+C35+C36</f>
        <v>3013281672</v>
      </c>
      <c r="D37" s="175">
        <f>+D35+D36</f>
        <v>5446049951</v>
      </c>
    </row>
    <row r="39" spans="2:11">
      <c r="B39" s="431" t="s">
        <v>127</v>
      </c>
      <c r="C39" s="23"/>
      <c r="D39" s="23"/>
      <c r="E39" s="8"/>
    </row>
    <row r="40" spans="2:11">
      <c r="B40" s="431"/>
      <c r="C40" s="23"/>
      <c r="D40" s="23"/>
      <c r="E40" s="8"/>
    </row>
    <row r="41" spans="2:11">
      <c r="B41" s="431"/>
      <c r="C41" s="23"/>
      <c r="D41" s="23"/>
      <c r="E41" s="8"/>
    </row>
    <row r="42" spans="2:11">
      <c r="B42" s="431"/>
      <c r="C42" s="23"/>
      <c r="D42" s="23"/>
      <c r="E42" s="8"/>
    </row>
    <row r="43" spans="2:11">
      <c r="B43" s="431"/>
      <c r="C43" s="23"/>
      <c r="D43" s="23"/>
      <c r="E43" s="8"/>
    </row>
    <row r="46" spans="2:11">
      <c r="B46" s="11"/>
      <c r="C46" s="46"/>
      <c r="E46" s="11"/>
      <c r="F46" s="11"/>
      <c r="G46" s="11"/>
      <c r="I46" s="11"/>
      <c r="J46" s="11"/>
      <c r="K46" s="11"/>
    </row>
    <row r="47" spans="2:11">
      <c r="B47" s="7" t="s">
        <v>3</v>
      </c>
      <c r="C47" s="48"/>
      <c r="D47" s="5"/>
      <c r="F47" s="7" t="s">
        <v>5</v>
      </c>
      <c r="J47" s="7" t="s">
        <v>24</v>
      </c>
    </row>
    <row r="48" spans="2:11">
      <c r="B48" s="7" t="s">
        <v>4</v>
      </c>
      <c r="C48" s="6"/>
      <c r="D48" s="6"/>
      <c r="F48" s="7" t="s">
        <v>6</v>
      </c>
      <c r="J48" s="7" t="s">
        <v>25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A099C-0CCE-4795-ABA7-450B39D490F0}">
  <dimension ref="B7:O583"/>
  <sheetViews>
    <sheetView topLeftCell="A412" zoomScaleNormal="100" workbookViewId="0">
      <selection activeCell="C441" sqref="C441"/>
    </sheetView>
  </sheetViews>
  <sheetFormatPr baseColWidth="10" defaultRowHeight="15"/>
  <cols>
    <col min="1" max="1" width="2.5703125" customWidth="1"/>
    <col min="2" max="2" width="41" customWidth="1"/>
    <col min="3" max="3" width="15.5703125" customWidth="1"/>
    <col min="4" max="4" width="17.140625" bestFit="1" customWidth="1"/>
    <col min="5" max="5" width="20" bestFit="1" customWidth="1"/>
    <col min="6" max="6" width="16.7109375" customWidth="1"/>
    <col min="7" max="7" width="15.42578125" customWidth="1"/>
    <col min="8" max="8" width="14" bestFit="1" customWidth="1"/>
    <col min="9" max="9" width="15.85546875" bestFit="1" customWidth="1"/>
    <col min="10" max="10" width="13.7109375" bestFit="1" customWidth="1"/>
    <col min="11" max="11" width="14.7109375" bestFit="1" customWidth="1"/>
    <col min="12" max="12" width="15.28515625" bestFit="1" customWidth="1"/>
  </cols>
  <sheetData>
    <row r="7" spans="2:15" ht="23.25">
      <c r="B7" s="491" t="s">
        <v>183</v>
      </c>
      <c r="C7" s="491"/>
      <c r="D7" s="491"/>
      <c r="E7" s="491"/>
      <c r="F7" s="491"/>
      <c r="G7" s="491"/>
      <c r="H7" s="491"/>
      <c r="I7" s="491"/>
      <c r="J7" s="491"/>
    </row>
    <row r="8" spans="2:15" ht="23.25">
      <c r="B8" s="209" t="s">
        <v>95</v>
      </c>
      <c r="C8" s="209"/>
      <c r="D8" s="209"/>
      <c r="E8" s="209"/>
      <c r="F8" s="209"/>
      <c r="G8" s="209"/>
      <c r="H8" s="209"/>
      <c r="I8" s="209"/>
      <c r="J8" s="209"/>
    </row>
    <row r="9" spans="2:15">
      <c r="B9" s="18" t="s">
        <v>184</v>
      </c>
    </row>
    <row r="11" spans="2:15" ht="18">
      <c r="B11" s="492" t="s">
        <v>185</v>
      </c>
      <c r="C11" s="492"/>
      <c r="D11" s="492"/>
      <c r="E11" s="492"/>
      <c r="F11" s="492"/>
      <c r="G11" s="492"/>
      <c r="H11" s="492"/>
      <c r="I11" s="211"/>
      <c r="J11" s="34"/>
      <c r="K11" s="34"/>
      <c r="L11" s="34"/>
      <c r="M11" s="34"/>
      <c r="N11" s="34"/>
      <c r="O11" s="34"/>
    </row>
    <row r="12" spans="2:15" ht="14.45" customHeight="1">
      <c r="B12" s="212"/>
      <c r="C12" s="34"/>
      <c r="D12" s="34"/>
      <c r="E12" s="34"/>
      <c r="F12" s="34"/>
      <c r="G12" s="34"/>
      <c r="H12" s="34"/>
      <c r="I12" s="34"/>
      <c r="J12" s="34"/>
      <c r="K12" s="34"/>
      <c r="L12" s="34"/>
      <c r="M12" s="34"/>
      <c r="N12" s="34"/>
      <c r="O12" s="34"/>
    </row>
    <row r="13" spans="2:15" ht="30" customHeight="1">
      <c r="B13" s="493" t="s">
        <v>187</v>
      </c>
      <c r="C13" s="493"/>
      <c r="D13" s="493"/>
      <c r="E13" s="493"/>
      <c r="F13" s="493"/>
      <c r="G13" s="493"/>
      <c r="H13" s="493"/>
      <c r="I13" s="493"/>
      <c r="J13" s="493"/>
      <c r="K13" s="34"/>
      <c r="L13" s="34"/>
      <c r="M13" s="34"/>
      <c r="N13" s="34"/>
      <c r="O13" s="34"/>
    </row>
    <row r="14" spans="2:15">
      <c r="B14" s="34"/>
      <c r="C14" s="34"/>
      <c r="D14" s="34"/>
      <c r="E14" s="34"/>
      <c r="F14" s="34"/>
      <c r="G14" s="34"/>
      <c r="H14" s="34"/>
      <c r="I14" s="34"/>
      <c r="J14" s="34"/>
      <c r="K14" s="34"/>
      <c r="L14" s="34"/>
      <c r="M14" s="34"/>
      <c r="N14" s="34"/>
      <c r="O14" s="34"/>
    </row>
    <row r="15" spans="2:15">
      <c r="B15" s="492" t="s">
        <v>186</v>
      </c>
      <c r="C15" s="492"/>
      <c r="D15" s="492"/>
      <c r="E15" s="492"/>
      <c r="F15" s="492"/>
      <c r="G15" s="492"/>
      <c r="H15" s="492"/>
      <c r="I15" s="492"/>
      <c r="J15" s="34"/>
      <c r="K15" s="34"/>
      <c r="L15" s="34"/>
      <c r="M15" s="34"/>
      <c r="N15" s="34"/>
      <c r="O15" s="34"/>
    </row>
    <row r="16" spans="2:15">
      <c r="B16" s="34"/>
      <c r="C16" s="34"/>
      <c r="D16" s="34"/>
      <c r="E16" s="34"/>
      <c r="F16" s="34"/>
      <c r="G16" s="34"/>
      <c r="H16" s="34"/>
      <c r="I16" s="34"/>
      <c r="J16" s="34"/>
      <c r="K16" s="34"/>
      <c r="L16" s="34"/>
      <c r="M16" s="34"/>
      <c r="N16" s="34"/>
      <c r="O16" s="34"/>
    </row>
    <row r="17" spans="2:15">
      <c r="B17" s="489" t="s">
        <v>188</v>
      </c>
      <c r="C17" s="489"/>
      <c r="D17" s="489"/>
      <c r="E17" s="489"/>
      <c r="F17" s="489"/>
      <c r="G17" s="489"/>
      <c r="H17" s="489"/>
      <c r="I17" s="489"/>
      <c r="J17" s="489"/>
      <c r="K17" s="34"/>
      <c r="L17" s="34"/>
      <c r="M17" s="34"/>
      <c r="N17" s="34"/>
      <c r="O17" s="34"/>
    </row>
    <row r="18" spans="2:15">
      <c r="B18" s="34"/>
      <c r="C18" s="34"/>
      <c r="D18" s="34"/>
      <c r="E18" s="34"/>
      <c r="F18" s="34"/>
      <c r="G18" s="34"/>
      <c r="H18" s="34"/>
      <c r="I18" s="34"/>
      <c r="J18" s="34"/>
      <c r="K18" s="34"/>
      <c r="L18" s="34"/>
      <c r="M18" s="34"/>
      <c r="N18" s="34"/>
      <c r="O18" s="34"/>
    </row>
    <row r="19" spans="2:15">
      <c r="B19" s="490" t="s">
        <v>189</v>
      </c>
      <c r="C19" s="490"/>
      <c r="D19" s="490"/>
      <c r="E19" s="490"/>
      <c r="F19" s="490"/>
      <c r="G19" s="490"/>
      <c r="H19" s="490"/>
      <c r="I19" s="490"/>
      <c r="J19" s="490"/>
      <c r="K19" s="490"/>
      <c r="L19" s="490"/>
      <c r="M19" s="490"/>
      <c r="N19" s="490"/>
      <c r="O19" s="490"/>
    </row>
    <row r="20" spans="2:15">
      <c r="B20" s="490"/>
      <c r="C20" s="490"/>
      <c r="D20" s="490"/>
      <c r="E20" s="490"/>
      <c r="F20" s="490"/>
      <c r="G20" s="490"/>
      <c r="H20" s="490"/>
      <c r="I20" s="490"/>
      <c r="J20" s="490"/>
      <c r="K20" s="490"/>
      <c r="L20" s="490"/>
      <c r="M20" s="490"/>
      <c r="N20" s="490"/>
      <c r="O20" s="490"/>
    </row>
    <row r="21" spans="2:15">
      <c r="B21" s="490"/>
      <c r="C21" s="490"/>
      <c r="D21" s="490"/>
      <c r="E21" s="490"/>
      <c r="F21" s="490"/>
      <c r="G21" s="490"/>
      <c r="H21" s="490"/>
      <c r="I21" s="490"/>
      <c r="J21" s="490"/>
      <c r="K21" s="490"/>
      <c r="L21" s="490"/>
      <c r="M21" s="490"/>
      <c r="N21" s="490"/>
      <c r="O21" s="490"/>
    </row>
    <row r="22" spans="2:15">
      <c r="B22" s="17"/>
      <c r="C22" s="35"/>
      <c r="D22" s="35"/>
      <c r="E22" s="35"/>
      <c r="F22" s="35"/>
      <c r="G22" s="35"/>
      <c r="H22" s="35"/>
      <c r="I22" s="35"/>
      <c r="J22" s="35"/>
      <c r="K22" s="35"/>
      <c r="L22" s="35"/>
      <c r="M22" s="35"/>
      <c r="N22" s="35"/>
      <c r="O22" s="35"/>
    </row>
    <row r="23" spans="2:15">
      <c r="B23" s="490" t="s">
        <v>190</v>
      </c>
      <c r="C23" s="490"/>
      <c r="D23" s="490"/>
      <c r="E23" s="490"/>
      <c r="F23" s="490"/>
      <c r="G23" s="490"/>
      <c r="H23" s="490"/>
      <c r="I23" s="490"/>
      <c r="J23" s="490"/>
      <c r="K23" s="490"/>
      <c r="L23" s="490"/>
      <c r="M23" s="490"/>
      <c r="N23" s="490"/>
      <c r="O23" s="490"/>
    </row>
    <row r="24" spans="2:15" ht="24.6" customHeight="1">
      <c r="B24" s="490"/>
      <c r="C24" s="490"/>
      <c r="D24" s="490"/>
      <c r="E24" s="490"/>
      <c r="F24" s="490"/>
      <c r="G24" s="490"/>
      <c r="H24" s="490"/>
      <c r="I24" s="490"/>
      <c r="J24" s="490"/>
      <c r="K24" s="490"/>
      <c r="L24" s="490"/>
      <c r="M24" s="490"/>
      <c r="N24" s="490"/>
      <c r="O24" s="490"/>
    </row>
    <row r="25" spans="2:15">
      <c r="B25" s="17"/>
      <c r="C25" s="35"/>
      <c r="D25" s="35"/>
      <c r="E25" s="35"/>
      <c r="F25" s="35"/>
      <c r="G25" s="35"/>
      <c r="H25" s="35"/>
      <c r="I25" s="35"/>
      <c r="J25" s="35"/>
      <c r="K25" s="35"/>
      <c r="L25" s="35"/>
      <c r="M25" s="35"/>
      <c r="N25" s="35"/>
      <c r="O25" s="35"/>
    </row>
    <row r="26" spans="2:15">
      <c r="B26" s="490" t="s">
        <v>191</v>
      </c>
      <c r="C26" s="490"/>
      <c r="D26" s="490"/>
      <c r="E26" s="490"/>
      <c r="F26" s="490"/>
      <c r="G26" s="490"/>
      <c r="H26" s="490"/>
      <c r="I26" s="490"/>
      <c r="J26" s="490"/>
      <c r="K26" s="490"/>
      <c r="L26" s="490"/>
      <c r="M26" s="490"/>
      <c r="N26" s="490"/>
      <c r="O26" s="490"/>
    </row>
    <row r="27" spans="2:15" ht="28.15" customHeight="1">
      <c r="B27" s="490"/>
      <c r="C27" s="490"/>
      <c r="D27" s="490"/>
      <c r="E27" s="490"/>
      <c r="F27" s="490"/>
      <c r="G27" s="490"/>
      <c r="H27" s="490"/>
      <c r="I27" s="490"/>
      <c r="J27" s="490"/>
      <c r="K27" s="490"/>
      <c r="L27" s="490"/>
      <c r="M27" s="490"/>
      <c r="N27" s="490"/>
      <c r="O27" s="490"/>
    </row>
    <row r="28" spans="2:15">
      <c r="B28" s="17"/>
      <c r="C28" s="35"/>
      <c r="D28" s="35"/>
      <c r="E28" s="35"/>
      <c r="F28" s="35"/>
      <c r="G28" s="35"/>
      <c r="H28" s="35"/>
      <c r="I28" s="35"/>
      <c r="J28" s="35"/>
      <c r="K28" s="35"/>
      <c r="L28" s="35"/>
      <c r="M28" s="35"/>
      <c r="N28" s="35"/>
      <c r="O28" s="35"/>
    </row>
    <row r="29" spans="2:15">
      <c r="B29" s="17" t="s">
        <v>192</v>
      </c>
      <c r="C29" s="35"/>
      <c r="D29" s="35"/>
      <c r="E29" s="35"/>
      <c r="F29" s="35"/>
      <c r="G29" s="35"/>
      <c r="H29" s="35"/>
      <c r="I29" s="35"/>
      <c r="J29" s="35"/>
      <c r="K29" s="35"/>
      <c r="L29" s="35"/>
      <c r="M29" s="35"/>
      <c r="N29" s="35"/>
      <c r="O29" s="35"/>
    </row>
    <row r="30" spans="2:15">
      <c r="B30" s="17"/>
      <c r="C30" s="35"/>
      <c r="D30" s="35"/>
      <c r="E30" s="35"/>
      <c r="F30" s="35"/>
      <c r="G30" s="35"/>
      <c r="H30" s="35"/>
      <c r="I30" s="35"/>
      <c r="J30" s="35"/>
      <c r="K30" s="35"/>
      <c r="L30" s="35"/>
      <c r="M30" s="35"/>
      <c r="N30" s="35"/>
      <c r="O30" s="35"/>
    </row>
    <row r="31" spans="2:15">
      <c r="B31" s="490" t="s">
        <v>193</v>
      </c>
      <c r="C31" s="490"/>
      <c r="D31" s="490"/>
      <c r="E31" s="490"/>
      <c r="F31" s="490"/>
      <c r="G31" s="490"/>
      <c r="H31" s="490"/>
      <c r="I31" s="490"/>
      <c r="J31" s="490"/>
      <c r="K31" s="490"/>
      <c r="L31" s="490"/>
      <c r="M31" s="490"/>
      <c r="N31" s="490"/>
      <c r="O31" s="490"/>
    </row>
    <row r="32" spans="2:15">
      <c r="B32" s="490"/>
      <c r="C32" s="490"/>
      <c r="D32" s="490"/>
      <c r="E32" s="490"/>
      <c r="F32" s="490"/>
      <c r="G32" s="490"/>
      <c r="H32" s="490"/>
      <c r="I32" s="490"/>
      <c r="J32" s="490"/>
      <c r="K32" s="490"/>
      <c r="L32" s="490"/>
      <c r="M32" s="490"/>
      <c r="N32" s="490"/>
      <c r="O32" s="490"/>
    </row>
    <row r="33" spans="2:15">
      <c r="B33" s="17"/>
      <c r="C33" s="35"/>
      <c r="D33" s="35"/>
      <c r="E33" s="35"/>
      <c r="F33" s="35"/>
      <c r="G33" s="35"/>
      <c r="H33" s="35"/>
      <c r="I33" s="35"/>
      <c r="J33" s="35"/>
      <c r="K33" s="35"/>
      <c r="L33" s="35"/>
      <c r="M33" s="35"/>
      <c r="N33" s="35"/>
      <c r="O33" s="35"/>
    </row>
    <row r="34" spans="2:15">
      <c r="B34" s="490" t="s">
        <v>194</v>
      </c>
      <c r="C34" s="490"/>
      <c r="D34" s="490"/>
      <c r="E34" s="490"/>
      <c r="F34" s="490"/>
      <c r="G34" s="490"/>
      <c r="H34" s="490"/>
      <c r="I34" s="490"/>
      <c r="J34" s="490"/>
      <c r="K34" s="490"/>
      <c r="L34" s="490"/>
      <c r="M34" s="490"/>
      <c r="N34" s="490"/>
      <c r="O34" s="490"/>
    </row>
    <row r="35" spans="2:15" ht="33" customHeight="1">
      <c r="B35" s="490"/>
      <c r="C35" s="490"/>
      <c r="D35" s="490"/>
      <c r="E35" s="490"/>
      <c r="F35" s="490"/>
      <c r="G35" s="490"/>
      <c r="H35" s="490"/>
      <c r="I35" s="490"/>
      <c r="J35" s="490"/>
      <c r="K35" s="490"/>
      <c r="L35" s="490"/>
      <c r="M35" s="490"/>
      <c r="N35" s="490"/>
      <c r="O35" s="490"/>
    </row>
    <row r="36" spans="2:15">
      <c r="B36" s="17"/>
      <c r="C36" s="35"/>
      <c r="D36" s="35"/>
      <c r="E36" s="35"/>
      <c r="F36" s="35"/>
      <c r="G36" s="35"/>
      <c r="H36" s="35"/>
      <c r="I36" s="35"/>
      <c r="J36" s="35"/>
      <c r="K36" s="35"/>
      <c r="L36" s="35"/>
      <c r="M36" s="35"/>
      <c r="N36" s="35"/>
      <c r="O36" s="35"/>
    </row>
    <row r="37" spans="2:15">
      <c r="B37" s="490" t="s">
        <v>195</v>
      </c>
      <c r="C37" s="490"/>
      <c r="D37" s="490"/>
      <c r="E37" s="490"/>
      <c r="F37" s="490"/>
      <c r="G37" s="490"/>
      <c r="H37" s="490"/>
      <c r="I37" s="490"/>
      <c r="J37" s="490"/>
      <c r="K37" s="490"/>
      <c r="L37" s="490"/>
      <c r="M37" s="490"/>
      <c r="N37" s="490"/>
      <c r="O37" s="490"/>
    </row>
    <row r="38" spans="2:15">
      <c r="B38" s="490"/>
      <c r="C38" s="490"/>
      <c r="D38" s="490"/>
      <c r="E38" s="490"/>
      <c r="F38" s="490"/>
      <c r="G38" s="490"/>
      <c r="H38" s="490"/>
      <c r="I38" s="490"/>
      <c r="J38" s="490"/>
      <c r="K38" s="490"/>
      <c r="L38" s="490"/>
      <c r="M38" s="490"/>
      <c r="N38" s="490"/>
      <c r="O38" s="490"/>
    </row>
    <row r="39" spans="2:15">
      <c r="B39" s="34"/>
      <c r="C39" s="34"/>
      <c r="D39" s="34"/>
      <c r="E39" s="34"/>
      <c r="F39" s="34"/>
      <c r="G39" s="34"/>
      <c r="H39" s="34"/>
      <c r="I39" s="34"/>
      <c r="J39" s="34"/>
      <c r="K39" s="34"/>
      <c r="L39" s="34"/>
      <c r="M39" s="34"/>
      <c r="N39" s="34"/>
      <c r="O39" s="34"/>
    </row>
    <row r="40" spans="2:15">
      <c r="B40" s="15" t="s">
        <v>196</v>
      </c>
      <c r="C40" s="34"/>
      <c r="D40" s="34"/>
      <c r="E40" s="34"/>
      <c r="F40" s="34"/>
      <c r="G40" s="34"/>
      <c r="H40" s="34"/>
      <c r="I40" s="34"/>
      <c r="J40" s="34"/>
      <c r="K40" s="34"/>
      <c r="L40" s="34"/>
      <c r="M40" s="34"/>
      <c r="N40" s="34"/>
      <c r="O40" s="34"/>
    </row>
    <row r="41" spans="2:15">
      <c r="B41" s="34"/>
      <c r="C41" s="34"/>
      <c r="D41" s="34"/>
      <c r="E41" s="34"/>
      <c r="F41" s="34"/>
      <c r="G41" s="34"/>
      <c r="H41" s="34"/>
      <c r="I41" s="34"/>
      <c r="J41" s="34"/>
      <c r="K41" s="34"/>
      <c r="L41" s="34"/>
      <c r="M41" s="34"/>
      <c r="N41" s="34"/>
      <c r="O41" s="34"/>
    </row>
    <row r="42" spans="2:15">
      <c r="B42" s="35" t="s">
        <v>197</v>
      </c>
      <c r="C42" s="34"/>
      <c r="D42" s="34"/>
      <c r="E42" s="34"/>
      <c r="F42" s="34"/>
      <c r="G42" s="34"/>
      <c r="H42" s="34"/>
      <c r="I42" s="34"/>
      <c r="J42" s="34"/>
      <c r="K42" s="34"/>
      <c r="L42" s="34"/>
      <c r="M42" s="34"/>
      <c r="N42" s="34"/>
      <c r="O42" s="34"/>
    </row>
    <row r="43" spans="2:15">
      <c r="B43" s="34"/>
      <c r="C43" s="34"/>
      <c r="D43" s="34"/>
      <c r="E43" s="34"/>
      <c r="F43" s="34"/>
      <c r="G43" s="34"/>
      <c r="H43" s="34"/>
      <c r="I43" s="34"/>
      <c r="J43" s="34"/>
      <c r="K43" s="34"/>
      <c r="L43" s="34"/>
      <c r="M43" s="34"/>
      <c r="N43" s="34"/>
      <c r="O43" s="34"/>
    </row>
    <row r="44" spans="2:15">
      <c r="B44" s="492" t="s">
        <v>198</v>
      </c>
      <c r="C44" s="492"/>
      <c r="D44" s="492"/>
      <c r="E44" s="492"/>
      <c r="F44" s="492"/>
      <c r="G44" s="492"/>
      <c r="H44" s="492"/>
      <c r="I44" s="492"/>
      <c r="J44" s="34"/>
      <c r="K44" s="34"/>
      <c r="L44" s="34"/>
      <c r="M44" s="34"/>
      <c r="N44" s="34"/>
      <c r="O44" s="34"/>
    </row>
    <row r="46" spans="2:15">
      <c r="B46" s="14" t="s">
        <v>199</v>
      </c>
    </row>
    <row r="48" spans="2:15">
      <c r="B48" s="490" t="s">
        <v>200</v>
      </c>
      <c r="C48" s="490"/>
      <c r="D48" s="490"/>
      <c r="E48" s="490"/>
      <c r="F48" s="490"/>
      <c r="G48" s="490"/>
      <c r="H48" s="490"/>
      <c r="I48" s="490"/>
      <c r="J48" s="490"/>
      <c r="K48" s="490"/>
      <c r="L48" s="490"/>
      <c r="M48" s="490"/>
      <c r="N48" s="490"/>
      <c r="O48" s="490"/>
    </row>
    <row r="49" spans="2:15">
      <c r="B49" s="490" t="s">
        <v>201</v>
      </c>
      <c r="C49" s="490"/>
      <c r="D49" s="490"/>
      <c r="E49" s="490"/>
      <c r="F49" s="490"/>
      <c r="G49" s="490"/>
      <c r="H49" s="490"/>
      <c r="I49" s="490"/>
      <c r="J49" s="490"/>
      <c r="K49" s="490"/>
      <c r="L49" s="490"/>
      <c r="M49" s="490"/>
      <c r="N49" s="490"/>
      <c r="O49" s="490"/>
    </row>
    <row r="51" spans="2:15" ht="14.45" customHeight="1">
      <c r="B51" s="490" t="s">
        <v>201</v>
      </c>
      <c r="C51" s="490"/>
      <c r="D51" s="490"/>
      <c r="E51" s="490"/>
      <c r="F51" s="490"/>
      <c r="G51" s="490"/>
      <c r="H51" s="490"/>
      <c r="I51" s="490"/>
      <c r="J51" s="490"/>
      <c r="K51" s="490"/>
      <c r="L51" s="490"/>
      <c r="M51" s="490"/>
      <c r="N51" s="490"/>
      <c r="O51" s="490"/>
    </row>
    <row r="52" spans="2:15">
      <c r="B52" s="490"/>
      <c r="C52" s="490"/>
      <c r="D52" s="490"/>
      <c r="E52" s="490"/>
      <c r="F52" s="490"/>
      <c r="G52" s="490"/>
      <c r="H52" s="490"/>
      <c r="I52" s="490"/>
      <c r="J52" s="490"/>
      <c r="K52" s="490"/>
      <c r="L52" s="490"/>
      <c r="M52" s="490"/>
      <c r="N52" s="490"/>
      <c r="O52" s="490"/>
    </row>
    <row r="54" spans="2:15">
      <c r="B54" s="494" t="s">
        <v>202</v>
      </c>
      <c r="C54" s="494"/>
      <c r="D54" s="494"/>
      <c r="E54" s="494"/>
      <c r="F54" s="494"/>
      <c r="G54" s="494"/>
      <c r="H54" s="494"/>
      <c r="I54" s="494"/>
      <c r="J54" s="494"/>
    </row>
    <row r="56" spans="2:15">
      <c r="B56" s="495" t="s">
        <v>203</v>
      </c>
      <c r="C56" s="495"/>
      <c r="D56" s="495"/>
      <c r="E56" s="495"/>
      <c r="F56" s="495"/>
      <c r="G56" s="495"/>
      <c r="H56" s="495"/>
      <c r="I56" s="495"/>
      <c r="J56" s="495"/>
    </row>
    <row r="58" spans="2:15" ht="14.45" customHeight="1">
      <c r="B58" s="494" t="s">
        <v>204</v>
      </c>
      <c r="C58" s="494"/>
      <c r="D58" s="494"/>
      <c r="E58" s="494"/>
      <c r="F58" s="494"/>
      <c r="G58" s="494"/>
      <c r="H58" s="494"/>
      <c r="I58" s="494"/>
      <c r="J58" s="494"/>
      <c r="K58" s="494"/>
      <c r="L58" s="494"/>
      <c r="M58" s="494"/>
      <c r="N58" s="494"/>
      <c r="O58" s="494"/>
    </row>
    <row r="59" spans="2:15">
      <c r="B59" s="494"/>
      <c r="C59" s="494"/>
      <c r="D59" s="494"/>
      <c r="E59" s="494"/>
      <c r="F59" s="494"/>
      <c r="G59" s="494"/>
      <c r="H59" s="494"/>
      <c r="I59" s="494"/>
      <c r="J59" s="494"/>
      <c r="K59" s="494"/>
      <c r="L59" s="494"/>
      <c r="M59" s="494"/>
      <c r="N59" s="494"/>
      <c r="O59" s="494"/>
    </row>
    <row r="60" spans="2:15">
      <c r="B60" s="494"/>
      <c r="C60" s="494"/>
      <c r="D60" s="494"/>
      <c r="E60" s="494"/>
      <c r="F60" s="494"/>
      <c r="G60" s="494"/>
      <c r="H60" s="494"/>
      <c r="I60" s="494"/>
      <c r="J60" s="494"/>
      <c r="K60" s="494"/>
      <c r="L60" s="494"/>
      <c r="M60" s="494"/>
      <c r="N60" s="494"/>
      <c r="O60" s="494"/>
    </row>
    <row r="61" spans="2:15">
      <c r="B61" s="494"/>
      <c r="C61" s="494"/>
      <c r="D61" s="494"/>
      <c r="E61" s="494"/>
      <c r="F61" s="494"/>
      <c r="G61" s="494"/>
      <c r="H61" s="494"/>
      <c r="I61" s="494"/>
      <c r="J61" s="494"/>
      <c r="K61" s="494"/>
      <c r="L61" s="494"/>
      <c r="M61" s="494"/>
      <c r="N61" s="494"/>
      <c r="O61" s="494"/>
    </row>
    <row r="63" spans="2:15" ht="14.45" customHeight="1">
      <c r="B63" s="494" t="s">
        <v>205</v>
      </c>
      <c r="C63" s="494"/>
      <c r="D63" s="494"/>
      <c r="E63" s="494"/>
      <c r="F63" s="494"/>
      <c r="G63" s="494"/>
      <c r="H63" s="494"/>
      <c r="I63" s="494"/>
      <c r="J63" s="494"/>
      <c r="K63" s="494"/>
      <c r="L63" s="494"/>
      <c r="M63" s="494"/>
      <c r="N63" s="494"/>
      <c r="O63" s="494"/>
    </row>
    <row r="64" spans="2:15">
      <c r="B64" s="494"/>
      <c r="C64" s="494"/>
      <c r="D64" s="494"/>
      <c r="E64" s="494"/>
      <c r="F64" s="494"/>
      <c r="G64" s="494"/>
      <c r="H64" s="494"/>
      <c r="I64" s="494"/>
      <c r="J64" s="494"/>
      <c r="K64" s="494"/>
      <c r="L64" s="494"/>
      <c r="M64" s="494"/>
      <c r="N64" s="494"/>
      <c r="O64" s="494"/>
    </row>
    <row r="66" spans="2:15">
      <c r="B66" s="489" t="s">
        <v>206</v>
      </c>
      <c r="C66" s="489"/>
      <c r="D66" s="489"/>
      <c r="E66" s="489"/>
      <c r="F66" s="489"/>
      <c r="G66" s="489"/>
      <c r="H66" s="489"/>
      <c r="I66" s="489"/>
      <c r="J66" s="489"/>
    </row>
    <row r="68" spans="2:15" ht="14.45" customHeight="1">
      <c r="B68" s="494" t="s">
        <v>207</v>
      </c>
      <c r="C68" s="494"/>
      <c r="D68" s="494"/>
      <c r="E68" s="494"/>
      <c r="F68" s="494"/>
      <c r="G68" s="494"/>
      <c r="H68" s="494"/>
      <c r="I68" s="494"/>
      <c r="J68" s="494"/>
      <c r="K68" s="494"/>
      <c r="L68" s="494"/>
      <c r="M68" s="494"/>
      <c r="N68" s="494"/>
      <c r="O68" s="494"/>
    </row>
    <row r="69" spans="2:15" ht="16.149999999999999" customHeight="1">
      <c r="B69" s="494"/>
      <c r="C69" s="494"/>
      <c r="D69" s="494"/>
      <c r="E69" s="494"/>
      <c r="F69" s="494"/>
      <c r="G69" s="494"/>
      <c r="H69" s="494"/>
      <c r="I69" s="494"/>
      <c r="J69" s="494"/>
      <c r="K69" s="494"/>
      <c r="L69" s="494"/>
      <c r="M69" s="494"/>
      <c r="N69" s="494"/>
      <c r="O69" s="494"/>
    </row>
    <row r="70" spans="2:15">
      <c r="B70" s="10"/>
      <c r="C70" s="10"/>
      <c r="D70" s="10"/>
      <c r="E70" s="10"/>
      <c r="F70" s="10"/>
      <c r="G70" s="10"/>
      <c r="H70" s="10"/>
      <c r="I70" s="10"/>
      <c r="J70" s="10"/>
      <c r="K70" s="10"/>
      <c r="L70" s="10"/>
      <c r="M70" s="10"/>
      <c r="N70" s="10"/>
      <c r="O70" s="10"/>
    </row>
    <row r="71" spans="2:15" ht="14.45" customHeight="1">
      <c r="B71" s="494" t="s">
        <v>208</v>
      </c>
      <c r="C71" s="494"/>
      <c r="D71" s="494"/>
      <c r="E71" s="494"/>
      <c r="F71" s="494"/>
      <c r="G71" s="494"/>
      <c r="H71" s="494"/>
      <c r="I71" s="494"/>
      <c r="J71" s="494"/>
      <c r="K71" s="494"/>
      <c r="L71" s="494"/>
      <c r="M71" s="494"/>
      <c r="N71" s="494"/>
      <c r="O71" s="494"/>
    </row>
    <row r="72" spans="2:15">
      <c r="B72" s="494"/>
      <c r="C72" s="494"/>
      <c r="D72" s="494"/>
      <c r="E72" s="494"/>
      <c r="F72" s="494"/>
      <c r="G72" s="494"/>
      <c r="H72" s="494"/>
      <c r="I72" s="494"/>
      <c r="J72" s="494"/>
      <c r="K72" s="494"/>
      <c r="L72" s="494"/>
      <c r="M72" s="494"/>
      <c r="N72" s="494"/>
      <c r="O72" s="494"/>
    </row>
    <row r="74" spans="2:15">
      <c r="B74" s="497" t="s">
        <v>209</v>
      </c>
      <c r="C74" s="497"/>
      <c r="D74" s="497"/>
      <c r="E74" s="497"/>
      <c r="F74" s="497"/>
      <c r="G74" s="497"/>
      <c r="H74" s="497"/>
      <c r="I74" s="497"/>
      <c r="J74" s="497"/>
    </row>
    <row r="76" spans="2:15" ht="14.45" customHeight="1">
      <c r="B76" s="494" t="s">
        <v>210</v>
      </c>
      <c r="C76" s="494"/>
      <c r="D76" s="494"/>
      <c r="E76" s="494"/>
      <c r="F76" s="494"/>
      <c r="G76" s="494"/>
      <c r="H76" s="494"/>
      <c r="I76" s="494"/>
      <c r="J76" s="494"/>
      <c r="K76" s="494"/>
      <c r="L76" s="494"/>
      <c r="M76" s="494"/>
      <c r="N76" s="494"/>
      <c r="O76" s="494"/>
    </row>
    <row r="77" spans="2:15">
      <c r="B77" s="494"/>
      <c r="C77" s="494"/>
      <c r="D77" s="494"/>
      <c r="E77" s="494"/>
      <c r="F77" s="494"/>
      <c r="G77" s="494"/>
      <c r="H77" s="494"/>
      <c r="I77" s="494"/>
      <c r="J77" s="494"/>
      <c r="K77" s="494"/>
      <c r="L77" s="494"/>
      <c r="M77" s="494"/>
      <c r="N77" s="494"/>
      <c r="O77" s="494"/>
    </row>
    <row r="79" spans="2:15">
      <c r="B79" s="14" t="s">
        <v>211</v>
      </c>
    </row>
    <row r="81" spans="2:15">
      <c r="B81" s="495" t="s">
        <v>212</v>
      </c>
      <c r="C81" s="495"/>
      <c r="D81" s="495"/>
      <c r="E81" s="495"/>
      <c r="F81" s="495"/>
      <c r="G81" s="495"/>
      <c r="H81" s="495"/>
      <c r="I81" s="495"/>
      <c r="J81" s="495"/>
    </row>
    <row r="83" spans="2:15" ht="14.45" customHeight="1">
      <c r="B83" s="494" t="s">
        <v>213</v>
      </c>
      <c r="C83" s="494"/>
      <c r="D83" s="494"/>
      <c r="E83" s="494"/>
      <c r="F83" s="494"/>
      <c r="G83" s="494"/>
      <c r="H83" s="494"/>
      <c r="I83" s="494"/>
      <c r="J83" s="494"/>
      <c r="K83" s="494"/>
      <c r="L83" s="494"/>
      <c r="M83" s="494"/>
      <c r="N83" s="494"/>
      <c r="O83" s="494"/>
    </row>
    <row r="84" spans="2:15">
      <c r="B84" s="494"/>
      <c r="C84" s="494"/>
      <c r="D84" s="494"/>
      <c r="E84" s="494"/>
      <c r="F84" s="494"/>
      <c r="G84" s="494"/>
      <c r="H84" s="494"/>
      <c r="I84" s="494"/>
      <c r="J84" s="494"/>
      <c r="K84" s="494"/>
      <c r="L84" s="494"/>
      <c r="M84" s="494"/>
      <c r="N84" s="494"/>
      <c r="O84" s="494"/>
    </row>
    <row r="86" spans="2:15">
      <c r="B86" s="495" t="s">
        <v>214</v>
      </c>
      <c r="C86" s="495"/>
      <c r="D86" s="495"/>
      <c r="E86" s="495"/>
      <c r="F86" s="495"/>
      <c r="G86" s="495"/>
      <c r="H86" s="495"/>
      <c r="I86" s="495"/>
      <c r="J86" s="495"/>
    </row>
    <row r="88" spans="2:15" ht="14.45" customHeight="1">
      <c r="B88" s="496" t="s">
        <v>215</v>
      </c>
      <c r="C88" s="496"/>
      <c r="D88" s="496"/>
      <c r="E88" s="496"/>
      <c r="F88" s="496"/>
      <c r="G88" s="496"/>
      <c r="H88" s="496"/>
      <c r="I88" s="496"/>
      <c r="J88" s="496"/>
      <c r="K88" s="496"/>
      <c r="L88" s="496"/>
      <c r="M88" s="496"/>
      <c r="N88" s="496"/>
      <c r="O88" s="496"/>
    </row>
    <row r="89" spans="2:15">
      <c r="B89" s="214"/>
      <c r="C89" s="214"/>
      <c r="D89" s="214"/>
      <c r="E89" s="214"/>
      <c r="F89" s="214"/>
      <c r="G89" s="214"/>
      <c r="H89" s="214"/>
      <c r="I89" s="214"/>
      <c r="J89" s="214"/>
      <c r="K89" s="214"/>
      <c r="L89" s="214"/>
      <c r="M89" s="214"/>
      <c r="N89" s="214"/>
      <c r="O89" s="214"/>
    </row>
    <row r="90" spans="2:15">
      <c r="B90" s="497" t="s">
        <v>216</v>
      </c>
      <c r="C90" s="497"/>
      <c r="D90" s="497"/>
      <c r="E90" s="497"/>
      <c r="F90" s="497"/>
      <c r="G90" s="497"/>
      <c r="H90" s="497"/>
      <c r="I90" s="497"/>
      <c r="J90" s="497"/>
    </row>
    <row r="92" spans="2:15" ht="14.45" customHeight="1">
      <c r="B92" s="496" t="s">
        <v>217</v>
      </c>
      <c r="C92" s="496"/>
      <c r="D92" s="496"/>
      <c r="E92" s="496"/>
      <c r="F92" s="496"/>
      <c r="G92" s="496"/>
      <c r="H92" s="496"/>
      <c r="I92" s="496"/>
      <c r="J92" s="496"/>
      <c r="K92" s="496"/>
      <c r="L92" s="496"/>
      <c r="M92" s="496"/>
      <c r="N92" s="496"/>
      <c r="O92" s="496"/>
    </row>
    <row r="93" spans="2:15">
      <c r="B93" s="496"/>
      <c r="C93" s="496"/>
      <c r="D93" s="496"/>
      <c r="E93" s="496"/>
      <c r="F93" s="496"/>
      <c r="G93" s="496"/>
      <c r="H93" s="496"/>
      <c r="I93" s="496"/>
      <c r="J93" s="496"/>
      <c r="K93" s="496"/>
      <c r="L93" s="496"/>
      <c r="M93" s="496"/>
      <c r="N93" s="496"/>
      <c r="O93" s="496"/>
    </row>
    <row r="95" spans="2:15" ht="14.45" customHeight="1">
      <c r="B95" s="494" t="s">
        <v>218</v>
      </c>
      <c r="C95" s="494"/>
      <c r="D95" s="494"/>
      <c r="E95" s="494"/>
      <c r="F95" s="494"/>
      <c r="G95" s="494"/>
      <c r="H95" s="494"/>
      <c r="I95" s="494"/>
      <c r="J95" s="494"/>
      <c r="K95" s="494"/>
      <c r="L95" s="494"/>
      <c r="M95" s="494"/>
      <c r="N95" s="494"/>
      <c r="O95" s="494"/>
    </row>
    <row r="96" spans="2:15" ht="27" customHeight="1">
      <c r="B96" s="494"/>
      <c r="C96" s="494"/>
      <c r="D96" s="494"/>
      <c r="E96" s="494"/>
      <c r="F96" s="494"/>
      <c r="G96" s="494"/>
      <c r="H96" s="494"/>
      <c r="I96" s="494"/>
      <c r="J96" s="494"/>
      <c r="K96" s="494"/>
      <c r="L96" s="494"/>
      <c r="M96" s="494"/>
      <c r="N96" s="494"/>
      <c r="O96" s="494"/>
    </row>
    <row r="98" spans="2:15">
      <c r="B98" s="494" t="s">
        <v>219</v>
      </c>
      <c r="C98" s="494"/>
      <c r="D98" s="494"/>
      <c r="E98" s="494"/>
      <c r="F98" s="494"/>
      <c r="G98" s="494"/>
      <c r="H98" s="494"/>
      <c r="I98" s="494"/>
      <c r="J98" s="494"/>
    </row>
    <row r="100" spans="2:15" ht="14.45" customHeight="1">
      <c r="B100" s="494" t="s">
        <v>220</v>
      </c>
      <c r="C100" s="494"/>
      <c r="D100" s="494"/>
      <c r="E100" s="494"/>
      <c r="F100" s="494"/>
      <c r="G100" s="494"/>
      <c r="H100" s="494"/>
      <c r="I100" s="494"/>
      <c r="J100" s="494"/>
      <c r="K100" s="494"/>
      <c r="L100" s="494"/>
      <c r="M100" s="494"/>
      <c r="N100" s="494"/>
      <c r="O100" s="494"/>
    </row>
    <row r="102" spans="2:15">
      <c r="B102" s="14" t="s">
        <v>221</v>
      </c>
    </row>
    <row r="104" spans="2:15" ht="14.45" customHeight="1">
      <c r="B104" s="494" t="s">
        <v>222</v>
      </c>
      <c r="C104" s="494"/>
      <c r="D104" s="494"/>
      <c r="E104" s="494"/>
      <c r="F104" s="494"/>
      <c r="G104" s="494"/>
      <c r="H104" s="494"/>
      <c r="I104" s="494"/>
      <c r="J104" s="494"/>
      <c r="K104" s="494"/>
      <c r="L104" s="494"/>
      <c r="M104" s="494"/>
      <c r="N104" s="494"/>
    </row>
    <row r="105" spans="2:15">
      <c r="B105" s="494"/>
      <c r="C105" s="494"/>
      <c r="D105" s="494"/>
      <c r="E105" s="494"/>
      <c r="F105" s="494"/>
      <c r="G105" s="494"/>
      <c r="H105" s="494"/>
      <c r="I105" s="494"/>
      <c r="J105" s="494"/>
      <c r="K105" s="494"/>
      <c r="L105" s="494"/>
      <c r="M105" s="494"/>
      <c r="N105" s="494"/>
    </row>
    <row r="107" spans="2:15">
      <c r="B107" s="14" t="s">
        <v>223</v>
      </c>
    </row>
    <row r="109" spans="2:15">
      <c r="B109" s="497" t="s">
        <v>224</v>
      </c>
      <c r="C109" s="497"/>
      <c r="D109" s="497"/>
      <c r="E109" s="497"/>
      <c r="F109" s="497"/>
      <c r="G109" s="497"/>
      <c r="H109" s="497"/>
      <c r="I109" s="497"/>
      <c r="J109" s="497"/>
    </row>
    <row r="110" spans="2:15">
      <c r="B110" s="212"/>
    </row>
    <row r="111" spans="2:15">
      <c r="B111" s="494" t="s">
        <v>225</v>
      </c>
      <c r="C111" s="494"/>
      <c r="D111" s="494"/>
      <c r="E111" s="494"/>
      <c r="F111" s="494"/>
      <c r="G111" s="494"/>
      <c r="H111" s="494"/>
      <c r="I111" s="494"/>
      <c r="J111" s="494"/>
    </row>
    <row r="112" spans="2:15">
      <c r="B112" s="215"/>
    </row>
    <row r="113" spans="2:10" ht="25.5">
      <c r="B113" s="498" t="s">
        <v>226</v>
      </c>
      <c r="C113" s="498"/>
      <c r="E113" s="216"/>
      <c r="F113" s="216" t="s">
        <v>227</v>
      </c>
    </row>
    <row r="114" spans="2:10">
      <c r="B114" s="490" t="s">
        <v>238</v>
      </c>
      <c r="C114" s="490"/>
      <c r="E114" s="216"/>
      <c r="F114" s="217">
        <v>30</v>
      </c>
    </row>
    <row r="115" spans="2:10">
      <c r="B115" s="490" t="s">
        <v>228</v>
      </c>
      <c r="C115" s="490"/>
      <c r="E115" s="217"/>
      <c r="F115" s="217">
        <v>2</v>
      </c>
    </row>
    <row r="116" spans="2:10">
      <c r="B116" s="490" t="s">
        <v>229</v>
      </c>
      <c r="C116" s="490"/>
      <c r="E116" s="217"/>
      <c r="F116" s="217">
        <v>5</v>
      </c>
    </row>
    <row r="117" spans="2:10">
      <c r="B117" s="490" t="s">
        <v>230</v>
      </c>
      <c r="C117" s="490"/>
      <c r="E117" s="217"/>
      <c r="F117" s="217">
        <v>5</v>
      </c>
    </row>
    <row r="118" spans="2:10">
      <c r="B118" s="490" t="s">
        <v>231</v>
      </c>
      <c r="C118" s="490"/>
      <c r="E118" s="217"/>
      <c r="F118" s="217">
        <v>5</v>
      </c>
    </row>
    <row r="119" spans="2:10">
      <c r="B119" s="490" t="s">
        <v>239</v>
      </c>
      <c r="C119" s="490"/>
      <c r="E119" s="217"/>
      <c r="F119" s="217">
        <v>5</v>
      </c>
    </row>
    <row r="120" spans="2:10">
      <c r="B120" s="490" t="s">
        <v>240</v>
      </c>
      <c r="C120" s="490"/>
      <c r="E120" s="217"/>
      <c r="F120" s="217">
        <v>10</v>
      </c>
    </row>
    <row r="121" spans="2:10">
      <c r="B121" s="215"/>
    </row>
    <row r="122" spans="2:10">
      <c r="B122" s="489" t="s">
        <v>232</v>
      </c>
      <c r="C122" s="489"/>
      <c r="D122" s="489"/>
      <c r="E122" s="489"/>
      <c r="F122" s="489"/>
      <c r="G122" s="489"/>
      <c r="H122" s="489"/>
      <c r="I122" s="489"/>
      <c r="J122" s="489"/>
    </row>
    <row r="123" spans="2:10">
      <c r="B123" s="215"/>
    </row>
    <row r="124" spans="2:10">
      <c r="B124" s="494" t="s">
        <v>233</v>
      </c>
      <c r="C124" s="494"/>
      <c r="D124" s="494"/>
      <c r="E124" s="494"/>
      <c r="F124" s="494"/>
      <c r="G124" s="494"/>
      <c r="H124" s="494"/>
      <c r="I124" s="494"/>
      <c r="J124" s="494"/>
    </row>
    <row r="125" spans="2:10">
      <c r="B125" s="215"/>
    </row>
    <row r="126" spans="2:10">
      <c r="B126" s="499" t="s">
        <v>234</v>
      </c>
      <c r="C126" s="499"/>
      <c r="D126" s="499"/>
      <c r="E126" s="499"/>
      <c r="F126" s="499"/>
      <c r="G126" s="499"/>
      <c r="H126" s="499"/>
      <c r="I126" s="499"/>
      <c r="J126" s="499"/>
    </row>
    <row r="127" spans="2:10">
      <c r="B127" s="215"/>
    </row>
    <row r="128" spans="2:10" ht="25.5">
      <c r="B128" s="498" t="s">
        <v>226</v>
      </c>
      <c r="C128" s="498"/>
      <c r="E128" s="216"/>
      <c r="F128" s="216" t="s">
        <v>235</v>
      </c>
    </row>
    <row r="129" spans="2:11">
      <c r="B129" s="490" t="s">
        <v>236</v>
      </c>
      <c r="C129" s="490"/>
      <c r="E129" s="217"/>
      <c r="F129" s="217">
        <v>5</v>
      </c>
    </row>
    <row r="130" spans="2:11">
      <c r="B130" s="490" t="s">
        <v>241</v>
      </c>
      <c r="C130" s="490"/>
      <c r="E130" s="217"/>
      <c r="F130" s="217">
        <v>4</v>
      </c>
    </row>
    <row r="131" spans="2:11">
      <c r="B131" s="213"/>
      <c r="C131" s="213"/>
      <c r="D131" s="217"/>
      <c r="E131" s="217"/>
    </row>
    <row r="132" spans="2:11">
      <c r="B132" s="17" t="s">
        <v>237</v>
      </c>
    </row>
    <row r="134" spans="2:11">
      <c r="B134" s="14" t="s">
        <v>242</v>
      </c>
      <c r="C134" s="15"/>
      <c r="D134" s="15"/>
      <c r="E134" s="15"/>
      <c r="F134" s="15"/>
      <c r="G134" s="15"/>
      <c r="H134" s="15"/>
      <c r="I134" s="15"/>
      <c r="J134" s="15"/>
    </row>
    <row r="135" spans="2:11">
      <c r="B135" s="212"/>
    </row>
    <row r="136" spans="2:11">
      <c r="B136" s="489" t="s">
        <v>243</v>
      </c>
      <c r="C136" s="489"/>
      <c r="D136" s="489"/>
      <c r="E136" s="489"/>
      <c r="F136" s="489"/>
      <c r="G136" s="489"/>
      <c r="H136" s="489"/>
      <c r="I136" s="489"/>
      <c r="J136" s="489"/>
    </row>
    <row r="137" spans="2:11">
      <c r="B137" s="215"/>
    </row>
    <row r="138" spans="2:11">
      <c r="B138" s="494" t="s">
        <v>244</v>
      </c>
      <c r="C138" s="494"/>
      <c r="D138" s="494"/>
      <c r="E138" s="494"/>
      <c r="F138" s="494"/>
      <c r="G138" s="494"/>
      <c r="H138" s="494"/>
      <c r="I138" s="494"/>
      <c r="J138" s="494"/>
    </row>
    <row r="139" spans="2:11">
      <c r="B139" s="212"/>
    </row>
    <row r="140" spans="2:11">
      <c r="B140" s="495" t="s">
        <v>245</v>
      </c>
      <c r="C140" s="495"/>
      <c r="D140" s="495"/>
      <c r="E140" s="495"/>
      <c r="F140" s="495"/>
      <c r="G140" s="495"/>
      <c r="H140" s="495"/>
      <c r="I140" s="495"/>
      <c r="J140" s="495"/>
    </row>
    <row r="141" spans="2:11">
      <c r="B141" s="215"/>
    </row>
    <row r="142" spans="2:11">
      <c r="B142" s="499" t="s">
        <v>246</v>
      </c>
      <c r="C142" s="499"/>
      <c r="D142" s="499"/>
      <c r="E142" s="499"/>
      <c r="F142" s="499"/>
      <c r="G142" s="499"/>
      <c r="H142" s="499"/>
      <c r="I142" s="499"/>
      <c r="J142" s="499"/>
    </row>
    <row r="143" spans="2:11">
      <c r="B143" s="212"/>
    </row>
    <row r="144" spans="2:11">
      <c r="B144" s="14" t="s">
        <v>247</v>
      </c>
      <c r="C144" s="219"/>
      <c r="D144" s="219"/>
      <c r="E144" s="219"/>
      <c r="F144" s="219"/>
      <c r="G144" s="219"/>
      <c r="H144" s="219"/>
      <c r="I144" s="219"/>
      <c r="J144" s="219"/>
      <c r="K144" s="218"/>
    </row>
    <row r="145" spans="2:15">
      <c r="B145" s="15"/>
    </row>
    <row r="146" spans="2:15" ht="14.45" customHeight="1">
      <c r="B146" s="494" t="s">
        <v>248</v>
      </c>
      <c r="C146" s="494"/>
      <c r="D146" s="494"/>
      <c r="E146" s="494"/>
      <c r="F146" s="494"/>
      <c r="G146" s="494"/>
      <c r="H146" s="494"/>
      <c r="I146" s="494"/>
      <c r="J146" s="494"/>
      <c r="K146" s="494"/>
      <c r="L146" s="494"/>
      <c r="M146" s="494"/>
      <c r="N146" s="494"/>
      <c r="O146" s="494"/>
    </row>
    <row r="147" spans="2:15">
      <c r="B147" s="494"/>
      <c r="C147" s="494"/>
      <c r="D147" s="494"/>
      <c r="E147" s="494"/>
      <c r="F147" s="494"/>
      <c r="G147" s="494"/>
      <c r="H147" s="494"/>
      <c r="I147" s="494"/>
      <c r="J147" s="494"/>
      <c r="K147" s="494"/>
      <c r="L147" s="494"/>
      <c r="M147" s="494"/>
      <c r="N147" s="494"/>
      <c r="O147" s="494"/>
    </row>
    <row r="148" spans="2:15">
      <c r="B148" s="215"/>
    </row>
    <row r="149" spans="2:15">
      <c r="B149" s="489" t="s">
        <v>249</v>
      </c>
      <c r="C149" s="489"/>
      <c r="D149" s="489"/>
      <c r="E149" s="489"/>
      <c r="F149" s="489"/>
      <c r="G149" s="489"/>
      <c r="H149" s="489"/>
      <c r="I149" s="489"/>
      <c r="J149" s="489"/>
    </row>
    <row r="150" spans="2:15">
      <c r="B150" s="215"/>
    </row>
    <row r="151" spans="2:15">
      <c r="B151" s="494" t="s">
        <v>250</v>
      </c>
      <c r="C151" s="494"/>
      <c r="D151" s="494"/>
      <c r="E151" s="494"/>
      <c r="F151" s="494"/>
      <c r="G151" s="494"/>
      <c r="H151" s="494"/>
      <c r="I151" s="494"/>
      <c r="J151" s="494"/>
    </row>
    <row r="153" spans="2:15">
      <c r="B153" s="500" t="s">
        <v>251</v>
      </c>
      <c r="C153" s="500"/>
      <c r="D153" s="500"/>
      <c r="E153" s="500"/>
      <c r="F153" s="500"/>
      <c r="G153" s="500"/>
      <c r="H153" s="500"/>
      <c r="I153" s="500"/>
      <c r="J153" s="500"/>
    </row>
    <row r="155" spans="2:15" ht="14.45" customHeight="1">
      <c r="B155" s="499" t="s">
        <v>252</v>
      </c>
      <c r="C155" s="499"/>
      <c r="D155" s="499"/>
      <c r="E155" s="499"/>
      <c r="F155" s="499"/>
      <c r="G155" s="499"/>
      <c r="H155" s="499"/>
      <c r="I155" s="499"/>
      <c r="J155" s="499"/>
      <c r="K155" s="499"/>
      <c r="L155" s="499"/>
      <c r="M155" s="499"/>
      <c r="N155" s="499"/>
      <c r="O155" s="499"/>
    </row>
    <row r="157" spans="2:15">
      <c r="B157" s="210" t="s">
        <v>253</v>
      </c>
    </row>
    <row r="159" spans="2:15">
      <c r="B159" s="489" t="s">
        <v>254</v>
      </c>
      <c r="C159" s="489"/>
      <c r="D159" s="489"/>
      <c r="E159" s="489"/>
      <c r="F159" s="489"/>
      <c r="G159" s="489"/>
      <c r="H159" s="489"/>
      <c r="I159" s="489"/>
      <c r="J159" s="489"/>
    </row>
    <row r="160" spans="2:15">
      <c r="B160" s="212"/>
    </row>
    <row r="161" spans="2:15" ht="14.45" customHeight="1">
      <c r="B161" s="490" t="s">
        <v>263</v>
      </c>
      <c r="C161" s="490"/>
      <c r="D161" s="490"/>
      <c r="E161" s="490"/>
      <c r="F161" s="490"/>
      <c r="G161" s="490"/>
      <c r="H161" s="490"/>
      <c r="I161" s="490"/>
      <c r="J161" s="490"/>
      <c r="K161" s="490"/>
      <c r="L161" s="490"/>
      <c r="M161" s="490"/>
      <c r="N161" s="490"/>
      <c r="O161" s="490"/>
    </row>
    <row r="162" spans="2:15" ht="25.15" customHeight="1">
      <c r="B162" s="490"/>
      <c r="C162" s="490"/>
      <c r="D162" s="490"/>
      <c r="E162" s="490"/>
      <c r="F162" s="490"/>
      <c r="G162" s="490"/>
      <c r="H162" s="490"/>
      <c r="I162" s="490"/>
      <c r="J162" s="490"/>
      <c r="K162" s="490"/>
      <c r="L162" s="490"/>
      <c r="M162" s="490"/>
      <c r="N162" s="490"/>
      <c r="O162" s="490"/>
    </row>
    <row r="164" spans="2:15">
      <c r="B164" s="494" t="s">
        <v>255</v>
      </c>
      <c r="C164" s="494"/>
      <c r="D164" s="494"/>
      <c r="E164" s="494"/>
      <c r="F164" s="494"/>
      <c r="G164" s="494"/>
      <c r="H164" s="494"/>
      <c r="I164" s="494"/>
      <c r="J164" s="494"/>
    </row>
    <row r="166" spans="2:15">
      <c r="B166" s="222"/>
      <c r="C166" s="223"/>
      <c r="D166" s="501" t="s">
        <v>260</v>
      </c>
      <c r="E166" s="501"/>
      <c r="F166" s="224"/>
      <c r="G166" s="501" t="s">
        <v>261</v>
      </c>
      <c r="H166" s="501"/>
      <c r="I166" s="501"/>
      <c r="J166" s="501"/>
      <c r="K166" s="501"/>
    </row>
    <row r="167" spans="2:15">
      <c r="B167" s="224"/>
      <c r="C167" s="223"/>
      <c r="D167" s="227">
        <v>2020</v>
      </c>
      <c r="E167" s="227">
        <v>2019</v>
      </c>
      <c r="F167" s="224"/>
      <c r="G167" s="501">
        <v>2020</v>
      </c>
      <c r="H167" s="501"/>
      <c r="I167" s="224"/>
      <c r="J167" s="501">
        <v>2019</v>
      </c>
      <c r="K167" s="501"/>
    </row>
    <row r="168" spans="2:15">
      <c r="C168" s="228" t="s">
        <v>262</v>
      </c>
      <c r="D168" s="225">
        <v>6768</v>
      </c>
      <c r="E168" s="225">
        <v>6240</v>
      </c>
      <c r="F168" s="223"/>
      <c r="G168" s="226">
        <v>6892</v>
      </c>
      <c r="H168" s="226">
        <v>6942</v>
      </c>
      <c r="I168" s="223"/>
      <c r="J168" s="225">
        <v>6442</v>
      </c>
      <c r="K168" s="225">
        <v>6464</v>
      </c>
    </row>
    <row r="171" spans="2:15">
      <c r="B171" s="14" t="s">
        <v>264</v>
      </c>
    </row>
    <row r="173" spans="2:15" ht="38.25">
      <c r="B173" s="231" t="s">
        <v>276</v>
      </c>
      <c r="C173" s="230" t="s">
        <v>277</v>
      </c>
      <c r="D173" s="256" t="s">
        <v>271</v>
      </c>
      <c r="E173" s="257" t="s">
        <v>272</v>
      </c>
      <c r="F173" s="257" t="s">
        <v>273</v>
      </c>
      <c r="G173" s="258" t="s">
        <v>274</v>
      </c>
      <c r="H173" s="257" t="s">
        <v>275</v>
      </c>
      <c r="I173" s="258" t="s">
        <v>274</v>
      </c>
      <c r="J173" s="229"/>
    </row>
    <row r="174" spans="2:15">
      <c r="B174" s="232" t="s">
        <v>67</v>
      </c>
      <c r="C174" s="87"/>
      <c r="D174" s="259"/>
      <c r="E174" s="260"/>
      <c r="F174" s="260"/>
      <c r="G174" s="261"/>
      <c r="H174" s="260"/>
      <c r="I174" s="262"/>
      <c r="J174" s="229"/>
    </row>
    <row r="175" spans="2:15">
      <c r="B175" s="231" t="s">
        <v>60</v>
      </c>
      <c r="C175" s="233"/>
      <c r="D175" s="233"/>
      <c r="E175" s="233"/>
      <c r="F175" s="233"/>
      <c r="G175" s="233"/>
      <c r="H175" s="233"/>
      <c r="I175" s="234"/>
      <c r="J175" s="229"/>
    </row>
    <row r="176" spans="2:15">
      <c r="B176" s="235" t="s">
        <v>265</v>
      </c>
      <c r="C176" s="277" t="s">
        <v>278</v>
      </c>
      <c r="D176" s="134">
        <f>147565.3</f>
        <v>147565.29999999999</v>
      </c>
      <c r="E176" s="263">
        <f>+F176/D176</f>
        <v>6891.9601220612167</v>
      </c>
      <c r="F176" s="236">
        <f>1017014163</f>
        <v>1017014163</v>
      </c>
      <c r="G176" s="236">
        <v>382824</v>
      </c>
      <c r="H176" s="263">
        <f>+I176/G176</f>
        <v>6442.3310137295466</v>
      </c>
      <c r="I176" s="237">
        <v>2466278928</v>
      </c>
      <c r="J176" s="155"/>
    </row>
    <row r="177" spans="2:10">
      <c r="B177" s="142" t="s">
        <v>266</v>
      </c>
      <c r="C177" s="278" t="s">
        <v>278</v>
      </c>
      <c r="D177" s="134">
        <f>2302255.01-D182</f>
        <v>1722761.9099999997</v>
      </c>
      <c r="E177" s="264">
        <f t="shared" ref="E177" si="0">+F177/D177</f>
        <v>6891.9599998586</v>
      </c>
      <c r="F177" s="134">
        <v>11873206173</v>
      </c>
      <c r="G177" s="134">
        <v>2478510</v>
      </c>
      <c r="H177" s="264">
        <f t="shared" ref="H177:H178" si="1">+I177/G177</f>
        <v>6442.3298441402294</v>
      </c>
      <c r="I177" s="163">
        <v>15967378942</v>
      </c>
      <c r="J177" s="155"/>
    </row>
    <row r="178" spans="2:10">
      <c r="B178" s="238" t="s">
        <v>74</v>
      </c>
      <c r="C178" s="279" t="s">
        <v>278</v>
      </c>
      <c r="D178" s="239">
        <v>327308</v>
      </c>
      <c r="E178" s="265">
        <f>+F178/D178</f>
        <v>6891.9894716902736</v>
      </c>
      <c r="F178" s="239">
        <f>2255803290</f>
        <v>2255803290</v>
      </c>
      <c r="G178" s="239">
        <v>327308</v>
      </c>
      <c r="H178" s="265">
        <f t="shared" si="1"/>
        <v>6442.3201571608397</v>
      </c>
      <c r="I178" s="165">
        <v>2108622926</v>
      </c>
      <c r="J178" s="155"/>
    </row>
    <row r="179" spans="2:10">
      <c r="B179" s="56"/>
      <c r="C179" s="59"/>
      <c r="D179" s="240">
        <f>SUM(D176:D178)</f>
        <v>2197635.21</v>
      </c>
      <c r="E179" s="63"/>
      <c r="F179" s="240">
        <f>SUM(F176:F178)</f>
        <v>15146023626</v>
      </c>
      <c r="G179" s="240">
        <f>SUM(G176:G178)</f>
        <v>3188642</v>
      </c>
      <c r="H179" s="63"/>
      <c r="I179" s="240">
        <f>SUM(I176:I178)</f>
        <v>20542280796</v>
      </c>
      <c r="J179" s="155"/>
    </row>
    <row r="180" spans="2:10">
      <c r="B180" s="231" t="s">
        <v>63</v>
      </c>
      <c r="C180" s="233"/>
      <c r="D180" s="241"/>
      <c r="E180" s="233"/>
      <c r="F180" s="242"/>
      <c r="G180" s="241"/>
      <c r="H180" s="233"/>
      <c r="I180" s="243"/>
      <c r="J180" s="155"/>
    </row>
    <row r="181" spans="2:10">
      <c r="B181" s="235" t="s">
        <v>73</v>
      </c>
      <c r="C181" s="276" t="s">
        <v>278</v>
      </c>
      <c r="D181" s="244">
        <v>1043537.35</v>
      </c>
      <c r="E181" s="263">
        <f t="shared" ref="E181:E182" si="2">+F181/D181</f>
        <v>6891.9606605360123</v>
      </c>
      <c r="F181" s="244">
        <v>7192018364</v>
      </c>
      <c r="G181" s="244">
        <v>1525317</v>
      </c>
      <c r="H181" s="263">
        <f t="shared" ref="H181:H182" si="3">+I181/G181</f>
        <v>6442.3302113593436</v>
      </c>
      <c r="I181" s="245">
        <v>9826595791</v>
      </c>
      <c r="J181" s="110"/>
    </row>
    <row r="182" spans="2:10">
      <c r="B182" s="238" t="s">
        <v>267</v>
      </c>
      <c r="C182" s="276" t="s">
        <v>278</v>
      </c>
      <c r="D182" s="246">
        <v>579493.1</v>
      </c>
      <c r="E182" s="265">
        <f t="shared" si="2"/>
        <v>6891.9599991785926</v>
      </c>
      <c r="F182" s="246">
        <v>3993843265</v>
      </c>
      <c r="G182" s="246">
        <v>622339</v>
      </c>
      <c r="H182" s="265">
        <f t="shared" si="3"/>
        <v>6442.3310350146785</v>
      </c>
      <c r="I182" s="247">
        <v>4009313854</v>
      </c>
      <c r="J182" s="110"/>
    </row>
    <row r="183" spans="2:10">
      <c r="B183" s="248"/>
      <c r="C183" s="233"/>
      <c r="D183" s="146">
        <f>SUM(D181:D182)</f>
        <v>1623030.45</v>
      </c>
      <c r="E183" s="79"/>
      <c r="F183" s="146">
        <f t="shared" ref="F183:I183" si="4">SUM(F181:F182)</f>
        <v>11185861629</v>
      </c>
      <c r="G183" s="146">
        <f t="shared" si="4"/>
        <v>2147656</v>
      </c>
      <c r="H183" s="79"/>
      <c r="I183" s="146">
        <f t="shared" si="4"/>
        <v>13835909645</v>
      </c>
      <c r="J183" s="110"/>
    </row>
    <row r="184" spans="2:10">
      <c r="B184" s="231" t="s">
        <v>268</v>
      </c>
      <c r="C184" s="233"/>
      <c r="D184" s="249">
        <f>+D179+D183</f>
        <v>3820665.66</v>
      </c>
      <c r="E184" s="233"/>
      <c r="F184" s="249">
        <f t="shared" ref="F184:I184" si="5">+F179+F183</f>
        <v>26331885255</v>
      </c>
      <c r="G184" s="249">
        <f t="shared" si="5"/>
        <v>5336298</v>
      </c>
      <c r="H184" s="233"/>
      <c r="I184" s="249">
        <f t="shared" si="5"/>
        <v>34378190441</v>
      </c>
      <c r="J184" s="8"/>
    </row>
    <row r="185" spans="2:10">
      <c r="B185" s="231" t="s">
        <v>70</v>
      </c>
      <c r="C185" s="233"/>
      <c r="D185" s="251"/>
      <c r="E185" s="233"/>
      <c r="F185" s="252"/>
      <c r="G185" s="251"/>
      <c r="H185" s="233"/>
      <c r="I185" s="253"/>
      <c r="J185" s="156"/>
    </row>
    <row r="186" spans="2:10">
      <c r="B186" s="231" t="s">
        <v>62</v>
      </c>
      <c r="C186" s="233"/>
      <c r="D186" s="251"/>
      <c r="E186" s="233"/>
      <c r="F186" s="252"/>
      <c r="G186" s="251"/>
      <c r="H186" s="233"/>
      <c r="I186" s="253"/>
      <c r="J186" s="156"/>
    </row>
    <row r="187" spans="2:10">
      <c r="B187" s="266" t="s">
        <v>81</v>
      </c>
      <c r="C187" s="277" t="s">
        <v>278</v>
      </c>
      <c r="D187" s="267">
        <v>-1529418</v>
      </c>
      <c r="E187" s="263">
        <f t="shared" ref="E187:E188" si="6">+F187/D187</f>
        <v>6941.9997567702221</v>
      </c>
      <c r="F187" s="267">
        <v>-10617219384</v>
      </c>
      <c r="G187" s="267">
        <v>-1563805</v>
      </c>
      <c r="H187" s="263">
        <f t="shared" ref="H187:H188" si="7">+I187/G187</f>
        <v>6463.9498351776592</v>
      </c>
      <c r="I187" s="268">
        <v>-10108357072</v>
      </c>
      <c r="J187" s="155"/>
    </row>
    <row r="188" spans="2:10">
      <c r="B188" s="269" t="s">
        <v>82</v>
      </c>
      <c r="C188" s="279" t="s">
        <v>278</v>
      </c>
      <c r="D188" s="157">
        <v>-1115140</v>
      </c>
      <c r="E188" s="265">
        <f t="shared" si="6"/>
        <v>6942.0025521459193</v>
      </c>
      <c r="F188" s="157">
        <v>-7741304726</v>
      </c>
      <c r="G188" s="157">
        <v>-1972815</v>
      </c>
      <c r="H188" s="265">
        <f t="shared" si="7"/>
        <v>6463.9505239974351</v>
      </c>
      <c r="I188" s="270">
        <v>-12752178553</v>
      </c>
      <c r="J188" s="155"/>
    </row>
    <row r="189" spans="2:10">
      <c r="B189" s="118"/>
      <c r="C189" s="59"/>
      <c r="D189" s="130">
        <f>SUM(D187:D188)</f>
        <v>-2644558</v>
      </c>
      <c r="E189" s="63"/>
      <c r="F189" s="130">
        <f>SUM(F187:F188)</f>
        <v>-18358524110</v>
      </c>
      <c r="G189" s="130">
        <f>SUM(G187:G188)</f>
        <v>-3536620</v>
      </c>
      <c r="H189" s="271"/>
      <c r="I189" s="130">
        <f>SUM(I187:I188)</f>
        <v>-22860535625</v>
      </c>
      <c r="J189" s="155"/>
    </row>
    <row r="190" spans="2:10">
      <c r="B190" s="231" t="s">
        <v>64</v>
      </c>
      <c r="C190" s="233"/>
      <c r="D190" s="251"/>
      <c r="E190" s="233"/>
      <c r="F190" s="252"/>
      <c r="G190" s="251"/>
      <c r="H190" s="233"/>
      <c r="I190" s="253"/>
      <c r="J190" s="156"/>
    </row>
    <row r="191" spans="2:10">
      <c r="B191" s="118" t="s">
        <v>82</v>
      </c>
      <c r="C191" s="277" t="s">
        <v>278</v>
      </c>
      <c r="D191" s="124">
        <v>-167322</v>
      </c>
      <c r="E191" s="264">
        <f t="shared" ref="E191" si="8">+F191/D191</f>
        <v>6942.0000059765007</v>
      </c>
      <c r="F191" s="124">
        <v>-1161549325</v>
      </c>
      <c r="G191" s="124">
        <v>-193187</v>
      </c>
      <c r="H191" s="264">
        <f t="shared" ref="H191" si="9">+I191/G191</f>
        <v>6463.9449807699275</v>
      </c>
      <c r="I191" s="158">
        <v>-1248750139</v>
      </c>
      <c r="J191" s="155"/>
    </row>
    <row r="192" spans="2:10">
      <c r="B192" s="272"/>
      <c r="C192" s="233"/>
      <c r="D192" s="274">
        <f>SUM(D191)</f>
        <v>-167322</v>
      </c>
      <c r="E192" s="275"/>
      <c r="F192" s="274">
        <f t="shared" ref="F192:I192" si="10">SUM(F191)</f>
        <v>-1161549325</v>
      </c>
      <c r="G192" s="274">
        <f t="shared" si="10"/>
        <v>-193187</v>
      </c>
      <c r="H192" s="275"/>
      <c r="I192" s="274">
        <f t="shared" si="10"/>
        <v>-1248750139</v>
      </c>
      <c r="J192" s="155"/>
    </row>
    <row r="193" spans="2:10">
      <c r="B193" s="231" t="s">
        <v>269</v>
      </c>
      <c r="C193" s="233"/>
      <c r="D193" s="274">
        <f>+D189+D192</f>
        <v>-2811880</v>
      </c>
      <c r="E193" s="275"/>
      <c r="F193" s="274">
        <f t="shared" ref="F193:I193" si="11">+F189+F192</f>
        <v>-19520073435</v>
      </c>
      <c r="G193" s="274">
        <f t="shared" si="11"/>
        <v>-3729807</v>
      </c>
      <c r="H193" s="275"/>
      <c r="I193" s="274">
        <f t="shared" si="11"/>
        <v>-24109285764</v>
      </c>
      <c r="J193" s="8"/>
    </row>
    <row r="194" spans="2:10">
      <c r="B194" s="56"/>
      <c r="C194" s="59"/>
      <c r="D194" s="254"/>
      <c r="E194" s="59"/>
      <c r="F194" s="254"/>
      <c r="G194" s="254"/>
      <c r="H194" s="59"/>
      <c r="I194" s="255"/>
      <c r="J194" s="156"/>
    </row>
    <row r="195" spans="2:10">
      <c r="B195" s="231" t="s">
        <v>270</v>
      </c>
      <c r="C195" s="233"/>
      <c r="D195" s="250">
        <f>+D184+D193</f>
        <v>1008785.6600000001</v>
      </c>
      <c r="E195" s="233"/>
      <c r="F195" s="250">
        <f>+F184+F193</f>
        <v>6811811820</v>
      </c>
      <c r="G195" s="250">
        <f>+G184+G193</f>
        <v>1606491</v>
      </c>
      <c r="H195" s="233"/>
      <c r="I195" s="250">
        <f>+I184+I193</f>
        <v>10268904677</v>
      </c>
      <c r="J195" s="8"/>
    </row>
    <row r="196" spans="2:10">
      <c r="B196" s="156"/>
      <c r="C196" s="156"/>
      <c r="D196" s="156"/>
      <c r="E196" s="156"/>
      <c r="F196" s="156"/>
      <c r="G196" s="156"/>
      <c r="H196" s="156"/>
      <c r="I196" s="156"/>
    </row>
    <row r="197" spans="2:10">
      <c r="B197" s="489" t="s">
        <v>279</v>
      </c>
      <c r="C197" s="489"/>
      <c r="D197" s="489"/>
      <c r="E197" s="489"/>
      <c r="F197" s="489"/>
      <c r="G197" s="489"/>
      <c r="H197" s="489"/>
      <c r="I197" s="489"/>
    </row>
    <row r="199" spans="2:10">
      <c r="B199" s="499" t="s">
        <v>280</v>
      </c>
      <c r="C199" s="499"/>
      <c r="D199" s="499"/>
      <c r="E199" s="499"/>
      <c r="F199" s="499"/>
      <c r="G199" s="499"/>
      <c r="H199" s="499"/>
      <c r="I199" s="499"/>
    </row>
    <row r="201" spans="2:10">
      <c r="B201" s="281" t="s">
        <v>438</v>
      </c>
      <c r="C201" s="234"/>
      <c r="D201" s="427" t="s">
        <v>68</v>
      </c>
      <c r="E201" s="469" t="s">
        <v>69</v>
      </c>
    </row>
    <row r="202" spans="2:10">
      <c r="B202" s="519" t="s">
        <v>281</v>
      </c>
      <c r="C202" s="520"/>
      <c r="D202" s="459">
        <v>288969106</v>
      </c>
      <c r="E202" s="460">
        <v>1586932880</v>
      </c>
    </row>
    <row r="203" spans="2:10">
      <c r="B203" s="503" t="s">
        <v>282</v>
      </c>
      <c r="C203" s="504"/>
      <c r="D203" s="461">
        <v>233498274</v>
      </c>
      <c r="E203" s="132">
        <v>-4367302</v>
      </c>
    </row>
    <row r="204" spans="2:10">
      <c r="B204" s="503" t="s">
        <v>283</v>
      </c>
      <c r="C204" s="504"/>
      <c r="D204" s="461">
        <v>230508009</v>
      </c>
      <c r="E204" s="462">
        <v>1324237811</v>
      </c>
    </row>
    <row r="205" spans="2:10">
      <c r="B205" s="503" t="s">
        <v>284</v>
      </c>
      <c r="C205" s="504"/>
      <c r="D205" s="461">
        <v>940927653</v>
      </c>
      <c r="E205" s="463">
        <v>439565872</v>
      </c>
    </row>
    <row r="206" spans="2:10">
      <c r="B206" s="503" t="s">
        <v>285</v>
      </c>
      <c r="C206" s="504"/>
      <c r="D206" s="461">
        <v>400576408</v>
      </c>
      <c r="E206" s="463">
        <v>399035134</v>
      </c>
    </row>
    <row r="207" spans="2:10">
      <c r="B207" s="503" t="s">
        <v>286</v>
      </c>
      <c r="C207" s="504"/>
      <c r="D207" s="461">
        <v>106338280</v>
      </c>
      <c r="E207" s="463">
        <v>322954289</v>
      </c>
    </row>
    <row r="208" spans="2:10">
      <c r="B208" s="503" t="s">
        <v>287</v>
      </c>
      <c r="C208" s="504"/>
      <c r="D208" s="461">
        <v>52703032</v>
      </c>
      <c r="E208" s="463">
        <v>289025677</v>
      </c>
    </row>
    <row r="209" spans="2:9">
      <c r="B209" s="503" t="s">
        <v>288</v>
      </c>
      <c r="C209" s="504"/>
      <c r="D209" s="461">
        <v>91345549</v>
      </c>
      <c r="E209" s="463">
        <v>172011121</v>
      </c>
    </row>
    <row r="210" spans="2:9">
      <c r="B210" s="503" t="s">
        <v>289</v>
      </c>
      <c r="C210" s="504"/>
      <c r="D210" s="461">
        <v>27672824</v>
      </c>
      <c r="E210" s="463">
        <v>162472574</v>
      </c>
    </row>
    <row r="211" spans="2:9">
      <c r="B211" s="503" t="s">
        <v>290</v>
      </c>
      <c r="C211" s="504"/>
      <c r="D211" s="461">
        <v>34597339</v>
      </c>
      <c r="E211" s="463">
        <v>161324178</v>
      </c>
    </row>
    <row r="212" spans="2:9">
      <c r="B212" s="503" t="s">
        <v>291</v>
      </c>
      <c r="C212" s="504"/>
      <c r="D212" s="461">
        <v>292255764</v>
      </c>
      <c r="E212" s="463">
        <v>124903117</v>
      </c>
    </row>
    <row r="213" spans="2:9">
      <c r="B213" s="505" t="s">
        <v>157</v>
      </c>
      <c r="C213" s="506"/>
      <c r="D213" s="464">
        <v>313889434</v>
      </c>
      <c r="E213" s="465">
        <v>467954600</v>
      </c>
    </row>
    <row r="214" spans="2:9">
      <c r="B214" s="466" t="s">
        <v>153</v>
      </c>
      <c r="C214" s="340"/>
      <c r="D214" s="467">
        <v>3013281672</v>
      </c>
      <c r="E214" s="468">
        <v>5446049951</v>
      </c>
    </row>
    <row r="216" spans="2:9">
      <c r="B216" s="489" t="s">
        <v>292</v>
      </c>
      <c r="C216" s="489"/>
      <c r="D216" s="489"/>
      <c r="E216" s="489"/>
      <c r="F216" s="489"/>
      <c r="G216" s="489"/>
      <c r="H216" s="489"/>
      <c r="I216" s="489"/>
    </row>
    <row r="218" spans="2:9">
      <c r="B218" s="17" t="s">
        <v>293</v>
      </c>
    </row>
    <row r="219" spans="2:9">
      <c r="B219" s="17"/>
    </row>
    <row r="220" spans="2:9">
      <c r="B220" s="515" t="s">
        <v>294</v>
      </c>
      <c r="C220" s="516"/>
      <c r="D220" s="486" t="s">
        <v>298</v>
      </c>
      <c r="E220" s="486" t="s">
        <v>309</v>
      </c>
    </row>
    <row r="221" spans="2:9">
      <c r="B221" s="517"/>
      <c r="C221" s="518"/>
      <c r="D221" s="487"/>
      <c r="E221" s="487"/>
    </row>
    <row r="222" spans="2:9">
      <c r="B222" s="287" t="s">
        <v>297</v>
      </c>
      <c r="C222" s="291"/>
      <c r="D222" s="64">
        <v>27770478350</v>
      </c>
      <c r="E222" s="65">
        <v>23756084732</v>
      </c>
    </row>
    <row r="223" spans="2:9">
      <c r="B223" s="287" t="s">
        <v>300</v>
      </c>
      <c r="C223" s="291"/>
      <c r="D223" s="64">
        <v>0</v>
      </c>
      <c r="E223" s="65">
        <v>7550747119</v>
      </c>
    </row>
    <row r="224" spans="2:9">
      <c r="B224" s="288" t="s">
        <v>299</v>
      </c>
      <c r="C224" s="292"/>
      <c r="D224" s="137">
        <v>-1257344817</v>
      </c>
      <c r="E224" s="270">
        <v>320356055</v>
      </c>
    </row>
    <row r="225" spans="2:9">
      <c r="B225" s="283" t="s">
        <v>295</v>
      </c>
      <c r="C225" s="284"/>
      <c r="D225" s="293">
        <f>SUM(D222:D224)</f>
        <v>26513133533</v>
      </c>
      <c r="E225" s="289">
        <f>SUM(E222:E224)</f>
        <v>31627187906</v>
      </c>
    </row>
    <row r="226" spans="2:9">
      <c r="B226" s="285" t="s">
        <v>296</v>
      </c>
      <c r="C226" s="284"/>
      <c r="D226" s="294">
        <v>-281776618</v>
      </c>
      <c r="E226" s="273">
        <v>-2408583076</v>
      </c>
    </row>
    <row r="227" spans="2:9">
      <c r="B227" s="283" t="s">
        <v>310</v>
      </c>
      <c r="C227" s="284"/>
      <c r="D227" s="304">
        <f>+D225+D226</f>
        <v>26231356915</v>
      </c>
      <c r="E227" s="305">
        <f>+E225+E226</f>
        <v>29218604830</v>
      </c>
    </row>
    <row r="228" spans="2:9">
      <c r="B228" s="307" t="s">
        <v>311</v>
      </c>
      <c r="C228" s="306"/>
      <c r="D228" s="293">
        <v>26214485263</v>
      </c>
      <c r="E228" s="293">
        <v>35370179824</v>
      </c>
    </row>
    <row r="229" spans="2:9">
      <c r="B229" s="286"/>
      <c r="C229" s="286"/>
      <c r="D229" s="46"/>
      <c r="E229" s="46"/>
    </row>
    <row r="230" spans="2:9">
      <c r="B230" s="489" t="s">
        <v>312</v>
      </c>
      <c r="C230" s="489"/>
      <c r="D230" s="489"/>
      <c r="E230" s="489"/>
      <c r="F230" s="489"/>
      <c r="G230" s="489"/>
      <c r="H230" s="489"/>
      <c r="I230" s="489"/>
    </row>
    <row r="231" spans="2:9">
      <c r="B231" s="14"/>
      <c r="C231" s="14"/>
      <c r="D231" s="14"/>
      <c r="E231" s="14"/>
      <c r="F231" s="14"/>
      <c r="G231" s="14"/>
      <c r="H231" s="14"/>
      <c r="I231" s="14"/>
    </row>
    <row r="232" spans="2:9">
      <c r="B232" s="17" t="s">
        <v>313</v>
      </c>
      <c r="C232" s="14"/>
      <c r="D232" s="14"/>
      <c r="E232" s="14"/>
      <c r="F232" s="14"/>
      <c r="G232" s="14"/>
      <c r="H232" s="14"/>
      <c r="I232" s="14"/>
    </row>
    <row r="234" spans="2:9">
      <c r="B234" s="515" t="s">
        <v>74</v>
      </c>
      <c r="C234" s="516"/>
      <c r="D234" s="486" t="s">
        <v>298</v>
      </c>
      <c r="E234" s="486" t="s">
        <v>309</v>
      </c>
    </row>
    <row r="235" spans="2:9">
      <c r="B235" s="517"/>
      <c r="C235" s="518"/>
      <c r="D235" s="487"/>
      <c r="E235" s="487"/>
    </row>
    <row r="236" spans="2:9">
      <c r="B236" s="308" t="s">
        <v>314</v>
      </c>
      <c r="C236" s="90"/>
      <c r="D236" s="309">
        <v>3927133047</v>
      </c>
      <c r="E236" s="90"/>
    </row>
    <row r="237" spans="2:9">
      <c r="B237" s="296" t="s">
        <v>315</v>
      </c>
      <c r="C237" s="62"/>
      <c r="D237" s="162">
        <v>2754316727</v>
      </c>
      <c r="E237" s="62"/>
    </row>
    <row r="238" spans="2:9">
      <c r="B238" s="296" t="s">
        <v>316</v>
      </c>
      <c r="C238" s="62"/>
      <c r="D238" s="162">
        <v>2085385717</v>
      </c>
      <c r="E238" s="62"/>
    </row>
    <row r="239" spans="2:9">
      <c r="B239" s="296" t="s">
        <v>317</v>
      </c>
      <c r="C239" s="62"/>
      <c r="D239" s="162">
        <v>846647364</v>
      </c>
      <c r="E239" s="62"/>
    </row>
    <row r="240" spans="2:9">
      <c r="B240" s="296" t="s">
        <v>318</v>
      </c>
      <c r="C240" s="62"/>
      <c r="D240" s="162">
        <v>164755057</v>
      </c>
      <c r="E240" s="62"/>
    </row>
    <row r="241" spans="2:9">
      <c r="B241" s="296" t="s">
        <v>319</v>
      </c>
      <c r="C241" s="62"/>
      <c r="D241" s="162">
        <v>91066982</v>
      </c>
      <c r="E241" s="62"/>
    </row>
    <row r="242" spans="2:9">
      <c r="B242" s="296" t="s">
        <v>320</v>
      </c>
      <c r="C242" s="62"/>
      <c r="D242" s="162">
        <v>46339267</v>
      </c>
      <c r="E242" s="62"/>
    </row>
    <row r="243" spans="2:9">
      <c r="B243" s="296" t="s">
        <v>321</v>
      </c>
      <c r="C243" s="62"/>
      <c r="D243" s="135"/>
      <c r="E243" s="65">
        <v>8303441048</v>
      </c>
    </row>
    <row r="244" spans="2:9">
      <c r="B244" s="297" t="s">
        <v>322</v>
      </c>
      <c r="C244" s="340"/>
      <c r="D244" s="143"/>
      <c r="E244" s="71">
        <v>37499979</v>
      </c>
    </row>
    <row r="245" spans="2:9">
      <c r="B245" s="303" t="s">
        <v>310</v>
      </c>
      <c r="C245" s="90"/>
      <c r="D245" s="101">
        <f>SUM(D236:D244)</f>
        <v>9915644161</v>
      </c>
      <c r="E245" s="101">
        <f>SUM(E236:E244)</f>
        <v>8340941027</v>
      </c>
    </row>
    <row r="246" spans="2:9">
      <c r="B246" s="283" t="s">
        <v>311</v>
      </c>
      <c r="C246" s="234"/>
      <c r="D246" s="147">
        <v>6959972172</v>
      </c>
      <c r="E246" s="310">
        <v>11675718539</v>
      </c>
    </row>
    <row r="248" spans="2:9">
      <c r="B248" s="489" t="s">
        <v>326</v>
      </c>
      <c r="C248" s="489"/>
      <c r="D248" s="489"/>
      <c r="E248" s="489"/>
      <c r="F248" s="489"/>
      <c r="G248" s="489"/>
      <c r="H248" s="489"/>
      <c r="I248" s="489"/>
    </row>
    <row r="249" spans="2:9">
      <c r="B249" s="14"/>
      <c r="C249" s="14"/>
      <c r="D249" s="14"/>
      <c r="E249" s="14"/>
      <c r="F249" s="14"/>
      <c r="G249" s="14"/>
      <c r="H249" s="14"/>
      <c r="I249" s="14"/>
    </row>
    <row r="250" spans="2:9">
      <c r="B250" s="17" t="s">
        <v>538</v>
      </c>
    </row>
    <row r="251" spans="2:9">
      <c r="B251" s="17"/>
    </row>
    <row r="252" spans="2:9">
      <c r="B252" s="295" t="s">
        <v>302</v>
      </c>
      <c r="C252" s="282"/>
      <c r="D252" s="280" t="s">
        <v>68</v>
      </c>
      <c r="E252" s="282" t="s">
        <v>69</v>
      </c>
    </row>
    <row r="253" spans="2:9">
      <c r="B253" s="296" t="s">
        <v>301</v>
      </c>
      <c r="C253" s="62"/>
      <c r="D253" s="299">
        <v>14015571992</v>
      </c>
      <c r="E253" s="301">
        <v>19218187925</v>
      </c>
    </row>
    <row r="254" spans="2:9">
      <c r="B254" s="296" t="s">
        <v>316</v>
      </c>
      <c r="C254" s="62"/>
      <c r="D254" s="299">
        <v>2799289443</v>
      </c>
      <c r="E254" s="301">
        <v>742963973</v>
      </c>
    </row>
    <row r="255" spans="2:9">
      <c r="B255" s="296" t="s">
        <v>303</v>
      </c>
      <c r="C255" s="62"/>
      <c r="D255" s="299">
        <v>1583893232</v>
      </c>
      <c r="E255" s="301">
        <v>1184496745</v>
      </c>
    </row>
    <row r="256" spans="2:9">
      <c r="B256" s="296" t="s">
        <v>304</v>
      </c>
      <c r="C256" s="62"/>
      <c r="D256" s="299">
        <v>69471476</v>
      </c>
      <c r="E256" s="301">
        <v>8998658</v>
      </c>
    </row>
    <row r="257" spans="2:9">
      <c r="B257" s="296" t="s">
        <v>539</v>
      </c>
      <c r="C257" s="62"/>
      <c r="D257" s="299">
        <v>546469203</v>
      </c>
      <c r="E257" s="301">
        <v>675814983</v>
      </c>
    </row>
    <row r="258" spans="2:9">
      <c r="B258" s="295" t="s">
        <v>153</v>
      </c>
      <c r="C258" s="234"/>
      <c r="D258" s="300">
        <f>SUM(D253:D257)</f>
        <v>19014695346</v>
      </c>
      <c r="E258" s="302">
        <f>SUM(E253:E257)</f>
        <v>21830462284</v>
      </c>
    </row>
    <row r="259" spans="2:9">
      <c r="B259" s="20"/>
      <c r="C259" s="20"/>
      <c r="D259" s="20"/>
      <c r="E259" s="20"/>
    </row>
    <row r="260" spans="2:9">
      <c r="B260" s="489" t="s">
        <v>327</v>
      </c>
      <c r="C260" s="489"/>
      <c r="D260" s="489"/>
      <c r="E260" s="489"/>
      <c r="F260" s="489"/>
      <c r="G260" s="489"/>
      <c r="H260" s="489"/>
      <c r="I260" s="489"/>
    </row>
    <row r="262" spans="2:9">
      <c r="B262" s="295" t="s">
        <v>554</v>
      </c>
      <c r="C262" s="447"/>
      <c r="D262" s="445" t="s">
        <v>68</v>
      </c>
      <c r="E262" s="280" t="s">
        <v>69</v>
      </c>
      <c r="F262" s="441"/>
      <c r="G262" s="441"/>
    </row>
    <row r="263" spans="2:9">
      <c r="B263" s="118" t="s">
        <v>550</v>
      </c>
      <c r="C263" s="59"/>
      <c r="D263" s="448">
        <v>4954753442</v>
      </c>
      <c r="E263" s="449">
        <v>5310858759</v>
      </c>
      <c r="F263" s="442"/>
      <c r="G263" s="442"/>
    </row>
    <row r="264" spans="2:9">
      <c r="B264" s="118" t="s">
        <v>551</v>
      </c>
      <c r="C264" s="59"/>
      <c r="D264" s="448">
        <v>3303801173</v>
      </c>
      <c r="E264" s="449">
        <v>3303801173</v>
      </c>
      <c r="F264" s="442"/>
      <c r="G264" s="442"/>
    </row>
    <row r="265" spans="2:9">
      <c r="B265" s="118" t="s">
        <v>552</v>
      </c>
      <c r="C265" s="59"/>
      <c r="D265" s="448">
        <v>3142369521</v>
      </c>
      <c r="E265" s="449">
        <v>3142369521</v>
      </c>
      <c r="F265" s="442"/>
      <c r="G265" s="444"/>
    </row>
    <row r="266" spans="2:9">
      <c r="B266" s="118" t="s">
        <v>553</v>
      </c>
      <c r="C266" s="59"/>
      <c r="D266" s="448">
        <v>2410677124</v>
      </c>
      <c r="E266" s="449">
        <v>2410677124</v>
      </c>
      <c r="F266" s="442"/>
      <c r="G266" s="442"/>
    </row>
    <row r="267" spans="2:9">
      <c r="B267" s="398" t="s">
        <v>153</v>
      </c>
      <c r="C267" s="233"/>
      <c r="D267" s="450">
        <v>13811601260</v>
      </c>
      <c r="E267" s="147">
        <v>14167706577</v>
      </c>
      <c r="F267" s="442"/>
      <c r="G267" s="442"/>
    </row>
    <row r="268" spans="2:9">
      <c r="B268" s="443"/>
      <c r="C268" s="442"/>
      <c r="D268" s="442"/>
      <c r="E268" s="442"/>
      <c r="F268" s="442"/>
      <c r="G268" s="442"/>
    </row>
    <row r="270" spans="2:9">
      <c r="B270" s="311" t="s">
        <v>328</v>
      </c>
    </row>
    <row r="272" spans="2:9" ht="15.75">
      <c r="B272" s="231" t="s">
        <v>540</v>
      </c>
      <c r="C272" s="451"/>
      <c r="D272" s="371">
        <v>2020</v>
      </c>
      <c r="E272" s="436">
        <v>2019</v>
      </c>
      <c r="F272" s="9"/>
    </row>
    <row r="273" spans="2:6" ht="15.75">
      <c r="B273" s="118" t="s">
        <v>329</v>
      </c>
      <c r="D273" s="437">
        <v>14167706577</v>
      </c>
      <c r="E273" s="438">
        <v>17838304206</v>
      </c>
      <c r="F273" s="9"/>
    </row>
    <row r="274" spans="2:6" ht="15.75">
      <c r="B274" s="118" t="s">
        <v>330</v>
      </c>
      <c r="D274" s="454" t="s">
        <v>116</v>
      </c>
      <c r="E274" s="439">
        <v>4721257648</v>
      </c>
      <c r="F274" s="9"/>
    </row>
    <row r="275" spans="2:6" ht="15.75">
      <c r="B275" s="118" t="s">
        <v>331</v>
      </c>
      <c r="D275" s="132">
        <v>-356105317</v>
      </c>
      <c r="E275" s="132">
        <v>-8391855277</v>
      </c>
      <c r="F275" s="9"/>
    </row>
    <row r="276" spans="2:6" ht="15.75">
      <c r="B276" s="272" t="s">
        <v>332</v>
      </c>
      <c r="C276" s="446"/>
      <c r="D276" s="452">
        <v>13811601260</v>
      </c>
      <c r="E276" s="453">
        <v>14167706577</v>
      </c>
      <c r="F276" s="9"/>
    </row>
    <row r="278" spans="2:6">
      <c r="B278" s="312" t="s">
        <v>333</v>
      </c>
    </row>
    <row r="279" spans="2:6">
      <c r="B279" s="313" t="s">
        <v>334</v>
      </c>
    </row>
    <row r="280" spans="2:6">
      <c r="B280" s="313" t="s">
        <v>335</v>
      </c>
    </row>
    <row r="281" spans="2:6">
      <c r="B281" s="313" t="s">
        <v>336</v>
      </c>
    </row>
    <row r="282" spans="2:6">
      <c r="B282" s="313"/>
    </row>
    <row r="283" spans="2:6">
      <c r="B283" s="312" t="s">
        <v>337</v>
      </c>
    </row>
    <row r="284" spans="2:6">
      <c r="B284" s="313" t="s">
        <v>338</v>
      </c>
    </row>
    <row r="285" spans="2:6">
      <c r="B285" s="313" t="s">
        <v>339</v>
      </c>
    </row>
    <row r="286" spans="2:6">
      <c r="B286" s="313" t="s">
        <v>340</v>
      </c>
    </row>
    <row r="288" spans="2:6">
      <c r="B288" s="212" t="s">
        <v>343</v>
      </c>
    </row>
    <row r="290" spans="2:13">
      <c r="B290" s="314" t="s">
        <v>342</v>
      </c>
      <c r="F290" s="327"/>
      <c r="G290" s="402"/>
    </row>
    <row r="292" spans="2:13" ht="14.45" customHeight="1">
      <c r="B292" s="535" t="s">
        <v>365</v>
      </c>
      <c r="C292" s="509" t="s">
        <v>345</v>
      </c>
      <c r="D292" s="510"/>
      <c r="E292" s="510"/>
      <c r="F292" s="510"/>
      <c r="G292" s="511"/>
      <c r="H292" s="509" t="s">
        <v>346</v>
      </c>
      <c r="I292" s="510"/>
      <c r="J292" s="511"/>
      <c r="K292" s="507" t="s">
        <v>347</v>
      </c>
      <c r="L292" s="316"/>
      <c r="M292" s="316"/>
    </row>
    <row r="293" spans="2:13" ht="38.25">
      <c r="B293" s="536"/>
      <c r="C293" s="53" t="s">
        <v>348</v>
      </c>
      <c r="D293" s="53" t="s">
        <v>349</v>
      </c>
      <c r="E293" s="53" t="s">
        <v>350</v>
      </c>
      <c r="F293" s="53" t="s">
        <v>351</v>
      </c>
      <c r="G293" s="54" t="s">
        <v>352</v>
      </c>
      <c r="H293" s="455" t="s">
        <v>353</v>
      </c>
      <c r="I293" s="53" t="s">
        <v>41</v>
      </c>
      <c r="J293" s="54" t="s">
        <v>354</v>
      </c>
      <c r="K293" s="508"/>
      <c r="L293" s="315"/>
      <c r="M293" s="46"/>
    </row>
    <row r="294" spans="2:13">
      <c r="B294" s="56" t="s">
        <v>355</v>
      </c>
      <c r="C294" s="317">
        <v>28113750430</v>
      </c>
      <c r="D294" s="85">
        <v>0</v>
      </c>
      <c r="E294" s="86">
        <v>0</v>
      </c>
      <c r="F294" s="65">
        <v>0</v>
      </c>
      <c r="G294" s="65">
        <f>SUM(C294:F294)</f>
        <v>28113750430</v>
      </c>
      <c r="H294" s="318">
        <v>426217608</v>
      </c>
      <c r="I294" s="321">
        <v>2.5000000000000001E-2</v>
      </c>
      <c r="J294" s="319">
        <v>602654511</v>
      </c>
      <c r="K294" s="85">
        <f>+G294-J294</f>
        <v>27511095919</v>
      </c>
      <c r="L294" s="49"/>
      <c r="M294" s="46"/>
    </row>
    <row r="295" spans="2:13">
      <c r="B295" s="56" t="s">
        <v>356</v>
      </c>
      <c r="C295" s="317">
        <v>872040439</v>
      </c>
      <c r="D295" s="64">
        <v>11800000</v>
      </c>
      <c r="E295" s="65">
        <v>0</v>
      </c>
      <c r="F295" s="65">
        <v>0</v>
      </c>
      <c r="G295" s="65">
        <f>SUM(C295:F295)</f>
        <v>883840439</v>
      </c>
      <c r="H295" s="317">
        <v>485910023</v>
      </c>
      <c r="I295" s="322">
        <v>2.5000000000000001E-2</v>
      </c>
      <c r="J295" s="290">
        <v>494257947</v>
      </c>
      <c r="K295" s="64">
        <f t="shared" ref="K295:K302" si="12">+G295-J295</f>
        <v>389582492</v>
      </c>
      <c r="L295" s="49"/>
      <c r="M295" s="46"/>
    </row>
    <row r="296" spans="2:13">
      <c r="B296" s="56" t="s">
        <v>357</v>
      </c>
      <c r="C296" s="317">
        <v>2743855424</v>
      </c>
      <c r="D296" s="132">
        <v>-75160318</v>
      </c>
      <c r="E296" s="158"/>
      <c r="F296" s="65">
        <v>0</v>
      </c>
      <c r="G296" s="65">
        <f>SUM(C296:F296)</f>
        <v>2668695106</v>
      </c>
      <c r="H296" s="317">
        <v>976487981</v>
      </c>
      <c r="I296" s="322">
        <v>0.2</v>
      </c>
      <c r="J296" s="290">
        <v>1249345186</v>
      </c>
      <c r="K296" s="64">
        <f t="shared" si="12"/>
        <v>1419349920</v>
      </c>
      <c r="L296" s="49"/>
      <c r="M296" s="46"/>
    </row>
    <row r="297" spans="2:13">
      <c r="B297" s="56" t="s">
        <v>358</v>
      </c>
      <c r="C297" s="317">
        <v>1143371116</v>
      </c>
      <c r="D297" s="64">
        <v>21451496</v>
      </c>
      <c r="E297" s="65">
        <v>0</v>
      </c>
      <c r="F297" s="65">
        <v>0</v>
      </c>
      <c r="G297" s="65">
        <f t="shared" ref="G297:G302" si="13">SUM(C297:F297)</f>
        <v>1164822612</v>
      </c>
      <c r="H297" s="317">
        <v>671651015</v>
      </c>
      <c r="I297" s="322">
        <v>0.2</v>
      </c>
      <c r="J297" s="290">
        <v>738255583</v>
      </c>
      <c r="K297" s="64">
        <f t="shared" si="12"/>
        <v>426567029</v>
      </c>
      <c r="L297" s="49"/>
      <c r="M297" s="46"/>
    </row>
    <row r="298" spans="2:13">
      <c r="B298" s="56" t="s">
        <v>240</v>
      </c>
      <c r="C298" s="317">
        <v>358251794</v>
      </c>
      <c r="D298" s="64">
        <v>0</v>
      </c>
      <c r="E298" s="65">
        <v>0</v>
      </c>
      <c r="F298" s="65">
        <v>0</v>
      </c>
      <c r="G298" s="65">
        <f t="shared" si="13"/>
        <v>358251794</v>
      </c>
      <c r="H298" s="317">
        <v>139882784</v>
      </c>
      <c r="I298" s="322">
        <v>0.2</v>
      </c>
      <c r="J298" s="290">
        <v>164884564</v>
      </c>
      <c r="K298" s="64">
        <f t="shared" si="12"/>
        <v>193367230</v>
      </c>
      <c r="L298" s="49"/>
      <c r="M298" s="46"/>
    </row>
    <row r="299" spans="2:13">
      <c r="B299" s="56" t="s">
        <v>359</v>
      </c>
      <c r="C299" s="317">
        <v>85144652</v>
      </c>
      <c r="D299" s="64">
        <v>27272727</v>
      </c>
      <c r="E299" s="65">
        <v>0</v>
      </c>
      <c r="F299" s="65">
        <v>0</v>
      </c>
      <c r="G299" s="65">
        <f t="shared" si="13"/>
        <v>112417379</v>
      </c>
      <c r="H299" s="317">
        <v>19291735</v>
      </c>
      <c r="I299" s="322">
        <v>0.2</v>
      </c>
      <c r="J299" s="290">
        <v>26133818</v>
      </c>
      <c r="K299" s="64">
        <f t="shared" si="12"/>
        <v>86283561</v>
      </c>
      <c r="L299" s="49"/>
      <c r="M299" s="46"/>
    </row>
    <row r="300" spans="2:13">
      <c r="B300" s="56" t="s">
        <v>360</v>
      </c>
      <c r="C300" s="317">
        <v>526769868</v>
      </c>
      <c r="D300" s="64">
        <v>0</v>
      </c>
      <c r="E300" s="65">
        <v>0</v>
      </c>
      <c r="F300" s="65">
        <v>0</v>
      </c>
      <c r="G300" s="65">
        <f t="shared" si="13"/>
        <v>526769868</v>
      </c>
      <c r="H300" s="317">
        <v>447250658</v>
      </c>
      <c r="I300" s="322">
        <v>2.5000000000000001E-2</v>
      </c>
      <c r="J300" s="290">
        <v>466724121</v>
      </c>
      <c r="K300" s="64">
        <f t="shared" si="12"/>
        <v>60045747</v>
      </c>
      <c r="L300" s="49"/>
      <c r="M300" s="46"/>
    </row>
    <row r="301" spans="2:13">
      <c r="B301" s="56" t="s">
        <v>361</v>
      </c>
      <c r="C301" s="317">
        <v>744693742</v>
      </c>
      <c r="D301" s="64">
        <v>43437135</v>
      </c>
      <c r="E301" s="65">
        <v>0</v>
      </c>
      <c r="F301" s="65">
        <v>0</v>
      </c>
      <c r="G301" s="65">
        <f t="shared" si="13"/>
        <v>788130877</v>
      </c>
      <c r="H301" s="317">
        <v>346392529</v>
      </c>
      <c r="I301" s="322">
        <v>0.1</v>
      </c>
      <c r="J301" s="290">
        <v>462308246</v>
      </c>
      <c r="K301" s="64">
        <f t="shared" si="12"/>
        <v>325822631</v>
      </c>
      <c r="L301" s="49"/>
      <c r="M301" s="46"/>
    </row>
    <row r="302" spans="2:13">
      <c r="B302" s="56" t="s">
        <v>362</v>
      </c>
      <c r="C302" s="317">
        <v>318108929</v>
      </c>
      <c r="D302" s="70">
        <v>4107622</v>
      </c>
      <c r="E302" s="71">
        <v>0</v>
      </c>
      <c r="F302" s="65">
        <v>0</v>
      </c>
      <c r="G302" s="65">
        <f t="shared" si="13"/>
        <v>322216551</v>
      </c>
      <c r="H302" s="317">
        <v>187653894</v>
      </c>
      <c r="I302" s="322">
        <v>2.5000000000000001E-2</v>
      </c>
      <c r="J302" s="290">
        <v>229675444</v>
      </c>
      <c r="K302" s="70">
        <f t="shared" si="12"/>
        <v>92541107</v>
      </c>
      <c r="L302" s="49"/>
      <c r="M302" s="46"/>
    </row>
    <row r="303" spans="2:13">
      <c r="B303" s="76" t="s">
        <v>363</v>
      </c>
      <c r="C303" s="78">
        <f>SUM(C294:C302)</f>
        <v>34905986394</v>
      </c>
      <c r="D303" s="78">
        <f>SUM(D294:D302)</f>
        <v>32908662</v>
      </c>
      <c r="E303" s="331">
        <f>SUM(E294:E302)</f>
        <v>0</v>
      </c>
      <c r="F303" s="78">
        <v>0</v>
      </c>
      <c r="G303" s="78">
        <f>SUM(G294:G302)</f>
        <v>34938895056</v>
      </c>
      <c r="H303" s="78">
        <f>SUM(H294:H302)</f>
        <v>3700738227</v>
      </c>
      <c r="I303" s="323" t="s">
        <v>116</v>
      </c>
      <c r="J303" s="78">
        <f>SUM(J294:J302)</f>
        <v>4434239420</v>
      </c>
      <c r="K303" s="78">
        <f>SUM(K294:K302)</f>
        <v>30504655636</v>
      </c>
      <c r="L303" s="329"/>
      <c r="M303" s="330"/>
    </row>
    <row r="304" spans="2:13">
      <c r="B304" s="107" t="s">
        <v>364</v>
      </c>
      <c r="C304" s="109">
        <v>32684986658</v>
      </c>
      <c r="D304" s="109">
        <v>1746829647</v>
      </c>
      <c r="E304" s="331">
        <v>-5269004</v>
      </c>
      <c r="F304" s="109">
        <v>479439.10399999993</v>
      </c>
      <c r="G304" s="332">
        <v>34905986405</v>
      </c>
      <c r="H304" s="333">
        <v>3104921795</v>
      </c>
      <c r="I304" s="324" t="s">
        <v>116</v>
      </c>
      <c r="J304" s="332">
        <v>3700738237</v>
      </c>
      <c r="K304" s="332">
        <v>31205248168</v>
      </c>
      <c r="L304" s="328"/>
      <c r="M304" s="46"/>
    </row>
    <row r="305" spans="2:12">
      <c r="L305" s="44"/>
    </row>
    <row r="306" spans="2:12">
      <c r="B306" s="313" t="s">
        <v>366</v>
      </c>
    </row>
    <row r="307" spans="2:12">
      <c r="B307" s="313" t="s">
        <v>367</v>
      </c>
    </row>
    <row r="308" spans="2:12">
      <c r="B308" s="313"/>
    </row>
    <row r="309" spans="2:12">
      <c r="B309" s="313" t="s">
        <v>368</v>
      </c>
    </row>
    <row r="310" spans="2:12">
      <c r="B310" s="313" t="s">
        <v>369</v>
      </c>
    </row>
    <row r="311" spans="2:12">
      <c r="B311" s="313" t="s">
        <v>370</v>
      </c>
    </row>
    <row r="312" spans="2:12">
      <c r="B312" s="313" t="s">
        <v>371</v>
      </c>
    </row>
    <row r="313" spans="2:12">
      <c r="B313" s="313" t="s">
        <v>372</v>
      </c>
    </row>
    <row r="314" spans="2:12">
      <c r="B314" s="313" t="s">
        <v>373</v>
      </c>
    </row>
    <row r="315" spans="2:12">
      <c r="B315" s="313" t="s">
        <v>374</v>
      </c>
    </row>
    <row r="317" spans="2:12">
      <c r="B317" s="212" t="s">
        <v>375</v>
      </c>
    </row>
    <row r="318" spans="2:12">
      <c r="B318" s="212"/>
    </row>
    <row r="319" spans="2:12">
      <c r="B319" s="314" t="s">
        <v>379</v>
      </c>
    </row>
    <row r="321" spans="2:9">
      <c r="B321" s="531" t="s">
        <v>344</v>
      </c>
      <c r="C321" s="532" t="s">
        <v>345</v>
      </c>
      <c r="D321" s="533"/>
      <c r="E321" s="534"/>
      <c r="F321" s="532" t="s">
        <v>380</v>
      </c>
      <c r="G321" s="533"/>
      <c r="H321" s="534"/>
      <c r="I321" s="521" t="s">
        <v>347</v>
      </c>
    </row>
    <row r="322" spans="2:9" ht="38.25">
      <c r="B322" s="531"/>
      <c r="C322" s="182" t="s">
        <v>348</v>
      </c>
      <c r="D322" s="182" t="s">
        <v>381</v>
      </c>
      <c r="E322" s="182" t="s">
        <v>352</v>
      </c>
      <c r="F322" s="182" t="s">
        <v>353</v>
      </c>
      <c r="G322" s="182" t="s">
        <v>382</v>
      </c>
      <c r="H322" s="182" t="s">
        <v>354</v>
      </c>
      <c r="I322" s="522"/>
    </row>
    <row r="323" spans="2:9">
      <c r="B323" s="183" t="s">
        <v>549</v>
      </c>
      <c r="C323" s="338">
        <v>338552627</v>
      </c>
      <c r="D323" s="338">
        <v>16257679</v>
      </c>
      <c r="E323" s="338">
        <v>354810306</v>
      </c>
      <c r="F323" s="338">
        <v>252348957</v>
      </c>
      <c r="G323" s="338">
        <v>36343299</v>
      </c>
      <c r="H323" s="338">
        <v>288692254</v>
      </c>
      <c r="I323" s="338">
        <f>+E323-H323</f>
        <v>66118052</v>
      </c>
    </row>
    <row r="324" spans="2:9">
      <c r="B324" s="183" t="s">
        <v>383</v>
      </c>
      <c r="C324" s="338">
        <v>7790909</v>
      </c>
      <c r="D324" s="338">
        <v>0</v>
      </c>
      <c r="E324" s="338">
        <v>7790909</v>
      </c>
      <c r="F324" s="338">
        <v>1772727</v>
      </c>
      <c r="G324" s="338">
        <v>1947727</v>
      </c>
      <c r="H324" s="338">
        <v>3720456</v>
      </c>
      <c r="I324" s="338">
        <f>+E324-H324</f>
        <v>4070453</v>
      </c>
    </row>
    <row r="325" spans="2:9">
      <c r="B325" s="184" t="s">
        <v>363</v>
      </c>
      <c r="C325" s="298">
        <f>SUM(C323:C324)</f>
        <v>346343536</v>
      </c>
      <c r="D325" s="298">
        <f t="shared" ref="D325" si="14">SUM(D323:D324)</f>
        <v>16257679</v>
      </c>
      <c r="E325" s="298">
        <f>SUM(E323:E324)</f>
        <v>362601215</v>
      </c>
      <c r="F325" s="298">
        <f>SUM(F323:F324)</f>
        <v>254121684</v>
      </c>
      <c r="G325" s="298">
        <f>SUM(G323:G324)</f>
        <v>38291026</v>
      </c>
      <c r="H325" s="298">
        <f>SUM(H323:H324)</f>
        <v>292412710</v>
      </c>
      <c r="I325" s="298">
        <f>SUM(I323:I324)</f>
        <v>70188505</v>
      </c>
    </row>
    <row r="326" spans="2:9">
      <c r="B326" s="184" t="s">
        <v>364</v>
      </c>
      <c r="C326" s="298">
        <v>332251322</v>
      </c>
      <c r="D326" s="298">
        <v>14092214</v>
      </c>
      <c r="E326" s="298">
        <v>346343536</v>
      </c>
      <c r="F326" s="298">
        <v>217620982</v>
      </c>
      <c r="G326" s="298">
        <v>36500700</v>
      </c>
      <c r="H326" s="298">
        <v>254121682</v>
      </c>
      <c r="I326" s="298">
        <v>92221854</v>
      </c>
    </row>
    <row r="327" spans="2:9">
      <c r="G327" s="334"/>
    </row>
    <row r="328" spans="2:9">
      <c r="B328" s="212" t="s">
        <v>384</v>
      </c>
    </row>
    <row r="330" spans="2:9">
      <c r="B330" s="314" t="s">
        <v>385</v>
      </c>
    </row>
    <row r="332" spans="2:9">
      <c r="B332" s="515" t="s">
        <v>81</v>
      </c>
      <c r="C332" s="456"/>
      <c r="D332" s="512" t="s">
        <v>68</v>
      </c>
      <c r="E332" s="486" t="s">
        <v>69</v>
      </c>
    </row>
    <row r="333" spans="2:9">
      <c r="B333" s="517"/>
      <c r="C333" s="457"/>
      <c r="D333" s="513"/>
      <c r="E333" s="538"/>
    </row>
    <row r="334" spans="2:9">
      <c r="B334" s="118" t="s">
        <v>387</v>
      </c>
      <c r="D334" s="428">
        <v>11300219739</v>
      </c>
      <c r="E334" s="336">
        <v>10204776743</v>
      </c>
    </row>
    <row r="335" spans="2:9">
      <c r="B335" s="118" t="s">
        <v>386</v>
      </c>
      <c r="D335" s="429">
        <v>579009700</v>
      </c>
      <c r="E335" s="326">
        <v>438053577</v>
      </c>
    </row>
    <row r="336" spans="2:9">
      <c r="B336" s="118" t="s">
        <v>388</v>
      </c>
      <c r="D336" s="429"/>
      <c r="E336" s="326">
        <v>714940961</v>
      </c>
    </row>
    <row r="337" spans="2:5">
      <c r="B337" s="118" t="s">
        <v>389</v>
      </c>
      <c r="D337" s="430"/>
      <c r="E337" s="337">
        <v>177974720</v>
      </c>
    </row>
    <row r="338" spans="2:5">
      <c r="B338" s="283" t="s">
        <v>310</v>
      </c>
      <c r="C338" s="451"/>
      <c r="D338" s="368">
        <f>SUM(D334:D335)</f>
        <v>11879229439</v>
      </c>
      <c r="E338" s="368">
        <f>SUM(E334:E337)</f>
        <v>11535746001</v>
      </c>
    </row>
    <row r="340" spans="2:5">
      <c r="B340" s="212" t="s">
        <v>391</v>
      </c>
    </row>
    <row r="342" spans="2:5">
      <c r="B342" s="314" t="s">
        <v>392</v>
      </c>
    </row>
    <row r="344" spans="2:5">
      <c r="B344" s="523" t="s">
        <v>82</v>
      </c>
      <c r="C344" s="524"/>
      <c r="D344" s="527" t="s">
        <v>298</v>
      </c>
      <c r="E344" s="529" t="s">
        <v>309</v>
      </c>
    </row>
    <row r="345" spans="2:5">
      <c r="B345" s="525"/>
      <c r="C345" s="526"/>
      <c r="D345" s="528"/>
      <c r="E345" s="530"/>
    </row>
    <row r="346" spans="2:5">
      <c r="B346" s="350" t="s">
        <v>393</v>
      </c>
      <c r="C346" s="341"/>
      <c r="D346" s="351">
        <v>9494831553</v>
      </c>
      <c r="E346" s="352">
        <v>653260273</v>
      </c>
    </row>
    <row r="347" spans="2:5">
      <c r="B347" s="353" t="s">
        <v>394</v>
      </c>
      <c r="C347" s="341"/>
      <c r="D347" s="354">
        <v>8019236134</v>
      </c>
      <c r="E347" s="354">
        <v>6414270072</v>
      </c>
    </row>
    <row r="348" spans="2:5">
      <c r="B348" s="353" t="s">
        <v>289</v>
      </c>
      <c r="C348" s="341"/>
      <c r="D348" s="354">
        <v>4489784374</v>
      </c>
      <c r="E348" s="354">
        <v>5912817012</v>
      </c>
    </row>
    <row r="349" spans="2:5">
      <c r="B349" s="350" t="s">
        <v>395</v>
      </c>
      <c r="C349" s="341"/>
      <c r="D349" s="354">
        <v>1861583930</v>
      </c>
      <c r="E349" s="355">
        <v>1166002834</v>
      </c>
    </row>
    <row r="350" spans="2:5">
      <c r="B350" s="350" t="s">
        <v>290</v>
      </c>
      <c r="C350" s="341"/>
      <c r="D350" s="354">
        <v>1472928347</v>
      </c>
      <c r="E350" s="355">
        <v>1700622328</v>
      </c>
    </row>
    <row r="351" spans="2:5">
      <c r="B351" s="350" t="s">
        <v>396</v>
      </c>
      <c r="C351" s="341"/>
      <c r="D351" s="354">
        <v>1108194000</v>
      </c>
      <c r="E351" s="342"/>
    </row>
    <row r="352" spans="2:5">
      <c r="B352" s="350" t="s">
        <v>286</v>
      </c>
      <c r="C352" s="341"/>
      <c r="D352" s="354">
        <v>1071782340</v>
      </c>
      <c r="E352" s="355">
        <v>3462807367</v>
      </c>
    </row>
    <row r="353" spans="2:5">
      <c r="B353" s="350" t="s">
        <v>288</v>
      </c>
      <c r="C353" s="341"/>
      <c r="D353" s="354">
        <v>932516800</v>
      </c>
      <c r="E353" s="355">
        <v>99930822</v>
      </c>
    </row>
    <row r="354" spans="2:5">
      <c r="B354" s="350" t="s">
        <v>285</v>
      </c>
      <c r="C354" s="341"/>
      <c r="D354" s="354">
        <v>692034316</v>
      </c>
      <c r="E354" s="355">
        <v>3460171580</v>
      </c>
    </row>
    <row r="355" spans="2:5">
      <c r="B355" s="353" t="s">
        <v>397</v>
      </c>
      <c r="C355" s="341"/>
      <c r="D355" s="354">
        <v>542655335</v>
      </c>
      <c r="E355" s="343"/>
    </row>
    <row r="356" spans="2:5">
      <c r="B356" s="353" t="s">
        <v>398</v>
      </c>
      <c r="C356" s="341"/>
      <c r="D356" s="354">
        <v>405990726</v>
      </c>
      <c r="E356" s="355">
        <v>135724477</v>
      </c>
    </row>
    <row r="357" spans="2:5">
      <c r="B357" s="350" t="s">
        <v>291</v>
      </c>
      <c r="C357" s="341"/>
      <c r="D357" s="354">
        <v>350569509</v>
      </c>
      <c r="E357" s="343"/>
    </row>
    <row r="358" spans="2:5">
      <c r="B358" s="353" t="s">
        <v>399</v>
      </c>
      <c r="C358" s="341"/>
      <c r="D358" s="344">
        <v>-380838245</v>
      </c>
      <c r="E358" s="344">
        <v>-53260273</v>
      </c>
    </row>
    <row r="359" spans="2:5">
      <c r="B359" s="353" t="s">
        <v>400</v>
      </c>
      <c r="C359" s="341"/>
      <c r="D359" s="344">
        <v>-3955392124</v>
      </c>
      <c r="E359" s="344">
        <v>-2319072874</v>
      </c>
    </row>
    <row r="360" spans="2:5">
      <c r="B360" s="345" t="s">
        <v>310</v>
      </c>
      <c r="C360" s="346"/>
      <c r="D360" s="347">
        <f>SUM(D346:D359)</f>
        <v>26105876995</v>
      </c>
      <c r="E360" s="347">
        <f>SUM(E346:E359)</f>
        <v>20633273618</v>
      </c>
    </row>
    <row r="361" spans="2:5">
      <c r="B361" s="348" t="s">
        <v>311</v>
      </c>
      <c r="C361" s="349"/>
      <c r="D361" s="347">
        <v>53739696576</v>
      </c>
      <c r="E361" s="347">
        <v>5361844753</v>
      </c>
    </row>
    <row r="363" spans="2:5">
      <c r="B363" s="335" t="s">
        <v>402</v>
      </c>
    </row>
    <row r="364" spans="2:5">
      <c r="B364" s="335" t="s">
        <v>403</v>
      </c>
    </row>
    <row r="366" spans="2:5">
      <c r="B366" s="212" t="s">
        <v>406</v>
      </c>
    </row>
    <row r="368" spans="2:5">
      <c r="B368" s="314" t="s">
        <v>405</v>
      </c>
    </row>
    <row r="369" spans="2:5">
      <c r="B369" s="314"/>
    </row>
    <row r="370" spans="2:5">
      <c r="B370" s="515" t="s">
        <v>407</v>
      </c>
      <c r="C370" s="516"/>
      <c r="D370" s="512" t="s">
        <v>298</v>
      </c>
      <c r="E370" s="486" t="s">
        <v>309</v>
      </c>
    </row>
    <row r="371" spans="2:5">
      <c r="B371" s="539"/>
      <c r="C371" s="540"/>
      <c r="D371" s="513"/>
      <c r="E371" s="538"/>
    </row>
    <row r="372" spans="2:5">
      <c r="B372" s="266" t="s">
        <v>288</v>
      </c>
      <c r="C372" s="87"/>
      <c r="D372" s="360">
        <v>2804703787</v>
      </c>
      <c r="E372" s="245">
        <v>20228694091</v>
      </c>
    </row>
    <row r="373" spans="2:5">
      <c r="B373" s="118" t="s">
        <v>408</v>
      </c>
      <c r="C373" s="59"/>
      <c r="D373" s="135">
        <v>2362506465</v>
      </c>
      <c r="E373" s="339">
        <v>10603202960</v>
      </c>
    </row>
    <row r="374" spans="2:5">
      <c r="B374" s="269" t="s">
        <v>400</v>
      </c>
      <c r="C374" s="72"/>
      <c r="D374" s="132">
        <v>-2419648819</v>
      </c>
      <c r="E374" s="132">
        <v>-8726966785</v>
      </c>
    </row>
    <row r="375" spans="2:5">
      <c r="B375" s="356" t="s">
        <v>310</v>
      </c>
      <c r="C375" s="59"/>
      <c r="D375" s="357">
        <f>SUM(D372:D374)</f>
        <v>2747561433</v>
      </c>
      <c r="E375" s="358">
        <f>SUM(E372:E374)</f>
        <v>22104930266</v>
      </c>
    </row>
    <row r="376" spans="2:5">
      <c r="B376" s="359" t="s">
        <v>311</v>
      </c>
      <c r="C376" s="233"/>
      <c r="D376" s="361">
        <v>7750359946</v>
      </c>
      <c r="E376" s="362">
        <v>11097364704</v>
      </c>
    </row>
    <row r="378" spans="2:5">
      <c r="B378" s="363" t="s">
        <v>410</v>
      </c>
    </row>
    <row r="379" spans="2:5">
      <c r="B379" s="364" t="s">
        <v>412</v>
      </c>
    </row>
    <row r="380" spans="2:5">
      <c r="B380" s="364" t="s">
        <v>413</v>
      </c>
    </row>
    <row r="381" spans="2:5">
      <c r="B381" s="364" t="s">
        <v>414</v>
      </c>
    </row>
    <row r="382" spans="2:5">
      <c r="B382" s="364" t="s">
        <v>415</v>
      </c>
    </row>
    <row r="383" spans="2:5">
      <c r="B383" s="364" t="s">
        <v>416</v>
      </c>
    </row>
    <row r="384" spans="2:5">
      <c r="B384" s="364" t="s">
        <v>417</v>
      </c>
    </row>
    <row r="385" spans="2:5">
      <c r="B385" s="364" t="s">
        <v>411</v>
      </c>
    </row>
    <row r="387" spans="2:5">
      <c r="B387" s="212" t="s">
        <v>418</v>
      </c>
    </row>
    <row r="389" spans="2:5">
      <c r="B389" s="314" t="s">
        <v>419</v>
      </c>
    </row>
    <row r="391" spans="2:5">
      <c r="B391" s="515" t="s">
        <v>420</v>
      </c>
      <c r="C391" s="516"/>
      <c r="D391" s="512" t="s">
        <v>298</v>
      </c>
      <c r="E391" s="486" t="s">
        <v>309</v>
      </c>
    </row>
    <row r="392" spans="2:5">
      <c r="B392" s="539"/>
      <c r="C392" s="540"/>
      <c r="D392" s="513"/>
      <c r="E392" s="538"/>
    </row>
    <row r="393" spans="2:5">
      <c r="B393" s="365" t="s">
        <v>421</v>
      </c>
      <c r="C393" s="87"/>
      <c r="D393" s="309">
        <v>8152835610</v>
      </c>
      <c r="E393" s="237">
        <v>14028178078</v>
      </c>
    </row>
    <row r="394" spans="2:5">
      <c r="B394" s="366" t="s">
        <v>422</v>
      </c>
      <c r="C394" s="72"/>
      <c r="D394" s="132">
        <v>-2153790972</v>
      </c>
      <c r="E394" s="132">
        <v>-2027222716</v>
      </c>
    </row>
    <row r="395" spans="2:5">
      <c r="B395" s="356" t="s">
        <v>310</v>
      </c>
      <c r="C395" s="59"/>
      <c r="D395" s="357">
        <f>SUM(D393:D394)</f>
        <v>5999044638</v>
      </c>
      <c r="E395" s="357">
        <f>SUM(E393:E394)</f>
        <v>12000955362</v>
      </c>
    </row>
    <row r="396" spans="2:5">
      <c r="B396" s="359" t="s">
        <v>311</v>
      </c>
      <c r="C396" s="233"/>
      <c r="D396" s="367">
        <v>1998347708</v>
      </c>
      <c r="E396" s="81">
        <v>18000318264</v>
      </c>
    </row>
    <row r="398" spans="2:5">
      <c r="B398" s="35" t="s">
        <v>423</v>
      </c>
    </row>
    <row r="400" spans="2:5">
      <c r="B400" s="212" t="s">
        <v>427</v>
      </c>
    </row>
    <row r="402" spans="2:5">
      <c r="B402" s="35" t="s">
        <v>424</v>
      </c>
    </row>
    <row r="404" spans="2:5">
      <c r="B404" s="515" t="s">
        <v>84</v>
      </c>
      <c r="C404" s="456"/>
      <c r="D404" s="512" t="s">
        <v>68</v>
      </c>
      <c r="E404" s="486" t="s">
        <v>69</v>
      </c>
    </row>
    <row r="405" spans="2:5">
      <c r="B405" s="517"/>
      <c r="C405" s="457"/>
      <c r="D405" s="514"/>
      <c r="E405" s="487"/>
    </row>
    <row r="406" spans="2:5">
      <c r="B406" s="308" t="s">
        <v>426</v>
      </c>
      <c r="C406" s="456"/>
      <c r="D406" s="237">
        <v>189421155</v>
      </c>
      <c r="E406" s="309">
        <v>147272384</v>
      </c>
    </row>
    <row r="407" spans="2:5">
      <c r="B407" s="296" t="s">
        <v>425</v>
      </c>
      <c r="C407" s="458"/>
      <c r="D407" s="163">
        <v>71691014</v>
      </c>
      <c r="E407" s="162">
        <v>102275123</v>
      </c>
    </row>
    <row r="408" spans="2:5">
      <c r="B408" s="56" t="s">
        <v>541</v>
      </c>
      <c r="C408" s="458"/>
      <c r="D408" s="163">
        <v>19028952</v>
      </c>
      <c r="E408" s="168" t="s">
        <v>116</v>
      </c>
    </row>
    <row r="409" spans="2:5">
      <c r="B409" s="283" t="s">
        <v>310</v>
      </c>
      <c r="C409" s="451"/>
      <c r="D409" s="82">
        <f>SUM(D406:D408)</f>
        <v>280141121</v>
      </c>
      <c r="E409" s="82">
        <f>SUM(E406:E408)</f>
        <v>249547507</v>
      </c>
    </row>
    <row r="411" spans="2:5">
      <c r="B411" s="14" t="s">
        <v>429</v>
      </c>
    </row>
    <row r="413" spans="2:5">
      <c r="B413" s="314" t="s">
        <v>430</v>
      </c>
    </row>
    <row r="415" spans="2:5">
      <c r="B415" s="14" t="s">
        <v>431</v>
      </c>
    </row>
    <row r="417" spans="2:9">
      <c r="B417" s="18" t="s">
        <v>432</v>
      </c>
    </row>
    <row r="419" spans="2:9" ht="25.5">
      <c r="B419" s="376" t="s">
        <v>433</v>
      </c>
      <c r="C419" s="376" t="s">
        <v>434</v>
      </c>
      <c r="D419" s="376" t="s">
        <v>435</v>
      </c>
      <c r="E419" s="376" t="s">
        <v>443</v>
      </c>
      <c r="F419" s="376" t="s">
        <v>436</v>
      </c>
    </row>
    <row r="420" spans="2:9">
      <c r="B420" s="378" t="s">
        <v>446</v>
      </c>
      <c r="C420" s="379"/>
      <c r="D420" s="379"/>
      <c r="E420" s="379"/>
      <c r="F420" s="379"/>
    </row>
    <row r="421" spans="2:9" ht="25.5">
      <c r="B421" s="380" t="s">
        <v>323</v>
      </c>
      <c r="C421" s="373" t="s">
        <v>437</v>
      </c>
      <c r="D421" s="373" t="s">
        <v>442</v>
      </c>
      <c r="E421" s="374">
        <v>0</v>
      </c>
      <c r="F421" s="381">
        <v>4364093300</v>
      </c>
    </row>
    <row r="422" spans="2:9" ht="25.5">
      <c r="B422" s="380" t="s">
        <v>323</v>
      </c>
      <c r="C422" s="373" t="s">
        <v>437</v>
      </c>
      <c r="D422" s="373" t="s">
        <v>74</v>
      </c>
      <c r="E422" s="382">
        <v>3927133047</v>
      </c>
      <c r="F422" s="383">
        <v>2536635191</v>
      </c>
    </row>
    <row r="423" spans="2:9">
      <c r="B423" s="375" t="s">
        <v>447</v>
      </c>
      <c r="C423" s="376"/>
      <c r="D423" s="376"/>
      <c r="E423" s="377">
        <f>SUM(E421:E422)</f>
        <v>3927133047</v>
      </c>
      <c r="F423" s="377">
        <f>SUM(F421:F422)</f>
        <v>6900728491</v>
      </c>
    </row>
    <row r="424" spans="2:9">
      <c r="B424" s="378" t="s">
        <v>444</v>
      </c>
      <c r="C424" s="379"/>
      <c r="D424" s="379"/>
      <c r="E424" s="379"/>
      <c r="F424" s="379"/>
    </row>
    <row r="425" spans="2:9" ht="25.5">
      <c r="B425" s="380" t="s">
        <v>3</v>
      </c>
      <c r="C425" s="369" t="s">
        <v>449</v>
      </c>
      <c r="D425" s="373" t="s">
        <v>445</v>
      </c>
      <c r="E425" s="383">
        <v>8856847818</v>
      </c>
      <c r="F425" s="383">
        <v>8856847818</v>
      </c>
      <c r="I425" s="440"/>
    </row>
    <row r="426" spans="2:9" ht="25.5">
      <c r="B426" s="380" t="s">
        <v>323</v>
      </c>
      <c r="C426" s="373" t="s">
        <v>437</v>
      </c>
      <c r="D426" s="373" t="s">
        <v>445</v>
      </c>
      <c r="E426" s="382">
        <v>4954753442</v>
      </c>
      <c r="F426" s="383">
        <v>5310858759</v>
      </c>
      <c r="I426" s="440"/>
    </row>
    <row r="427" spans="2:9" ht="25.5">
      <c r="B427" s="380" t="s">
        <v>323</v>
      </c>
      <c r="C427" s="373" t="s">
        <v>437</v>
      </c>
      <c r="D427" s="373" t="s">
        <v>74</v>
      </c>
      <c r="E427" s="383">
        <v>8303441048</v>
      </c>
      <c r="F427" s="383">
        <v>11591879257</v>
      </c>
      <c r="I427" s="440"/>
    </row>
    <row r="428" spans="2:9">
      <c r="B428" s="375" t="s">
        <v>448</v>
      </c>
      <c r="C428" s="376"/>
      <c r="D428" s="376"/>
      <c r="E428" s="377">
        <f>SUM(E425:E427)</f>
        <v>22115042308</v>
      </c>
      <c r="F428" s="377">
        <f>SUM(F425:F427)</f>
        <v>25759585834</v>
      </c>
      <c r="I428" s="440"/>
    </row>
    <row r="429" spans="2:9">
      <c r="B429" s="384" t="s">
        <v>439</v>
      </c>
      <c r="C429" s="385"/>
      <c r="D429" s="385"/>
      <c r="E429" s="396">
        <f>+E423+E428</f>
        <v>26042175355</v>
      </c>
      <c r="F429" s="397">
        <f>+F423+F428</f>
        <v>32660314325</v>
      </c>
    </row>
    <row r="430" spans="2:9">
      <c r="B430" s="372"/>
      <c r="C430" s="372"/>
      <c r="D430" s="372"/>
      <c r="E430" s="372"/>
      <c r="F430" s="372"/>
    </row>
    <row r="431" spans="2:9">
      <c r="B431" s="387" t="s">
        <v>440</v>
      </c>
      <c r="C431" s="388"/>
      <c r="D431" s="388"/>
      <c r="E431" s="388"/>
      <c r="F431" s="389"/>
    </row>
    <row r="432" spans="2:9" ht="25.5">
      <c r="B432" s="390" t="s">
        <v>323</v>
      </c>
      <c r="C432" s="369" t="s">
        <v>437</v>
      </c>
      <c r="D432" s="369" t="s">
        <v>82</v>
      </c>
      <c r="E432" s="391">
        <v>1741021979</v>
      </c>
      <c r="F432" s="392">
        <v>1704373789</v>
      </c>
    </row>
    <row r="433" spans="2:6" ht="25.5">
      <c r="B433" s="435" t="s">
        <v>3</v>
      </c>
      <c r="C433" s="386" t="s">
        <v>449</v>
      </c>
      <c r="D433" s="386" t="s">
        <v>82</v>
      </c>
      <c r="E433" s="337">
        <v>2225000000</v>
      </c>
      <c r="F433" s="393">
        <v>3000000000</v>
      </c>
    </row>
    <row r="434" spans="2:6">
      <c r="B434" s="16" t="s">
        <v>441</v>
      </c>
      <c r="C434" s="369"/>
      <c r="D434" s="369"/>
      <c r="E434" s="147">
        <f>SUM(E432:E433)</f>
        <v>3966021979</v>
      </c>
      <c r="F434" s="147">
        <f>SUM(F432:F433)</f>
        <v>4704373789</v>
      </c>
    </row>
    <row r="436" spans="2:6">
      <c r="B436" s="394" t="s">
        <v>450</v>
      </c>
    </row>
    <row r="438" spans="2:6">
      <c r="B438" s="17" t="s">
        <v>451</v>
      </c>
    </row>
    <row r="440" spans="2:6">
      <c r="B440" s="370" t="s">
        <v>452</v>
      </c>
      <c r="C440" s="371" t="s">
        <v>453</v>
      </c>
      <c r="D440" s="371" t="s">
        <v>454</v>
      </c>
    </row>
    <row r="441" spans="2:6">
      <c r="B441" s="432" t="s">
        <v>323</v>
      </c>
      <c r="C441" s="400">
        <f>356105317+359202387</f>
        <v>715307704</v>
      </c>
      <c r="D441" s="336"/>
    </row>
    <row r="442" spans="2:6">
      <c r="B442" s="433" t="s">
        <v>3</v>
      </c>
      <c r="C442" s="56"/>
      <c r="D442" s="132">
        <v>-335784091</v>
      </c>
    </row>
    <row r="443" spans="2:6">
      <c r="B443" s="434" t="s">
        <v>5</v>
      </c>
      <c r="C443" s="56"/>
      <c r="D443" s="132">
        <v>-81459000</v>
      </c>
    </row>
    <row r="444" spans="2:6">
      <c r="B444" s="398" t="s">
        <v>455</v>
      </c>
      <c r="C444" s="147">
        <f>SUM(C441:C443)</f>
        <v>715307704</v>
      </c>
      <c r="D444" s="399">
        <f>SUM(D441:D443)</f>
        <v>-417243091</v>
      </c>
    </row>
    <row r="445" spans="2:6">
      <c r="B445" s="395" t="s">
        <v>456</v>
      </c>
      <c r="C445" s="138">
        <f>8391855277+1244024509</f>
        <v>9635879786</v>
      </c>
      <c r="D445" s="331">
        <v>-696870835</v>
      </c>
    </row>
    <row r="447" spans="2:6">
      <c r="B447" s="394" t="s">
        <v>458</v>
      </c>
    </row>
    <row r="448" spans="2:6">
      <c r="B448" s="401"/>
    </row>
    <row r="449" spans="2:6">
      <c r="B449" s="18" t="s">
        <v>457</v>
      </c>
    </row>
    <row r="451" spans="2:6">
      <c r="B451" s="403" t="s">
        <v>377</v>
      </c>
      <c r="C451" s="404" t="s">
        <v>329</v>
      </c>
      <c r="D451" s="404" t="s">
        <v>378</v>
      </c>
      <c r="E451" s="404" t="s">
        <v>459</v>
      </c>
      <c r="F451" s="405" t="s">
        <v>460</v>
      </c>
    </row>
    <row r="452" spans="2:6">
      <c r="B452" s="266" t="s">
        <v>461</v>
      </c>
      <c r="C452" s="318">
        <f>+PN!E13</f>
        <v>38500000000</v>
      </c>
      <c r="D452" s="318">
        <f>+D4601</f>
        <v>0</v>
      </c>
      <c r="E452" s="85">
        <v>0</v>
      </c>
      <c r="F452" s="86">
        <f>SUM(C452:E452)</f>
        <v>38500000000</v>
      </c>
    </row>
    <row r="453" spans="2:6">
      <c r="B453" s="118" t="s">
        <v>156</v>
      </c>
      <c r="C453" s="317">
        <f>2951187748+1274957479+1014632</f>
        <v>4227159859</v>
      </c>
      <c r="D453" s="317">
        <f>+D4602</f>
        <v>0</v>
      </c>
      <c r="E453" s="64">
        <v>0</v>
      </c>
      <c r="F453" s="65">
        <f>SUM(C453:E453)</f>
        <v>4227159859</v>
      </c>
    </row>
    <row r="454" spans="2:6">
      <c r="B454" s="118" t="s">
        <v>462</v>
      </c>
      <c r="C454" s="406">
        <v>4865752614</v>
      </c>
      <c r="D454" s="317">
        <f>+D4603</f>
        <v>0</v>
      </c>
      <c r="E454" s="64">
        <v>0</v>
      </c>
      <c r="F454" s="65">
        <f>SUM(C454:E454)</f>
        <v>4865752614</v>
      </c>
    </row>
    <row r="455" spans="2:6">
      <c r="B455" s="269" t="s">
        <v>463</v>
      </c>
      <c r="C455" s="320">
        <v>0</v>
      </c>
      <c r="D455" s="317">
        <f>+D4604</f>
        <v>0</v>
      </c>
      <c r="E455" s="132">
        <v>-9222955990</v>
      </c>
      <c r="F455" s="132">
        <f>SUM(C455:E455)</f>
        <v>-9222955990</v>
      </c>
    </row>
    <row r="456" spans="2:6">
      <c r="B456" s="398" t="s">
        <v>153</v>
      </c>
      <c r="C456" s="78">
        <f>SUM(C452:C455)</f>
        <v>47592912473</v>
      </c>
      <c r="D456" s="78">
        <f t="shared" ref="D456" si="15">SUM(D452:D455)</f>
        <v>0</v>
      </c>
      <c r="E456" s="78">
        <f>SUM(E452:E455)</f>
        <v>-9222955990</v>
      </c>
      <c r="F456" s="78">
        <f>SUM(F452:F455)</f>
        <v>38369956483</v>
      </c>
    </row>
    <row r="458" spans="2:6">
      <c r="B458" s="394" t="s">
        <v>465</v>
      </c>
    </row>
    <row r="460" spans="2:6">
      <c r="B460" s="35" t="s">
        <v>488</v>
      </c>
    </row>
    <row r="461" spans="2:6">
      <c r="B461" s="229"/>
    </row>
    <row r="462" spans="2:6">
      <c r="B462" s="398" t="s">
        <v>484</v>
      </c>
      <c r="C462" s="451"/>
      <c r="D462" s="408" t="s">
        <v>68</v>
      </c>
      <c r="E462" s="407" t="s">
        <v>69</v>
      </c>
    </row>
    <row r="463" spans="2:6">
      <c r="B463" s="118" t="s">
        <v>466</v>
      </c>
      <c r="D463" s="162">
        <v>35338841913</v>
      </c>
      <c r="E463" s="162">
        <v>43177614011</v>
      </c>
    </row>
    <row r="464" spans="2:6">
      <c r="B464" s="118" t="s">
        <v>467</v>
      </c>
      <c r="D464" s="162">
        <v>9837536226</v>
      </c>
      <c r="E464" s="162">
        <v>13734206567</v>
      </c>
    </row>
    <row r="465" spans="2:5">
      <c r="B465" s="118" t="s">
        <v>468</v>
      </c>
      <c r="D465" s="162">
        <v>54786819</v>
      </c>
      <c r="E465" s="162">
        <v>67504457</v>
      </c>
    </row>
    <row r="466" spans="2:5">
      <c r="B466" s="170" t="s">
        <v>469</v>
      </c>
      <c r="D466" s="162">
        <v>18907982</v>
      </c>
      <c r="E466" s="162">
        <v>25587188</v>
      </c>
    </row>
    <row r="467" spans="2:5">
      <c r="B467" s="231" t="s">
        <v>153</v>
      </c>
      <c r="C467" s="451"/>
      <c r="D467" s="181">
        <v>45250072940</v>
      </c>
      <c r="E467" s="181">
        <v>57004912223</v>
      </c>
    </row>
    <row r="468" spans="2:5">
      <c r="B468" s="15"/>
      <c r="C468" s="240"/>
      <c r="D468" s="240"/>
    </row>
    <row r="469" spans="2:5">
      <c r="B469" s="231" t="s">
        <v>485</v>
      </c>
      <c r="C469" s="451"/>
      <c r="D469" s="407" t="s">
        <v>68</v>
      </c>
      <c r="E469" s="408" t="s">
        <v>69</v>
      </c>
    </row>
    <row r="470" spans="2:5">
      <c r="B470" s="170" t="s">
        <v>470</v>
      </c>
      <c r="D470" s="162">
        <v>3813221138</v>
      </c>
      <c r="E470" s="163">
        <v>4204709406</v>
      </c>
    </row>
    <row r="471" spans="2:5">
      <c r="B471" s="170" t="s">
        <v>471</v>
      </c>
      <c r="D471" s="162">
        <v>2379260489</v>
      </c>
      <c r="E471" s="163">
        <v>2497028879</v>
      </c>
    </row>
    <row r="472" spans="2:5">
      <c r="B472" s="170" t="s">
        <v>472</v>
      </c>
      <c r="D472" s="162">
        <v>922626782</v>
      </c>
      <c r="E472" s="163">
        <v>1060577907</v>
      </c>
    </row>
    <row r="473" spans="2:5">
      <c r="B473" s="170" t="s">
        <v>473</v>
      </c>
      <c r="D473" s="162">
        <v>816396617</v>
      </c>
      <c r="E473" s="163">
        <v>265518398</v>
      </c>
    </row>
    <row r="474" spans="2:5">
      <c r="B474" s="170" t="s">
        <v>474</v>
      </c>
      <c r="D474" s="162">
        <v>479173953</v>
      </c>
      <c r="E474" s="163">
        <v>502339191</v>
      </c>
    </row>
    <row r="475" spans="2:5">
      <c r="B475" s="170" t="s">
        <v>107</v>
      </c>
      <c r="D475" s="162">
        <v>424646696</v>
      </c>
      <c r="E475" s="163">
        <v>598990469</v>
      </c>
    </row>
    <row r="476" spans="2:5">
      <c r="B476" s="170" t="s">
        <v>475</v>
      </c>
      <c r="D476" s="162">
        <v>332943153</v>
      </c>
      <c r="E476" s="163">
        <v>337428936</v>
      </c>
    </row>
    <row r="477" spans="2:5">
      <c r="B477" s="170" t="s">
        <v>476</v>
      </c>
      <c r="D477" s="162">
        <v>260082317</v>
      </c>
      <c r="E477" s="163">
        <v>439134746</v>
      </c>
    </row>
    <row r="478" spans="2:5">
      <c r="B478" s="170" t="s">
        <v>477</v>
      </c>
      <c r="D478" s="162">
        <v>253620135</v>
      </c>
      <c r="E478" s="163">
        <v>493991613</v>
      </c>
    </row>
    <row r="479" spans="2:5">
      <c r="B479" s="170" t="s">
        <v>478</v>
      </c>
      <c r="D479" s="162">
        <v>246972079</v>
      </c>
      <c r="E479" s="163">
        <v>359542363</v>
      </c>
    </row>
    <row r="480" spans="2:5">
      <c r="B480" s="170" t="s">
        <v>479</v>
      </c>
      <c r="D480" s="162">
        <v>193785974</v>
      </c>
      <c r="E480" s="163">
        <v>180052143</v>
      </c>
    </row>
    <row r="481" spans="2:5">
      <c r="B481" s="170" t="s">
        <v>111</v>
      </c>
      <c r="D481" s="162">
        <v>159855998</v>
      </c>
      <c r="E481" s="163">
        <v>185220770</v>
      </c>
    </row>
    <row r="482" spans="2:5">
      <c r="B482" s="170" t="s">
        <v>480</v>
      </c>
      <c r="D482" s="162">
        <v>153277102</v>
      </c>
      <c r="E482" s="163">
        <v>195411711</v>
      </c>
    </row>
    <row r="483" spans="2:5">
      <c r="B483" s="170" t="s">
        <v>481</v>
      </c>
      <c r="D483" s="162">
        <v>128604259</v>
      </c>
      <c r="E483" s="163">
        <v>99515238</v>
      </c>
    </row>
    <row r="484" spans="2:5">
      <c r="B484" s="170" t="s">
        <v>482</v>
      </c>
      <c r="D484" s="162">
        <v>38051796</v>
      </c>
      <c r="E484" s="163">
        <v>32660729</v>
      </c>
    </row>
    <row r="485" spans="2:5">
      <c r="B485" s="170" t="s">
        <v>483</v>
      </c>
      <c r="D485" s="162">
        <v>13186770</v>
      </c>
      <c r="E485" s="163">
        <v>24416506</v>
      </c>
    </row>
    <row r="486" spans="2:5">
      <c r="B486" s="231" t="s">
        <v>153</v>
      </c>
      <c r="C486" s="451"/>
      <c r="D486" s="181">
        <v>10615705258</v>
      </c>
      <c r="E486" s="250">
        <v>11476539005</v>
      </c>
    </row>
    <row r="488" spans="2:5">
      <c r="B488" s="394" t="s">
        <v>489</v>
      </c>
    </row>
    <row r="490" spans="2:5">
      <c r="B490" s="35" t="s">
        <v>491</v>
      </c>
    </row>
    <row r="492" spans="2:5">
      <c r="B492" s="231" t="s">
        <v>494</v>
      </c>
      <c r="C492" s="451"/>
      <c r="D492" s="407" t="s">
        <v>68</v>
      </c>
      <c r="E492" s="408" t="s">
        <v>69</v>
      </c>
    </row>
    <row r="493" spans="2:5">
      <c r="B493" s="170" t="s">
        <v>492</v>
      </c>
      <c r="D493" s="162">
        <v>2232524258</v>
      </c>
      <c r="E493" s="163">
        <v>2502990988</v>
      </c>
    </row>
    <row r="494" spans="2:5">
      <c r="B494" s="170" t="s">
        <v>493</v>
      </c>
      <c r="D494" s="162">
        <v>318830550</v>
      </c>
      <c r="E494" s="163">
        <v>307081288</v>
      </c>
    </row>
    <row r="495" spans="2:5">
      <c r="B495" s="231" t="s">
        <v>153</v>
      </c>
      <c r="C495" s="451"/>
      <c r="D495" s="181">
        <v>2551354808</v>
      </c>
      <c r="E495" s="250">
        <v>2810072276</v>
      </c>
    </row>
    <row r="497" spans="2:5">
      <c r="B497" s="35" t="s">
        <v>495</v>
      </c>
    </row>
    <row r="499" spans="2:5">
      <c r="B499" s="394" t="s">
        <v>501</v>
      </c>
      <c r="E499" s="228"/>
    </row>
    <row r="500" spans="2:5">
      <c r="E500" s="228"/>
    </row>
    <row r="501" spans="2:5">
      <c r="B501" s="35" t="s">
        <v>502</v>
      </c>
      <c r="E501" s="228"/>
    </row>
    <row r="502" spans="2:5">
      <c r="E502" s="409"/>
    </row>
    <row r="503" spans="2:5">
      <c r="B503" s="231" t="s">
        <v>509</v>
      </c>
      <c r="C503" s="451"/>
      <c r="D503" s="407" t="s">
        <v>68</v>
      </c>
      <c r="E503" s="408" t="s">
        <v>69</v>
      </c>
    </row>
    <row r="504" spans="2:5">
      <c r="B504" s="56" t="s">
        <v>503</v>
      </c>
      <c r="D504" s="85">
        <v>9310780807</v>
      </c>
      <c r="E504" s="86">
        <v>9996345728</v>
      </c>
    </row>
    <row r="505" spans="2:5">
      <c r="B505" s="417" t="s">
        <v>504</v>
      </c>
      <c r="D505" s="64"/>
      <c r="E505" s="65">
        <v>144872903</v>
      </c>
    </row>
    <row r="506" spans="2:5">
      <c r="B506" s="417" t="s">
        <v>505</v>
      </c>
      <c r="D506" s="64">
        <v>195230814</v>
      </c>
      <c r="E506" s="65">
        <v>57553</v>
      </c>
    </row>
    <row r="507" spans="2:5">
      <c r="B507" s="417" t="s">
        <v>506</v>
      </c>
      <c r="D507" s="64">
        <v>33567170</v>
      </c>
      <c r="E507" s="65">
        <v>2393</v>
      </c>
    </row>
    <row r="508" spans="2:5">
      <c r="B508" s="417" t="s">
        <v>507</v>
      </c>
      <c r="D508" s="64">
        <v>146278342</v>
      </c>
      <c r="E508" s="65">
        <v>692632515</v>
      </c>
    </row>
    <row r="509" spans="2:5">
      <c r="B509" s="417" t="s">
        <v>508</v>
      </c>
      <c r="D509" s="70">
        <v>824100926</v>
      </c>
      <c r="E509" s="71">
        <v>1078541687</v>
      </c>
    </row>
    <row r="510" spans="2:5">
      <c r="B510" s="231" t="s">
        <v>153</v>
      </c>
      <c r="C510" s="451"/>
      <c r="D510" s="181">
        <f>SUM(D504:D509)</f>
        <v>10509958059</v>
      </c>
      <c r="E510" s="250">
        <f>SUM(E504:E509)</f>
        <v>11912452779</v>
      </c>
    </row>
    <row r="512" spans="2:5">
      <c r="B512" s="231" t="s">
        <v>513</v>
      </c>
      <c r="C512" s="451"/>
      <c r="D512" s="407" t="s">
        <v>68</v>
      </c>
      <c r="E512" s="408" t="s">
        <v>69</v>
      </c>
    </row>
    <row r="513" spans="2:8">
      <c r="B513" s="417" t="s">
        <v>515</v>
      </c>
      <c r="D513" s="85">
        <v>2564292929</v>
      </c>
      <c r="E513" s="294">
        <v>-2861918604</v>
      </c>
    </row>
    <row r="514" spans="2:8">
      <c r="B514" s="231" t="s">
        <v>153</v>
      </c>
      <c r="C514" s="451"/>
      <c r="D514" s="181">
        <f>SUM(D513:D513)</f>
        <v>2564292929</v>
      </c>
      <c r="E514" s="331">
        <f>SUM(E513:E513)</f>
        <v>-2861918604</v>
      </c>
    </row>
    <row r="516" spans="2:8">
      <c r="B516" s="394" t="s">
        <v>514</v>
      </c>
    </row>
    <row r="518" spans="2:8">
      <c r="B518" s="35" t="s">
        <v>496</v>
      </c>
    </row>
    <row r="520" spans="2:8">
      <c r="B520" s="231" t="s">
        <v>494</v>
      </c>
      <c r="C520" s="446"/>
      <c r="D520" s="407" t="s">
        <v>68</v>
      </c>
      <c r="E520" s="408" t="s">
        <v>69</v>
      </c>
    </row>
    <row r="521" spans="2:8">
      <c r="B521" s="235" t="s">
        <v>497</v>
      </c>
      <c r="C521" s="456"/>
      <c r="D521" s="132">
        <v>-9222955990</v>
      </c>
      <c r="E521" s="410">
        <v>503449595</v>
      </c>
    </row>
    <row r="522" spans="2:8">
      <c r="B522" s="142" t="s">
        <v>498</v>
      </c>
      <c r="C522" s="458"/>
      <c r="D522" s="411">
        <v>0.1</v>
      </c>
      <c r="E522" s="412">
        <v>0.1</v>
      </c>
    </row>
    <row r="523" spans="2:8">
      <c r="B523" s="139" t="s">
        <v>499</v>
      </c>
      <c r="C523" s="458"/>
      <c r="D523" s="132">
        <v>-922295599</v>
      </c>
      <c r="E523" s="413">
        <v>50344960</v>
      </c>
    </row>
    <row r="524" spans="2:8">
      <c r="B524" s="142" t="s">
        <v>108</v>
      </c>
      <c r="C524" s="458"/>
      <c r="D524" s="120">
        <v>572117521</v>
      </c>
      <c r="E524" s="414">
        <v>4838625</v>
      </c>
    </row>
    <row r="525" spans="2:8">
      <c r="B525" s="415" t="s">
        <v>500</v>
      </c>
      <c r="C525" s="451"/>
      <c r="D525" s="399">
        <v>-350178078</v>
      </c>
      <c r="E525" s="416">
        <v>55183585</v>
      </c>
    </row>
    <row r="527" spans="2:8">
      <c r="B527" s="494" t="s">
        <v>516</v>
      </c>
      <c r="C527" s="494"/>
      <c r="D527" s="494"/>
      <c r="E527" s="494"/>
      <c r="F527" s="494"/>
      <c r="G527" s="494"/>
      <c r="H527" s="494"/>
    </row>
    <row r="529" spans="2:10">
      <c r="B529" s="419" t="s">
        <v>517</v>
      </c>
    </row>
    <row r="531" spans="2:10">
      <c r="B531" s="212" t="s">
        <v>518</v>
      </c>
    </row>
    <row r="533" spans="2:10">
      <c r="B533" s="420" t="s">
        <v>519</v>
      </c>
    </row>
    <row r="535" spans="2:10">
      <c r="B535" s="212" t="s">
        <v>520</v>
      </c>
    </row>
    <row r="537" spans="2:10">
      <c r="B537" s="420" t="s">
        <v>521</v>
      </c>
    </row>
    <row r="539" spans="2:10">
      <c r="B539" s="212" t="s">
        <v>522</v>
      </c>
    </row>
    <row r="541" spans="2:10">
      <c r="B541" s="421" t="s">
        <v>523</v>
      </c>
      <c r="C541" s="421"/>
      <c r="D541" s="421"/>
      <c r="E541" s="421"/>
      <c r="F541" s="421"/>
      <c r="G541" s="421"/>
      <c r="H541" s="421"/>
      <c r="I541" s="421"/>
      <c r="J541" s="421"/>
    </row>
    <row r="543" spans="2:10">
      <c r="B543" s="210" t="s">
        <v>524</v>
      </c>
    </row>
    <row r="545" spans="2:10" ht="14.45" customHeight="1">
      <c r="B545" s="537" t="s">
        <v>525</v>
      </c>
      <c r="C545" s="537"/>
      <c r="D545" s="537"/>
      <c r="E545" s="537"/>
      <c r="F545" s="537"/>
      <c r="G545" s="537"/>
      <c r="H545" s="537"/>
      <c r="I545" s="537"/>
      <c r="J545" s="537"/>
    </row>
    <row r="546" spans="2:10">
      <c r="B546" s="537"/>
      <c r="C546" s="537"/>
      <c r="D546" s="537"/>
      <c r="E546" s="537"/>
      <c r="F546" s="537"/>
      <c r="G546" s="537"/>
      <c r="H546" s="537"/>
      <c r="I546" s="537"/>
      <c r="J546" s="537"/>
    </row>
    <row r="548" spans="2:10">
      <c r="B548" s="210" t="s">
        <v>526</v>
      </c>
    </row>
    <row r="549" spans="2:10" ht="18">
      <c r="B549" s="422"/>
    </row>
    <row r="550" spans="2:10">
      <c r="B550" s="423" t="s">
        <v>527</v>
      </c>
    </row>
    <row r="552" spans="2:10">
      <c r="B552" s="363" t="s">
        <v>410</v>
      </c>
    </row>
    <row r="553" spans="2:10">
      <c r="B553" s="364" t="s">
        <v>412</v>
      </c>
    </row>
    <row r="554" spans="2:10">
      <c r="B554" s="364" t="s">
        <v>413</v>
      </c>
    </row>
    <row r="555" spans="2:10">
      <c r="B555" s="364" t="s">
        <v>414</v>
      </c>
    </row>
    <row r="556" spans="2:10">
      <c r="B556" s="364" t="s">
        <v>415</v>
      </c>
    </row>
    <row r="557" spans="2:10">
      <c r="B557" s="364" t="s">
        <v>416</v>
      </c>
    </row>
    <row r="558" spans="2:10">
      <c r="B558" s="364" t="s">
        <v>417</v>
      </c>
    </row>
    <row r="559" spans="2:10">
      <c r="B559" s="364" t="s">
        <v>411</v>
      </c>
    </row>
    <row r="561" spans="2:15">
      <c r="B561" s="424" t="s">
        <v>528</v>
      </c>
    </row>
    <row r="563" spans="2:15">
      <c r="B563" s="363" t="s">
        <v>529</v>
      </c>
    </row>
    <row r="565" spans="2:15">
      <c r="B565" s="425" t="s">
        <v>530</v>
      </c>
    </row>
    <row r="567" spans="2:15" ht="23.45" customHeight="1">
      <c r="B567" s="221" t="s">
        <v>256</v>
      </c>
      <c r="C567" s="35"/>
      <c r="D567" s="35"/>
      <c r="E567" s="35"/>
      <c r="F567" s="35"/>
      <c r="G567" s="35"/>
      <c r="H567" s="35"/>
      <c r="I567" s="35"/>
      <c r="J567" s="35"/>
      <c r="K567" s="35"/>
      <c r="L567" s="35"/>
      <c r="M567" s="35"/>
      <c r="N567" s="35"/>
      <c r="O567" s="35"/>
    </row>
    <row r="568" spans="2:15">
      <c r="B568" s="502" t="s">
        <v>257</v>
      </c>
      <c r="C568" s="502"/>
      <c r="D568" s="502"/>
      <c r="E568" s="502"/>
      <c r="F568" s="502"/>
      <c r="G568" s="502"/>
      <c r="H568" s="502"/>
      <c r="I568" s="502"/>
      <c r="J568" s="502"/>
      <c r="K568" s="502"/>
      <c r="L568" s="502"/>
      <c r="M568" s="502"/>
      <c r="N568" s="502"/>
      <c r="O568" s="502"/>
    </row>
    <row r="569" spans="2:15">
      <c r="B569" s="502"/>
      <c r="C569" s="502"/>
      <c r="D569" s="502"/>
      <c r="E569" s="502"/>
      <c r="F569" s="502"/>
      <c r="G569" s="502"/>
      <c r="H569" s="502"/>
      <c r="I569" s="502"/>
      <c r="J569" s="502"/>
      <c r="K569" s="502"/>
      <c r="L569" s="502"/>
      <c r="M569" s="502"/>
      <c r="N569" s="502"/>
      <c r="O569" s="502"/>
    </row>
    <row r="570" spans="2:15">
      <c r="B570" s="541" t="s">
        <v>258</v>
      </c>
      <c r="C570" s="541"/>
      <c r="D570" s="541"/>
      <c r="E570" s="541"/>
      <c r="F570" s="541"/>
      <c r="G570" s="541"/>
      <c r="H570" s="541"/>
      <c r="I570" s="541"/>
      <c r="J570" s="541"/>
      <c r="K570" s="541"/>
      <c r="L570" s="541"/>
      <c r="M570" s="541"/>
      <c r="N570" s="541"/>
      <c r="O570" s="541"/>
    </row>
    <row r="571" spans="2:15">
      <c r="B571" s="153" t="s">
        <v>259</v>
      </c>
      <c r="C571" s="220"/>
      <c r="D571" s="220"/>
      <c r="E571" s="220"/>
      <c r="F571" s="220"/>
      <c r="G571" s="220"/>
      <c r="H571" s="220"/>
      <c r="I571" s="220"/>
      <c r="J571" s="220"/>
      <c r="K571" s="220"/>
      <c r="L571" s="220"/>
      <c r="M571" s="220"/>
      <c r="N571" s="220"/>
      <c r="O571" s="220"/>
    </row>
    <row r="573" spans="2:15">
      <c r="B573" s="210" t="s">
        <v>531</v>
      </c>
    </row>
    <row r="575" spans="2:15">
      <c r="B575" s="426" t="s">
        <v>532</v>
      </c>
    </row>
    <row r="576" spans="2:15" ht="14.45" customHeight="1">
      <c r="B576" s="421" t="s">
        <v>535</v>
      </c>
      <c r="C576" s="421"/>
      <c r="D576" s="421"/>
      <c r="E576" s="421"/>
      <c r="F576" s="421"/>
      <c r="G576" s="421"/>
    </row>
    <row r="577" spans="2:15" ht="14.45" customHeight="1">
      <c r="B577" s="421" t="s">
        <v>533</v>
      </c>
      <c r="C577" s="421"/>
      <c r="D577" s="421"/>
      <c r="E577" s="421"/>
      <c r="F577" s="421"/>
      <c r="G577" s="421"/>
    </row>
    <row r="578" spans="2:15" ht="14.45" customHeight="1">
      <c r="B578" s="537" t="s">
        <v>534</v>
      </c>
      <c r="C578" s="537"/>
      <c r="D578" s="537"/>
      <c r="E578" s="537"/>
      <c r="F578" s="537"/>
      <c r="G578" s="537"/>
      <c r="H578" s="537"/>
      <c r="I578" s="537"/>
      <c r="J578" s="537"/>
      <c r="K578" s="537"/>
      <c r="L578" s="537"/>
      <c r="M578" s="537"/>
      <c r="N578" s="537"/>
      <c r="O578" s="537"/>
    </row>
    <row r="579" spans="2:15">
      <c r="B579" s="537"/>
      <c r="C579" s="537"/>
      <c r="D579" s="537"/>
      <c r="E579" s="537"/>
      <c r="F579" s="537"/>
      <c r="G579" s="537"/>
      <c r="H579" s="537"/>
      <c r="I579" s="537"/>
      <c r="J579" s="537"/>
      <c r="K579" s="537"/>
      <c r="L579" s="537"/>
      <c r="M579" s="537"/>
      <c r="N579" s="537"/>
      <c r="O579" s="537"/>
    </row>
    <row r="581" spans="2:15">
      <c r="B581" s="425" t="s">
        <v>536</v>
      </c>
    </row>
    <row r="583" spans="2:15" ht="14.45" customHeight="1">
      <c r="B583" s="421" t="s">
        <v>537</v>
      </c>
      <c r="C583" s="421"/>
      <c r="D583" s="421"/>
      <c r="E583" s="421"/>
      <c r="F583" s="421"/>
      <c r="G583" s="421"/>
      <c r="H583" s="421"/>
    </row>
  </sheetData>
  <mergeCells count="117">
    <mergeCell ref="B578:O579"/>
    <mergeCell ref="E332:E333"/>
    <mergeCell ref="B332:B333"/>
    <mergeCell ref="E404:E405"/>
    <mergeCell ref="B404:B405"/>
    <mergeCell ref="B545:J546"/>
    <mergeCell ref="B527:H527"/>
    <mergeCell ref="B370:C371"/>
    <mergeCell ref="D370:D371"/>
    <mergeCell ref="E370:E371"/>
    <mergeCell ref="B391:C392"/>
    <mergeCell ref="D391:D392"/>
    <mergeCell ref="E391:E392"/>
    <mergeCell ref="B570:O570"/>
    <mergeCell ref="I321:I322"/>
    <mergeCell ref="B344:C345"/>
    <mergeCell ref="D344:D345"/>
    <mergeCell ref="E344:E345"/>
    <mergeCell ref="B321:B322"/>
    <mergeCell ref="C321:E321"/>
    <mergeCell ref="F321:H321"/>
    <mergeCell ref="B260:I260"/>
    <mergeCell ref="B292:B293"/>
    <mergeCell ref="H292:J292"/>
    <mergeCell ref="E220:E221"/>
    <mergeCell ref="B220:C221"/>
    <mergeCell ref="B230:I230"/>
    <mergeCell ref="B234:C235"/>
    <mergeCell ref="D234:D235"/>
    <mergeCell ref="E234:E235"/>
    <mergeCell ref="B197:I197"/>
    <mergeCell ref="B199:I199"/>
    <mergeCell ref="B202:C202"/>
    <mergeCell ref="B203:C203"/>
    <mergeCell ref="G167:H167"/>
    <mergeCell ref="J167:K167"/>
    <mergeCell ref="B161:O162"/>
    <mergeCell ref="B164:J164"/>
    <mergeCell ref="B568:O569"/>
    <mergeCell ref="D166:E166"/>
    <mergeCell ref="G166:K166"/>
    <mergeCell ref="B210:C210"/>
    <mergeCell ref="B211:C211"/>
    <mergeCell ref="B212:C212"/>
    <mergeCell ref="B213:C213"/>
    <mergeCell ref="B216:I216"/>
    <mergeCell ref="B204:C204"/>
    <mergeCell ref="B205:C205"/>
    <mergeCell ref="B206:C206"/>
    <mergeCell ref="B207:C207"/>
    <mergeCell ref="B208:C208"/>
    <mergeCell ref="B209:C209"/>
    <mergeCell ref="K292:K293"/>
    <mergeCell ref="C292:G292"/>
    <mergeCell ref="D332:D333"/>
    <mergeCell ref="D404:D405"/>
    <mergeCell ref="B248:I248"/>
    <mergeCell ref="D220:D221"/>
    <mergeCell ref="B151:J151"/>
    <mergeCell ref="B146:O147"/>
    <mergeCell ref="B153:J153"/>
    <mergeCell ref="B155:O155"/>
    <mergeCell ref="B159:J159"/>
    <mergeCell ref="B138:J138"/>
    <mergeCell ref="B140:J140"/>
    <mergeCell ref="B142:J142"/>
    <mergeCell ref="B149:J149"/>
    <mergeCell ref="B130:C130"/>
    <mergeCell ref="B114:C114"/>
    <mergeCell ref="B119:C119"/>
    <mergeCell ref="B120:C120"/>
    <mergeCell ref="B136:J136"/>
    <mergeCell ref="B118:C118"/>
    <mergeCell ref="B122:J122"/>
    <mergeCell ref="B124:J124"/>
    <mergeCell ref="B126:J126"/>
    <mergeCell ref="B128:C128"/>
    <mergeCell ref="B129:C129"/>
    <mergeCell ref="B109:J109"/>
    <mergeCell ref="B111:J111"/>
    <mergeCell ref="B113:C113"/>
    <mergeCell ref="B115:C115"/>
    <mergeCell ref="B116:C116"/>
    <mergeCell ref="B117:C117"/>
    <mergeCell ref="B95:O96"/>
    <mergeCell ref="B98:J98"/>
    <mergeCell ref="B100:O100"/>
    <mergeCell ref="B104:N105"/>
    <mergeCell ref="B86:J86"/>
    <mergeCell ref="B88:O88"/>
    <mergeCell ref="B90:J90"/>
    <mergeCell ref="B92:O93"/>
    <mergeCell ref="B74:J74"/>
    <mergeCell ref="B76:O77"/>
    <mergeCell ref="B81:J81"/>
    <mergeCell ref="B83:O84"/>
    <mergeCell ref="B66:J66"/>
    <mergeCell ref="B68:O69"/>
    <mergeCell ref="B71:O72"/>
    <mergeCell ref="B54:J54"/>
    <mergeCell ref="B56:J56"/>
    <mergeCell ref="B58:O61"/>
    <mergeCell ref="B63:O64"/>
    <mergeCell ref="B34:O35"/>
    <mergeCell ref="B37:O38"/>
    <mergeCell ref="B44:I44"/>
    <mergeCell ref="B48:O49"/>
    <mergeCell ref="B51:O52"/>
    <mergeCell ref="B17:J17"/>
    <mergeCell ref="B19:O21"/>
    <mergeCell ref="B23:O24"/>
    <mergeCell ref="B26:O27"/>
    <mergeCell ref="B31:O32"/>
    <mergeCell ref="B7:J7"/>
    <mergeCell ref="B11:H11"/>
    <mergeCell ref="B13:J13"/>
    <mergeCell ref="B15:I15"/>
  </mergeCells>
  <pageMargins left="0.7" right="0.7" top="0.75" bottom="0.75" header="0.3" footer="0.3"/>
  <pageSetup scale="27" orientation="portrait" r:id="rId1"/>
  <rowBreaks count="2" manualBreakCount="2">
    <brk id="202" min="1" max="21" man="1"/>
    <brk id="310" min="1" max="21" man="1"/>
  </rowBreaks>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TTOS3jor01w2k6obXe/3jfAKyf51E1NbrdNj95Eq++c=</DigestValue>
    </Reference>
    <Reference Type="http://www.w3.org/2000/09/xmldsig#Object" URI="#idOfficeObject">
      <DigestMethod Algorithm="http://www.w3.org/2001/04/xmlenc#sha256"/>
      <DigestValue>AJ9EFK+XAsthj5PIm5936tFJ/6gggBA5puntum9rKCs=</DigestValue>
    </Reference>
    <Reference Type="http://uri.etsi.org/01903#SignedProperties" URI="#idSignedProperties">
      <Transforms>
        <Transform Algorithm="http://www.w3.org/TR/2001/REC-xml-c14n-20010315"/>
      </Transforms>
      <DigestMethod Algorithm="http://www.w3.org/2001/04/xmlenc#sha256"/>
      <DigestValue>bGnOcGBq36fDLspUr2LzlRPWts/P/o0a+0HeDNTc2HI=</DigestValue>
    </Reference>
  </SignedInfo>
  <SignatureValue>T29O1Qzg3IgL5/Jr8LdIjVoektMcHsfJ8ay3nvfj0GC0nsGADFtiHh9EfESIOHn53AafRm5Dkvq3
aVQyGQtSbE/lNgt+bvnf+O0YCNNXSattjrPPI1KKfe+YGcJTTlbTlyfPbHkVUWJbgJFrR1eSyVA1
im8lL5BAxz5/gDIbRSkifKCzk5ZiaC9KWT3SN1R2LHJVFUMO8p7OBnU4Brs0dwIidRTvkcU82JBJ
4Trh8WzRlsGETfmPWQ84afKcDu44QFoLMeMt/0eVrrJF25MdAIKBW2spR3Rml7R1BTSCLz9krYoj
Rq77IbHVjWt1YF/6G66g49yB0uJc10Q/o6KpUg==</SignatureValue>
  <KeyInfo>
    <X509Data>
      <X509Certificate>MIIHwDCCBaigAwIBAgIQXmEImX8zJMRggDUQ9S36ijANBgkqhkiG9w0BAQsFADBPMRcwFQYDVQQFEw5SVUMgODAwODAwOTktMDELMAkGA1UEBhMCUFkxETAPBgNVBAoMCFZJVCBTLkEuMRQwEgYDVQQDEwtDQS1WSVQgUy5BLjAeFw0yMTA0MjExNDIyMDhaFw0yMzA0MjExNDIyMDhaMIGaMRAwDgYDVQQqDAdPUkxBTkRPMRgwFgYDVQQEDA9QRU5ORVIgRMOcUktTRU4xETAPBgNVBAUTCENJODAyNzE4MSAwHgYDVQQDDBdPUkxBTkRPIFBFTk5FUiBEw5xSS1NFTjERMA8GA1UECwwIRklSTUEgRjIxFzAVBgNVBAoMDlBFUlNPTkEgRklTSUNBMQswCQYDVQQGEwJQWTCCASIwDQYJKoZIhvcNAQEBBQADggEPADCCAQoCggEBAMVxFNjq5I8xqbN75I8tY5yDsTLHITHqS3tMwbvIKs60O73YDWCLy/AVaIHx27ZCX1sdNRPP22YhDLo9gzp5oUGNmMKxFRyQFF4wo9S+cJ3yvHrKPAFJ0gK1GOTAQ6QuK1KMfhaTtFAEHoFEXstK4E5cNk3XS1c1m6yUt80T04qK4kPblRCPuz0N2W5fk7yd68dok0SE3/xW4VtJ/gGbNf4SzO8M/JkCnfDiIDrg6nWetv+RnFsVJxtTzQ6D2kDeYrwiRlBggkQmWCzfsJQy7+jKAAczADUEcl9pmuv05yEyEuKHpeZ5yVm82YvsAV172WVqclz69gNI+v7KgHmPW50CAwEAAaOCA0owggNGMAwGA1UdEwEB/wQCMAAwDgYDVR0PAQH/BAQDAgXgMCwGA1UdJQEB/wQiMCAGCCsGAQUFBwMEBggrBgEFBQcDAgYKKwYBBAGCNxQCAjAdBgNVHQ4EFgQUXTS1YrAHLhap+2hxgZ8H8HTg/Ww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gBgNVHREEGTAXgRVPUEVOTkVSQFBFTk5FUi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aD+gt9L9QGP6hB7vDibuqD5xvMa5XhxY88A042W4N2WUsK7OB4GtBS3gsl0/Y83gX+OH3EdvKjjYDkWt6dOjNJmZ/Ajyl5JHaJRabrNH1B6nDc6+rHsjPGRbvEhJCRBuqXtIO5x8897xm7Hwk9H1Q0y3KKlzRS9CZM7eIUXSXYiGzRpA0FAaLhF647w4Q747x8ecqGnxb2JygzG4Y5kfVASlS2GJkFeSnVX5l4IxNCe+uVUT7uRjdCNWbtYQd7ai17bOvvG9seFEo44UxTtmIL3AwNUv0zyDKBQ6wutETvfS9LDIV/htnnDl98CRinJxTyX7WYL/xRfVfL0HqG6HlGrqWns9oQnPlLtRQ/G/2w6Od1AdTnwhhZPotZbcmhuCieWiGvFkReA9uT6lxvfx5vU/JioFFEJd4cIulvB5fbLMICA+3nqvKv2ezaMSbh4f39LosQl9ZY3aG0xpQgjUvTWRIBOUaxkiif+pJTTyft2xsLo1fe8Hv14joRSr1640aKIRJCkVFy7YWAUAOrdWLPcBo5fum/xE06l2w2oXOQKJzvH296I/pb49qCQvO8352xhrlaiflEM4oz545NtEdhy0fYZfkrzwsDDZTVVkB9m3WnHaXVi91SQqY7Rpg1wozXxyVitMGdCoMGX9TIS3KErqLY6i8pqzzibYSs/Hzz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+ildauKHvl6e1LaayAWQoyexGD+BgWs68Qb5LUyUREg=</DigestValue>
      </Reference>
      <Reference URI="/xl/calcChain.xml?ContentType=application/vnd.openxmlformats-officedocument.spreadsheetml.calcChain+xml">
        <DigestMethod Algorithm="http://www.w3.org/2001/04/xmlenc#sha256"/>
        <DigestValue>7P8rPnCYyjASgEA//5j6myF6tQC6iSTUc+oadt/Fl70=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SsGv5QQ5DpIPZ/Jfn0KpbarzlylQZsYLoSy8HKYy0OM=</DigestValue>
      </Reference>
      <Reference URI="/xl/drawings/drawing2.xml?ContentType=application/vnd.openxmlformats-officedocument.drawing+xml">
        <DigestMethod Algorithm="http://www.w3.org/2001/04/xmlenc#sha256"/>
        <DigestValue>KkiEhYLEASzueylKfVMAgMJlnMH8Qhk5E9LClZVVmuA=</DigestValue>
      </Reference>
      <Reference URI="/xl/drawings/drawing3.xml?ContentType=application/vnd.openxmlformats-officedocument.drawing+xml">
        <DigestMethod Algorithm="http://www.w3.org/2001/04/xmlenc#sha256"/>
        <DigestValue>GFIYA85Ww9Sc02h1rWO/FdBKckhL0jsCM5SnIgyUldM=</DigestValue>
      </Reference>
      <Reference URI="/xl/drawings/drawing4.xml?ContentType=application/vnd.openxmlformats-officedocument.drawing+xml">
        <DigestMethod Algorithm="http://www.w3.org/2001/04/xmlenc#sha256"/>
        <DigestValue>HLhZNuBf3z+dt3pudrK2yZtkg5vUw+MS92zBWEp+9a0=</DigestValue>
      </Reference>
      <Reference URI="/xl/drawings/drawing5.xml?ContentType=application/vnd.openxmlformats-officedocument.drawing+xml">
        <DigestMethod Algorithm="http://www.w3.org/2001/04/xmlenc#sha256"/>
        <DigestValue>5C5faClJ35V4DbnsmlIGSeaVcnu6MACHMj2MLjb8IPQ=</DigestValue>
      </Reference>
      <Reference URI="/xl/drawings/drawing6.xml?ContentType=application/vnd.openxmlformats-officedocument.drawing+xml">
        <DigestMethod Algorithm="http://www.w3.org/2001/04/xmlenc#sha256"/>
        <DigestValue>bLfDwiiq/14zJvccpUqDXc5eyqAQKE6P2M0pIHl7xhE=</DigestValue>
      </Reference>
      <Reference URI="/xl/drawings/drawing7.xml?ContentType=application/vnd.openxmlformats-officedocument.drawing+xml">
        <DigestMethod Algorithm="http://www.w3.org/2001/04/xmlenc#sha256"/>
        <DigestValue>jbk90L5QWTqQJTkHmu3uNMoEmu0Rvq+YjFJmJ7cqKeM=</DigestValue>
      </Reference>
      <Reference URI="/xl/drawings/drawing8.xml?ContentType=application/vnd.openxmlformats-officedocument.drawing+xml">
        <DigestMethod Algorithm="http://www.w3.org/2001/04/xmlenc#sha256"/>
        <DigestValue>IeHTHZqJh++T5apscGKrfl0NTY7xsn+mA/8NUumyGoU=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8ByXgjaYrhHbSsRAZuNDA0pefFSy/Im0w4qSLzE2n/8=</DigestValue>
      </Reference>
      <Reference URI="/xl/externalLinks/externalLink1.xml?ContentType=application/vnd.openxmlformats-officedocument.spreadsheetml.externalLink+xml">
        <DigestMethod Algorithm="http://www.w3.org/2001/04/xmlenc#sha256"/>
        <DigestValue>OEDgw7D0iGE5DV2nZDwnD6yRTExz6yxhBQyrm+Z3fnU=</DigestValue>
      </Reference>
      <Reference URI="/xl/media/image1.jpeg?ContentType=image/jpeg">
        <DigestMethod Algorithm="http://www.w3.org/2001/04/xmlenc#sha256"/>
        <DigestValue>cmkU65pQL0P3XQj2DSC5NsJJYt+FVQZwZz8n9DziEvU=</DigestValue>
      </Reference>
      <Reference URI="/xl/printerSettings/printerSettings1.bin?ContentType=application/vnd.openxmlformats-officedocument.spreadsheetml.printerSettings">
        <DigestMethod Algorithm="http://www.w3.org/2001/04/xmlenc#sha256"/>
        <DigestValue>pf5U6yG09z6ie8rhDkj8v2bBKAFZPHeFtqEKwEwqTrE=</DigestValue>
      </Reference>
      <Reference URI="/xl/printerSettings/printerSettings2.bin?ContentType=application/vnd.openxmlformats-officedocument.spreadsheetml.printerSettings">
        <DigestMethod Algorithm="http://www.w3.org/2001/04/xmlenc#sha256"/>
        <DigestValue>pf5U6yG09z6ie8rhDkj8v2bBKAFZPHeFtqEKwEwqTrE=</DigestValue>
      </Reference>
      <Reference URI="/xl/sharedStrings.xml?ContentType=application/vnd.openxmlformats-officedocument.spreadsheetml.sharedStrings+xml">
        <DigestMethod Algorithm="http://www.w3.org/2001/04/xmlenc#sha256"/>
        <DigestValue>2ZK/ReKWQLt+wfwDsmfQQ51FsF/n4oZj1e7GTm4JH5o=</DigestValue>
      </Reference>
      <Reference URI="/xl/styles.xml?ContentType=application/vnd.openxmlformats-officedocument.spreadsheetml.styles+xml">
        <DigestMethod Algorithm="http://www.w3.org/2001/04/xmlenc#sha256"/>
        <DigestValue>Gf94/lGyha/S/QRjFg/LN4J9EettyBskZcmOzajWw0g=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YwmlTv4q1zDi2jxJrJYzGpPShZG6xQElP7xuTBF08h8=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irs/Pu/FzvxUJmFujRUwEQEL1S0ghz68+kVFgf3MIs8=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q/K5VMM6KGDvUM3VNnz8SnMahGEaRFxlfENGNJSyA4M=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9cg8PvYRhcF0mzdl+LSvIz2TGzbMdBV2dbDjHP5Euno=</DigestValue>
      </Reference>
      <Reference URI="/xl/worksheets/sheet1.xml?ContentType=application/vnd.openxmlformats-officedocument.spreadsheetml.worksheet+xml">
        <DigestMethod Algorithm="http://www.w3.org/2001/04/xmlenc#sha256"/>
        <DigestValue>YZdPwic4311aUvTi5bRlycSkRLVEsMLsOSjR5YIDaYY=</DigestValue>
      </Reference>
      <Reference URI="/xl/worksheets/sheet2.xml?ContentType=application/vnd.openxmlformats-officedocument.spreadsheetml.worksheet+xml">
        <DigestMethod Algorithm="http://www.w3.org/2001/04/xmlenc#sha256"/>
        <DigestValue>VIu510U/3V+2ktry2PRnVRoFZjg9hSXqA6/g1NYseOU=</DigestValue>
      </Reference>
      <Reference URI="/xl/worksheets/sheet3.xml?ContentType=application/vnd.openxmlformats-officedocument.spreadsheetml.worksheet+xml">
        <DigestMethod Algorithm="http://www.w3.org/2001/04/xmlenc#sha256"/>
        <DigestValue>DcBxmIkwvYILy8sJZVnPSQ1sAnLjmQ4zRUNBdhGv19M=</DigestValue>
      </Reference>
      <Reference URI="/xl/worksheets/sheet4.xml?ContentType=application/vnd.openxmlformats-officedocument.spreadsheetml.worksheet+xml">
        <DigestMethod Algorithm="http://www.w3.org/2001/04/xmlenc#sha256"/>
        <DigestValue>qhQHhXnlLUa6RRbWx1kL1Sy5B8LpDwXhPuwwzH/mWhk=</DigestValue>
      </Reference>
      <Reference URI="/xl/worksheets/sheet5.xml?ContentType=application/vnd.openxmlformats-officedocument.spreadsheetml.worksheet+xml">
        <DigestMethod Algorithm="http://www.w3.org/2001/04/xmlenc#sha256"/>
        <DigestValue>LUxOA3ANkxHsj2CZuf051MQLpUFTvnXpFWFfHNX+5JE=</DigestValue>
      </Reference>
      <Reference URI="/xl/worksheets/sheet6.xml?ContentType=application/vnd.openxmlformats-officedocument.spreadsheetml.worksheet+xml">
        <DigestMethod Algorithm="http://www.w3.org/2001/04/xmlenc#sha256"/>
        <DigestValue>SiMurKnKKGSIh8jlbQEmuUKJ3jEYQP+n/7O2r7oDVo4=</DigestValue>
      </Reference>
      <Reference URI="/xl/worksheets/sheet7.xml?ContentType=application/vnd.openxmlformats-officedocument.spreadsheetml.worksheet+xml">
        <DigestMethod Algorithm="http://www.w3.org/2001/04/xmlenc#sha256"/>
        <DigestValue>fLb/sn1/boWIQd1jTEfaiN9OJPhPQagGZ3WY3hMi3VI=</DigestValue>
      </Reference>
      <Reference URI="/xl/worksheets/sheet8.xml?ContentType=application/vnd.openxmlformats-officedocument.spreadsheetml.worksheet+xml">
        <DigestMethod Algorithm="http://www.w3.org/2001/04/xmlenc#sha256"/>
        <DigestValue>UyVNLgGJm4nf4Xlv0A3MqC2jKs9Fh+f+zAd3K960X5E=</DigestValue>
      </Reference>
    </Manifest>
    <SignatureProperties>
      <SignatureProperty Id="idSignatureTime" Target="#idPackageSignature">
        <mdssi:SignatureTime xmlns:mdssi="http://schemas.openxmlformats.org/package/2006/digital-signature">
          <mdssi:Format>YYYY-MM-DDThh:mm:ssTZD</mdssi:Format>
          <mdssi:Value>2021-04-29T14:58:31Z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16.0.12527/19</OfficeVersion>
          <ApplicationVersion>16.0.12527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2021-04-29T14:58:31Z</xd:SigningTime>
          <xd:SigningCertificate>
            <xd:Cert>
              <xd:CertDigest>
                <DigestMethod Algorithm="http://www.w3.org/2001/04/xmlenc#sha256"/>
                <DigestValue>mvby1m6eD+LjcTHndprCEVFiXJKMIlWUd+XEssKkliM=</DigestValue>
              </xd:CertDigest>
              <xd:IssuerSerial>
                <X509IssuerName>CN=CA-VIT S.A., O=VIT S.A., C=PY, SERIALNUMBER=RUC 80080099-0</X509IssuerName>
                <X509SerialNumber>125451258819612089320552372942387673738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QdaI4en2orz6nOdDYv9QJDimtTWk0G9MrLXk9k8vGq4=</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LYaauewS/Z/0CexIK/C/gutTAVvzGa9bP3I+bsdvtI8=</DigestValue>
    </Reference>
  </SignedInfo>
  <SignatureValue>ho/+cJJmG/RmL6Lssfu+DyZVPWbgdcWWayF3eancJGcDG/PZVb+AYwYmpu2+p1E02QmFw19Aidku
VEDl3ZkJ2nd4yQWZg3zneahFqp4g8HC5jdqwWTNwv/xvYYbeK8frb6eQVDiQhaKaPCtf23rT5w4d
AiNizLgX9Uq8RIbEbuhP7HOQivy6LnFC3W5tUn6igqb9INXBN0MXHhx+HeFOk1KqDnUpbUOy6k7f
ePLxFvKyEkxFyOZEWAPqYFoLeJZs/Zppa0KDird2VQMURcC3Ahcg/Lp3sDj4dzCSf5XlHH4CNPJG
h5gb/8Y8v8SkwqQmmeP8pchgsQJKnIAbCMj1zw==</SignatureValue>
  <KeyInfo>
    <X509Data>
      <X509Certificate>MIIH2jCCBcKgAwIBAgIQd2vTynvzmBVc1I/Y8UQFqzANBgkqhkiG9w0BAQsFADBPMRcwFQYDVQQFEw5SVUMgODAwODAwOTktMDELMAkGA1UEBhMCUFkxETAPBgNVBAoMCFZJVCBTLkEuMRQwEgYDVQQDEwtDQS1WSVQgUy5BLjAeFw0xOTA1MDkyMDM4NDhaFw0yMTA1MDkyMDM4NDhaMIGtMRYwFAYDVQQqDA1MSURBIFBBVFJJQ0lBMRswGQYDVQQEDBJJTlNGUkFOIERFIEZPTlNFQ0ExEjAQBgNVBAUTCUNJMjM0OTQ2OTEpMCcGA1UEAwwgTElEQSBQQVRSSUNJQSBJTlNGUkFOIERFIEZPTlNFQ0ExETAPBgNVBAsMCEZJUk1BIEYyMRcwFQYDVQQKDA5QRVJTT05BIEZJU0lDQTELMAkGA1UEBhMCUFkwggEiMA0GCSqGSIb3DQEBAQUAA4IBDwAwggEKAoIBAQDrQToq4yr+nTIXrk4c7ZMRdgT2JOgg5w1LcEZyxOt9q6sQYjnS5/GoYG10rxzJMNq/7t01ugL7RyMEg3vPpWG78ckxvNWeWMfVij36Wa2sfvUH49UW6J/jsh312J0orzMefBJAEd8dIKy4vNHM8iDD2UCH8H8WIc6VnCENbq7Kr4SZxPgN1vG1CNcQJorLRgi6l2tfTt/32+4xVJwXcV4nP+Lb0nok20oytrAkPf2ihoauxKjjygPSyP28PsaDEDdL4r3/AewIU/I2az17RUf7oYqSuZlG08uHuOst2dv8CDizAEJFJ6KxxsfyHt4R0rC3Bsdx+4HjlCWMqMbA74CPAgMBAAGjggNRMIIDTTAMBgNVHRMBAf8EAjAAMA4GA1UdDwEB/wQEAwIF4DAsBgNVHSUBAf8EIjAgBggrBgEFBQcDBAYIKwYBBQUHAwIGCisGAQQBgjcUAgIwHQYDVR0OBBYEFN7FLFuazr9E7y+2qIh+QOsGPAZx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JwYDVR0RBCAwHoEcTElEQS5JTlNGUkFOQERDT05TVUxU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Cj5iAgOrJqxbNAEN2tzSjgDxpQZIWkpr5IO12Ghdzml7iAWQj4cx6J/70Mg90pWB947+RzroCdUAOAEQw+4iWgG1cx93n2dFk385AoPeBFdyd1OO1zEQUC36x8Ab/yXe5EIQPbfWDuy233XBrlrKcPwBIAKh102AV3als5Dv7UsT9hCYwo6JPZneLtm2ytH+lIShXvNT0ud8e3viVjG0Kcc7hxnNctIvhVbC7XnleHvaDxcnJTuXEO15JcPNJm0ZWhniS5U5nmrphIPeQs4rMtufgvLEcxRoftaU2O4KtxNyAQWAbOPT7sOOU6cjZh2uGIuC8X3G12sy7Etj+NBSBPef2i6JeItN3nY2AI0KQrVFLBVakJnZu1PBmELXtiu9k+hwZSCWL04zGB+HlRPX8I4JXJIqBSmoWeYxcJPEihck+iChZhu4Vzk8lGqH0eTVRwYvoPYPo4vPnLPEa6FmXAI+9fwHKY5FiUDI6gyWH0+IiDqO00JZjTIwFueQRHVC7SnhVIzxbcyPCoo4Y9WkQj10LL8YrW+r1rR+ks1Vhpu0jCfFoXDlp6vPfzfwugo2DTm9kWg0fXmEXeoE5cVYVZ4FRKltFjZm8ygd8qfZdKns+eBhMawNqJYdR6F94PBe7A4Po0oI+sUXuGL6tzjZdEQrxT3twkUnLFmSfGD5j3z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+ildauKHvl6e1LaayAWQoyexGD+BgWs68Qb5LUyUREg=</DigestValue>
      </Reference>
      <Reference URI="/xl/calcChain.xml?ContentType=application/vnd.openxmlformats-officedocument.spreadsheetml.calcChain+xml">
        <DigestMethod Algorithm="http://www.w3.org/2001/04/xmlenc#sha256"/>
        <DigestValue>7P8rPnCYyjASgEA//5j6myF6tQC6iSTUc+oadt/Fl70=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SsGv5QQ5DpIPZ/Jfn0KpbarzlylQZsYLoSy8HKYy0OM=</DigestValue>
      </Reference>
      <Reference URI="/xl/drawings/drawing2.xml?ContentType=application/vnd.openxmlformats-officedocument.drawing+xml">
        <DigestMethod Algorithm="http://www.w3.org/2001/04/xmlenc#sha256"/>
        <DigestValue>KkiEhYLEASzueylKfVMAgMJlnMH8Qhk5E9LClZVVmuA=</DigestValue>
      </Reference>
      <Reference URI="/xl/drawings/drawing3.xml?ContentType=application/vnd.openxmlformats-officedocument.drawing+xml">
        <DigestMethod Algorithm="http://www.w3.org/2001/04/xmlenc#sha256"/>
        <DigestValue>GFIYA85Ww9Sc02h1rWO/FdBKckhL0jsCM5SnIgyUldM=</DigestValue>
      </Reference>
      <Reference URI="/xl/drawings/drawing4.xml?ContentType=application/vnd.openxmlformats-officedocument.drawing+xml">
        <DigestMethod Algorithm="http://www.w3.org/2001/04/xmlenc#sha256"/>
        <DigestValue>HLhZNuBf3z+dt3pudrK2yZtkg5vUw+MS92zBWEp+9a0=</DigestValue>
      </Reference>
      <Reference URI="/xl/drawings/drawing5.xml?ContentType=application/vnd.openxmlformats-officedocument.drawing+xml">
        <DigestMethod Algorithm="http://www.w3.org/2001/04/xmlenc#sha256"/>
        <DigestValue>5C5faClJ35V4DbnsmlIGSeaVcnu6MACHMj2MLjb8IPQ=</DigestValue>
      </Reference>
      <Reference URI="/xl/drawings/drawing6.xml?ContentType=application/vnd.openxmlformats-officedocument.drawing+xml">
        <DigestMethod Algorithm="http://www.w3.org/2001/04/xmlenc#sha256"/>
        <DigestValue>bLfDwiiq/14zJvccpUqDXc5eyqAQKE6P2M0pIHl7xhE=</DigestValue>
      </Reference>
      <Reference URI="/xl/drawings/drawing7.xml?ContentType=application/vnd.openxmlformats-officedocument.drawing+xml">
        <DigestMethod Algorithm="http://www.w3.org/2001/04/xmlenc#sha256"/>
        <DigestValue>jbk90L5QWTqQJTkHmu3uNMoEmu0Rvq+YjFJmJ7cqKeM=</DigestValue>
      </Reference>
      <Reference URI="/xl/drawings/drawing8.xml?ContentType=application/vnd.openxmlformats-officedocument.drawing+xml">
        <DigestMethod Algorithm="http://www.w3.org/2001/04/xmlenc#sha256"/>
        <DigestValue>IeHTHZqJh++T5apscGKrfl0NTY7xsn+mA/8NUumyGoU=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8ByXgjaYrhHbSsRAZuNDA0pefFSy/Im0w4qSLzE2n/8=</DigestValue>
      </Reference>
      <Reference URI="/xl/externalLinks/externalLink1.xml?ContentType=application/vnd.openxmlformats-officedocument.spreadsheetml.externalLink+xml">
        <DigestMethod Algorithm="http://www.w3.org/2001/04/xmlenc#sha256"/>
        <DigestValue>OEDgw7D0iGE5DV2nZDwnD6yRTExz6yxhBQyrm+Z3fnU=</DigestValue>
      </Reference>
      <Reference URI="/xl/media/image1.jpeg?ContentType=image/jpeg">
        <DigestMethod Algorithm="http://www.w3.org/2001/04/xmlenc#sha256"/>
        <DigestValue>cmkU65pQL0P3XQj2DSC5NsJJYt+FVQZwZz8n9DziEvU=</DigestValue>
      </Reference>
      <Reference URI="/xl/printerSettings/printerSettings1.bin?ContentType=application/vnd.openxmlformats-officedocument.spreadsheetml.printerSettings">
        <DigestMethod Algorithm="http://www.w3.org/2001/04/xmlenc#sha256"/>
        <DigestValue>pf5U6yG09z6ie8rhDkj8v2bBKAFZPHeFtqEKwEwqTrE=</DigestValue>
      </Reference>
      <Reference URI="/xl/printerSettings/printerSettings2.bin?ContentType=application/vnd.openxmlformats-officedocument.spreadsheetml.printerSettings">
        <DigestMethod Algorithm="http://www.w3.org/2001/04/xmlenc#sha256"/>
        <DigestValue>pf5U6yG09z6ie8rhDkj8v2bBKAFZPHeFtqEKwEwqTrE=</DigestValue>
      </Reference>
      <Reference URI="/xl/sharedStrings.xml?ContentType=application/vnd.openxmlformats-officedocument.spreadsheetml.sharedStrings+xml">
        <DigestMethod Algorithm="http://www.w3.org/2001/04/xmlenc#sha256"/>
        <DigestValue>2ZK/ReKWQLt+wfwDsmfQQ51FsF/n4oZj1e7GTm4JH5o=</DigestValue>
      </Reference>
      <Reference URI="/xl/styles.xml?ContentType=application/vnd.openxmlformats-officedocument.spreadsheetml.styles+xml">
        <DigestMethod Algorithm="http://www.w3.org/2001/04/xmlenc#sha256"/>
        <DigestValue>Gf94/lGyha/S/QRjFg/LN4J9EettyBskZcmOzajWw0g=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YwmlTv4q1zDi2jxJrJYzGpPShZG6xQElP7xuTBF08h8=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irs/Pu/FzvxUJmFujRUwEQEL1S0ghz68+kVFgf3MIs8=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q/K5VMM6KGDvUM3VNnz8SnMahGEaRFxlfENGNJSyA4M=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9cg8PvYRhcF0mzdl+LSvIz2TGzbMdBV2dbDjHP5Euno=</DigestValue>
      </Reference>
      <Reference URI="/xl/worksheets/sheet1.xml?ContentType=application/vnd.openxmlformats-officedocument.spreadsheetml.worksheet+xml">
        <DigestMethod Algorithm="http://www.w3.org/2001/04/xmlenc#sha256"/>
        <DigestValue>YZdPwic4311aUvTi5bRlycSkRLVEsMLsOSjR5YIDaYY=</DigestValue>
      </Reference>
      <Reference URI="/xl/worksheets/sheet2.xml?ContentType=application/vnd.openxmlformats-officedocument.spreadsheetml.worksheet+xml">
        <DigestMethod Algorithm="http://www.w3.org/2001/04/xmlenc#sha256"/>
        <DigestValue>VIu510U/3V+2ktry2PRnVRoFZjg9hSXqA6/g1NYseOU=</DigestValue>
      </Reference>
      <Reference URI="/xl/worksheets/sheet3.xml?ContentType=application/vnd.openxmlformats-officedocument.spreadsheetml.worksheet+xml">
        <DigestMethod Algorithm="http://www.w3.org/2001/04/xmlenc#sha256"/>
        <DigestValue>DcBxmIkwvYILy8sJZVnPSQ1sAnLjmQ4zRUNBdhGv19M=</DigestValue>
      </Reference>
      <Reference URI="/xl/worksheets/sheet4.xml?ContentType=application/vnd.openxmlformats-officedocument.spreadsheetml.worksheet+xml">
        <DigestMethod Algorithm="http://www.w3.org/2001/04/xmlenc#sha256"/>
        <DigestValue>qhQHhXnlLUa6RRbWx1kL1Sy5B8LpDwXhPuwwzH/mWhk=</DigestValue>
      </Reference>
      <Reference URI="/xl/worksheets/sheet5.xml?ContentType=application/vnd.openxmlformats-officedocument.spreadsheetml.worksheet+xml">
        <DigestMethod Algorithm="http://www.w3.org/2001/04/xmlenc#sha256"/>
        <DigestValue>LUxOA3ANkxHsj2CZuf051MQLpUFTvnXpFWFfHNX+5JE=</DigestValue>
      </Reference>
      <Reference URI="/xl/worksheets/sheet6.xml?ContentType=application/vnd.openxmlformats-officedocument.spreadsheetml.worksheet+xml">
        <DigestMethod Algorithm="http://www.w3.org/2001/04/xmlenc#sha256"/>
        <DigestValue>SiMurKnKKGSIh8jlbQEmuUKJ3jEYQP+n/7O2r7oDVo4=</DigestValue>
      </Reference>
      <Reference URI="/xl/worksheets/sheet7.xml?ContentType=application/vnd.openxmlformats-officedocument.spreadsheetml.worksheet+xml">
        <DigestMethod Algorithm="http://www.w3.org/2001/04/xmlenc#sha256"/>
        <DigestValue>fLb/sn1/boWIQd1jTEfaiN9OJPhPQagGZ3WY3hMi3VI=</DigestValue>
      </Reference>
      <Reference URI="/xl/worksheets/sheet8.xml?ContentType=application/vnd.openxmlformats-officedocument.spreadsheetml.worksheet+xml">
        <DigestMethod Algorithm="http://www.w3.org/2001/04/xmlenc#sha256"/>
        <DigestValue>UyVNLgGJm4nf4Xlv0A3MqC2jKs9Fh+f+zAd3K960X5E=</DigestValue>
      </Reference>
    </Manifest>
    <SignatureProperties>
      <SignatureProperty Id="idSignatureTime" Target="#idPackageSignature">
        <mdssi:SignatureTime xmlns:mdssi="http://schemas.openxmlformats.org/package/2006/digital-signature">
          <mdssi:Format>YYYY-MM-DDThh:mm:ssTZD</mdssi:Format>
          <mdssi:Value>2021-04-29T15:52:57Z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2021-04-29T15:52:57Z</xd:SigningTime>
          <xd:SigningCertificate>
            <xd:Cert>
              <xd:CertDigest>
                <DigestMethod Algorithm="http://www.w3.org/2001/04/xmlenc#sha256"/>
                <DigestValue>3n02O1cm9U1d2MLpymjEUeW3ePDrJvaHcRFE5yACz40=</DigestValue>
              </xd:CertDigest>
              <xd:IssuerSerial>
                <X509IssuerName>CN=CA-VIT S.A., O=VIT S.A., C=PY, SERIALNUMBER=RUC 80080099-0</X509IssuerName>
                <X509SerialNumber>158738002893144557191629399631537112491</X509SerialNumber>
              </xd:IssuerSerial>
            </xd:Cert>
          </xd:SigningCertificate>
          <xd:SignaturePolicyIdentifier>
            <xd:SignaturePolicyImplied/>
          </xd:SignaturePolicyIdentifier>
        </xd:SignedSignatureProperties>
      </xd: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SmTfTCjvYTa0iu7Py/zHr5/l4Fh2xnPhjsGL++/2m18=</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3F46C7QHLWIkrxfI1DFqc+q/zN0O3oDg3Y2aZoS2GW4=</DigestValue>
    </Reference>
  </SignedInfo>
  <SignatureValue>O1qiDUX2Ep+sS2fuWdVS82TIjZw0Djk4i/USDbdpZi4ga61zQU7VJNOliiESlMc4PYRZwNNR70Q2
E8SlvmVLH7TLH/YpPX6QEzXoAHn0RuBrAi3SNlEqHpElyZvD9j7iVFwneiNY38TEPXBQN+JbZZX3
SOVGgJ9PmCYm/hUTyVEo6SQ/T2OMq+JIM7cqF7SGieE4y+G0zCx8Rzqi969/OU2piaV/IpQuB28W
8NyaBtsp4GV6Y3j06IkLOts4spbmDlO5scqI/kIQnA36/Q/4cbNJLSiKnb/LU4icl0fZbROauT3+
Xcxan2AxrdOTjn4V93vZaa2yihW4GLcVT/2hjA==</SignatureValue>
  <KeyInfo>
    <X509Data>
      <X509Certificate>MIIHwDCCBaigAwIBAgIQVKAD9IJT/0xc1JSPB9OyHzANBgkqhkiG9w0BAQsFADBPMRcwFQYDVQQFEw5SVUMgODAwODAwOTktMDELMAkGA1UEBhMCUFkxETAPBgNVBAoMCFZJVCBTLkEuMRQwEgYDVQQDEwtDQS1WSVQgUy5BLjAeFw0xOTA1MDkyMDU4NTRaFw0yMTA1MDkyMDU4NTRaMIGaMQ8wDQYDVQQqDAZST05BTEQxGTAXBgNVBAQMEETDnFJLU0VOIEZFREVSQVUxETAPBgNVBAUTCENJODc0MTE3MSAwHgYDVQQDDBdST05BTEQgRMOcUktTRU4gRkVERVJBVTERMA8GA1UECwwIRklSTUEgRjIxFzAVBgNVBAoMDlBFUlNPTkEgRklTSUNBMQswCQYDVQQGEwJQWTCCASIwDQYJKoZIhvcNAQEBBQADggEPADCCAQoCggEBAM/yGVb9QLngmFMRqvfUuOYQGdOaB6rc4a9cA0e+fjZihoEdiy3zQq+3iDiqMKpztpMxV3Y/4Mp9srBcCqs2PS4hwcar5JI4GvKzO++5d0cl/mKnA2V8w+FeL8B3caqSmI+2HmAuun1kQqYIZTzxpjO1yERA4ps1OkhVEP1zfw22hYAW2tKlvV2PYKFomNGw4PhRv08/iqSXYE14LREjMoUQy5leUa5W+5/kcv8JXfYnzYyL8Z475BVYTC9fdLWu0AN8scs6UqzLXfzOxIXgDjrgG2guWbebSTaLEFPcCIChcE903k2EPe7cPEA1vdJb7vxG8LwKcFgtjHuPhmxyXnMCAwEAAaOCA0owggNGMAwGA1UdEwEB/wQCMAAwDgYDVR0PAQH/BAQDAgXgMCwGA1UdJQEB/wQiMCAGCCsGAQUFBwMEBggrBgEFBQcDAgYKKwYBBAGCNxQCAjAdBgNVHQ4EFgQUITHR+whsl1iQju31axl8L96fM7g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gBgNVHREEGTAXgRVSRFVFUktTRU5AVElHTy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NPoTEcjH4sMooryXwIsMfqE7LQ9vZJ4qapn4uphMnFLSA9WprAMO2HTX7EDNFVd77wYm4Rx/efl1Q5oOo/bFmxSvf1CXllCI7T3pzwbH2OffQ8bgTP34Giw9SkH7tFmwLpEzc1nK9op18nwMFXsPoaHd3IjiP4CRevYVq9Nlc5O96XCe4047qqpEAtwW5X0YO8qHZekreLkaurWJeinRPGI2ddqucyKAZMLlBkSptjhxMfsKMSWM+gW+fAOboSKbB51Gw5FOpHEmHTVR4e6fOZSJrkUrhm2ksD+c7pAEfov0JMbW2rIFbHetu/CllfUJ8+NCLwSCIpNOk775jsjyJMUTzQ3XYNct0k9bQU1w61ZIB6TO+Q63TakukN50QEzJBOMGkLVpRZEkFbdjvTqji2zXnHoVxkWJiErxLgQAVm6DsFPaSoZtCEd9affZdOPwuh4zZ2kJzKMZW6xsv2Zil+OhIzgTWmS9IRiV3Id8gEO6BMVqYIhrQd38A1x5HzRK4TOBzOFBOe3AfiBQIu7pGGSbsFVLBiTZkQf9s+hSSKrbrgu8D2r1RdWUquUhwjAd+pHNvgUsEhtWX92dPIsMMQNZwc3iGZ6wI7FYoVbXInNA3VeWWHfP9OKcxePVeGDCKQH7mWC53H9dIm4XJI7ieBrCwkALE8YPbWYNziG6IP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+ildauKHvl6e1LaayAWQoyexGD+BgWs68Qb5LUyUREg=</DigestValue>
      </Reference>
      <Reference URI="/xl/calcChain.xml?ContentType=application/vnd.openxmlformats-officedocument.spreadsheetml.calcChain+xml">
        <DigestMethod Algorithm="http://www.w3.org/2001/04/xmlenc#sha256"/>
        <DigestValue>7P8rPnCYyjASgEA//5j6myF6tQC6iSTUc+oadt/Fl70=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SsGv5QQ5DpIPZ/Jfn0KpbarzlylQZsYLoSy8HKYy0OM=</DigestValue>
      </Reference>
      <Reference URI="/xl/drawings/drawing2.xml?ContentType=application/vnd.openxmlformats-officedocument.drawing+xml">
        <DigestMethod Algorithm="http://www.w3.org/2001/04/xmlenc#sha256"/>
        <DigestValue>KkiEhYLEASzueylKfVMAgMJlnMH8Qhk5E9LClZVVmuA=</DigestValue>
      </Reference>
      <Reference URI="/xl/drawings/drawing3.xml?ContentType=application/vnd.openxmlformats-officedocument.drawing+xml">
        <DigestMethod Algorithm="http://www.w3.org/2001/04/xmlenc#sha256"/>
        <DigestValue>GFIYA85Ww9Sc02h1rWO/FdBKckhL0jsCM5SnIgyUldM=</DigestValue>
      </Reference>
      <Reference URI="/xl/drawings/drawing4.xml?ContentType=application/vnd.openxmlformats-officedocument.drawing+xml">
        <DigestMethod Algorithm="http://www.w3.org/2001/04/xmlenc#sha256"/>
        <DigestValue>HLhZNuBf3z+dt3pudrK2yZtkg5vUw+MS92zBWEp+9a0=</DigestValue>
      </Reference>
      <Reference URI="/xl/drawings/drawing5.xml?ContentType=application/vnd.openxmlformats-officedocument.drawing+xml">
        <DigestMethod Algorithm="http://www.w3.org/2001/04/xmlenc#sha256"/>
        <DigestValue>5C5faClJ35V4DbnsmlIGSeaVcnu6MACHMj2MLjb8IPQ=</DigestValue>
      </Reference>
      <Reference URI="/xl/drawings/drawing6.xml?ContentType=application/vnd.openxmlformats-officedocument.drawing+xml">
        <DigestMethod Algorithm="http://www.w3.org/2001/04/xmlenc#sha256"/>
        <DigestValue>bLfDwiiq/14zJvccpUqDXc5eyqAQKE6P2M0pIHl7xhE=</DigestValue>
      </Reference>
      <Reference URI="/xl/drawings/drawing7.xml?ContentType=application/vnd.openxmlformats-officedocument.drawing+xml">
        <DigestMethod Algorithm="http://www.w3.org/2001/04/xmlenc#sha256"/>
        <DigestValue>jbk90L5QWTqQJTkHmu3uNMoEmu0Rvq+YjFJmJ7cqKeM=</DigestValue>
      </Reference>
      <Reference URI="/xl/drawings/drawing8.xml?ContentType=application/vnd.openxmlformats-officedocument.drawing+xml">
        <DigestMethod Algorithm="http://www.w3.org/2001/04/xmlenc#sha256"/>
        <DigestValue>IeHTHZqJh++T5apscGKrfl0NTY7xsn+mA/8NUumyGoU=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8ByXgjaYrhHbSsRAZuNDA0pefFSy/Im0w4qSLzE2n/8=</DigestValue>
      </Reference>
      <Reference URI="/xl/externalLinks/externalLink1.xml?ContentType=application/vnd.openxmlformats-officedocument.spreadsheetml.externalLink+xml">
        <DigestMethod Algorithm="http://www.w3.org/2001/04/xmlenc#sha256"/>
        <DigestValue>OEDgw7D0iGE5DV2nZDwnD6yRTExz6yxhBQyrm+Z3fnU=</DigestValue>
      </Reference>
      <Reference URI="/xl/media/image1.jpeg?ContentType=image/jpeg">
        <DigestMethod Algorithm="http://www.w3.org/2001/04/xmlenc#sha256"/>
        <DigestValue>cmkU65pQL0P3XQj2DSC5NsJJYt+FVQZwZz8n9DziEvU=</DigestValue>
      </Reference>
      <Reference URI="/xl/printerSettings/printerSettings1.bin?ContentType=application/vnd.openxmlformats-officedocument.spreadsheetml.printerSettings">
        <DigestMethod Algorithm="http://www.w3.org/2001/04/xmlenc#sha256"/>
        <DigestValue>pf5U6yG09z6ie8rhDkj8v2bBKAFZPHeFtqEKwEwqTrE=</DigestValue>
      </Reference>
      <Reference URI="/xl/printerSettings/printerSettings2.bin?ContentType=application/vnd.openxmlformats-officedocument.spreadsheetml.printerSettings">
        <DigestMethod Algorithm="http://www.w3.org/2001/04/xmlenc#sha256"/>
        <DigestValue>pf5U6yG09z6ie8rhDkj8v2bBKAFZPHeFtqEKwEwqTrE=</DigestValue>
      </Reference>
      <Reference URI="/xl/sharedStrings.xml?ContentType=application/vnd.openxmlformats-officedocument.spreadsheetml.sharedStrings+xml">
        <DigestMethod Algorithm="http://www.w3.org/2001/04/xmlenc#sha256"/>
        <DigestValue>2ZK/ReKWQLt+wfwDsmfQQ51FsF/n4oZj1e7GTm4JH5o=</DigestValue>
      </Reference>
      <Reference URI="/xl/styles.xml?ContentType=application/vnd.openxmlformats-officedocument.spreadsheetml.styles+xml">
        <DigestMethod Algorithm="http://www.w3.org/2001/04/xmlenc#sha256"/>
        <DigestValue>Gf94/lGyha/S/QRjFg/LN4J9EettyBskZcmOzajWw0g=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YwmlTv4q1zDi2jxJrJYzGpPShZG6xQElP7xuTBF08h8=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irs/Pu/FzvxUJmFujRUwEQEL1S0ghz68+kVFgf3MIs8=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q/K5VMM6KGDvUM3VNnz8SnMahGEaRFxlfENGNJSyA4M=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9cg8PvYRhcF0mzdl+LSvIz2TGzbMdBV2dbDjHP5Euno=</DigestValue>
      </Reference>
      <Reference URI="/xl/worksheets/sheet1.xml?ContentType=application/vnd.openxmlformats-officedocument.spreadsheetml.worksheet+xml">
        <DigestMethod Algorithm="http://www.w3.org/2001/04/xmlenc#sha256"/>
        <DigestValue>YZdPwic4311aUvTi5bRlycSkRLVEsMLsOSjR5YIDaYY=</DigestValue>
      </Reference>
      <Reference URI="/xl/worksheets/sheet2.xml?ContentType=application/vnd.openxmlformats-officedocument.spreadsheetml.worksheet+xml">
        <DigestMethod Algorithm="http://www.w3.org/2001/04/xmlenc#sha256"/>
        <DigestValue>VIu510U/3V+2ktry2PRnVRoFZjg9hSXqA6/g1NYseOU=</DigestValue>
      </Reference>
      <Reference URI="/xl/worksheets/sheet3.xml?ContentType=application/vnd.openxmlformats-officedocument.spreadsheetml.worksheet+xml">
        <DigestMethod Algorithm="http://www.w3.org/2001/04/xmlenc#sha256"/>
        <DigestValue>DcBxmIkwvYILy8sJZVnPSQ1sAnLjmQ4zRUNBdhGv19M=</DigestValue>
      </Reference>
      <Reference URI="/xl/worksheets/sheet4.xml?ContentType=application/vnd.openxmlformats-officedocument.spreadsheetml.worksheet+xml">
        <DigestMethod Algorithm="http://www.w3.org/2001/04/xmlenc#sha256"/>
        <DigestValue>qhQHhXnlLUa6RRbWx1kL1Sy5B8LpDwXhPuwwzH/mWhk=</DigestValue>
      </Reference>
      <Reference URI="/xl/worksheets/sheet5.xml?ContentType=application/vnd.openxmlformats-officedocument.spreadsheetml.worksheet+xml">
        <DigestMethod Algorithm="http://www.w3.org/2001/04/xmlenc#sha256"/>
        <DigestValue>LUxOA3ANkxHsj2CZuf051MQLpUFTvnXpFWFfHNX+5JE=</DigestValue>
      </Reference>
      <Reference URI="/xl/worksheets/sheet6.xml?ContentType=application/vnd.openxmlformats-officedocument.spreadsheetml.worksheet+xml">
        <DigestMethod Algorithm="http://www.w3.org/2001/04/xmlenc#sha256"/>
        <DigestValue>SiMurKnKKGSIh8jlbQEmuUKJ3jEYQP+n/7O2r7oDVo4=</DigestValue>
      </Reference>
      <Reference URI="/xl/worksheets/sheet7.xml?ContentType=application/vnd.openxmlformats-officedocument.spreadsheetml.worksheet+xml">
        <DigestMethod Algorithm="http://www.w3.org/2001/04/xmlenc#sha256"/>
        <DigestValue>fLb/sn1/boWIQd1jTEfaiN9OJPhPQagGZ3WY3hMi3VI=</DigestValue>
      </Reference>
      <Reference URI="/xl/worksheets/sheet8.xml?ContentType=application/vnd.openxmlformats-officedocument.spreadsheetml.worksheet+xml">
        <DigestMethod Algorithm="http://www.w3.org/2001/04/xmlenc#sha256"/>
        <DigestValue>UyVNLgGJm4nf4Xlv0A3MqC2jKs9Fh+f+zAd3K960X5E=</DigestValue>
      </Reference>
    </Manifest>
    <SignatureProperties>
      <SignatureProperty Id="idSignatureTime" Target="#idPackageSignature">
        <mdssi:SignatureTime xmlns:mdssi="http://schemas.openxmlformats.org/package/2006/digital-signature">
          <mdssi:Format>YYYY-MM-DDThh:mm:ssTZD</mdssi:Format>
          <mdssi:Value>2021-04-29T20:30:56Z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2021-04-29T20:30:56Z</xd:SigningTime>
          <xd:SigningCertificate>
            <xd:Cert>
              <xd:CertDigest>
                <DigestMethod Algorithm="http://www.w3.org/2001/04/xmlenc#sha256"/>
                <DigestValue>nSmsPR2I+JDa6+15TzunIiidEL0G1K+n3Q3yAGJp36M=</DigestValue>
              </xd:CertDigest>
              <xd:IssuerSerial>
                <X509IssuerName>CN=CA-VIT S.A., O=VIT S.A., C=PY, SERIALNUMBER=RUC 80080099-0</X509IssuerName>
                <X509SerialNumber>112485999362533567911892006348464042527</X509SerialNumber>
              </xd:IssuerSerial>
            </xd:Cert>
          </xd:SigningCertificate>
          <xd:SignaturePolicyIdentifier>
            <xd:SignaturePolicyImplied/>
          </xd:SignaturePolicyIdentifier>
        </xd:SignedSignatureProperties>
      </xd: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Um6ztJSJXy6b9kPdnIPaXuVvF2D2Ew/w8Ri8tvRuBV8=</DigestValue>
    </Reference>
    <Reference Type="http://www.w3.org/2000/09/xmldsig#Object" URI="#idOfficeObject">
      <DigestMethod Algorithm="http://www.w3.org/2001/04/xmlenc#sha256"/>
      <DigestValue>iYeYM5SXN1aejBhYR/CqvHLIqup89NVL9Z74b38hGGI=</DigestValue>
    </Reference>
    <Reference Type="http://uri.etsi.org/01903#SignedProperties" URI="#idSignedProperties">
      <Transforms>
        <Transform Algorithm="http://www.w3.org/TR/2001/REC-xml-c14n-20010315"/>
      </Transforms>
      <DigestMethod Algorithm="http://www.w3.org/2001/04/xmlenc#sha256"/>
      <DigestValue>Stl4piH0zOPqHJoqrGYN4sdUBN/T0utrEoEsHqDlkGg=</DigestValue>
    </Reference>
  </SignedInfo>
  <SignatureValue>7oh1dG4ZnrwgM6M1t+dkBp5IhU+a/1ESeycxJgqpRDvlEFi6b/Q7nEUi7kzLGUqwvYtqz/9WB0o5
quvWTkv6kaXuqZP67tWGx/kdFzaynS7/wlUGe/UkhchTGvhGXvHKeoZXniLhZDBxHRzWTxW9YBkl
Ytbqe/Ov8bnPVLz0WDVnFoazhwCYcdE4s6KFCefU5e3tJdfn8ZlGaKoOkP97IUyhpUIdf7aT9GN8
40Sbl+B58oiSq2/WtvWCg6QzLCsvG4Y9nRR9gU2NI9A/5BzxdToKg3SubhOOBI1Fg6MTiKvM5t0c
Zu5/a2CHPuUvM+pUzBTqbuJHihkukSpesQ8Y2Q==</SignatureValue>
  <KeyInfo>
    <X509Data>
      <X509Certificate>MIIHyTCCBbGgAwIBAgIQAJUh5zmsmPte+0ABnWrHJzANBgkqhkiG9w0BAQsFADBPMRcwFQYDVQQFEw5SVUMgODAwODAwOTktMDELMAkGA1UEBhMCUFkxETAPBgNVBAoMCFZJVCBTLkEuMRQwEgYDVQQDEwtDQS1WSVQgUy5BLjAeFw0yMDA2MzAxMzM3MDVaFw0yMjA2MzAxMzM3MDVaMIGlMRYwFAYDVQQqDA1KQVZJRVIgQU5EUkVTMRcwFQYDVQQEDA5CRU5JVEVaIERVQVJURTESMBAGA1UEBRMJQ0kxMjIzNjAxMSUwIwYDVQQDDBxKQVZJRVIgQU5EUkVTIEJFTklURVogRFVBUlRFMREwDwYDVQQLDAhGSVJNQSBGMjEXMBUGA1UECgwOUEVSU09OQSBGSVNJQ0ExCzAJBgNVBAYTAlBZMIIBIjANBgkqhkiG9w0BAQEFAAOCAQ8AMIIBCgKCAQEA8DRiYBDZLHfDershDeNePmfvPollOGfBcenkhqOZvlFOr+NMncSXLVkuK4Th6aN824YptoFyCmThnWv9ZuPLawcGFPYv0aIl/iokExZDx+vAvzHo9XXrzbinn3vKBBQrKxx1lp6u4BTBMvrOS+ZXqeVBSinhxp63C/mOnYMLZEmU4Z+NWz5AAH4nejWVtqle0p3OEUPsStKWTbQrO/JNvN/FCpBb86qgiZk9OmuTCabWOkmxqKqv5SX6uMoD2q6np7UT5a3iNWmbtmvx9KdsXHZR4PJ/YuLNlBoUo4uabTHytKThzM5KebO8s6qoP5aHq0kkFdVdUCeM3nVJfTFqhwIDAQABo4IDSDCCA0QwDAYDVR0TAQH/BAIwADAOBgNVHQ8BAf8EBAMCBeAwLAYDVR0lAQH/BCIwIAYIKwYBBQUHAwQGCCsGAQUFBwMCBgorBgEEAYI3FAICMB0GA1UdDgQWBBTov264rhWl/lx1j/MDpY5F8RrcS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q6X6NMoy61Y3BYRk9sqWFhPhLte3l46mP011IozKSJMXLJrsT5jD3yBQzZFcwOVQrj0Yp2/PKrP7+7RcbWtW78z12dCKbjHs9NAmmDImpVQSfGio6zIM+6y6nY4pCvQZS024aS8XbxrhODswyiUVrij1EIpwjQ8mbImIXfl2HQ6g2ABGBLTXZbX6zi9Zyc+ZD88O5bqg0PhJn9c4N2MfDoK2u3zX8sllluG5J6cEP+R3TNNOV6BPWUEbhD3CYMeJr5BLq7Q2MZLxVBD561NJSmHLMf5Grqc8gfK/ulG7wXG9HKrTdPNWxGopcPmtklNxIaenr3WNpZHUGM5wiMsadvZoRS3YmOedUrtHu/ZLds5x/fFX3MW9bD8vRIw5Su64KDtJeScRZJXvNxxPrXcy81ca3QiBnOC4JHx1sFHLEmP6xS7Y0A/I1wktEEzizyYqOkJku/UKCcv8AKaTJrk8S2RzqcjrBjY70leTbxVyDvq853btsBvXMPBKYrvLK1Jl43WZOdRGkZpKJgr0ZUw/3iUeljypm/sKOFsh+nkGMxxUqglxSUrxNif/kH3uqF2Y7HoWkkkU5WbLab+T06vFDU0pHRtVO6S9OB18iUMD+9GwX6GnE/zeRnvnY/ORoz3AMDxksMbSf5r0PamuTLui8jHfoFHXT+mzfX+tW7YTUC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+ildauKHvl6e1LaayAWQoyexGD+BgWs68Qb5LUyUREg=</DigestValue>
      </Reference>
      <Reference URI="/xl/calcChain.xml?ContentType=application/vnd.openxmlformats-officedocument.spreadsheetml.calcChain+xml">
        <DigestMethod Algorithm="http://www.w3.org/2001/04/xmlenc#sha256"/>
        <DigestValue>7P8rPnCYyjASgEA//5j6myF6tQC6iSTUc+oadt/Fl70=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SsGv5QQ5DpIPZ/Jfn0KpbarzlylQZsYLoSy8HKYy0OM=</DigestValue>
      </Reference>
      <Reference URI="/xl/drawings/drawing2.xml?ContentType=application/vnd.openxmlformats-officedocument.drawing+xml">
        <DigestMethod Algorithm="http://www.w3.org/2001/04/xmlenc#sha256"/>
        <DigestValue>KkiEhYLEASzueylKfVMAgMJlnMH8Qhk5E9LClZVVmuA=</DigestValue>
      </Reference>
      <Reference URI="/xl/drawings/drawing3.xml?ContentType=application/vnd.openxmlformats-officedocument.drawing+xml">
        <DigestMethod Algorithm="http://www.w3.org/2001/04/xmlenc#sha256"/>
        <DigestValue>GFIYA85Ww9Sc02h1rWO/FdBKckhL0jsCM5SnIgyUldM=</DigestValue>
      </Reference>
      <Reference URI="/xl/drawings/drawing4.xml?ContentType=application/vnd.openxmlformats-officedocument.drawing+xml">
        <DigestMethod Algorithm="http://www.w3.org/2001/04/xmlenc#sha256"/>
        <DigestValue>HLhZNuBf3z+dt3pudrK2yZtkg5vUw+MS92zBWEp+9a0=</DigestValue>
      </Reference>
      <Reference URI="/xl/drawings/drawing5.xml?ContentType=application/vnd.openxmlformats-officedocument.drawing+xml">
        <DigestMethod Algorithm="http://www.w3.org/2001/04/xmlenc#sha256"/>
        <DigestValue>5C5faClJ35V4DbnsmlIGSeaVcnu6MACHMj2MLjb8IPQ=</DigestValue>
      </Reference>
      <Reference URI="/xl/drawings/drawing6.xml?ContentType=application/vnd.openxmlformats-officedocument.drawing+xml">
        <DigestMethod Algorithm="http://www.w3.org/2001/04/xmlenc#sha256"/>
        <DigestValue>bLfDwiiq/14zJvccpUqDXc5eyqAQKE6P2M0pIHl7xhE=</DigestValue>
      </Reference>
      <Reference URI="/xl/drawings/drawing7.xml?ContentType=application/vnd.openxmlformats-officedocument.drawing+xml">
        <DigestMethod Algorithm="http://www.w3.org/2001/04/xmlenc#sha256"/>
        <DigestValue>jbk90L5QWTqQJTkHmu3uNMoEmu0Rvq+YjFJmJ7cqKeM=</DigestValue>
      </Reference>
      <Reference URI="/xl/drawings/drawing8.xml?ContentType=application/vnd.openxmlformats-officedocument.drawing+xml">
        <DigestMethod Algorithm="http://www.w3.org/2001/04/xmlenc#sha256"/>
        <DigestValue>IeHTHZqJh++T5apscGKrfl0NTY7xsn+mA/8NUumyGoU=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8ByXgjaYrhHbSsRAZuNDA0pefFSy/Im0w4qSLzE2n/8=</DigestValue>
      </Reference>
      <Reference URI="/xl/externalLinks/externalLink1.xml?ContentType=application/vnd.openxmlformats-officedocument.spreadsheetml.externalLink+xml">
        <DigestMethod Algorithm="http://www.w3.org/2001/04/xmlenc#sha256"/>
        <DigestValue>OEDgw7D0iGE5DV2nZDwnD6yRTExz6yxhBQyrm+Z3fnU=</DigestValue>
      </Reference>
      <Reference URI="/xl/media/image1.jpeg?ContentType=image/jpeg">
        <DigestMethod Algorithm="http://www.w3.org/2001/04/xmlenc#sha256"/>
        <DigestValue>cmkU65pQL0P3XQj2DSC5NsJJYt+FVQZwZz8n9DziEvU=</DigestValue>
      </Reference>
      <Reference URI="/xl/printerSettings/printerSettings1.bin?ContentType=application/vnd.openxmlformats-officedocument.spreadsheetml.printerSettings">
        <DigestMethod Algorithm="http://www.w3.org/2001/04/xmlenc#sha256"/>
        <DigestValue>pf5U6yG09z6ie8rhDkj8v2bBKAFZPHeFtqEKwEwqTrE=</DigestValue>
      </Reference>
      <Reference URI="/xl/printerSettings/printerSettings2.bin?ContentType=application/vnd.openxmlformats-officedocument.spreadsheetml.printerSettings">
        <DigestMethod Algorithm="http://www.w3.org/2001/04/xmlenc#sha256"/>
        <DigestValue>pf5U6yG09z6ie8rhDkj8v2bBKAFZPHeFtqEKwEwqTrE=</DigestValue>
      </Reference>
      <Reference URI="/xl/sharedStrings.xml?ContentType=application/vnd.openxmlformats-officedocument.spreadsheetml.sharedStrings+xml">
        <DigestMethod Algorithm="http://www.w3.org/2001/04/xmlenc#sha256"/>
        <DigestValue>2ZK/ReKWQLt+wfwDsmfQQ51FsF/n4oZj1e7GTm4JH5o=</DigestValue>
      </Reference>
      <Reference URI="/xl/styles.xml?ContentType=application/vnd.openxmlformats-officedocument.spreadsheetml.styles+xml">
        <DigestMethod Algorithm="http://www.w3.org/2001/04/xmlenc#sha256"/>
        <DigestValue>Gf94/lGyha/S/QRjFg/LN4J9EettyBskZcmOzajWw0g=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YwmlTv4q1zDi2jxJrJYzGpPShZG6xQElP7xuTBF08h8=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irs/Pu/FzvxUJmFujRUwEQEL1S0ghz68+kVFgf3MIs8=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q/K5VMM6KGDvUM3VNnz8SnMahGEaRFxlfENGNJSyA4M=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9cg8PvYRhcF0mzdl+LSvIz2TGzbMdBV2dbDjHP5Euno=</DigestValue>
      </Reference>
      <Reference URI="/xl/worksheets/sheet1.xml?ContentType=application/vnd.openxmlformats-officedocument.spreadsheetml.worksheet+xml">
        <DigestMethod Algorithm="http://www.w3.org/2001/04/xmlenc#sha256"/>
        <DigestValue>YZdPwic4311aUvTi5bRlycSkRLVEsMLsOSjR5YIDaYY=</DigestValue>
      </Reference>
      <Reference URI="/xl/worksheets/sheet2.xml?ContentType=application/vnd.openxmlformats-officedocument.spreadsheetml.worksheet+xml">
        <DigestMethod Algorithm="http://www.w3.org/2001/04/xmlenc#sha256"/>
        <DigestValue>VIu510U/3V+2ktry2PRnVRoFZjg9hSXqA6/g1NYseOU=</DigestValue>
      </Reference>
      <Reference URI="/xl/worksheets/sheet3.xml?ContentType=application/vnd.openxmlformats-officedocument.spreadsheetml.worksheet+xml">
        <DigestMethod Algorithm="http://www.w3.org/2001/04/xmlenc#sha256"/>
        <DigestValue>DcBxmIkwvYILy8sJZVnPSQ1sAnLjmQ4zRUNBdhGv19M=</DigestValue>
      </Reference>
      <Reference URI="/xl/worksheets/sheet4.xml?ContentType=application/vnd.openxmlformats-officedocument.spreadsheetml.worksheet+xml">
        <DigestMethod Algorithm="http://www.w3.org/2001/04/xmlenc#sha256"/>
        <DigestValue>qhQHhXnlLUa6RRbWx1kL1Sy5B8LpDwXhPuwwzH/mWhk=</DigestValue>
      </Reference>
      <Reference URI="/xl/worksheets/sheet5.xml?ContentType=application/vnd.openxmlformats-officedocument.spreadsheetml.worksheet+xml">
        <DigestMethod Algorithm="http://www.w3.org/2001/04/xmlenc#sha256"/>
        <DigestValue>LUxOA3ANkxHsj2CZuf051MQLpUFTvnXpFWFfHNX+5JE=</DigestValue>
      </Reference>
      <Reference URI="/xl/worksheets/sheet6.xml?ContentType=application/vnd.openxmlformats-officedocument.spreadsheetml.worksheet+xml">
        <DigestMethod Algorithm="http://www.w3.org/2001/04/xmlenc#sha256"/>
        <DigestValue>SiMurKnKKGSIh8jlbQEmuUKJ3jEYQP+n/7O2r7oDVo4=</DigestValue>
      </Reference>
      <Reference URI="/xl/worksheets/sheet7.xml?ContentType=application/vnd.openxmlformats-officedocument.spreadsheetml.worksheet+xml">
        <DigestMethod Algorithm="http://www.w3.org/2001/04/xmlenc#sha256"/>
        <DigestValue>fLb/sn1/boWIQd1jTEfaiN9OJPhPQagGZ3WY3hMi3VI=</DigestValue>
      </Reference>
      <Reference URI="/xl/worksheets/sheet8.xml?ContentType=application/vnd.openxmlformats-officedocument.spreadsheetml.worksheet+xml">
        <DigestMethod Algorithm="http://www.w3.org/2001/04/xmlenc#sha256"/>
        <DigestValue>UyVNLgGJm4nf4Xlv0A3MqC2jKs9Fh+f+zAd3K960X5E=</DigestValue>
      </Reference>
    </Manifest>
    <SignatureProperties>
      <SignatureProperty Id="idSignatureTime" Target="#idPackageSignature">
        <mdssi:SignatureTime xmlns:mdssi="http://schemas.openxmlformats.org/package/2006/digital-signature">
          <mdssi:Format>YYYY-MM-DDThh:mm:ssTZD</mdssi:Format>
          <mdssi:Value>2021-04-29T21:26:14Z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16.0.13901/22</OfficeVersion>
          <ApplicationVersion>16.0.13901</ApplicationVersion>
          <Monitors>1</Monitors>
          <HorizontalResolution>3000</HorizontalResolution>
          <VerticalResolution>2000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2021-04-29T21:26:14Z</xd:SigningTime>
          <xd:SigningCertificate>
            <xd:Cert>
              <xd:CertDigest>
                <DigestMethod Algorithm="http://www.w3.org/2001/04/xmlenc#sha256"/>
                <DigestValue>bSJnxqapxlRAKk8RPZNSAHL561/3J249r/aI3AragL8=</DigestValue>
              </xd:CertDigest>
              <xd:IssuerSerial>
                <X509IssuerName>CN=CA-VIT S.A., O=VIT S.A., C=PY, SERIALNUMBER=RUC 80080099-0</X509IssuerName>
                <X509SerialNumber>774339870993453854309696577930446631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96CCBAA34616448FBC297C7A054588" ma:contentTypeVersion="13" ma:contentTypeDescription="Crear nuevo documento." ma:contentTypeScope="" ma:versionID="2c85d22f740236986ae24e83867fa4b4">
  <xsd:schema xmlns:xsd="http://www.w3.org/2001/XMLSchema" xmlns:xs="http://www.w3.org/2001/XMLSchema" xmlns:p="http://schemas.microsoft.com/office/2006/metadata/properties" xmlns:ns2="50cd21ce-157e-4cef-a9e1-719e8f6c805e" xmlns:ns3="e22f4d1c-4a35-40b6-96d5-1a9c7e49af38" targetNamespace="http://schemas.microsoft.com/office/2006/metadata/properties" ma:root="true" ma:fieldsID="1a7aa35641a8e42284fadc9e39b672bf" ns2:_="" ns3:_="">
    <xsd:import namespace="50cd21ce-157e-4cef-a9e1-719e8f6c805e"/>
    <xsd:import namespace="e22f4d1c-4a35-40b6-96d5-1a9c7e49af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d21ce-157e-4cef-a9e1-719e8f6c805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2f4d1c-4a35-40b6-96d5-1a9c7e49af38"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0cd21ce-157e-4cef-a9e1-719e8f6c805e" xsi:nil="true"/>
  </documentManagement>
</p:properties>
</file>

<file path=customXml/itemProps1.xml><?xml version="1.0" encoding="utf-8"?>
<ds:datastoreItem xmlns:ds="http://schemas.openxmlformats.org/officeDocument/2006/customXml" ds:itemID="{24C7E36A-6C11-457E-A35A-649144403840}"/>
</file>

<file path=customXml/itemProps2.xml><?xml version="1.0" encoding="utf-8"?>
<ds:datastoreItem xmlns:ds="http://schemas.openxmlformats.org/officeDocument/2006/customXml" ds:itemID="{06FEBB63-A75E-4274-A306-27ADB3C1B7DC}"/>
</file>

<file path=customXml/itemProps3.xml><?xml version="1.0" encoding="utf-8"?>
<ds:datastoreItem xmlns:ds="http://schemas.openxmlformats.org/officeDocument/2006/customXml" ds:itemID="{874A48BD-F0D4-4874-8620-88B9A41D86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Indice</vt:lpstr>
      <vt:lpstr>Portada</vt:lpstr>
      <vt:lpstr>Información Gral.</vt:lpstr>
      <vt:lpstr>EEFF</vt:lpstr>
      <vt:lpstr>EERR</vt:lpstr>
      <vt:lpstr>PN</vt:lpstr>
      <vt:lpstr>EFE</vt:lpstr>
      <vt:lpstr>Notas</vt:lpstr>
      <vt:lpstr>Notas!Área_de_impresión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Machuca</dc:creator>
  <cp:lastModifiedBy>user</cp:lastModifiedBy>
  <cp:lastPrinted>2021-04-28T15:02:48Z</cp:lastPrinted>
  <dcterms:created xsi:type="dcterms:W3CDTF">2021-04-26T17:32:46Z</dcterms:created>
  <dcterms:modified xsi:type="dcterms:W3CDTF">2021-04-29T14:58:21Z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0x0101008F96CCBAA34616448FBC297C7A054588</vt:lpwstr>
  </property>
</Properties>
</file>