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5.xml" ContentType="application/vnd.openxmlformats-officedocument.spreadsheetml.table+xml"/>
  <Override PartName="/_xmlsignatures/sig2.xml" ContentType="application/vnd.openxmlformats-package.digital-signature-xmlsignature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package/2006/relationships/digital-signature/origin" Target="_xmlsignatures/origin1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radersproparaguay.sharepoint.com/sites/Administracin/Documentos compartidos/General/Estados financieros/EEFF_TradersPro_Q2_Junio2023/"/>
    </mc:Choice>
  </mc:AlternateContent>
  <xr:revisionPtr revIDLastSave="0" documentId="10_ncr:200_{77AEC84B-DD6E-47AE-920B-0DE57F445D41}" xr6:coauthVersionLast="47" xr6:coauthVersionMax="47" xr10:uidLastSave="{00000000-0000-0000-0000-000000000000}"/>
  <workbookProtection workbookAlgorithmName="SHA-512" workbookHashValue="MLPLnh4QTR0WO2pgFWSzd/7Hbl+L8AJvpxsedKrxKkIGexy/pbisYjJ0VnAqvg2BHHHB6lagutj4aqFsmuBxiA==" workbookSaltValue="4lp7i+DKkyL5/0fPHrgx2A==" workbookSpinCount="100000" lockStructure="1"/>
  <bookViews>
    <workbookView xWindow="-108" yWindow="-108" windowWidth="23256" windowHeight="12456" tabRatio="870" firstSheet="3" activeTab="4" xr2:uid="{00000000-000D-0000-FFFF-FFFF00000000}"/>
  </bookViews>
  <sheets>
    <sheet name="Balance Gral 2022" sheetId="42" state="hidden" r:id="rId1"/>
    <sheet name="EERR al 2022" sheetId="43" state="hidden" r:id="rId2"/>
    <sheet name="INDICE" sheetId="33" r:id="rId3"/>
    <sheet name="INFORMAC GRAL DE LA EMP" sheetId="45" r:id="rId4"/>
    <sheet name="BALANCE GRAL" sheetId="1" r:id="rId5"/>
    <sheet name="ESTADOS DE RESULTADOS " sheetId="2" r:id="rId6"/>
    <sheet name="Flujo de TP Calculo DIC" sheetId="46" state="hidden" r:id="rId7"/>
    <sheet name="FLUJO DE EFECTIVO" sheetId="34" r:id="rId8"/>
    <sheet name="ESTADO DE VARIAC PN" sheetId="35" r:id="rId9"/>
    <sheet name="NOTAS A LOS ESTADOS CONTA. 1-4" sheetId="36" r:id="rId10"/>
    <sheet name="NOTA 5 A-C CRITERIOS ESPECIF." sheetId="37" r:id="rId11"/>
    <sheet name="NOTA D - DISPONIBILIDADES" sheetId="7" r:id="rId12"/>
    <sheet name="NOTA E - INVERSIONES" sheetId="44" r:id="rId13"/>
    <sheet name="NOTA F - CREDITOS" sheetId="41" r:id="rId14"/>
    <sheet name="NOTA G BIENES DE USO" sheetId="11" r:id="rId15"/>
    <sheet name="NOTA H CARGOS DIFERIDOS" sheetId="13" r:id="rId16"/>
    <sheet name=" NOTA I INTANGIBLES" sheetId="14" r:id="rId17"/>
    <sheet name="NOTA J OTROS ACTIVOS CTES y NO " sheetId="15" r:id="rId18"/>
    <sheet name="NOTA K PRESTAMOS" sheetId="17" r:id="rId19"/>
    <sheet name="NOTA L ACREED VARIOS" sheetId="18" r:id="rId20"/>
    <sheet name="NOTAS M-Q ACREED y CTAS A PAG" sheetId="16" r:id="rId21"/>
    <sheet name="NOTA R SALDOS Y TRANSACC" sheetId="19" r:id="rId22"/>
    <sheet name="NOTA S RESULTADOS CON PERS" sheetId="21" r:id="rId23"/>
    <sheet name=" NOTA T PATRIMONIO Y PREVIS" sheetId="22" r:id="rId24"/>
    <sheet name="NOTA V INGRESOS OPERATIVOS" sheetId="23" r:id="rId25"/>
    <sheet name="NOTA W OTROS GASTOS OPER" sheetId="24" r:id="rId26"/>
    <sheet name="NOTA X OTROS INGRESOS Y EGR" sheetId="25" r:id="rId27"/>
    <sheet name="NOTA Y RESULTADOS FINANC" sheetId="27" r:id="rId28"/>
    <sheet name="NOTA Z RESULT EXTRA" sheetId="28" r:id="rId29"/>
    <sheet name="NOTA 6 11 INFORMACIONES" sheetId="26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_FilterDatabase" localSheetId="5" hidden="1">'ESTADOS DE RESULTADOS '!$C$48:$J$72</definedName>
    <definedName name="_xlnm._FilterDatabase" localSheetId="11" hidden="1">'NOTA D - DISPONIBILIDADES'!$B$7:$D$20</definedName>
    <definedName name="_xlnm._FilterDatabase" localSheetId="12" hidden="1">'NOTA E - INVERSIONES'!$C$7:$G$39</definedName>
    <definedName name="_xlnm._FilterDatabase" localSheetId="21" hidden="1">'NOTA R SALDOS Y TRANSACC'!$B$8:$F$19</definedName>
    <definedName name="_MON_1268749014" localSheetId="10">#N/A</definedName>
    <definedName name="a" localSheetId="0">#REF!</definedName>
    <definedName name="a" localSheetId="1">#REF!</definedName>
    <definedName name="a" localSheetId="8">#N/A</definedName>
    <definedName name="a" localSheetId="7">#N/A</definedName>
    <definedName name="a" localSheetId="6">#REF!</definedName>
    <definedName name="a" localSheetId="10">#N/A</definedName>
    <definedName name="a" localSheetId="9">#N/A</definedName>
    <definedName name="a">#N/A</definedName>
    <definedName name="aa" localSheetId="0">#REF!</definedName>
    <definedName name="aa" localSheetId="1">#REF!</definedName>
    <definedName name="aa" localSheetId="8">#N/A</definedName>
    <definedName name="aa" localSheetId="7">#N/A</definedName>
    <definedName name="aa" localSheetId="6">#REF!</definedName>
    <definedName name="aa" localSheetId="10">#N/A</definedName>
    <definedName name="aa" localSheetId="9">#N/A</definedName>
    <definedName name="aa">#N/A</definedName>
    <definedName name="_xlnm.Print_Area" localSheetId="6">'Flujo de TP Calculo DIC'!$A$63:$E$95</definedName>
    <definedName name="_xlnm.Print_Area" localSheetId="25">#N/A</definedName>
    <definedName name="Broker">#REF!</definedName>
    <definedName name="BuiltIn_Print_Area" localSheetId="0">[1]anexos!#REF!</definedName>
    <definedName name="BuiltIn_Print_Area" localSheetId="1">[1]anexos!#REF!</definedName>
    <definedName name="BuiltIn_Print_Area" localSheetId="6">[1]anexos!#REF!</definedName>
    <definedName name="BuiltIn_Print_Area" localSheetId="3">[2]anexos!#REF!</definedName>
    <definedName name="BuiltIn_Print_Area" localSheetId="12">[2]anexos!#REF!</definedName>
    <definedName name="BuiltIn_Print_Area" localSheetId="13">[2]anexos!#REF!</definedName>
    <definedName name="BuiltIn_Print_Area">[2]anexos!#REF!</definedName>
    <definedName name="BuiltIn_Print_Area___0" localSheetId="0">'[1]Balance General Resol 950'!#REF!</definedName>
    <definedName name="BuiltIn_Print_Area___0" localSheetId="1">'[1]Balance General Resol 950'!#REF!</definedName>
    <definedName name="BuiltIn_Print_Area___0" localSheetId="6">'[1]Balance General Resol 950'!#REF!</definedName>
    <definedName name="BuiltIn_Print_Area___0" localSheetId="3">'[2]Balance General Resol 950'!#REF!</definedName>
    <definedName name="BuiltIn_Print_Area___0" localSheetId="12">'[2]Balance General Resol 950'!#REF!</definedName>
    <definedName name="BuiltIn_Print_Area___0" localSheetId="13">'[2]Balance General Resol 950'!#REF!</definedName>
    <definedName name="BuiltIn_Print_Area___0">'[2]Balance General Resol 950'!#REF!</definedName>
    <definedName name="BuiltIn_Print_Area___0___0" localSheetId="8">#N/A</definedName>
    <definedName name="BuiltIn_Print_Area___0___0" localSheetId="7">#N/A</definedName>
    <definedName name="BuiltIn_Print_Area___0___0" localSheetId="6">#REF!</definedName>
    <definedName name="BuiltIn_Print_Area___0___0" localSheetId="10">#N/A</definedName>
    <definedName name="BuiltIn_Print_Area___0___0" localSheetId="9">#N/A</definedName>
    <definedName name="BuiltIn_Print_Area___0___0">#N/A</definedName>
    <definedName name="BuiltIn_Print_Area___0___0___0___0" localSheetId="6">'[3]Flujos de efectivo'!#REF!</definedName>
    <definedName name="BuiltIn_Print_Area___0___0___0___0" localSheetId="3">'[4]Flujos de efectivo'!#REF!</definedName>
    <definedName name="BuiltIn_Print_Area___0___0___0___0" localSheetId="12">'[4]Flujos de efectivo'!#REF!</definedName>
    <definedName name="BuiltIn_Print_Area___0___0___0___0" localSheetId="13">'[4]Flujos de efectivo'!#REF!</definedName>
    <definedName name="BuiltIn_Print_Area___0___0___0___0">'[4]Flujos de efectivo'!#REF!</definedName>
    <definedName name="BuiltIn_Print_Area___0___0___0___0___0" localSheetId="8">#N/A</definedName>
    <definedName name="BuiltIn_Print_Area___0___0___0___0___0" localSheetId="7">#N/A</definedName>
    <definedName name="BuiltIn_Print_Area___0___0___0___0___0" localSheetId="6">#REF!</definedName>
    <definedName name="BuiltIn_Print_Area___0___0___0___0___0" localSheetId="10">#N/A</definedName>
    <definedName name="BuiltIn_Print_Area___0___0___0___0___0" localSheetId="9">#N/A</definedName>
    <definedName name="BuiltIn_Print_Area___0___0___0___0___0">#N/A</definedName>
    <definedName name="Clientes" localSheetId="0">#REF!</definedName>
    <definedName name="Clientes" localSheetId="1">#REF!</definedName>
    <definedName name="Clientes" localSheetId="8">#N/A</definedName>
    <definedName name="Clientes" localSheetId="7">#N/A</definedName>
    <definedName name="Clientes" localSheetId="6">#REF!</definedName>
    <definedName name="Clientes" localSheetId="10">#N/A</definedName>
    <definedName name="Clientes" localSheetId="9">#N/A</definedName>
    <definedName name="Clientes">#N/A</definedName>
    <definedName name="DATA16" localSheetId="0">#REF!</definedName>
    <definedName name="DATA16" localSheetId="1">#REF!</definedName>
    <definedName name="DATA16" localSheetId="8">#N/A</definedName>
    <definedName name="DATA16" localSheetId="7">#N/A</definedName>
    <definedName name="DATA16" localSheetId="6">#REF!</definedName>
    <definedName name="DATA16" localSheetId="10">#N/A</definedName>
    <definedName name="DATA16" localSheetId="9">#N/A</definedName>
    <definedName name="DATA16">#N/A</definedName>
    <definedName name="DATA17" localSheetId="0">#REF!</definedName>
    <definedName name="DATA17" localSheetId="1">#REF!</definedName>
    <definedName name="DATA17" localSheetId="8">#N/A</definedName>
    <definedName name="DATA17" localSheetId="7">#N/A</definedName>
    <definedName name="DATA17" localSheetId="6">#REF!</definedName>
    <definedName name="DATA17" localSheetId="10">#N/A</definedName>
    <definedName name="DATA17" localSheetId="9">#N/A</definedName>
    <definedName name="DATA17">#N/A</definedName>
    <definedName name="DATA18" localSheetId="0">#REF!</definedName>
    <definedName name="DATA18" localSheetId="1">#REF!</definedName>
    <definedName name="DATA18" localSheetId="8">#N/A</definedName>
    <definedName name="DATA18" localSheetId="7">#N/A</definedName>
    <definedName name="DATA18" localSheetId="6">#REF!</definedName>
    <definedName name="DATA18" localSheetId="10">#N/A</definedName>
    <definedName name="DATA18" localSheetId="9">#N/A</definedName>
    <definedName name="DATA18">#N/A</definedName>
    <definedName name="DATA20" localSheetId="0">#REF!</definedName>
    <definedName name="DATA20" localSheetId="1">#REF!</definedName>
    <definedName name="DATA20" localSheetId="8">#N/A</definedName>
    <definedName name="DATA20" localSheetId="7">#N/A</definedName>
    <definedName name="DATA20" localSheetId="6">#REF!</definedName>
    <definedName name="DATA20" localSheetId="10">#N/A</definedName>
    <definedName name="DATA20" localSheetId="9">#N/A</definedName>
    <definedName name="DATA20">#N/A</definedName>
    <definedName name="datos" localSheetId="0">#REF!</definedName>
    <definedName name="datos" localSheetId="1">#REF!</definedName>
    <definedName name="datos" localSheetId="8">#N/A</definedName>
    <definedName name="datos" localSheetId="7">#N/A</definedName>
    <definedName name="datos" localSheetId="6">#REF!</definedName>
    <definedName name="datos" localSheetId="10">#N/A</definedName>
    <definedName name="datos" localSheetId="9">#N/A</definedName>
    <definedName name="datos">#N/A</definedName>
    <definedName name="de">[5]anexos!#REF!</definedName>
    <definedName name="Enero">#REF!</definedName>
    <definedName name="k" localSheetId="0">#REF!</definedName>
    <definedName name="k" localSheetId="1">#REF!</definedName>
    <definedName name="k" localSheetId="8">#N/A</definedName>
    <definedName name="k" localSheetId="7">#N/A</definedName>
    <definedName name="k" localSheetId="6">#REF!</definedName>
    <definedName name="k" localSheetId="10">#N/A</definedName>
    <definedName name="k" localSheetId="9">#N/A</definedName>
    <definedName name="k">#N/A</definedName>
    <definedName name="klkl" localSheetId="0">#REF!</definedName>
    <definedName name="klkl" localSheetId="1">#REF!</definedName>
    <definedName name="klkl" localSheetId="8">#N/A</definedName>
    <definedName name="klkl" localSheetId="7">#N/A</definedName>
    <definedName name="klkl" localSheetId="6">#REF!</definedName>
    <definedName name="klkl" localSheetId="10">#N/A</definedName>
    <definedName name="klkl" localSheetId="9">#N/A</definedName>
    <definedName name="klkl">#N/A</definedName>
    <definedName name="klll" localSheetId="0">#REF!</definedName>
    <definedName name="klll" localSheetId="1">#REF!</definedName>
    <definedName name="klll" localSheetId="8">#N/A</definedName>
    <definedName name="klll" localSheetId="7">#N/A</definedName>
    <definedName name="klll" localSheetId="6">#REF!</definedName>
    <definedName name="klll" localSheetId="10">#N/A</definedName>
    <definedName name="klll" localSheetId="9">#N/A</definedName>
    <definedName name="klll">#N/A</definedName>
    <definedName name="Meses">#REF!</definedName>
    <definedName name="Precios">#REF!</definedName>
    <definedName name="ver" localSheetId="0">#REF!</definedName>
    <definedName name="ver" localSheetId="1">#REF!</definedName>
    <definedName name="ver" localSheetId="8">#N/A</definedName>
    <definedName name="ver" localSheetId="7">#N/A</definedName>
    <definedName name="ver" localSheetId="6">#REF!</definedName>
    <definedName name="ver" localSheetId="10">#N/A</definedName>
    <definedName name="ver" localSheetId="9">#N/A</definedName>
    <definedName name="ver">#N/A</definedName>
    <definedName name="verificar" localSheetId="0">#REF!</definedName>
    <definedName name="verificar" localSheetId="1">#REF!</definedName>
    <definedName name="verificar" localSheetId="8">#N/A</definedName>
    <definedName name="verificar" localSheetId="7">#N/A</definedName>
    <definedName name="verificar" localSheetId="6">#REF!</definedName>
    <definedName name="verificar" localSheetId="10">#N/A</definedName>
    <definedName name="verificar" localSheetId="9">#N/A</definedName>
    <definedName name="verificar">#N/A</definedName>
    <definedName name="zz" localSheetId="0">#REF!</definedName>
    <definedName name="zz" localSheetId="1">#REF!</definedName>
    <definedName name="zz" localSheetId="3">#REF!</definedName>
    <definedName name="zz" localSheetId="12">#REF!</definedName>
    <definedName name="zz" localSheetId="13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7" l="1"/>
  <c r="D14" i="27"/>
  <c r="D13" i="27"/>
  <c r="B9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D20" i="24"/>
  <c r="C20" i="24"/>
  <c r="B20" i="24"/>
  <c r="D10" i="24"/>
  <c r="D9" i="24" s="1"/>
  <c r="D8" i="24" s="1"/>
  <c r="D11" i="24"/>
  <c r="D12" i="24"/>
  <c r="D13" i="24"/>
  <c r="D14" i="24"/>
  <c r="D15" i="24"/>
  <c r="D16" i="24"/>
  <c r="D17" i="24"/>
  <c r="D18" i="24"/>
  <c r="C10" i="24"/>
  <c r="C9" i="24" s="1"/>
  <c r="C8" i="24" s="1"/>
  <c r="C11" i="24"/>
  <c r="C12" i="24"/>
  <c r="C13" i="24"/>
  <c r="C14" i="24"/>
  <c r="C15" i="24"/>
  <c r="C16" i="24"/>
  <c r="C17" i="24"/>
  <c r="C18" i="24"/>
  <c r="B10" i="24"/>
  <c r="B11" i="24"/>
  <c r="B12" i="24"/>
  <c r="B13" i="24"/>
  <c r="B14" i="24"/>
  <c r="B15" i="24"/>
  <c r="B16" i="24"/>
  <c r="B17" i="24"/>
  <c r="B18" i="24"/>
  <c r="B8" i="24"/>
  <c r="C19" i="23"/>
  <c r="C18" i="23"/>
  <c r="D10" i="23"/>
  <c r="D11" i="23"/>
  <c r="D12" i="23"/>
  <c r="D13" i="23"/>
  <c r="D14" i="23"/>
  <c r="D15" i="23"/>
  <c r="D16" i="23"/>
  <c r="D17" i="23"/>
  <c r="D18" i="23"/>
  <c r="D19" i="23"/>
  <c r="C10" i="23"/>
  <c r="C11" i="23"/>
  <c r="C12" i="23"/>
  <c r="C13" i="23"/>
  <c r="C14" i="23"/>
  <c r="C15" i="23"/>
  <c r="B19" i="23"/>
  <c r="B10" i="23"/>
  <c r="B11" i="23"/>
  <c r="B12" i="23"/>
  <c r="B13" i="23"/>
  <c r="B14" i="23"/>
  <c r="B15" i="23"/>
  <c r="B16" i="23"/>
  <c r="B17" i="23"/>
  <c r="B18" i="23"/>
  <c r="D9" i="23"/>
  <c r="D20" i="23" s="1"/>
  <c r="C9" i="23"/>
  <c r="B9" i="23"/>
  <c r="C20" i="21"/>
  <c r="B21" i="21"/>
  <c r="D8" i="18"/>
  <c r="F24" i="16"/>
  <c r="F27" i="16" s="1"/>
  <c r="D10" i="18"/>
  <c r="D9" i="18"/>
  <c r="D13" i="18"/>
  <c r="G11" i="1"/>
  <c r="D7" i="13"/>
  <c r="C19" i="41"/>
  <c r="C29" i="41"/>
  <c r="C20" i="41"/>
  <c r="C18" i="41"/>
  <c r="C11" i="41"/>
  <c r="C10" i="41"/>
  <c r="E45" i="44"/>
  <c r="G45" i="44"/>
  <c r="D45" i="44"/>
  <c r="G34" i="44"/>
  <c r="G26" i="44"/>
  <c r="F26" i="44"/>
  <c r="E26" i="44"/>
  <c r="C17" i="23" l="1"/>
  <c r="C16" i="23" s="1"/>
  <c r="C20" i="23" s="1"/>
  <c r="D15" i="18"/>
  <c r="D18" i="18" s="1"/>
  <c r="D35" i="7"/>
  <c r="D34" i="7"/>
  <c r="D33" i="7"/>
  <c r="D32" i="7"/>
  <c r="D30" i="7"/>
  <c r="D29" i="7"/>
  <c r="D28" i="7"/>
  <c r="D27" i="7"/>
  <c r="C14" i="7"/>
  <c r="C17" i="7"/>
  <c r="F95" i="37"/>
  <c r="F94" i="37"/>
  <c r="F96" i="37" s="1"/>
  <c r="F93" i="37"/>
  <c r="H95" i="37"/>
  <c r="H93" i="37"/>
  <c r="H97" i="37" s="1"/>
  <c r="K64" i="37"/>
  <c r="J64" i="37"/>
  <c r="J65" i="37" s="1"/>
  <c r="J21" i="37"/>
  <c r="J22" i="37" s="1"/>
  <c r="J23" i="37" s="1"/>
  <c r="J24" i="37" s="1"/>
  <c r="J25" i="37" s="1"/>
  <c r="J26" i="37" s="1"/>
  <c r="J27" i="37" s="1"/>
  <c r="J28" i="37" s="1"/>
  <c r="J20" i="37"/>
  <c r="E59" i="34"/>
  <c r="D21" i="46"/>
  <c r="C27" i="46"/>
  <c r="B44" i="46"/>
  <c r="C44" i="46" s="1"/>
  <c r="B47" i="46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E70" i="2"/>
  <c r="E71" i="2"/>
  <c r="E72" i="2"/>
  <c r="E73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49" i="2"/>
  <c r="F49" i="2"/>
  <c r="E49" i="2"/>
  <c r="E48" i="2" s="1"/>
  <c r="E26" i="2"/>
  <c r="E40" i="2"/>
  <c r="E35" i="2"/>
  <c r="E79" i="2"/>
  <c r="E88" i="2"/>
  <c r="E89" i="2"/>
  <c r="E86" i="2"/>
  <c r="E85" i="2"/>
  <c r="E24" i="2"/>
  <c r="E16" i="2"/>
  <c r="K28" i="35"/>
  <c r="K33" i="35" s="1"/>
  <c r="B28" i="35"/>
  <c r="K27" i="35"/>
  <c r="F76" i="2"/>
  <c r="F99" i="2" s="1"/>
  <c r="F103" i="2" s="1"/>
  <c r="F104" i="2" s="1"/>
  <c r="J29" i="37" l="1"/>
  <c r="J30" i="37" s="1"/>
  <c r="J31" i="37" s="1"/>
  <c r="J32" i="37" s="1"/>
  <c r="J33" i="37" s="1"/>
  <c r="J34" i="37" s="1"/>
  <c r="J35" i="37" s="1"/>
  <c r="J36" i="37" s="1"/>
  <c r="J37" i="37" s="1"/>
  <c r="J38" i="37" s="1"/>
  <c r="J39" i="37" s="1"/>
  <c r="J40" i="37" s="1"/>
  <c r="J41" i="37" s="1"/>
  <c r="J42" i="37" s="1"/>
  <c r="J43" i="37" s="1"/>
  <c r="J44" i="37" s="1"/>
  <c r="J45" i="37" s="1"/>
  <c r="J46" i="37" s="1"/>
  <c r="J47" i="37" s="1"/>
  <c r="J48" i="37" s="1"/>
  <c r="J49" i="37" s="1"/>
  <c r="J50" i="37" s="1"/>
  <c r="J51" i="37" s="1"/>
  <c r="J52" i="37" s="1"/>
  <c r="J53" i="37" s="1"/>
  <c r="J54" i="37" s="1"/>
  <c r="J55" i="37" s="1"/>
  <c r="J56" i="37" s="1"/>
  <c r="J57" i="37" s="1"/>
  <c r="K28" i="37"/>
  <c r="K65" i="37"/>
  <c r="J66" i="37"/>
  <c r="J67" i="37" s="1"/>
  <c r="D39" i="7"/>
  <c r="J68" i="37" l="1"/>
  <c r="J69" i="37" s="1"/>
  <c r="J70" i="37" s="1"/>
  <c r="J71" i="37" s="1"/>
  <c r="G11" i="22"/>
  <c r="G16" i="22"/>
  <c r="G7" i="22"/>
  <c r="C10" i="16"/>
  <c r="D13" i="21"/>
  <c r="D20" i="21" s="1"/>
  <c r="E17" i="19"/>
  <c r="D17" i="19"/>
  <c r="C17" i="19"/>
  <c r="B17" i="19"/>
  <c r="D16" i="18"/>
  <c r="D13" i="17"/>
  <c r="F8" i="13"/>
  <c r="F9" i="13"/>
  <c r="F10" i="13"/>
  <c r="F7" i="13"/>
  <c r="L10" i="11"/>
  <c r="L11" i="11"/>
  <c r="L12" i="11"/>
  <c r="L13" i="11"/>
  <c r="L14" i="11"/>
  <c r="L15" i="11"/>
  <c r="L17" i="11"/>
  <c r="L9" i="11"/>
  <c r="G10" i="11"/>
  <c r="G11" i="11"/>
  <c r="G12" i="11"/>
  <c r="G14" i="11"/>
  <c r="G15" i="11"/>
  <c r="G17" i="11"/>
  <c r="G9" i="11"/>
  <c r="C31" i="41"/>
  <c r="C22" i="41"/>
  <c r="C13" i="41"/>
  <c r="E70" i="44"/>
  <c r="D41" i="7"/>
  <c r="C20" i="7"/>
  <c r="E39" i="7"/>
  <c r="D20" i="7"/>
  <c r="E95" i="37"/>
  <c r="E93" i="37"/>
  <c r="I19" i="35"/>
  <c r="J19" i="35" s="1"/>
  <c r="J12" i="35"/>
  <c r="J13" i="35"/>
  <c r="J14" i="35"/>
  <c r="J16" i="35"/>
  <c r="J18" i="35"/>
  <c r="J20" i="35"/>
  <c r="J21" i="35"/>
  <c r="J22" i="35"/>
  <c r="J23" i="35"/>
  <c r="J24" i="35"/>
  <c r="D15" i="46"/>
  <c r="D39" i="46"/>
  <c r="D48" i="46"/>
  <c r="C29" i="46" s="1"/>
  <c r="C37" i="46"/>
  <c r="C26" i="46"/>
  <c r="D16" i="46"/>
  <c r="J72" i="37" l="1"/>
  <c r="J73" i="37" s="1"/>
  <c r="J74" i="37" s="1"/>
  <c r="J75" i="37" s="1"/>
  <c r="J76" i="37" s="1"/>
  <c r="J77" i="37" s="1"/>
  <c r="J78" i="37" s="1"/>
  <c r="J79" i="37" s="1"/>
  <c r="J80" i="37" s="1"/>
  <c r="J81" i="37" s="1"/>
  <c r="B53" i="46"/>
  <c r="D53" i="46" s="1"/>
  <c r="C25" i="46" s="1"/>
  <c r="D25" i="46" s="1"/>
  <c r="E37" i="46"/>
  <c r="E39" i="46"/>
  <c r="E35" i="46"/>
  <c r="E32" i="46"/>
  <c r="E28" i="46"/>
  <c r="C28" i="46" s="1"/>
  <c r="E27" i="46"/>
  <c r="E26" i="46"/>
  <c r="E25" i="46"/>
  <c r="E13" i="46"/>
  <c r="E9" i="46"/>
  <c r="B22" i="46"/>
  <c r="E21" i="46"/>
  <c r="E18" i="46"/>
  <c r="E17" i="46"/>
  <c r="E16" i="46"/>
  <c r="E15" i="46"/>
  <c r="E12" i="46"/>
  <c r="J82" i="37" l="1"/>
  <c r="J83" i="37" s="1"/>
  <c r="J84" i="37" s="1"/>
  <c r="J85" i="37" s="1"/>
  <c r="J86" i="37" s="1"/>
  <c r="E78" i="2"/>
  <c r="F8" i="2"/>
  <c r="E8" i="2"/>
  <c r="E7" i="1" l="1"/>
  <c r="H7" i="1" s="1"/>
  <c r="I56" i="45"/>
  <c r="H45" i="45"/>
  <c r="C12" i="22"/>
  <c r="E12" i="22" s="1"/>
  <c r="F7" i="22"/>
  <c r="C15" i="19"/>
  <c r="C16" i="19"/>
  <c r="E15" i="19"/>
  <c r="E16" i="19"/>
  <c r="D15" i="19"/>
  <c r="D16" i="19"/>
  <c r="B15" i="19"/>
  <c r="B16" i="19"/>
  <c r="C9" i="15"/>
  <c r="B47" i="41"/>
  <c r="B46" i="41"/>
  <c r="G63" i="44"/>
  <c r="E63" i="44"/>
  <c r="F63" i="44"/>
  <c r="D63" i="44"/>
  <c r="D65" i="44" s="1"/>
  <c r="F36" i="44"/>
  <c r="G36" i="44"/>
  <c r="E36" i="44"/>
  <c r="C44" i="7"/>
  <c r="C45" i="7"/>
  <c r="C46" i="7"/>
  <c r="C43" i="7"/>
  <c r="C47" i="7" l="1"/>
  <c r="D48" i="7" s="1"/>
  <c r="B20" i="46"/>
  <c r="A73" i="43" l="1"/>
  <c r="A74" i="43"/>
  <c r="A75" i="43"/>
  <c r="A76" i="43"/>
  <c r="A77" i="43"/>
  <c r="A78" i="43"/>
  <c r="A79" i="43"/>
  <c r="A80" i="43"/>
  <c r="A81" i="43"/>
  <c r="A82" i="43"/>
  <c r="A83" i="43"/>
  <c r="A84" i="43"/>
  <c r="A85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A83" i="42"/>
  <c r="A84" i="42"/>
  <c r="A85" i="42"/>
  <c r="A86" i="42"/>
  <c r="A87" i="42"/>
  <c r="A88" i="42"/>
  <c r="A89" i="42"/>
  <c r="A90" i="42"/>
  <c r="A91" i="42"/>
  <c r="A92" i="42"/>
  <c r="A93" i="42"/>
  <c r="A94" i="42"/>
  <c r="B83" i="42"/>
  <c r="B100" i="42" s="1"/>
  <c r="B84" i="42"/>
  <c r="B85" i="42"/>
  <c r="B86" i="42"/>
  <c r="B87" i="42"/>
  <c r="B88" i="42"/>
  <c r="B89" i="42"/>
  <c r="B90" i="42"/>
  <c r="B91" i="42"/>
  <c r="B92" i="42"/>
  <c r="B93" i="42"/>
  <c r="B94" i="42"/>
  <c r="B102" i="42" s="1"/>
  <c r="C13" i="28" l="1"/>
  <c r="C11" i="28" s="1"/>
  <c r="B50" i="46"/>
  <c r="D50" i="46" s="1"/>
  <c r="C18" i="46" s="1"/>
  <c r="C39" i="44"/>
  <c r="C66" i="44" s="1"/>
  <c r="C72" i="44" s="1"/>
  <c r="C38" i="44"/>
  <c r="B6" i="33" l="1"/>
  <c r="B7" i="46" s="1"/>
  <c r="D10" i="27"/>
  <c r="E14" i="19"/>
  <c r="D14" i="19"/>
  <c r="C14" i="19"/>
  <c r="B14" i="19"/>
  <c r="C8" i="22" l="1"/>
  <c r="B27" i="35" l="1"/>
  <c r="G10" i="44" l="1"/>
  <c r="F10" i="44"/>
  <c r="D40" i="7"/>
  <c r="A65" i="43" l="1"/>
  <c r="A66" i="43"/>
  <c r="A67" i="43"/>
  <c r="A68" i="43"/>
  <c r="A69" i="43"/>
  <c r="A70" i="43"/>
  <c r="A71" i="43"/>
  <c r="A72" i="43"/>
  <c r="B65" i="43"/>
  <c r="B66" i="43"/>
  <c r="B67" i="43"/>
  <c r="B68" i="43"/>
  <c r="B69" i="43"/>
  <c r="B70" i="43"/>
  <c r="B71" i="43"/>
  <c r="B72" i="43"/>
  <c r="B80" i="42"/>
  <c r="B81" i="42"/>
  <c r="B82" i="42"/>
  <c r="A80" i="42"/>
  <c r="A81" i="42"/>
  <c r="A82" i="42"/>
  <c r="D15" i="27"/>
  <c r="D9" i="27"/>
  <c r="D11" i="27" s="1"/>
  <c r="D11" i="25"/>
  <c r="D10" i="25" s="1"/>
  <c r="D12" i="25" s="1"/>
  <c r="E32" i="2" l="1"/>
  <c r="C47" i="41" l="1"/>
  <c r="D47" i="41" s="1"/>
  <c r="D8" i="23"/>
  <c r="C8" i="23"/>
  <c r="F19" i="19"/>
  <c r="E13" i="19"/>
  <c r="D13" i="19"/>
  <c r="C13" i="19"/>
  <c r="B13" i="19"/>
  <c r="C65" i="44"/>
  <c r="C71" i="44" s="1"/>
  <c r="F33" i="44"/>
  <c r="G29" i="44"/>
  <c r="F29" i="44"/>
  <c r="E29" i="44"/>
  <c r="E10" i="44"/>
  <c r="F23" i="44"/>
  <c r="F9" i="44" s="1"/>
  <c r="G23" i="44"/>
  <c r="E23" i="44"/>
  <c r="E9" i="44" l="1"/>
  <c r="E40" i="7"/>
  <c r="E47" i="7"/>
  <c r="D47" i="7"/>
  <c r="C7" i="7" l="1"/>
  <c r="D7" i="37"/>
  <c r="D91" i="37" s="1"/>
  <c r="I60" i="46" l="1"/>
  <c r="B67" i="46" s="1"/>
  <c r="H60" i="46"/>
  <c r="B66" i="46" s="1"/>
  <c r="D12" i="34" s="1"/>
  <c r="C93" i="46"/>
  <c r="F57" i="46"/>
  <c r="L57" i="46" s="1"/>
  <c r="F52" i="46"/>
  <c r="L52" i="46" s="1"/>
  <c r="F51" i="46"/>
  <c r="L51" i="46" s="1"/>
  <c r="M45" i="46"/>
  <c r="F45" i="46"/>
  <c r="F38" i="46"/>
  <c r="F36" i="46"/>
  <c r="F34" i="46"/>
  <c r="F33" i="46"/>
  <c r="N33" i="46" s="1"/>
  <c r="F31" i="46"/>
  <c r="L31" i="46" s="1"/>
  <c r="F30" i="46"/>
  <c r="J30" i="46" s="1"/>
  <c r="Q27" i="46"/>
  <c r="P27" i="46"/>
  <c r="R26" i="46"/>
  <c r="R25" i="46"/>
  <c r="R24" i="46"/>
  <c r="R23" i="46"/>
  <c r="F22" i="46"/>
  <c r="R21" i="46"/>
  <c r="F14" i="46"/>
  <c r="F11" i="46"/>
  <c r="J11" i="46" s="1"/>
  <c r="F50" i="46" l="1"/>
  <c r="L50" i="46" s="1"/>
  <c r="J60" i="46"/>
  <c r="B70" i="46" s="1"/>
  <c r="D26" i="34" s="1"/>
  <c r="R27" i="46"/>
  <c r="E40" i="46"/>
  <c r="F53" i="46"/>
  <c r="N53" i="46" s="1"/>
  <c r="F44" i="46"/>
  <c r="L44" i="46" s="1"/>
  <c r="F48" i="46"/>
  <c r="L48" i="46" s="1"/>
  <c r="F29" i="46"/>
  <c r="N29" i="46" s="1"/>
  <c r="B87" i="46" l="1"/>
  <c r="D62" i="46"/>
  <c r="B64" i="43" l="1"/>
  <c r="A64" i="43"/>
  <c r="D7" i="1"/>
  <c r="B57" i="43" l="1"/>
  <c r="B58" i="43"/>
  <c r="B59" i="43"/>
  <c r="B60" i="43"/>
  <c r="B61" i="43"/>
  <c r="B62" i="43"/>
  <c r="B63" i="43"/>
  <c r="A57" i="43"/>
  <c r="A58" i="43"/>
  <c r="A59" i="43"/>
  <c r="A60" i="43"/>
  <c r="A61" i="43"/>
  <c r="A62" i="43"/>
  <c r="A63" i="43"/>
  <c r="D54" i="34"/>
  <c r="E97" i="37" l="1"/>
  <c r="E99" i="37" s="1"/>
  <c r="E24" i="22"/>
  <c r="E12" i="19"/>
  <c r="D12" i="19"/>
  <c r="C12" i="19"/>
  <c r="B12" i="19"/>
  <c r="E11" i="19"/>
  <c r="B13" i="41"/>
  <c r="B12" i="41"/>
  <c r="E26" i="7"/>
  <c r="E42" i="7" s="1"/>
  <c r="D26" i="7"/>
  <c r="D42" i="7" s="1"/>
  <c r="D22" i="7"/>
  <c r="E71" i="44"/>
  <c r="D71" i="44"/>
  <c r="F38" i="44"/>
  <c r="A3" i="43"/>
  <c r="B3" i="43"/>
  <c r="H3" i="43"/>
  <c r="A4" i="43"/>
  <c r="B4" i="43"/>
  <c r="A5" i="43"/>
  <c r="B5" i="43"/>
  <c r="A6" i="43"/>
  <c r="B6" i="43"/>
  <c r="A7" i="43"/>
  <c r="B7" i="43"/>
  <c r="A8" i="43"/>
  <c r="B8" i="43"/>
  <c r="A9" i="43"/>
  <c r="B9" i="43"/>
  <c r="A10" i="43"/>
  <c r="B10" i="43"/>
  <c r="A11" i="43"/>
  <c r="B11" i="43"/>
  <c r="C11" i="43" s="1"/>
  <c r="A12" i="43"/>
  <c r="B12" i="43"/>
  <c r="A13" i="43"/>
  <c r="B13" i="43"/>
  <c r="A14" i="43"/>
  <c r="B14" i="43"/>
  <c r="A15" i="43"/>
  <c r="B15" i="43"/>
  <c r="C15" i="43" s="1"/>
  <c r="A16" i="43"/>
  <c r="B16" i="43"/>
  <c r="A17" i="43"/>
  <c r="B17" i="43"/>
  <c r="A18" i="43"/>
  <c r="B18" i="43"/>
  <c r="A19" i="43"/>
  <c r="B19" i="43"/>
  <c r="A20" i="43"/>
  <c r="B20" i="43"/>
  <c r="A21" i="43"/>
  <c r="B21" i="43"/>
  <c r="A22" i="43"/>
  <c r="B22" i="43"/>
  <c r="H22" i="43" s="1"/>
  <c r="A23" i="43"/>
  <c r="B23" i="43"/>
  <c r="A24" i="43"/>
  <c r="B24" i="43"/>
  <c r="A25" i="43"/>
  <c r="B25" i="43"/>
  <c r="A26" i="43"/>
  <c r="B26" i="43"/>
  <c r="C26" i="43" s="1"/>
  <c r="A27" i="43"/>
  <c r="B27" i="43"/>
  <c r="A28" i="43"/>
  <c r="B28" i="43"/>
  <c r="A29" i="43"/>
  <c r="B29" i="43"/>
  <c r="A30" i="43"/>
  <c r="B30" i="43"/>
  <c r="C30" i="43" s="1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C38" i="43" s="1"/>
  <c r="A39" i="43"/>
  <c r="B39" i="43"/>
  <c r="A40" i="43"/>
  <c r="B40" i="43"/>
  <c r="A41" i="43"/>
  <c r="B41" i="43"/>
  <c r="A42" i="43"/>
  <c r="B42" i="43"/>
  <c r="C42" i="43" s="1"/>
  <c r="A43" i="43"/>
  <c r="B43" i="43"/>
  <c r="A44" i="43"/>
  <c r="B44" i="43"/>
  <c r="A45" i="43"/>
  <c r="B45" i="43"/>
  <c r="A46" i="43"/>
  <c r="B46" i="43"/>
  <c r="C46" i="43" s="1"/>
  <c r="A47" i="43"/>
  <c r="B47" i="43"/>
  <c r="A48" i="43"/>
  <c r="B48" i="43"/>
  <c r="A49" i="43"/>
  <c r="B49" i="43"/>
  <c r="A50" i="43"/>
  <c r="B50" i="43"/>
  <c r="C50" i="43" s="1"/>
  <c r="A51" i="43"/>
  <c r="B51" i="43"/>
  <c r="A52" i="43"/>
  <c r="B52" i="43"/>
  <c r="A53" i="43"/>
  <c r="B53" i="43"/>
  <c r="A54" i="43"/>
  <c r="B54" i="43"/>
  <c r="C54" i="43" s="1"/>
  <c r="A55" i="43"/>
  <c r="B55" i="43"/>
  <c r="A56" i="43"/>
  <c r="B56" i="43"/>
  <c r="B79" i="42"/>
  <c r="A79" i="42"/>
  <c r="B78" i="42"/>
  <c r="A78" i="42"/>
  <c r="B77" i="42"/>
  <c r="A77" i="42"/>
  <c r="B76" i="42"/>
  <c r="A76" i="42"/>
  <c r="B75" i="42"/>
  <c r="A75" i="42"/>
  <c r="B74" i="42"/>
  <c r="A74" i="42"/>
  <c r="B73" i="42"/>
  <c r="A73" i="42"/>
  <c r="B72" i="42"/>
  <c r="A72" i="42"/>
  <c r="B71" i="42"/>
  <c r="A71" i="42"/>
  <c r="B70" i="42"/>
  <c r="A70" i="42"/>
  <c r="B69" i="42"/>
  <c r="A69" i="42"/>
  <c r="B68" i="42"/>
  <c r="A68" i="42"/>
  <c r="B67" i="42"/>
  <c r="A67" i="42"/>
  <c r="B66" i="42"/>
  <c r="A66" i="42"/>
  <c r="B65" i="42"/>
  <c r="A65" i="42"/>
  <c r="B64" i="42"/>
  <c r="A64" i="42"/>
  <c r="B63" i="42"/>
  <c r="A63" i="42"/>
  <c r="B62" i="42"/>
  <c r="A62" i="42"/>
  <c r="B61" i="42"/>
  <c r="A61" i="42"/>
  <c r="B60" i="42"/>
  <c r="B99" i="42" s="1"/>
  <c r="A60" i="42"/>
  <c r="B59" i="42"/>
  <c r="A59" i="42"/>
  <c r="B58" i="42"/>
  <c r="A58" i="42"/>
  <c r="B57" i="42"/>
  <c r="A57" i="42"/>
  <c r="B56" i="42"/>
  <c r="A56" i="42"/>
  <c r="B55" i="42"/>
  <c r="A55" i="42"/>
  <c r="B54" i="42"/>
  <c r="A54" i="42"/>
  <c r="B53" i="42"/>
  <c r="A53" i="42"/>
  <c r="B52" i="42"/>
  <c r="A52" i="42"/>
  <c r="B51" i="42"/>
  <c r="A51" i="42"/>
  <c r="B50" i="42"/>
  <c r="A50" i="42"/>
  <c r="B49" i="42"/>
  <c r="A49" i="42"/>
  <c r="B48" i="42"/>
  <c r="A48" i="42"/>
  <c r="B47" i="42"/>
  <c r="A47" i="42"/>
  <c r="B46" i="42"/>
  <c r="A46" i="42"/>
  <c r="B45" i="42"/>
  <c r="G20" i="42" s="1"/>
  <c r="A45" i="42"/>
  <c r="B44" i="42"/>
  <c r="A44" i="42"/>
  <c r="B43" i="42"/>
  <c r="A43" i="42"/>
  <c r="B42" i="42"/>
  <c r="A42" i="42"/>
  <c r="B41" i="42"/>
  <c r="A41" i="42"/>
  <c r="B40" i="42"/>
  <c r="A40" i="42"/>
  <c r="B39" i="42"/>
  <c r="A39" i="42"/>
  <c r="B38" i="42"/>
  <c r="A38" i="42"/>
  <c r="B37" i="42"/>
  <c r="A37" i="42"/>
  <c r="B36" i="42"/>
  <c r="A36" i="42"/>
  <c r="B35" i="42"/>
  <c r="A35" i="42"/>
  <c r="B34" i="42"/>
  <c r="A34" i="42"/>
  <c r="B33" i="42"/>
  <c r="A33" i="42"/>
  <c r="B32" i="42"/>
  <c r="A32" i="42"/>
  <c r="B31" i="42"/>
  <c r="A31" i="42"/>
  <c r="B30" i="42"/>
  <c r="A30" i="42"/>
  <c r="B29" i="42"/>
  <c r="A29" i="42"/>
  <c r="B28" i="42"/>
  <c r="A28" i="42"/>
  <c r="B27" i="42"/>
  <c r="A27" i="42"/>
  <c r="B26" i="42"/>
  <c r="A26" i="42"/>
  <c r="B25" i="42"/>
  <c r="A25" i="42"/>
  <c r="B24" i="42"/>
  <c r="A24" i="42"/>
  <c r="B23" i="42"/>
  <c r="A23" i="42"/>
  <c r="B22" i="42"/>
  <c r="A22" i="42"/>
  <c r="B21" i="42"/>
  <c r="A21" i="42"/>
  <c r="H20" i="42"/>
  <c r="B20" i="42"/>
  <c r="A20" i="42"/>
  <c r="H19" i="42"/>
  <c r="B19" i="42"/>
  <c r="A19" i="42"/>
  <c r="B18" i="42"/>
  <c r="A18" i="42"/>
  <c r="B17" i="42"/>
  <c r="A17" i="42"/>
  <c r="B16" i="42"/>
  <c r="A16" i="42"/>
  <c r="B15" i="42"/>
  <c r="A15" i="42"/>
  <c r="B14" i="42"/>
  <c r="A14" i="42"/>
  <c r="B17" i="7" s="1"/>
  <c r="B13" i="42"/>
  <c r="A13" i="42"/>
  <c r="B16" i="7" s="1"/>
  <c r="B12" i="42"/>
  <c r="A12" i="42"/>
  <c r="B15" i="7" s="1"/>
  <c r="B11" i="42"/>
  <c r="A11" i="42"/>
  <c r="B14" i="7" s="1"/>
  <c r="B10" i="42"/>
  <c r="A10" i="42"/>
  <c r="B13" i="7" s="1"/>
  <c r="B9" i="42"/>
  <c r="A9" i="42"/>
  <c r="B12" i="7" s="1"/>
  <c r="B8" i="42"/>
  <c r="A8" i="42"/>
  <c r="B11" i="7" s="1"/>
  <c r="B7" i="42"/>
  <c r="A7" i="42"/>
  <c r="B10" i="7" s="1"/>
  <c r="B6" i="42"/>
  <c r="A6" i="42"/>
  <c r="B9" i="7" s="1"/>
  <c r="B5" i="42"/>
  <c r="A5" i="42"/>
  <c r="B4" i="42"/>
  <c r="A4" i="42"/>
  <c r="B3" i="42"/>
  <c r="B98" i="42" s="1"/>
  <c r="A3" i="42"/>
  <c r="C19" i="43" l="1"/>
  <c r="C7" i="43"/>
  <c r="E18" i="19"/>
  <c r="G18" i="19" s="1"/>
  <c r="C76" i="43"/>
  <c r="C84" i="43"/>
  <c r="C77" i="43"/>
  <c r="C80" i="43"/>
  <c r="B87" i="43"/>
  <c r="B89" i="43" s="1"/>
  <c r="C78" i="43"/>
  <c r="C85" i="43"/>
  <c r="C74" i="43"/>
  <c r="C82" i="43"/>
  <c r="C73" i="43"/>
  <c r="C75" i="43"/>
  <c r="C79" i="43"/>
  <c r="C83" i="43"/>
  <c r="C81" i="43"/>
  <c r="E78" i="1"/>
  <c r="E77" i="1"/>
  <c r="G33" i="44"/>
  <c r="G9" i="44" s="1"/>
  <c r="C21" i="43"/>
  <c r="C17" i="43"/>
  <c r="C9" i="43"/>
  <c r="C52" i="43"/>
  <c r="C48" i="43"/>
  <c r="C44" i="43"/>
  <c r="F28" i="46"/>
  <c r="L28" i="46" s="1"/>
  <c r="C72" i="43"/>
  <c r="C66" i="43"/>
  <c r="C67" i="43"/>
  <c r="C65" i="43"/>
  <c r="C69" i="43"/>
  <c r="C71" i="43"/>
  <c r="C70" i="43"/>
  <c r="C68" i="43"/>
  <c r="C4" i="43"/>
  <c r="C53" i="43"/>
  <c r="C49" i="43"/>
  <c r="C45" i="43"/>
  <c r="C18" i="43"/>
  <c r="C14" i="43"/>
  <c r="C6" i="43"/>
  <c r="C41" i="43"/>
  <c r="C37" i="43"/>
  <c r="C33" i="43"/>
  <c r="C29" i="43"/>
  <c r="C25" i="43"/>
  <c r="H21" i="43"/>
  <c r="C5" i="43"/>
  <c r="C40" i="43"/>
  <c r="C36" i="43"/>
  <c r="C32" i="43"/>
  <c r="C28" i="43"/>
  <c r="C24" i="43"/>
  <c r="C55" i="43"/>
  <c r="C51" i="43"/>
  <c r="C47" i="43"/>
  <c r="C43" i="43"/>
  <c r="C8" i="43"/>
  <c r="C39" i="43"/>
  <c r="C35" i="43"/>
  <c r="C31" i="43"/>
  <c r="C27" i="43"/>
  <c r="C16" i="43"/>
  <c r="C22" i="43"/>
  <c r="C10" i="43"/>
  <c r="C20" i="43"/>
  <c r="C56" i="43"/>
  <c r="C13" i="43"/>
  <c r="C3" i="43"/>
  <c r="C64" i="43"/>
  <c r="C58" i="43"/>
  <c r="C62" i="43"/>
  <c r="C59" i="43"/>
  <c r="C63" i="43"/>
  <c r="C60" i="43"/>
  <c r="C61" i="43"/>
  <c r="C57" i="43"/>
  <c r="C34" i="43"/>
  <c r="F47" i="46"/>
  <c r="K47" i="46" s="1"/>
  <c r="G65" i="44"/>
  <c r="F65" i="44"/>
  <c r="G19" i="42"/>
  <c r="G18" i="42" s="1"/>
  <c r="C12" i="43"/>
  <c r="C23" i="43"/>
  <c r="H18" i="42"/>
  <c r="G3" i="42"/>
  <c r="I20" i="42"/>
  <c r="B101" i="42"/>
  <c r="E60" i="44" l="1"/>
  <c r="E65" i="44" s="1"/>
  <c r="G38" i="44"/>
  <c r="K60" i="46"/>
  <c r="B68" i="46" s="1"/>
  <c r="D11" i="34" s="1"/>
  <c r="I19" i="42"/>
  <c r="I18" i="42" s="1"/>
  <c r="C87" i="43"/>
  <c r="D11" i="19" l="1"/>
  <c r="C11" i="19"/>
  <c r="B11" i="19"/>
  <c r="F20" i="22"/>
  <c r="C21" i="41"/>
  <c r="C12" i="41"/>
  <c r="B22" i="41"/>
  <c r="B31" i="41" s="1"/>
  <c r="B19" i="11" s="1"/>
  <c r="B30" i="41"/>
  <c r="D6" i="14" s="1"/>
  <c r="B27" i="41"/>
  <c r="D12" i="41"/>
  <c r="B18" i="11" l="1"/>
  <c r="B21" i="41"/>
  <c r="C9" i="25" l="1"/>
  <c r="C8" i="25" s="1"/>
  <c r="C11" i="25"/>
  <c r="C10" i="25" s="1"/>
  <c r="C12" i="25" s="1"/>
  <c r="C7" i="24"/>
  <c r="D7" i="24"/>
  <c r="D7" i="25" s="1"/>
  <c r="G20" i="22"/>
  <c r="D7" i="27" l="1"/>
  <c r="D7" i="28"/>
  <c r="E18" i="2" l="1"/>
  <c r="E14" i="2"/>
  <c r="E84" i="2"/>
  <c r="E87" i="2"/>
  <c r="H14" i="2" l="1"/>
  <c r="B42" i="46"/>
  <c r="B43" i="46"/>
  <c r="F43" i="46" s="1"/>
  <c r="G43" i="46" s="1"/>
  <c r="E82" i="2"/>
  <c r="C26" i="22" l="1"/>
  <c r="E25" i="22"/>
  <c r="E22" i="22"/>
  <c r="D26" i="22"/>
  <c r="E35" i="16"/>
  <c r="E26" i="22" l="1"/>
  <c r="D23" i="23"/>
  <c r="C23" i="23"/>
  <c r="M9" i="11"/>
  <c r="F42" i="46" l="1"/>
  <c r="G42" i="46" s="1"/>
  <c r="K9" i="35"/>
  <c r="J9" i="35"/>
  <c r="E7" i="34"/>
  <c r="D7" i="34"/>
  <c r="B3" i="35"/>
  <c r="C3" i="34"/>
  <c r="C3" i="2"/>
  <c r="C3" i="1"/>
  <c r="C10" i="28"/>
  <c r="C8" i="28" s="1"/>
  <c r="C14" i="28" s="1"/>
  <c r="D10" i="28"/>
  <c r="D14" i="28"/>
  <c r="E11" i="13"/>
  <c r="C11" i="13"/>
  <c r="D20" i="34" l="1"/>
  <c r="C7" i="27" l="1"/>
  <c r="C7" i="28" s="1"/>
  <c r="C10" i="27"/>
  <c r="C9" i="27"/>
  <c r="C11" i="27" l="1"/>
  <c r="C7" i="25"/>
  <c r="D11" i="13" l="1"/>
  <c r="F20" i="37" l="1"/>
  <c r="F21" i="37" s="1"/>
  <c r="F22" i="37" l="1"/>
  <c r="F25" i="35"/>
  <c r="G27" i="35"/>
  <c r="I11" i="35"/>
  <c r="H11" i="35"/>
  <c r="F11" i="35"/>
  <c r="G11" i="35"/>
  <c r="E11" i="35"/>
  <c r="E27" i="35"/>
  <c r="C11" i="35"/>
  <c r="C27" i="35"/>
  <c r="D11" i="35"/>
  <c r="C14" i="27"/>
  <c r="C26" i="23"/>
  <c r="E91" i="2"/>
  <c r="C17" i="28" s="1"/>
  <c r="E10" i="2"/>
  <c r="F23" i="37" l="1"/>
  <c r="E22" i="37"/>
  <c r="J11" i="35"/>
  <c r="H30" i="35"/>
  <c r="C32" i="35"/>
  <c r="C13" i="27"/>
  <c r="C15" i="27" s="1"/>
  <c r="C18" i="27" s="1"/>
  <c r="E43" i="2"/>
  <c r="B49" i="46" s="1"/>
  <c r="E37" i="2"/>
  <c r="F49" i="46" l="1"/>
  <c r="L49" i="46" s="1"/>
  <c r="F24" i="37"/>
  <c r="E23" i="37"/>
  <c r="B46" i="46"/>
  <c r="F46" i="46" s="1"/>
  <c r="G46" i="46" s="1"/>
  <c r="E41" i="2"/>
  <c r="E76" i="2" s="1"/>
  <c r="B58" i="46" l="1"/>
  <c r="D58" i="46" s="1"/>
  <c r="F25" i="37"/>
  <c r="E24" i="37"/>
  <c r="E99" i="2"/>
  <c r="E103" i="2" s="1"/>
  <c r="F26" i="22"/>
  <c r="G26" i="22"/>
  <c r="F58" i="46" l="1"/>
  <c r="L58" i="46" s="1"/>
  <c r="C39" i="46"/>
  <c r="F26" i="37"/>
  <c r="E25" i="37"/>
  <c r="D60" i="46"/>
  <c r="F27" i="37" l="1"/>
  <c r="E26" i="37"/>
  <c r="F28" i="37" l="1"/>
  <c r="E27" i="37"/>
  <c r="E15" i="35"/>
  <c r="J15" i="35" s="1"/>
  <c r="G25" i="35"/>
  <c r="F29" i="37" l="1"/>
  <c r="E30" i="35"/>
  <c r="E32" i="35" s="1"/>
  <c r="G17" i="35"/>
  <c r="F30" i="37" l="1"/>
  <c r="E29" i="37"/>
  <c r="G30" i="35"/>
  <c r="G32" i="35" s="1"/>
  <c r="D68" i="1"/>
  <c r="D16" i="14" s="1"/>
  <c r="D57" i="1"/>
  <c r="G7" i="1"/>
  <c r="F31" i="37" l="1"/>
  <c r="E30" i="37"/>
  <c r="F32" i="37" l="1"/>
  <c r="E31" i="37"/>
  <c r="C13" i="22"/>
  <c r="C18" i="11"/>
  <c r="F33" i="37" l="1"/>
  <c r="E32" i="37"/>
  <c r="B12" i="13"/>
  <c r="F34" i="37" l="1"/>
  <c r="E33" i="37"/>
  <c r="B13" i="15"/>
  <c r="C13" i="17" s="1"/>
  <c r="C16" i="18" s="1"/>
  <c r="B10" i="16" s="1"/>
  <c r="B13" i="14"/>
  <c r="F35" i="37" l="1"/>
  <c r="E34" i="37"/>
  <c r="B28" i="16"/>
  <c r="B36" i="16" s="1"/>
  <c r="F8" i="19"/>
  <c r="F64" i="37"/>
  <c r="J60" i="37"/>
  <c r="F60" i="37"/>
  <c r="E35" i="37" l="1"/>
  <c r="F36" i="37"/>
  <c r="B45" i="16"/>
  <c r="B19" i="19"/>
  <c r="F65" i="37"/>
  <c r="F37" i="37" l="1"/>
  <c r="E36" i="37"/>
  <c r="F66" i="37"/>
  <c r="F67" i="37" s="1"/>
  <c r="C25" i="23"/>
  <c r="C24" i="23"/>
  <c r="F68" i="37" l="1"/>
  <c r="F69" i="37" s="1"/>
  <c r="F70" i="37" s="1"/>
  <c r="F71" i="37" s="1"/>
  <c r="F38" i="37"/>
  <c r="E37" i="37"/>
  <c r="F91" i="37"/>
  <c r="F72" i="37" l="1"/>
  <c r="F73" i="37" s="1"/>
  <c r="F74" i="37" s="1"/>
  <c r="F75" i="37" s="1"/>
  <c r="F76" i="37" s="1"/>
  <c r="F77" i="37" s="1"/>
  <c r="F39" i="37"/>
  <c r="E38" i="37"/>
  <c r="C27" i="23"/>
  <c r="B26" i="19"/>
  <c r="B14" i="22" s="1"/>
  <c r="M14" i="11"/>
  <c r="M12" i="11"/>
  <c r="M11" i="11"/>
  <c r="E9" i="22"/>
  <c r="D93" i="37"/>
  <c r="D95" i="37" s="1"/>
  <c r="D94" i="37"/>
  <c r="D96" i="37" s="1"/>
  <c r="F10" i="15"/>
  <c r="F11" i="15"/>
  <c r="J16" i="11"/>
  <c r="L16" i="11" s="1"/>
  <c r="C12" i="15"/>
  <c r="D12" i="14"/>
  <c r="I18" i="11"/>
  <c r="H18" i="11"/>
  <c r="M17" i="11"/>
  <c r="D12" i="15"/>
  <c r="F8" i="15"/>
  <c r="M10" i="11"/>
  <c r="M15" i="11"/>
  <c r="F78" i="37" l="1"/>
  <c r="F79" i="37" s="1"/>
  <c r="F80" i="37" s="1"/>
  <c r="F81" i="37" s="1"/>
  <c r="F40" i="37"/>
  <c r="E39" i="37"/>
  <c r="F11" i="13"/>
  <c r="B11" i="13"/>
  <c r="B12" i="14" s="1"/>
  <c r="B12" i="15" s="1"/>
  <c r="L18" i="11"/>
  <c r="F82" i="37" l="1"/>
  <c r="F83" i="37" s="1"/>
  <c r="F84" i="37" s="1"/>
  <c r="F85" i="37" s="1"/>
  <c r="F86" i="37" s="1"/>
  <c r="F41" i="37"/>
  <c r="E40" i="37"/>
  <c r="C12" i="17"/>
  <c r="C15" i="18" s="1"/>
  <c r="B9" i="16" s="1"/>
  <c r="F42" i="37" l="1"/>
  <c r="E41" i="37"/>
  <c r="B27" i="16"/>
  <c r="B44" i="16" s="1"/>
  <c r="B18" i="19" s="1"/>
  <c r="B25" i="19" s="1"/>
  <c r="B20" i="21" s="1"/>
  <c r="B13" i="22" s="1"/>
  <c r="E8" i="19"/>
  <c r="F43" i="37" l="1"/>
  <c r="E42" i="37"/>
  <c r="B35" i="16"/>
  <c r="F44" i="37" l="1"/>
  <c r="E43" i="37"/>
  <c r="F45" i="37" l="1"/>
  <c r="E44" i="37"/>
  <c r="F46" i="37" l="1"/>
  <c r="E45" i="37"/>
  <c r="F47" i="37" l="1"/>
  <c r="E46" i="37"/>
  <c r="F48" i="37" l="1"/>
  <c r="E47" i="37"/>
  <c r="F49" i="37" l="1"/>
  <c r="E48" i="37"/>
  <c r="F50" i="37" l="1"/>
  <c r="E49" i="37"/>
  <c r="F51" i="37" l="1"/>
  <c r="E50" i="37"/>
  <c r="F52" i="37" l="1"/>
  <c r="E51" i="37"/>
  <c r="F53" i="37" l="1"/>
  <c r="E52" i="37"/>
  <c r="F54" i="37" l="1"/>
  <c r="E53" i="37"/>
  <c r="F55" i="37" l="1"/>
  <c r="F56" i="37" s="1"/>
  <c r="E54" i="37"/>
  <c r="E56" i="37" l="1"/>
  <c r="F57" i="37"/>
  <c r="E55" i="37"/>
  <c r="E57" i="37" l="1"/>
  <c r="G72" i="1" l="1"/>
  <c r="F11" i="22" s="1"/>
  <c r="E11" i="22" s="1"/>
  <c r="B37" i="46" l="1"/>
  <c r="F37" i="46" s="1"/>
  <c r="E13" i="22"/>
  <c r="H27" i="35"/>
  <c r="H32" i="35" s="1"/>
  <c r="G67" i="1" l="1"/>
  <c r="B35" i="46" l="1"/>
  <c r="F35" i="46" s="1"/>
  <c r="F27" i="35"/>
  <c r="F17" i="35" s="1"/>
  <c r="G69" i="1"/>
  <c r="F10" i="22" s="1"/>
  <c r="G61" i="1"/>
  <c r="B10" i="46"/>
  <c r="F10" i="46" s="1"/>
  <c r="L10" i="46" s="1"/>
  <c r="C30" i="41"/>
  <c r="D43" i="1"/>
  <c r="D47" i="1" s="1"/>
  <c r="D59" i="1"/>
  <c r="D60" i="1"/>
  <c r="B18" i="46" s="1"/>
  <c r="F18" i="46" s="1"/>
  <c r="D72" i="1"/>
  <c r="E20" i="46"/>
  <c r="E23" i="46" l="1"/>
  <c r="F20" i="46"/>
  <c r="B16" i="46"/>
  <c r="F16" i="46" s="1"/>
  <c r="M16" i="46" s="1"/>
  <c r="B74" i="46" s="1"/>
  <c r="G41" i="44"/>
  <c r="G63" i="1"/>
  <c r="D27" i="35"/>
  <c r="F9" i="15"/>
  <c r="E9" i="15" s="1"/>
  <c r="E12" i="15" s="1"/>
  <c r="F12" i="15" s="1"/>
  <c r="D74" i="1"/>
  <c r="B17" i="46"/>
  <c r="F17" i="46" s="1"/>
  <c r="M17" i="46" s="1"/>
  <c r="D61" i="1"/>
  <c r="J17" i="35"/>
  <c r="F30" i="35"/>
  <c r="F32" i="35" s="1"/>
  <c r="B19" i="46"/>
  <c r="F19" i="46" s="1"/>
  <c r="M19" i="46" s="1"/>
  <c r="C46" i="41"/>
  <c r="B75" i="46" l="1"/>
  <c r="D35" i="34" s="1"/>
  <c r="F15" i="15"/>
  <c r="D25" i="35"/>
  <c r="D75" i="1"/>
  <c r="F8" i="22"/>
  <c r="B32" i="46"/>
  <c r="F32" i="46" s="1"/>
  <c r="N32" i="46" s="1"/>
  <c r="B88" i="46" s="1"/>
  <c r="D44" i="34" s="1"/>
  <c r="E24" i="46"/>
  <c r="E41" i="46"/>
  <c r="J25" i="35" l="1"/>
  <c r="D30" i="35"/>
  <c r="D32" i="35" s="1"/>
  <c r="D8" i="22"/>
  <c r="G13" i="11" l="1"/>
  <c r="M13" i="11" l="1"/>
  <c r="G16" i="11"/>
  <c r="M16" i="11" s="1"/>
  <c r="M18" i="11" s="1"/>
  <c r="M22" i="11" s="1"/>
  <c r="D18" i="11"/>
  <c r="G18" i="11" l="1"/>
  <c r="G73" i="1" l="1"/>
  <c r="F12" i="22" l="1"/>
  <c r="F13" i="22" s="1"/>
  <c r="B39" i="46"/>
  <c r="D12" i="22"/>
  <c r="D13" i="22" s="1"/>
  <c r="E104" i="2"/>
  <c r="I27" i="35"/>
  <c r="G74" i="1"/>
  <c r="G75" i="1" s="1"/>
  <c r="I26" i="35" l="1"/>
  <c r="J27" i="35"/>
  <c r="B59" i="46"/>
  <c r="F39" i="46"/>
  <c r="F16" i="22"/>
  <c r="J33" i="35" l="1"/>
  <c r="K30" i="35"/>
  <c r="J26" i="35"/>
  <c r="J30" i="35" s="1"/>
  <c r="J32" i="35" s="1"/>
  <c r="I30" i="35"/>
  <c r="I32" i="35" s="1"/>
  <c r="G64" i="37" l="1"/>
  <c r="E64" i="37" s="1"/>
  <c r="G25" i="1"/>
  <c r="G27" i="1" s="1"/>
  <c r="G34" i="1"/>
  <c r="D12" i="1"/>
  <c r="G21" i="37"/>
  <c r="E21" i="37" s="1"/>
  <c r="D17" i="1"/>
  <c r="D22" i="1"/>
  <c r="G28" i="37"/>
  <c r="E28" i="37" s="1"/>
  <c r="D23" i="1"/>
  <c r="D26" i="1"/>
  <c r="D33" i="1"/>
  <c r="D36" i="1" s="1"/>
  <c r="G10" i="1"/>
  <c r="G65" i="37"/>
  <c r="E65" i="37" s="1"/>
  <c r="G19" i="1"/>
  <c r="D12" i="17" s="1"/>
  <c r="G18" i="1"/>
  <c r="B13" i="46" l="1"/>
  <c r="F13" i="46" s="1"/>
  <c r="L13" i="46" s="1"/>
  <c r="G20" i="1"/>
  <c r="B25" i="46" s="1"/>
  <c r="F25" i="46" s="1"/>
  <c r="N25" i="46" s="1"/>
  <c r="D18" i="1"/>
  <c r="D20" i="1" s="1"/>
  <c r="D14" i="17"/>
  <c r="B26" i="46"/>
  <c r="F26" i="46" s="1"/>
  <c r="G26" i="46" s="1"/>
  <c r="C8" i="16"/>
  <c r="C9" i="16" s="1"/>
  <c r="C11" i="16" s="1"/>
  <c r="G15" i="1"/>
  <c r="C21" i="46"/>
  <c r="C60" i="46" s="1"/>
  <c r="C43" i="16"/>
  <c r="C44" i="16" s="1"/>
  <c r="C46" i="16" s="1"/>
  <c r="G36" i="1"/>
  <c r="D29" i="1"/>
  <c r="B12" i="46"/>
  <c r="F12" i="46" s="1"/>
  <c r="G12" i="46" s="1"/>
  <c r="B27" i="46"/>
  <c r="F27" i="46" s="1"/>
  <c r="L27" i="46" s="1"/>
  <c r="B21" i="46"/>
  <c r="F14" i="13"/>
  <c r="D13" i="1"/>
  <c r="B9" i="46"/>
  <c r="G60" i="46" l="1"/>
  <c r="B65" i="46" s="1"/>
  <c r="F21" i="46"/>
  <c r="L21" i="46" s="1"/>
  <c r="L60" i="46" s="1"/>
  <c r="B69" i="46" s="1"/>
  <c r="D22" i="34" s="1"/>
  <c r="G37" i="1"/>
  <c r="G58" i="1" s="1"/>
  <c r="G76" i="1" s="1"/>
  <c r="D37" i="1"/>
  <c r="D76" i="1" s="1"/>
  <c r="F9" i="46"/>
  <c r="O9" i="46" s="1"/>
  <c r="D94" i="46"/>
  <c r="C22" i="7"/>
  <c r="B40" i="46"/>
  <c r="D10" i="34"/>
  <c r="D15" i="34" s="1"/>
  <c r="C33" i="41"/>
  <c r="D46" i="41"/>
  <c r="B15" i="46"/>
  <c r="F15" i="46" s="1"/>
  <c r="M15" i="46" s="1"/>
  <c r="G40" i="44"/>
  <c r="F60" i="46"/>
  <c r="D61" i="46"/>
  <c r="N60" i="46"/>
  <c r="B86" i="46"/>
  <c r="D78" i="1" l="1"/>
  <c r="D77" i="1"/>
  <c r="C72" i="46"/>
  <c r="B76" i="46"/>
  <c r="M60" i="46"/>
  <c r="O60" i="46" s="1"/>
  <c r="B23" i="46"/>
  <c r="B24" i="46" s="1"/>
  <c r="F24" i="46" s="1"/>
  <c r="C90" i="46"/>
  <c r="D45" i="34"/>
  <c r="D49" i="34" s="1"/>
  <c r="D24" i="34"/>
  <c r="D92" i="46" l="1"/>
  <c r="O61" i="46"/>
  <c r="C82" i="46"/>
  <c r="C92" i="46" s="1"/>
  <c r="C94" i="46" s="1"/>
  <c r="E94" i="46" s="1"/>
  <c r="D33" i="34"/>
  <c r="D40" i="34" s="1"/>
  <c r="D53" i="34" s="1"/>
  <c r="D55" i="34" s="1"/>
  <c r="D28" i="34"/>
  <c r="B41" i="46"/>
  <c r="D57" i="34" l="1"/>
  <c r="D59" i="34"/>
  <c r="E92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5" authorId="0" shapeId="0" xr:uid="{32A66D9B-D4CE-4B9C-9434-91C81935B3C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La Casa de Bolsa brinda servicios de INTERMEDIACION 
</t>
        </r>
        <r>
          <rPr>
            <sz val="10"/>
            <color rgb="FF000000"/>
            <rFont val="Tahoma"/>
            <family val="2"/>
          </rPr>
          <t xml:space="preserve">Por ello los ingresos netos:
</t>
        </r>
        <r>
          <rPr>
            <sz val="10"/>
            <color rgb="FF000000"/>
            <rFont val="Tahoma"/>
            <family val="2"/>
          </rPr>
          <t xml:space="preserve">Importe reciibido de clientes mas Ingresos por intermediacion  menos pagos de clientes, costos de servicios
</t>
        </r>
      </text>
    </comment>
    <comment ref="E7" authorId="0" shapeId="0" xr:uid="{D17D88A4-ED12-49F4-A5A0-D17AF9DBF6D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Fijate siempre que los Datos correspondan al AÑO ANTERIOR....sumas globales u particulares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Sady Pereira</author>
  </authors>
  <commentList>
    <comment ref="E7" authorId="0" shapeId="0" xr:uid="{014E40D2-1D99-4DB0-89E9-CB49D051A259}">
      <text>
        <r>
          <rPr>
            <b/>
            <sz val="9"/>
            <color indexed="81"/>
            <rFont val="Tahoma"/>
            <family val="2"/>
          </rPr>
          <t>Sady Pereira:</t>
        </r>
        <r>
          <rPr>
            <sz val="9"/>
            <color indexed="81"/>
            <rFont val="Tahoma"/>
            <family val="2"/>
          </rPr>
          <t xml:space="preserve">
Corresponde a Saldos del Activo - Deudoras
o Pasicas - Acreedoreas</t>
        </r>
      </text>
    </comment>
  </commentList>
</comments>
</file>

<file path=xl/sharedStrings.xml><?xml version="1.0" encoding="utf-8"?>
<sst xmlns="http://schemas.openxmlformats.org/spreadsheetml/2006/main" count="1661" uniqueCount="1101">
  <si>
    <t>Fecha Presentación:</t>
  </si>
  <si>
    <t>INDICE</t>
  </si>
  <si>
    <t>REF.</t>
  </si>
  <si>
    <t>I-INFORMACIÓN GENERAL DE INVESTOR CASA DE BOLSA SA</t>
  </si>
  <si>
    <t>II-ESTADOS FINANCIEROS BASICOS</t>
  </si>
  <si>
    <t>Balance General</t>
  </si>
  <si>
    <t>Cuadro de Resultados</t>
  </si>
  <si>
    <t>Flujo de Efectivo</t>
  </si>
  <si>
    <t>Estado de Variacion Patrimonial</t>
  </si>
  <si>
    <t>Calculo de IRACIS</t>
  </si>
  <si>
    <t>Balance del Sistema</t>
  </si>
  <si>
    <t>Informe del Sindico</t>
  </si>
  <si>
    <t>Informe del Auditor Externo</t>
  </si>
  <si>
    <t>Memoria del Directorio</t>
  </si>
  <si>
    <t xml:space="preserve"> Notas a los Estados Contables</t>
  </si>
  <si>
    <t>Nota 1- Consideraciones de EEFF</t>
  </si>
  <si>
    <t>Nota 2 - Inforamacion de la Empresa</t>
  </si>
  <si>
    <t>Nota 3 - Principales Politicas y Practicas Contables</t>
  </si>
  <si>
    <t>Nota 4 - Cambio de Politicas y Proced. Contables</t>
  </si>
  <si>
    <t>Nota 5 - Criterios Especificos de Valuación</t>
  </si>
  <si>
    <t>a. Valuacion Moneda Extranjera</t>
  </si>
  <si>
    <t>b.Posición Moneda Extranjera</t>
  </si>
  <si>
    <t>c.Diferencia de cambio</t>
  </si>
  <si>
    <t>d. Disponibiliadades</t>
  </si>
  <si>
    <t>e. Inversiones</t>
  </si>
  <si>
    <t>f.Créditos</t>
  </si>
  <si>
    <t>g.Bienes de Cambio</t>
  </si>
  <si>
    <t>h.Cargos Diferidos</t>
  </si>
  <si>
    <t>i. Bienes Intangibles</t>
  </si>
  <si>
    <t>j. Otros Activos</t>
  </si>
  <si>
    <t xml:space="preserve">k.Prestamos </t>
  </si>
  <si>
    <t>l.Documentos y Ctas a Cobrar</t>
  </si>
  <si>
    <t>m.Acreedores por Intermediación</t>
  </si>
  <si>
    <t>n. Administración de Carteras</t>
  </si>
  <si>
    <t>o.Cuentas a Pagar - Relacionadas -</t>
  </si>
  <si>
    <t>p.Obligaciones Contrato de Underwriting</t>
  </si>
  <si>
    <t>q.Otros Pasivos</t>
  </si>
  <si>
    <t>r.Saldos y Transacciones - Relacionadas -</t>
  </si>
  <si>
    <t>s. Resultados con Relacionadas</t>
  </si>
  <si>
    <t>t.Patrimonio</t>
  </si>
  <si>
    <t>u. Previsiones</t>
  </si>
  <si>
    <t>v.Ingresos Operativos</t>
  </si>
  <si>
    <t>w.Otros Gastos Operativos</t>
  </si>
  <si>
    <t>x. Otros Ingresos y Egresos</t>
  </si>
  <si>
    <t>y. Resultados Financieros</t>
  </si>
  <si>
    <t>z. Resultados Extraordinarios</t>
  </si>
  <si>
    <t>Nota 6- Información Referente a Contingencias</t>
  </si>
  <si>
    <t>a.Compromisios Directos</t>
  </si>
  <si>
    <t>b.Contingencias Legales</t>
  </si>
  <si>
    <t>c.Garantías Constituidas</t>
  </si>
  <si>
    <t>Nota 7- Hechos posteriores</t>
  </si>
  <si>
    <t>Nota 8- Limitaciones a libre disponibilidad</t>
  </si>
  <si>
    <t>Nota 9- Cambios Contables</t>
  </si>
  <si>
    <t>Nota 10- Restricciones para Distribuir Utilidades</t>
  </si>
  <si>
    <t>Nota 11- Sanciones</t>
  </si>
  <si>
    <t>1 01</t>
  </si>
  <si>
    <t>1 01 01</t>
  </si>
  <si>
    <t xml:space="preserve"> (Expresado en Guaraníes)</t>
  </si>
  <si>
    <t>ACTIVO</t>
  </si>
  <si>
    <t>PASIVO</t>
  </si>
  <si>
    <t>1 01 01 01</t>
  </si>
  <si>
    <t>PASIVO CORRIENTE</t>
  </si>
  <si>
    <t>1 01 01 03</t>
  </si>
  <si>
    <t>DISPONIBILIDADES Nota 5 d</t>
  </si>
  <si>
    <t>Caja</t>
  </si>
  <si>
    <t>Recaudaciones a Depositar</t>
  </si>
  <si>
    <t>Acreedores Varios  - Nota 5 l</t>
  </si>
  <si>
    <t>Bancos</t>
  </si>
  <si>
    <t>1 01 03</t>
  </si>
  <si>
    <t>PRESTAMOS FINANCIEROS - Nota 5 k</t>
  </si>
  <si>
    <t>1 01 03 01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</si>
  <si>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</si>
  <si>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</si>
  <si>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</si>
  <si>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</si>
  <si>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</si>
  <si>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</si>
  <si>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CREDITOS Nota 5 f</t>
  </si>
  <si>
    <t>PROVISIONES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</si>
  <si>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</si>
  <si>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</si>
  <si>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</si>
  <si>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</si>
  <si>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</si>
  <si>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</si>
  <si>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</si>
  <si>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</si>
  <si>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</si>
  <si>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</si>
  <si>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1 01 03 11</t>
  </si>
  <si>
    <t>Menos: Prevision por Incobrables a Personas y Emp Relacionadas</t>
  </si>
  <si>
    <t>1 01 03 13</t>
  </si>
  <si>
    <t>Derechos sobre titulos por Contratos de Underwiting</t>
  </si>
  <si>
    <t>1 01 03 14</t>
  </si>
  <si>
    <t>OTROS ACTIVOS</t>
  </si>
  <si>
    <t>OTROS PASIVOS</t>
  </si>
  <si>
    <t>1 01 15</t>
  </si>
  <si>
    <t>1 01 15 02</t>
  </si>
  <si>
    <t>Prestamos de Terceros</t>
  </si>
  <si>
    <t>1 01 15 03</t>
  </si>
  <si>
    <t>Dividendos a Pagar</t>
  </si>
  <si>
    <t>2 01 15 03</t>
  </si>
  <si>
    <t>Otros Pasivos Corrientes</t>
  </si>
  <si>
    <t>1 01 20</t>
  </si>
  <si>
    <t>1 01 20 01</t>
  </si>
  <si>
    <t>ACTIVO NO CORRIENTE</t>
  </si>
  <si>
    <t>PASIVOS NO CORRIENTE</t>
  </si>
  <si>
    <t>1 01 20 02</t>
  </si>
  <si>
    <t>INVERSIONES PERMANENTES Nota 5 e</t>
  </si>
  <si>
    <t>PRESTAMOS FINANCIEROS</t>
  </si>
  <si>
    <t>Préstamos en Bancos</t>
  </si>
  <si>
    <t>Titulo de Renta Fija</t>
  </si>
  <si>
    <t>Acciones en la Bolsa de Valores</t>
  </si>
  <si>
    <t>Otros Valores</t>
  </si>
  <si>
    <t>PREVISIONES</t>
  </si>
  <si>
    <t>1 02</t>
  </si>
  <si>
    <t xml:space="preserve">Instrumentos Financieros Cedidos </t>
  </si>
  <si>
    <t>1 02 01</t>
  </si>
  <si>
    <t>Prevision para Indeminzacion</t>
  </si>
  <si>
    <t>1 02 01 09</t>
  </si>
  <si>
    <t>Otras Contingencias</t>
  </si>
  <si>
    <t>CREDITOS</t>
  </si>
  <si>
    <t>Otros Pasivos No Corrientes</t>
  </si>
  <si>
    <t>1 02 02</t>
  </si>
  <si>
    <t>1 02 02 01</t>
  </si>
  <si>
    <t>Deudores por Gestion en Cobro</t>
  </si>
  <si>
    <t>1 02 02 02</t>
  </si>
  <si>
    <t>1 02 02 03</t>
  </si>
  <si>
    <t>PATRIMONIO NETO  Nota 5 t</t>
  </si>
  <si>
    <t>Capital realizado</t>
  </si>
  <si>
    <t>Aportes para Futuras Integraciones</t>
  </si>
  <si>
    <t>1 02 10</t>
  </si>
  <si>
    <t>BIENES DE USO Nota 5 g</t>
  </si>
  <si>
    <t>Reservas</t>
  </si>
  <si>
    <t>Bienes en operación</t>
  </si>
  <si>
    <t>Reserva Legal</t>
  </si>
  <si>
    <t>Depreciación acumulada</t>
  </si>
  <si>
    <t>Reserva de revalúo</t>
  </si>
  <si>
    <t>Utilidad por valuación BVPSA</t>
  </si>
  <si>
    <t>ACTIVOS INTANGIBLES  Nota 5 i</t>
  </si>
  <si>
    <t>Licencias</t>
  </si>
  <si>
    <t>Marcas</t>
  </si>
  <si>
    <t>Membresia BVPASA</t>
  </si>
  <si>
    <t>Sistemas Informaticos</t>
  </si>
  <si>
    <t>Resultados Acumulados</t>
  </si>
  <si>
    <t>Amortización Acumulada</t>
  </si>
  <si>
    <t>Resultado del Ejercicio</t>
  </si>
  <si>
    <t>1 02 10 01</t>
  </si>
  <si>
    <t>1 02 10 02</t>
  </si>
  <si>
    <t>1 02 20</t>
  </si>
  <si>
    <t>Gastos de Constitución</t>
  </si>
  <si>
    <t>1 02 20 01</t>
  </si>
  <si>
    <t>Seguros Pagados por Adelantado</t>
  </si>
  <si>
    <t>1 02 20 02</t>
  </si>
  <si>
    <t>1 02 20 03</t>
  </si>
  <si>
    <t>1 02 30</t>
  </si>
  <si>
    <t>1 02 30 01</t>
  </si>
  <si>
    <t>1 02 30 02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</si>
  <si>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</si>
  <si>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</si>
  <si>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</si>
  <si>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</si>
  <si>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</si>
  <si>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</si>
  <si>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</si>
  <si>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</si>
  <si>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</si>
  <si>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</si>
  <si>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</si>
  <si>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</si>
  <si>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</si>
  <si>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</si>
  <si>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</si>
  <si>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</si>
  <si>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</si>
  <si>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</si>
  <si>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</si>
  <si>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</si>
  <si>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</si>
  <si>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</si>
  <si>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</si>
  <si>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</si>
  <si>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</si>
  <si>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</si>
  <si>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</si>
  <si>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</si>
  <si>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</si>
  <si>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</si>
  <si>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</si>
  <si>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</si>
  <si>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</si>
  <si>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</si>
  <si>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</si>
  <si>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(Expresado en guaraníes)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</si>
  <si>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</si>
  <si>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</si>
  <si>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</si>
  <si>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</si>
  <si>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</si>
  <si>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</si>
  <si>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</si>
  <si>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</si>
  <si>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</si>
  <si>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</si>
  <si>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</si>
  <si>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</si>
  <si>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</si>
  <si>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</si>
  <si>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Otros Ingresos Operativos</t>
  </si>
  <si>
    <t>Ganancia por Venta de Titulos - Bonos</t>
  </si>
  <si>
    <t>Gastos por Comisiones y Servicios</t>
  </si>
  <si>
    <t>Aranceles por negociación Bolsa de Valores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</si>
  <si>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</si>
  <si>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</si>
  <si>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</si>
  <si>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</si>
  <si>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</si>
  <si>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Aporte Patronal</t>
  </si>
  <si>
    <t>Servicios Contratados</t>
  </si>
  <si>
    <t>Resultado Operativo Neto</t>
  </si>
  <si>
    <t>Otros Ingresos</t>
  </si>
  <si>
    <t>Otros Egresos</t>
  </si>
  <si>
    <t>Generados por Activos</t>
  </si>
  <si>
    <t>Intereses cobrados</t>
  </si>
  <si>
    <t>Diferencia de Cambio</t>
  </si>
  <si>
    <t>Generados por Pasivos</t>
  </si>
  <si>
    <t>Intereses pagados</t>
  </si>
  <si>
    <t>Ganancias</t>
  </si>
  <si>
    <t>Pérdidas</t>
  </si>
  <si>
    <t>Ajuste de Resultados de Ejercicios Anteriores</t>
  </si>
  <si>
    <t>Ingresos</t>
  </si>
  <si>
    <t>Egresos</t>
  </si>
  <si>
    <t xml:space="preserve">Ganancias (o pérdidas) </t>
  </si>
  <si>
    <t>Impuesto a la Renta</t>
  </si>
  <si>
    <t>ESTADO DE FLUJO DE EFECTIVO</t>
  </si>
  <si>
    <t>Flujo de efectivo por las actividades operativas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</si>
  <si>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</si>
  <si>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</si>
  <si>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</si>
  <si>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</si>
  <si>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</si>
  <si>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</si>
  <si>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</si>
  <si>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Pagos a proveedores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</si>
  <si>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</si>
  <si>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</si>
  <si>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</si>
  <si>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</si>
  <si>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Fondos con destino especial</t>
  </si>
  <si>
    <t>Compra de propiedad, planta y equipo</t>
  </si>
  <si>
    <t>Adquisicion de acciones y titulos de deuda</t>
  </si>
  <si>
    <t>Intereses percibidos</t>
  </si>
  <si>
    <t>Dividendos percibidos</t>
  </si>
  <si>
    <t>Efectivo Neto por (o usado) en actividades de inversión</t>
  </si>
  <si>
    <t>Flujo de efectivo por actividades de financiamiento</t>
  </si>
  <si>
    <t>Aportes de capital</t>
  </si>
  <si>
    <t>Dividendos pagados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</si>
  <si>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</si>
  <si>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</si>
  <si>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</si>
  <si>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</si>
  <si>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</si>
  <si>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</si>
  <si>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CAPITAL</t>
  </si>
  <si>
    <t>RESERVAS</t>
  </si>
  <si>
    <t>RESULTADOS</t>
  </si>
  <si>
    <t>PATRIMONIO NETO</t>
  </si>
  <si>
    <t>CUENTAS</t>
  </si>
  <si>
    <t>AP. FUT. INTEGRAC.</t>
  </si>
  <si>
    <t>INTEGRADO</t>
  </si>
  <si>
    <t>LEGAL</t>
  </si>
  <si>
    <t>REVALÚO</t>
  </si>
  <si>
    <t>ACUMULADOS</t>
  </si>
  <si>
    <t>DEL EJERCICIO</t>
  </si>
  <si>
    <t>Saldo al inicio del ejercicio</t>
  </si>
  <si>
    <t>Mov. Subsecuentes</t>
  </si>
  <si>
    <t>Reserva Legal  y otros del Ejercicio</t>
  </si>
  <si>
    <t>-</t>
  </si>
  <si>
    <t>Revaluo del Ejercicio</t>
  </si>
  <si>
    <t>Aportes a Cta. Fut Capitalizaciones</t>
  </si>
  <si>
    <t>Retiros a Cta. De Utilidades</t>
  </si>
  <si>
    <t>Aporte Capital</t>
  </si>
  <si>
    <t>NOTA 1: CONSIDERACION DE LOS ESTADOS CONTABLES</t>
  </si>
  <si>
    <t>NOTA 2:  INFORMACIÓN BÁSICA DE LA EMPRESA</t>
  </si>
  <si>
    <t>La Sociedad tiene por objeto efectuar las siguientes operaciones:</t>
  </si>
  <si>
    <t>Comprar y vender valores por cuenta de terceros y también por cuenta propia, con recursos de terceros o propios, en una bolsa de valores o fuera de ella;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</si>
  <si>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</si>
  <si>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</si>
  <si>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</si>
  <si>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</si>
  <si>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</si>
  <si>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</si>
  <si>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</si>
  <si>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</si>
  <si>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</si>
  <si>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t>NOTA 3: PRINCIPALES POLÍTICAS Y PRÁCTICAS CONTABLES APLICADAS</t>
  </si>
  <si>
    <t>3.1.  Base de preparación de los estados contables</t>
  </si>
  <si>
    <t>3.2. Criterios de valuación</t>
  </si>
  <si>
    <t>3.3. Previsión para cuentas incobrables</t>
  </si>
  <si>
    <t xml:space="preserve">La entidad no posee previsión para cuentas incobrables. </t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</si>
  <si>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</si>
  <si>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</si>
  <si>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</si>
  <si>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</si>
  <si>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</si>
  <si>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</si>
  <si>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</si>
  <si>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</si>
  <si>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t>Tipos de Cambio</t>
  </si>
  <si>
    <t>Comprador</t>
  </si>
  <si>
    <t>Vendedor</t>
  </si>
  <si>
    <t>Activos y Pasivos en Moneda Extranjera</t>
  </si>
  <si>
    <t>DETALLE</t>
  </si>
  <si>
    <t>MONEDA EXTRANJERA CLASE</t>
  </si>
  <si>
    <t>MONEDA EXTRANJERA MONTO</t>
  </si>
  <si>
    <t>ACTIVO CORRIENTE</t>
  </si>
  <si>
    <t>DISPONIBILIDADES</t>
  </si>
  <si>
    <t>Dólares</t>
  </si>
  <si>
    <t>Creditos Fiscales</t>
  </si>
  <si>
    <t>Dividendos a Cobrar</t>
  </si>
  <si>
    <t>Otros Creditos</t>
  </si>
  <si>
    <t>Anticipo IRE</t>
  </si>
  <si>
    <t>ANTICIPOS</t>
  </si>
  <si>
    <t>Anticipo a Proveedores</t>
  </si>
  <si>
    <t>Anticipos Honorarios-Servicios</t>
  </si>
  <si>
    <t>Intereses a Vencer</t>
  </si>
  <si>
    <t>Seguros a Vencer</t>
  </si>
  <si>
    <t>Intereses a Cobrar</t>
  </si>
  <si>
    <t>INVERSIONES PERMANENTES</t>
  </si>
  <si>
    <t>Titulo de Renta Variables- Acciones</t>
  </si>
  <si>
    <t>Titulo de Renta Fija (Bonos+CDA)</t>
  </si>
  <si>
    <t>Acciones en la Bolsa de Valores y otras inversiones</t>
  </si>
  <si>
    <t>PROPIEDAD, PLANTA Y EQUIPO</t>
  </si>
  <si>
    <t>Bienes en Operación</t>
  </si>
  <si>
    <t>Depreciación Acumulada</t>
  </si>
  <si>
    <t>ACTIVOS INTANGIBLES</t>
  </si>
  <si>
    <t>Membresias</t>
  </si>
  <si>
    <t>Garantia de Alquiler</t>
  </si>
  <si>
    <t>CUENTAS A PAGAR</t>
  </si>
  <si>
    <t>Proveedores Varios</t>
  </si>
  <si>
    <t>Acreedores por intermediacion</t>
  </si>
  <si>
    <t>Comisiones a Pagar</t>
  </si>
  <si>
    <t>Anticipo de Clientes</t>
  </si>
  <si>
    <t>Documentos a Pagar</t>
  </si>
  <si>
    <t>Intereses a Pagar</t>
  </si>
  <si>
    <t>Impuesto a la Renta a Pagar</t>
  </si>
  <si>
    <t>Sueldos a Pagar</t>
  </si>
  <si>
    <t>Seguros a Pagar</t>
  </si>
  <si>
    <t>PASIVO NO CORRIENTE</t>
  </si>
  <si>
    <t>Ganancias a Devengar</t>
  </si>
  <si>
    <t>Cuentas a Pagar por Compra de Acciones</t>
  </si>
  <si>
    <t>CONCEPTO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</si>
  <si>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</si>
  <si>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</si>
  <si>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</si>
  <si>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</si>
  <si>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</si>
  <si>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</si>
  <si>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</si>
  <si>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</si>
  <si>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</si>
  <si>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Saldos de Cuentas</t>
  </si>
  <si>
    <t xml:space="preserve">  DISPONIBILIDADES                       </t>
  </si>
  <si>
    <t>TOTAL DISPONIBILIDADES</t>
  </si>
  <si>
    <t/>
  </si>
  <si>
    <t xml:space="preserve">                INFORMACION SOBRE EL DOCUMENTO Y EL EMISOR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</si>
  <si>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</si>
  <si>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</si>
  <si>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</si>
  <si>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</si>
  <si>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</si>
  <si>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</si>
  <si>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</si>
  <si>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</si>
  <si>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</si>
  <si>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</si>
  <si>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</si>
  <si>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CDA</t>
  </si>
  <si>
    <t>CANTIDAD</t>
  </si>
  <si>
    <t>VALOR NOMINAL</t>
  </si>
  <si>
    <t>VALOR CONTABLE</t>
  </si>
  <si>
    <t>Inversiones Temporales</t>
  </si>
  <si>
    <t>Inversiones Permanentes</t>
  </si>
  <si>
    <t>DEUDORES POR INTERMEDIACION</t>
  </si>
  <si>
    <t>GUARANIES</t>
  </si>
  <si>
    <t>Corto Plazo Gs.</t>
  </si>
  <si>
    <t>Largo Plazo Gs.</t>
  </si>
  <si>
    <t>Credito Fiscal IVA</t>
  </si>
  <si>
    <t>Dividendos a cobrar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</si>
  <si>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</si>
  <si>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</si>
  <si>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</si>
  <si>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</si>
  <si>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</si>
  <si>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</si>
  <si>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</si>
  <si>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</si>
  <si>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</si>
  <si>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</si>
  <si>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</si>
  <si>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</si>
  <si>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</si>
  <si>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</si>
  <si>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</si>
  <si>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</si>
  <si>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</si>
  <si>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</si>
  <si>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</si>
  <si>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</si>
  <si>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</si>
  <si>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</si>
  <si>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Muebles y Útiles</t>
  </si>
  <si>
    <t>Rodados</t>
  </si>
  <si>
    <t>Instalaciones</t>
  </si>
  <si>
    <t>Equipos de Oficina</t>
  </si>
  <si>
    <t>Equipos de Informática</t>
  </si>
  <si>
    <t xml:space="preserve">Inmuebles </t>
  </si>
  <si>
    <t>Construcciones en curso</t>
  </si>
  <si>
    <t>Mejoras en Predio Ajeno</t>
  </si>
  <si>
    <t>Utiles y enseres</t>
  </si>
  <si>
    <t>SALDO INICIAL</t>
  </si>
  <si>
    <t>AUMENTOS</t>
  </si>
  <si>
    <t>AMORTIZACIONES</t>
  </si>
  <si>
    <t>SALDO NETO FINAL</t>
  </si>
  <si>
    <t>CUENTA</t>
  </si>
  <si>
    <t>Marcas y Licencias</t>
  </si>
  <si>
    <t>Licencias Informáticas</t>
  </si>
  <si>
    <t>Sistemas Informáticos</t>
  </si>
  <si>
    <t>Licencia Actividad Bursatil</t>
  </si>
  <si>
    <t>Seguros pagados por adelantado</t>
  </si>
  <si>
    <t>Anticipos a proveedores y otros</t>
  </si>
  <si>
    <t>INSTITUCION</t>
  </si>
  <si>
    <t>CORTO PLAZO GS.</t>
  </si>
  <si>
    <t>LARGO PLAZO GS.</t>
  </si>
  <si>
    <t>CORRIENTE G.</t>
  </si>
  <si>
    <t>NO CORRIENTE G.</t>
  </si>
  <si>
    <t>A la fecha la entidad no registra administración de Cartera a Corto y Largo Plazo</t>
  </si>
  <si>
    <t>Corriente Gs.</t>
  </si>
  <si>
    <t>No corrientes Gs.</t>
  </si>
  <si>
    <t>r)       Saldos y Transacciones con personas y empresas relacionadas (Corriente y No Corriente)</t>
  </si>
  <si>
    <t>SALDOS (Deudores y Acreedores mantenidos)</t>
  </si>
  <si>
    <t>NOMBRE</t>
  </si>
  <si>
    <t>RELACION</t>
  </si>
  <si>
    <t>TIPO DE OPERACIÓN</t>
  </si>
  <si>
    <t>ANTIGÜEDAD DE LA DEUDA</t>
  </si>
  <si>
    <t>PERIODO ACTUAL G.</t>
  </si>
  <si>
    <t>PERSONA O EMPRESA RELACIONADA</t>
  </si>
  <si>
    <t>Total Ingresos</t>
  </si>
  <si>
    <t>Total Egresos</t>
  </si>
  <si>
    <t>t) Patrimonio</t>
  </si>
  <si>
    <t>SALDO AL INICIO DEL EJERCICIO</t>
  </si>
  <si>
    <t>DISMINUCIÓN</t>
  </si>
  <si>
    <t>Capital Integrado</t>
  </si>
  <si>
    <t>Aportes no capitalizados</t>
  </si>
  <si>
    <t>La entidad no registra previsiones a la fecha.</t>
  </si>
  <si>
    <t>Ingresos por Operaciones</t>
  </si>
  <si>
    <t>Totales</t>
  </si>
  <si>
    <t>Ganancia por venta de Titulos</t>
  </si>
  <si>
    <t xml:space="preserve">Dividendos Cobrados </t>
  </si>
  <si>
    <t>Total</t>
  </si>
  <si>
    <t>w) Otros Gastos Operativos, de comercialización y de administración</t>
  </si>
  <si>
    <t>Generados Por Activos</t>
  </si>
  <si>
    <t>Intereses Cobrados</t>
  </si>
  <si>
    <t>Generados Por Pasivos</t>
  </si>
  <si>
    <t>Intereses Pagados</t>
  </si>
  <si>
    <t>Ingresos Extraordinarios</t>
  </si>
  <si>
    <t>Ganancia por Venta de Rodado</t>
  </si>
  <si>
    <t>Egresos Extraordinarios</t>
  </si>
  <si>
    <t>Perdida por Venta de Activo</t>
  </si>
  <si>
    <t>NOTA 6. INFORMACION REFERENTE A CONTINGENCIAS Y COMPROMISOS</t>
  </si>
  <si>
    <t>No registra</t>
  </si>
  <si>
    <t>NOTA 7. HECHOS POSTERIORES AL CIERRE DEL EJERCICIO</t>
  </si>
  <si>
    <t>No registra.</t>
  </si>
  <si>
    <t>NOTA 9. CAMBIOS CONTABLES</t>
  </si>
  <si>
    <t>NOTA 10. RESTRICIONES PARA DISTRIBUCIÓN DE UTILIDADES</t>
  </si>
  <si>
    <t>NOTA 11. SANCIONES</t>
  </si>
  <si>
    <t>No Registra.</t>
  </si>
  <si>
    <t>Ingresos por Operaciones y Servicios Extrabursatiles</t>
  </si>
  <si>
    <t>BALANCE GENERAL</t>
  </si>
  <si>
    <t>REVALORIZAC</t>
  </si>
  <si>
    <t xml:space="preserve">Balance Gral. Resol. </t>
  </si>
  <si>
    <t xml:space="preserve">Estado de Resultado Resol. </t>
  </si>
  <si>
    <t xml:space="preserve">Flujo de Efectivo </t>
  </si>
  <si>
    <t>Estado de Resultado Resol.</t>
  </si>
  <si>
    <t xml:space="preserve">CALCULO DE IRACIS </t>
  </si>
  <si>
    <t xml:space="preserve">Balance Final </t>
  </si>
  <si>
    <t>NOTA A LOS ESTADOS CONTA.</t>
  </si>
  <si>
    <t>NOTA A LOS ESTADOS CONTABLES</t>
  </si>
  <si>
    <t xml:space="preserve">NOTA A LOS ESTADOS CONTA. </t>
  </si>
  <si>
    <t>NOTA 5 A-C CRITERIOS ESPECIF.</t>
  </si>
  <si>
    <t>NOTA D - DISPONIBILIDADES</t>
  </si>
  <si>
    <t>NOTA E - INVERSIONES</t>
  </si>
  <si>
    <t>NOTA F - CREDITOS</t>
  </si>
  <si>
    <t>NOTA G BIENES DE USO</t>
  </si>
  <si>
    <t>NOTA H CARGOS DIFERIDOS</t>
  </si>
  <si>
    <t xml:space="preserve"> NOTA I INTANGIBLES</t>
  </si>
  <si>
    <t>NOTA J OTROS ACTIVOS CTES Y NO CORRIENTES</t>
  </si>
  <si>
    <t>NOTA K PRESTAMOS</t>
  </si>
  <si>
    <t>NOTA L DOCUMENTOS Y CTAS A PAGAR</t>
  </si>
  <si>
    <t>NOTAS M-Q ACREEDORES CTO PLAZO</t>
  </si>
  <si>
    <t xml:space="preserve">NOTA R SALDOS Y TRANSACCIONES </t>
  </si>
  <si>
    <t>NOTA S RESULTADOS CON PERSONAS</t>
  </si>
  <si>
    <t xml:space="preserve"> NOTA T PATRIMONIO</t>
  </si>
  <si>
    <t>NOTA V INGRESOS OPERATIVOS</t>
  </si>
  <si>
    <t>NOTA W OTROS GASTOS OPERATIVOS</t>
  </si>
  <si>
    <t>NOTA X OTROS INGRESOS Y EGRESOS</t>
  </si>
  <si>
    <t>NOTA Y RESULTADOS FINANCIEROS</t>
  </si>
  <si>
    <t>NOTA Z RESULT EXTRAORD</t>
  </si>
  <si>
    <t>NOTA 6 INFORMACION REFERENTE</t>
  </si>
  <si>
    <r>
      <t>a)</t>
    </r>
    <r>
      <rPr>
        <b/>
        <sz val="9"/>
        <color indexed="8"/>
        <rFont val="Calibri"/>
        <family val="2"/>
        <scheme val="minor"/>
      </rPr>
      <t>      Valuación en moneda extranjera</t>
    </r>
  </si>
  <si>
    <r>
      <t>b)</t>
    </r>
    <r>
      <rPr>
        <b/>
        <sz val="9"/>
        <color indexed="8"/>
        <rFont val="Calibri"/>
        <family val="2"/>
        <scheme val="minor"/>
      </rPr>
      <t>       Posición en moneda extranjera</t>
    </r>
  </si>
  <si>
    <r>
      <t>C)</t>
    </r>
    <r>
      <rPr>
        <b/>
        <sz val="9"/>
        <color indexed="8"/>
        <rFont val="Calibri"/>
        <family val="2"/>
        <scheme val="minor"/>
      </rPr>
      <t>      Diferencia de cambio en moneda extranjera.</t>
    </r>
  </si>
  <si>
    <r>
      <t>n)</t>
    </r>
    <r>
      <rPr>
        <b/>
        <sz val="9"/>
        <color indexed="8"/>
        <rFont val="Calibri"/>
        <family val="2"/>
        <scheme val="minor"/>
      </rPr>
      <t>       Administración de Cartera (Corto y Largo Plazo)</t>
    </r>
  </si>
  <si>
    <r>
      <t>p)</t>
    </r>
    <r>
      <rPr>
        <b/>
        <sz val="9"/>
        <color indexed="8"/>
        <rFont val="Calibri"/>
        <family val="2"/>
        <scheme val="minor"/>
      </rPr>
      <t>       Obligaciones por contrato de Underwriting (Corto y Largo Plazo)</t>
    </r>
  </si>
  <si>
    <r>
      <t>S)</t>
    </r>
    <r>
      <rPr>
        <b/>
        <sz val="9"/>
        <color indexed="8"/>
        <rFont val="Calibri"/>
        <family val="2"/>
        <scheme val="minor"/>
      </rPr>
      <t>       Resultados con Personas y Empresas Vinculadas</t>
    </r>
  </si>
  <si>
    <r>
      <t>u)</t>
    </r>
    <r>
      <rPr>
        <b/>
        <sz val="9"/>
        <color indexed="8"/>
        <rFont val="Calibri"/>
        <family val="2"/>
        <scheme val="minor"/>
      </rPr>
      <t xml:space="preserve">       Previsiones </t>
    </r>
  </si>
  <si>
    <t>INVERSIONES TEMPORARIAS</t>
  </si>
  <si>
    <t>Ingresos por Administracion de Carteras</t>
  </si>
  <si>
    <t>Ingresos por Custodia de Valores</t>
  </si>
  <si>
    <r>
      <t>2.1</t>
    </r>
    <r>
      <rPr>
        <b/>
        <sz val="9"/>
        <color indexed="8"/>
        <rFont val="Calibri"/>
        <family val="2"/>
        <scheme val="minor"/>
      </rPr>
      <t>              Naturaleza jurídica de las actividades de la sociedad</t>
    </r>
  </si>
  <si>
    <r>
      <t>2.2</t>
    </r>
    <r>
      <rPr>
        <b/>
        <sz val="9"/>
        <color indexed="8"/>
        <rFont val="Calibri"/>
        <family val="2"/>
        <scheme val="minor"/>
      </rPr>
      <t>   Participación en empresas vinculadas</t>
    </r>
  </si>
  <si>
    <r>
      <t>3.4.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Depreciación de bienes de uso</t>
    </r>
  </si>
  <si>
    <t xml:space="preserve"> -   </t>
  </si>
  <si>
    <t>Acreedores por Intermediación. Nota 5 m</t>
  </si>
  <si>
    <t>Cuentas por Pagar a Personas y Emp. Relacionadas. Nota o</t>
  </si>
  <si>
    <r>
      <t>a)</t>
    </r>
    <r>
      <rPr>
        <b/>
        <sz val="9"/>
        <color indexed="8"/>
        <rFont val="Calibri"/>
        <family val="2"/>
        <scheme val="minor"/>
      </rPr>
      <t>        Compromisos Directos</t>
    </r>
  </si>
  <si>
    <r>
      <t>b)</t>
    </r>
    <r>
      <rPr>
        <b/>
        <sz val="9"/>
        <color indexed="8"/>
        <rFont val="Calibri"/>
        <family val="2"/>
        <scheme val="minor"/>
      </rPr>
      <t>        Contingencias Legales</t>
    </r>
  </si>
  <si>
    <r>
      <t>c)</t>
    </r>
    <r>
      <rPr>
        <b/>
        <sz val="9"/>
        <color indexed="8"/>
        <rFont val="Calibri"/>
        <family val="2"/>
        <scheme val="minor"/>
      </rPr>
      <t>        Garantías Constituidas</t>
    </r>
  </si>
  <si>
    <r>
      <t>NOTA 8.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LIMITACION A LA LIBRE DISPONIBILIDAD DE LOS ACTIVOS O DEL PATRIMONIO Y DE CUALQUIER RESTRICCION AL DERECHO DE PROPIEDAD.</t>
    </r>
  </si>
  <si>
    <t>Ana Cristina Neffa Persano</t>
  </si>
  <si>
    <t>Otros Activos</t>
  </si>
  <si>
    <t>Otros Costos de Operaciones</t>
  </si>
  <si>
    <t>Seguros a Vencer M/L</t>
  </si>
  <si>
    <t>Intereses a Vencer M/L</t>
  </si>
  <si>
    <t>Intereses a Vencer M/E</t>
  </si>
  <si>
    <t>La composición de los fondos disponibles en Bancos, es como sigue:</t>
  </si>
  <si>
    <t xml:space="preserve">Otros Activos </t>
  </si>
  <si>
    <t>TRADERS PRO CASA DE BOLSA S.A.</t>
  </si>
  <si>
    <t>INFORMACION GENERAL DE LA ENTIDAD</t>
  </si>
  <si>
    <t>1. IDENTIFICACIÓN:</t>
  </si>
  <si>
    <t>Nombre o Razón social</t>
  </si>
  <si>
    <t>Traders Pro Casa de Bolsa S.A.</t>
  </si>
  <si>
    <t>Registro CNV</t>
  </si>
  <si>
    <t>CERTIFICADO DE REGISTRO N° 062 _03082021</t>
  </si>
  <si>
    <t>Código Bolsa</t>
  </si>
  <si>
    <t>Dirección oficina principal</t>
  </si>
  <si>
    <t>Avda. Brasilia 764. Edificio Investor. 1er. Piso</t>
  </si>
  <si>
    <t>Teléfono</t>
  </si>
  <si>
    <t>E-mail</t>
  </si>
  <si>
    <t>directorio@traderspro.com.py</t>
  </si>
  <si>
    <t>Sitio página web</t>
  </si>
  <si>
    <t>www.traderspro.com.py</t>
  </si>
  <si>
    <t>Domicilio legal</t>
  </si>
  <si>
    <t>2. ANTECEDENTES DE CONSTITUCIÓN DE LA SOCIEDAD</t>
  </si>
  <si>
    <t>Escritura Nº 10 Fecha 16 de Abril del 2021</t>
  </si>
  <si>
    <t xml:space="preserve">Inscripción en el registro público de personas jurídicas matricula Nº 34473 y de la sección comercio matricula Nº 34475 ambas en fecha 07 de Mayo del 2021 </t>
  </si>
  <si>
    <t>3. ADMINISTRACIÓN</t>
  </si>
  <si>
    <t>CARGO</t>
  </si>
  <si>
    <t>NOMBRE Y APELLIDO</t>
  </si>
  <si>
    <t>Presidente</t>
  </si>
  <si>
    <t>Giuseppe Antonio Saurini Buey</t>
  </si>
  <si>
    <t>Mayra Antonella Roux Miranda</t>
  </si>
  <si>
    <t>Director titular</t>
  </si>
  <si>
    <t>Diego Benjamin Barboza Clari</t>
  </si>
  <si>
    <t>Cesar Fernando Godoy Gimenez</t>
  </si>
  <si>
    <t>María Verónica Porro Acosta</t>
  </si>
  <si>
    <t xml:space="preserve">Síndico </t>
  </si>
  <si>
    <t>Ysaias Lopez Gomez</t>
  </si>
  <si>
    <t>4. CAPITAL Y PROPIEDAD</t>
  </si>
  <si>
    <t xml:space="preserve">Capital Social (de acuerdo al artículo 6 de los estatutos sociales) Gs.15.000.000.000 </t>
  </si>
  <si>
    <t>Representado por Gs.1.000.000 cada acción nominativa ordinaria</t>
  </si>
  <si>
    <t>Capital Emitido G.5.000.000.000 (cinco mil millones)</t>
  </si>
  <si>
    <t>Capital Suscripto G.5.000.000.000 (cinco mil millones)</t>
  </si>
  <si>
    <t>Valor nominal de las acciones G.1.000.000</t>
  </si>
  <si>
    <t>CUADRO DE CAPITAL INTEGRADO</t>
  </si>
  <si>
    <t>Nº</t>
  </si>
  <si>
    <t>ACCIONISTA</t>
  </si>
  <si>
    <t>SERIE</t>
  </si>
  <si>
    <t>NÚMERO DE ACCIONES</t>
  </si>
  <si>
    <t>CANTIDAD DE ACCIONES</t>
  </si>
  <si>
    <t>CLASE</t>
  </si>
  <si>
    <t>VOTO</t>
  </si>
  <si>
    <t>MONTO</t>
  </si>
  <si>
    <t>% DE PARTICIPACIÓN DEL CAPITAL INTEGRADO</t>
  </si>
  <si>
    <t>INCUBATE S.A.</t>
  </si>
  <si>
    <t>---</t>
  </si>
  <si>
    <t>Ordinaria</t>
  </si>
  <si>
    <t>1 por acción</t>
  </si>
  <si>
    <t>4801-4850</t>
  </si>
  <si>
    <t>4851-4900</t>
  </si>
  <si>
    <t>Celso Ivan Casamayouret Genes</t>
  </si>
  <si>
    <t>4901-4950</t>
  </si>
  <si>
    <t>Adrian Aponte Rivas</t>
  </si>
  <si>
    <t>4951-5000</t>
  </si>
  <si>
    <t>Patricia Raquel Boettner Friedmann</t>
  </si>
  <si>
    <t>2435-2484</t>
  </si>
  <si>
    <t>CUADRO DEL CAPITAL SUSCRIPTO</t>
  </si>
  <si>
    <t>% DE PARTICIPACIÓN DEL CAPITAL SUSCRIPTO</t>
  </si>
  <si>
    <t>4551-4750</t>
  </si>
  <si>
    <t>5. AUDITOR EXTERNO INDEPENDIENTE</t>
  </si>
  <si>
    <t>1. Auditor externo independiente designado: HP Auditores &amp; Contadores</t>
  </si>
  <si>
    <t>2. Número de inscripción en le registro de la CNV: AE052, según Res CNV Nº 15 E/17</t>
  </si>
  <si>
    <t xml:space="preserve">          Personas Vinculadas</t>
  </si>
  <si>
    <t>Síndico</t>
  </si>
  <si>
    <t>Auditor interno</t>
  </si>
  <si>
    <t>Mirtha Patricia Páez Gonzalez</t>
  </si>
  <si>
    <t xml:space="preserve">          Vinculada controlante</t>
  </si>
  <si>
    <t>Denominación</t>
  </si>
  <si>
    <t>Domicilio</t>
  </si>
  <si>
    <t>Av. Brasilia 764. 1º Piso</t>
  </si>
  <si>
    <t>Actividad principal</t>
  </si>
  <si>
    <t>Otras actividades de servicio de apoyo a empresas</t>
  </si>
  <si>
    <t>Participación en el capital</t>
  </si>
  <si>
    <t>Porcentaje de votos</t>
  </si>
  <si>
    <t>Honorarios Profesionales</t>
  </si>
  <si>
    <t>Corrientes</t>
  </si>
  <si>
    <t>No Corrientes</t>
  </si>
  <si>
    <t>Diego Barboza</t>
  </si>
  <si>
    <t>VALOR DE COSTO</t>
  </si>
  <si>
    <t>VALOR NOMINAL UNITARIO</t>
  </si>
  <si>
    <t>VALOR DE COTIZACION</t>
  </si>
  <si>
    <t>Inversiones Corrientes</t>
  </si>
  <si>
    <t>Títulos de Renta Fija</t>
  </si>
  <si>
    <t>Inversiones No Corrientes</t>
  </si>
  <si>
    <t>VALOR DE MERCADO</t>
  </si>
  <si>
    <t>Los saldos de la cuenta se componen de la siguiente manera;</t>
  </si>
  <si>
    <t>i)   Intangibles,</t>
  </si>
  <si>
    <t xml:space="preserve"> Los saldos de las cuentas que la componen son las siguientes;</t>
  </si>
  <si>
    <t>DOCUMENTOS Y CUENTAS A PAGAR</t>
  </si>
  <si>
    <t>Menos: Amortización Acumulada</t>
  </si>
  <si>
    <t>Dividendos  Cobrados</t>
  </si>
  <si>
    <t>Ingreso en efectivo de comisiones y otros ingresos operativos</t>
  </si>
  <si>
    <t>Inversiones Temporarias/Permanentes</t>
  </si>
  <si>
    <t>Provenientes de Préstamos y Otras Deudas</t>
  </si>
  <si>
    <t>SALDO AL CIERE DEL EJERCICIO ACTUAL GUARANIES</t>
  </si>
  <si>
    <t>SALDO AL CIERE DEL EJERCICIO ANTERIOR GUARANIES</t>
  </si>
  <si>
    <t>Saldos por Operaciones pendientes de cobro - M/L</t>
  </si>
  <si>
    <t>Saldos por Operaciones pendientes de cobro - M/E</t>
  </si>
  <si>
    <t>PLAZO DE VENCIMIENTO DEL CONTRATO</t>
  </si>
  <si>
    <t>No Aplicable</t>
  </si>
  <si>
    <t>Deducidas del Activo</t>
  </si>
  <si>
    <t>Creditos</t>
  </si>
  <si>
    <t>Incluidas en el Pasivo</t>
  </si>
  <si>
    <t>Prevision por Indemnizaciones</t>
  </si>
  <si>
    <t>Gastos administrativos</t>
  </si>
  <si>
    <t>l)       Acreedores Varios (Corto y largo plazo)</t>
  </si>
  <si>
    <t>INVERSIONES TEMPORARIAS  Nota 5 e</t>
  </si>
  <si>
    <t>TOTAL ACTIVOS NO CORRIENTES</t>
  </si>
  <si>
    <t>TOTAL ACTIVOS</t>
  </si>
  <si>
    <t>TOTAL PASIVO Y PATRIMONIO NETO</t>
  </si>
  <si>
    <t>TOTAL PATRIMONIO NETO</t>
  </si>
  <si>
    <t>TOTAL PASIVO</t>
  </si>
  <si>
    <t>TOTAL PASIVO NO CORRIENTE</t>
  </si>
  <si>
    <t>TOTAL PASIVO CORRIENTE</t>
  </si>
  <si>
    <t>TOTAL ACTIVO CORRIENTE</t>
  </si>
  <si>
    <t xml:space="preserve">Intereses a Vencer - </t>
  </si>
  <si>
    <t xml:space="preserve">Seguros a Vencer  </t>
  </si>
  <si>
    <t>GASTOS NO DEVENGADOS - Nota 5 h</t>
  </si>
  <si>
    <t xml:space="preserve">Garantía de Alquiler  </t>
  </si>
  <si>
    <t>GASTOS NO DEVENGADOS - Nota 5 j</t>
  </si>
  <si>
    <t>j)       Otros Activos Corrientes y No Corrientes</t>
  </si>
  <si>
    <t xml:space="preserve">ACTIVO CORRIENTE </t>
  </si>
  <si>
    <t>d)       Disponibilidades</t>
  </si>
  <si>
    <t>f)       Créditos</t>
  </si>
  <si>
    <t>h)       Cargos Diferidos</t>
  </si>
  <si>
    <t xml:space="preserve">m)       Acreedores por Intermediación. Corto y Largo Plazo. </t>
  </si>
  <si>
    <t>k)       Préstamos Financieros a corto y a largo plazo.</t>
  </si>
  <si>
    <t>PROVISIONES.</t>
  </si>
  <si>
    <t>OTROS PASIVOS - Nota 5 q</t>
  </si>
  <si>
    <t>Obligaciones  por Contratos de Underwriting -Nota 5 p</t>
  </si>
  <si>
    <t>Obligaciones por Administracion de Carteras Nota 5 n</t>
  </si>
  <si>
    <t>Ingresos Operativos -Nota v</t>
  </si>
  <si>
    <t>Gastos Operativos -Nota w</t>
  </si>
  <si>
    <t>Otros ingresos y Egresos - Nota x</t>
  </si>
  <si>
    <t>Resultados financieros - Nota y</t>
  </si>
  <si>
    <t>v)       Ingresos Operativos</t>
  </si>
  <si>
    <t>x)       Otros Ingresos y Egresos</t>
  </si>
  <si>
    <t>y)       Resultados Financieros</t>
  </si>
  <si>
    <t xml:space="preserve">z)  Resultados Extraordinarios </t>
  </si>
  <si>
    <t xml:space="preserve">NOTAS A LOS ESTADOS CONTABLES </t>
  </si>
  <si>
    <t>Resultados  extraordinarias Nota z</t>
  </si>
  <si>
    <t>2385-2434</t>
  </si>
  <si>
    <t>Telefonía, Internet y Licencia MO</t>
  </si>
  <si>
    <t>Gastos de escribanía</t>
  </si>
  <si>
    <t>Sueldos Y Jornales</t>
  </si>
  <si>
    <t>Otros Beneficios Al Personal</t>
  </si>
  <si>
    <t>Servicios Prestados Por Terceros</t>
  </si>
  <si>
    <t>Servicios Contratados Ire</t>
  </si>
  <si>
    <t>Servicios Personales Irp</t>
  </si>
  <si>
    <t>Agua, Luz, Teléfono E Internet</t>
  </si>
  <si>
    <t>Comunicaciones Y Progagandas</t>
  </si>
  <si>
    <t>Papeleria E Impresos</t>
  </si>
  <si>
    <t>Gastos De Escribania</t>
  </si>
  <si>
    <t>Gastos De Impuestos</t>
  </si>
  <si>
    <t>Impuestos, Patentes, Tasas Y Otras Contr</t>
  </si>
  <si>
    <r>
      <t>TRADERS PRO CASA DE BOLSA S.A</t>
    </r>
    <r>
      <rPr>
        <sz val="9"/>
        <color indexed="8"/>
        <rFont val="Calibri"/>
        <family val="2"/>
        <scheme val="minor"/>
      </rPr>
      <t xml:space="preserve">. </t>
    </r>
    <r>
      <rPr>
        <b/>
        <i/>
        <sz val="9"/>
        <color rgb="FF000000"/>
        <rFont val="Calibri"/>
        <family val="2"/>
        <scheme val="minor"/>
      </rPr>
      <t>fue constituida bajo la forma jurídica de Sociedad Anónima, el 16 de Abril de 2021,</t>
    </r>
    <r>
      <rPr>
        <sz val="9"/>
        <color indexed="8"/>
        <rFont val="Calibri"/>
        <family val="2"/>
        <scheme val="minor"/>
      </rPr>
      <t xml:space="preserve"> según escritura Pública Nº 10 e inscripta en el Registro Público de Comercio en el Libro Seccional respectivo y bajo en Nº 1 Y el folio Nº 9 y siguiente de fecha 07 de Mayo de 2021. La Sociedad se halla regida por las disposiciones de sus Estatutos, las Normas Legales y Reglamentarias relativas a la Sociedad y al Código Civil. La duración inicial de la Sociedad es de noventa y nueve años.</t>
    </r>
  </si>
  <si>
    <t>CAMBIO CIERRE PERIODO ACTUAL</t>
  </si>
  <si>
    <t>CAMBIO CIERRE PERIODO ANTERIOR</t>
  </si>
  <si>
    <t>Bancos De Operaciones</t>
  </si>
  <si>
    <t>Bancos Operaciones - Moneda Extranjera</t>
  </si>
  <si>
    <t>Banco Operaciones M/E</t>
  </si>
  <si>
    <t>Bancos Operaciones - Moneda Local</t>
  </si>
  <si>
    <t>Banco Operaciones M/L</t>
  </si>
  <si>
    <t>Bancos Administrativas</t>
  </si>
  <si>
    <t>Bancos Moneda Extranjera</t>
  </si>
  <si>
    <t>Banco Familiar SAECA - M/E</t>
  </si>
  <si>
    <t>Bancos Moneda Local</t>
  </si>
  <si>
    <t>Moneda: Guaraníes</t>
  </si>
  <si>
    <t>Banco</t>
  </si>
  <si>
    <t>Nro. de Cuenta</t>
  </si>
  <si>
    <t>00-2955072</t>
  </si>
  <si>
    <t>Banco Itaú Paraguay S.A</t>
  </si>
  <si>
    <t>Financiera Cefisa</t>
  </si>
  <si>
    <t>Finexpar</t>
  </si>
  <si>
    <t>Moneda: Dólares Americanos</t>
  </si>
  <si>
    <t>Ysaias López Gómez</t>
  </si>
  <si>
    <t>Sindico</t>
  </si>
  <si>
    <t>Incubate S.A.</t>
  </si>
  <si>
    <t>Ingresos Por Intermediacion</t>
  </si>
  <si>
    <t>Comisiones Por Intermediacion</t>
  </si>
  <si>
    <t>Bursatiles</t>
  </si>
  <si>
    <t>Extrabursatiles</t>
  </si>
  <si>
    <t>Utilidad Por Venta De Inversiones/Cartera Propia</t>
  </si>
  <si>
    <t>Instrumentos Financieros</t>
  </si>
  <si>
    <t>Titulos De Deuda Bonos</t>
  </si>
  <si>
    <t>g)      Bienes de Uso.</t>
  </si>
  <si>
    <t>Detalle De Bancos de Operaciones</t>
  </si>
  <si>
    <t>Las 25 notas que acompañan forman parte integrante de los Estados Financieros.</t>
  </si>
  <si>
    <t xml:space="preserve">BALANCE GENERAL </t>
  </si>
  <si>
    <t>Notas</t>
  </si>
  <si>
    <t>Descripción</t>
  </si>
  <si>
    <t>Saldo</t>
  </si>
  <si>
    <t>Activo</t>
  </si>
  <si>
    <t>Activo Corriente</t>
  </si>
  <si>
    <t>Disponibilidades</t>
  </si>
  <si>
    <t>Bancos Operaciones'!A1</t>
  </si>
  <si>
    <t>Bancos Administración'!A1</t>
  </si>
  <si>
    <t>Diferencias con Administracion y Contabilidad</t>
  </si>
  <si>
    <t>Según Contab</t>
  </si>
  <si>
    <t>Según TP</t>
  </si>
  <si>
    <t>Diferencia</t>
  </si>
  <si>
    <t>Inventario Valuado 31 12 2021'!A1</t>
  </si>
  <si>
    <t>Inversiones Temporarias</t>
  </si>
  <si>
    <t>Inversiones Financieras Temporales -Moneda Local</t>
  </si>
  <si>
    <t>Títulos Representativos De Deuda -M/L</t>
  </si>
  <si>
    <t>Bonos M/L</t>
  </si>
  <si>
    <t>Otras Inversiones a Corto Plazo</t>
  </si>
  <si>
    <t>Repos al 31 12 21'!A1</t>
  </si>
  <si>
    <t xml:space="preserve">Instrumentos Financieros Cedidos En Prestamos M/L - </t>
  </si>
  <si>
    <t>Ajuste por Valuación de Inversiones Temporales</t>
  </si>
  <si>
    <t>Intereses, Regalías Y Otros Rendimientos</t>
  </si>
  <si>
    <t>Intereses y Rendimientos a Cobrar por Instrumentos Financ.M/L</t>
  </si>
  <si>
    <t>Créditos</t>
  </si>
  <si>
    <t>Deudores Por Intermediacion De Valores</t>
  </si>
  <si>
    <t>Clientes!A1</t>
  </si>
  <si>
    <t>Clientes Locales M/L</t>
  </si>
  <si>
    <t>IVA Crédito'!A1</t>
  </si>
  <si>
    <t>Documentos Y Cuentas Cobrar</t>
  </si>
  <si>
    <t>Créditos Por Impuestos Corrientes</t>
  </si>
  <si>
    <t xml:space="preserve">IVA - Crédito a favor - DDJJ </t>
  </si>
  <si>
    <t>Cuentas A Cobrar Entidades Relacionadas</t>
  </si>
  <si>
    <t>Prestamo a Accionista '!A1</t>
  </si>
  <si>
    <t>Cuentas A Cobrar a Directores y Accionistas M/L</t>
  </si>
  <si>
    <t>Intereses a Cobrar a Directores y Accionistas M/L</t>
  </si>
  <si>
    <t>Gastos Pagados Por Adelantado</t>
  </si>
  <si>
    <t>Activo No Corriente</t>
  </si>
  <si>
    <t>Inversiones A Largo Plazo</t>
  </si>
  <si>
    <t>Otras Inversiones Permanentes</t>
  </si>
  <si>
    <t>ACCION BVPASA'!A1</t>
  </si>
  <si>
    <t>Acción en la BVPASA</t>
  </si>
  <si>
    <t>Propiedad, Planta Y Equipo</t>
  </si>
  <si>
    <t>Equipo de Informatica'!A1</t>
  </si>
  <si>
    <t>Equipos De Informaticas</t>
  </si>
  <si>
    <t>Cargos Diferidos</t>
  </si>
  <si>
    <t>Amortizac Gastos Constituc'!A1</t>
  </si>
  <si>
    <t>Gastos De Constitución</t>
  </si>
  <si>
    <t>Pasivo</t>
  </si>
  <si>
    <t>Pasivo Corriente</t>
  </si>
  <si>
    <t>Acreedores Por Operaciones</t>
  </si>
  <si>
    <t>Acreedores por Intermed 31 12 '!A1</t>
  </si>
  <si>
    <t>Acreedores Por Operaciones M/L</t>
  </si>
  <si>
    <t>Acreedores Por Intermediacion De Valores M/L</t>
  </si>
  <si>
    <t>Acreedores Por Operaciones M/E</t>
  </si>
  <si>
    <t>Acreedores Por Intermediacion De Valores M/E</t>
  </si>
  <si>
    <t>Deudas Financieras</t>
  </si>
  <si>
    <t>Intereses A Pagar</t>
  </si>
  <si>
    <t>Intereses sobre REPOS a Pagar - M/L</t>
  </si>
  <si>
    <t>Otros Prestamos A Pagar - Repos</t>
  </si>
  <si>
    <t>Operaciones de Repo - Prestamos Repos M/L</t>
  </si>
  <si>
    <t>Otras Cuentas Por Pagar</t>
  </si>
  <si>
    <t>Cuentas a Pagar Administración</t>
  </si>
  <si>
    <t>Proveedores!A1</t>
  </si>
  <si>
    <t>Proveedores Locales M/L</t>
  </si>
  <si>
    <t>Proveedores Locales M/E</t>
  </si>
  <si>
    <t>Provisiones</t>
  </si>
  <si>
    <t>Ips A Pagar</t>
  </si>
  <si>
    <t>Ingresos Diferidos</t>
  </si>
  <si>
    <t>Patrimonio Neto</t>
  </si>
  <si>
    <t>Capital</t>
  </si>
  <si>
    <t>Conformaciión Capital'!A1</t>
  </si>
  <si>
    <t>Capital Suscripto</t>
  </si>
  <si>
    <t>(-) Capital a Integrar</t>
  </si>
  <si>
    <t>Resultados</t>
  </si>
  <si>
    <t>Resultados Acumulados 2021</t>
  </si>
  <si>
    <t>Resultado Del Ejercicio</t>
  </si>
  <si>
    <t>RESUMEN</t>
  </si>
  <si>
    <t>+Tabla1[[#Encabezados];[+Datos!B3]]</t>
  </si>
  <si>
    <t>RESULTADO DEL EJERCICIO</t>
  </si>
  <si>
    <t xml:space="preserve">Resultado Del Ejercicio </t>
  </si>
  <si>
    <t>Perdida Por Diferencia De Cambio</t>
  </si>
  <si>
    <t>Utilidad Por Diferencia De Cambio</t>
  </si>
  <si>
    <t>Diferencia De Cambio</t>
  </si>
  <si>
    <t>Intereses Devengados - Otros</t>
  </si>
  <si>
    <t>Gastos Bancarios Y Financieros</t>
  </si>
  <si>
    <t>Intereses Pagados A Entidades Bancarias</t>
  </si>
  <si>
    <t>Gastos No Deducibles</t>
  </si>
  <si>
    <t>Refrigerio Y Cafeteria</t>
  </si>
  <si>
    <t>Sueldos Y Otras Remuneraciones Al Personal</t>
  </si>
  <si>
    <t>Gastos De Administración</t>
  </si>
  <si>
    <t>Comisiones Pagadas a Otras entidades por intermediación</t>
  </si>
  <si>
    <t xml:space="preserve">Comisiones Pagadas Asesores Independientes </t>
  </si>
  <si>
    <t>Aranceles pagados a CNV</t>
  </si>
  <si>
    <t>Intereses Pagados sobre REPOS - Recompra</t>
  </si>
  <si>
    <t>Otros Gastos De Operaciones</t>
  </si>
  <si>
    <t>Costo de Venta de Bonos</t>
  </si>
  <si>
    <t>Aranceles Pagados Bvpasa</t>
  </si>
  <si>
    <t>Fondo De Garantia Bvpasa</t>
  </si>
  <si>
    <t>Costo de Venta de Valores</t>
  </si>
  <si>
    <t>Gastos De Gestión De Operaciones</t>
  </si>
  <si>
    <t>Egresos Operativos</t>
  </si>
  <si>
    <t>Otros Ingresos Administrativos</t>
  </si>
  <si>
    <t>Ingresos No Operativos</t>
  </si>
  <si>
    <t>Intereses  Por Instrumentos Financieros - Bursatiles -</t>
  </si>
  <si>
    <t>Intereses caja de ahorro en entidades bancarias</t>
  </si>
  <si>
    <t>Ingresos Financieros</t>
  </si>
  <si>
    <t>Ingresos Operativos</t>
  </si>
  <si>
    <t>OBSERVACIONES</t>
  </si>
  <si>
    <t>%</t>
  </si>
  <si>
    <t>31/3/2022</t>
  </si>
  <si>
    <t xml:space="preserve">ESTADOS DE RESULTADOS AL </t>
  </si>
  <si>
    <t>e)   Inversiones  Temporales y Permanentes</t>
  </si>
  <si>
    <t xml:space="preserve"> INFORMACION SOBRE EL EMISOR </t>
  </si>
  <si>
    <t>Accion</t>
  </si>
  <si>
    <t>1 Acción BVPASA</t>
  </si>
  <si>
    <t>Auditores</t>
  </si>
  <si>
    <t>Servicios de Auditoria</t>
  </si>
  <si>
    <t>Hp Auditores &amp; Contadores</t>
  </si>
  <si>
    <t>Prestamos e intereses a cobrar</t>
  </si>
  <si>
    <t xml:space="preserve"> +59521 7289737 Int 510 / +595981977094</t>
  </si>
  <si>
    <t>HP Auditores</t>
  </si>
  <si>
    <t>Corresponde a cuentas por cobrar a diversos clientes. Su composición del periodo actual  comparado con el ejercicio anterior, es como sigue:</t>
  </si>
  <si>
    <t>N/A</t>
  </si>
  <si>
    <t>Cuentas a Cobrar a Empresas y Personas Relacionadas M/L</t>
  </si>
  <si>
    <t>Intereses Diferidos M/L -Cupones en Repos</t>
  </si>
  <si>
    <t>Ingresos Diferidos Administración - M/L</t>
  </si>
  <si>
    <t>Aranceles Cobrados BVPASA</t>
  </si>
  <si>
    <t>Utilidad Por Operaciones Extrabursátiles</t>
  </si>
  <si>
    <t>Aranceles Pagados SEPRELAD</t>
  </si>
  <si>
    <t>Remuneración Personal Superior</t>
  </si>
  <si>
    <t xml:space="preserve">Servicios Personales Independientes </t>
  </si>
  <si>
    <t>Dominios Y Suscripciones</t>
  </si>
  <si>
    <t>Gastos Informaticos</t>
  </si>
  <si>
    <t>Multas Y Sanciones</t>
  </si>
  <si>
    <t>FLUJO DE EFECTIVO</t>
  </si>
  <si>
    <t>(+) Debe</t>
  </si>
  <si>
    <t>(+) Entrada Efectivo</t>
  </si>
  <si>
    <t>(-) Haber</t>
  </si>
  <si>
    <t>(-) Salida de Dinero</t>
  </si>
  <si>
    <t>ACTIVIDADES</t>
  </si>
  <si>
    <t>ACTIVIDADES DE</t>
  </si>
  <si>
    <t>BALANCE   Y</t>
  </si>
  <si>
    <t>ELIMINACIONES</t>
  </si>
  <si>
    <t>VARIACIÓN</t>
  </si>
  <si>
    <t>ACTIVIDADES DE OPERACIÓN</t>
  </si>
  <si>
    <t>DE INVERSION</t>
  </si>
  <si>
    <t>FINANCIAMIENTOS</t>
  </si>
  <si>
    <t>TOTAL</t>
  </si>
  <si>
    <t>DEBITOS</t>
  </si>
  <si>
    <t>RECIBIDO DE</t>
  </si>
  <si>
    <t>OTROS</t>
  </si>
  <si>
    <t>PAGOS PROVEED.</t>
  </si>
  <si>
    <t>PAGOS IMP</t>
  </si>
  <si>
    <t xml:space="preserve">PAGO A </t>
  </si>
  <si>
    <t>COBROS (PAGOS)</t>
  </si>
  <si>
    <t>(USADOS)</t>
  </si>
  <si>
    <t>(CREDITOS)</t>
  </si>
  <si>
    <t>CLIENTES</t>
  </si>
  <si>
    <t>BENEFICIOS</t>
  </si>
  <si>
    <t>P/MERCAD.</t>
  </si>
  <si>
    <t>RENTA</t>
  </si>
  <si>
    <t>EMPLEADOS</t>
  </si>
  <si>
    <t>ENTES RELACIONADOS</t>
  </si>
  <si>
    <t>PROVISTOS</t>
  </si>
  <si>
    <t xml:space="preserve">ACTIVO </t>
  </si>
  <si>
    <t xml:space="preserve">CREDITOS FISCALES </t>
  </si>
  <si>
    <t>ANTICIPO DE IRACIS</t>
  </si>
  <si>
    <t>DEUDORES VARIOS Y OTROS CREDITOS</t>
  </si>
  <si>
    <t xml:space="preserve">(PREVISIÓN P/ INCOBRABLES)   </t>
  </si>
  <si>
    <t>INVERSIONES EN VALORES PUBLICOS Y PRIVADOS</t>
  </si>
  <si>
    <t xml:space="preserve">INVERSIONES EN OTRAS EMPRESAS </t>
  </si>
  <si>
    <t xml:space="preserve">BIENES DE USO                           </t>
  </si>
  <si>
    <t xml:space="preserve">(DEPRE. ACUMULADAS)              </t>
  </si>
  <si>
    <t>BIENES INTANGIBLES</t>
  </si>
  <si>
    <t>(AMORTIZACION DE INTANGIBLES)</t>
  </si>
  <si>
    <t xml:space="preserve">GASTOS DIFERIDOS </t>
  </si>
  <si>
    <t>GASTOS NO DEVENGADOS</t>
  </si>
  <si>
    <t>TOTAL ACTIVO</t>
  </si>
  <si>
    <t xml:space="preserve">PASIVO  </t>
  </si>
  <si>
    <t xml:space="preserve">PRESTAMOS EN BANCOS              </t>
  </si>
  <si>
    <t xml:space="preserve">ACREEDORES POR INTERMEDIACION                               </t>
  </si>
  <si>
    <t>OTRAS DEUDAS (NO INCLUIDAS ANTERIORMENTE)</t>
  </si>
  <si>
    <t>INGRESOS DIFERIDOS NO DEVENGADOS</t>
  </si>
  <si>
    <t>DIVIDENDOS A DISTRIBUIR</t>
  </si>
  <si>
    <t>IMPUESTO A LA RENTA A PAGAR</t>
  </si>
  <si>
    <t>SUELDOS A PAGAR Y EMPRESAS RELACIONADAS</t>
  </si>
  <si>
    <t>CAPITAL INTEGRADO</t>
  </si>
  <si>
    <t>APORTE A FUTURA CAPITALIZACION(EFECTIVO)</t>
  </si>
  <si>
    <t>RESERVA DE REVALUO</t>
  </si>
  <si>
    <t>RESERVA LEGAL</t>
  </si>
  <si>
    <t>REVALUO BVPASA</t>
  </si>
  <si>
    <t>RESULTADOS  ACUMULADOS</t>
  </si>
  <si>
    <t>RETIRO A CTA DE UTILIDADES</t>
  </si>
  <si>
    <t>UTILIDADES DEL EJERCICIO</t>
  </si>
  <si>
    <t>ESTADO DE RESUTADO</t>
  </si>
  <si>
    <t>INGRESOS POR INTERMEDIACION Y COMISIONES (OPERATIVOS)</t>
  </si>
  <si>
    <t>OTROS INGRESOS OPERATIVOS</t>
  </si>
  <si>
    <t>INTERESES DEVENGADOS POSITIVO</t>
  </si>
  <si>
    <t>DIVIDENDOS COBRADOS</t>
  </si>
  <si>
    <t>COSTO DE VENTAS</t>
  </si>
  <si>
    <t>SUELDOS Y JORNALES</t>
  </si>
  <si>
    <t>DEVENGADOS NEGATIVOS</t>
  </si>
  <si>
    <t>GASTOS GENERALES</t>
  </si>
  <si>
    <t>DEPRECIACIÓN Y AMORTIZACION DEL EJERCICIO</t>
  </si>
  <si>
    <t>SEGUROS</t>
  </si>
  <si>
    <t xml:space="preserve">IMPUESTO A LA RENTA  </t>
  </si>
  <si>
    <t>Producto de la Venta de B. Uso</t>
  </si>
  <si>
    <t>Flujos de Efectivo por Actividades de Operación</t>
  </si>
  <si>
    <t>Efectivo Recibido de Clientes</t>
  </si>
  <si>
    <t>Efectivo Recibido por Otros Beneficios</t>
  </si>
  <si>
    <t xml:space="preserve">Efectivo pagado a Proveedores </t>
  </si>
  <si>
    <t>Efectivo pagado a Empleados</t>
  </si>
  <si>
    <t>Otros pagos y cobros</t>
  </si>
  <si>
    <t>Inversiones en Otras Empresas</t>
  </si>
  <si>
    <t>Producto de la Venta de Bienes de Uso</t>
  </si>
  <si>
    <t>Efectivo neto provisto (usado) por Actividades de inversion</t>
  </si>
  <si>
    <t>Flujos de Efectivo por Actividades de Financiamiento</t>
  </si>
  <si>
    <t>Préstamos bancarios</t>
  </si>
  <si>
    <t>Proveniente de emisión de acciones</t>
  </si>
  <si>
    <t>Efectivo neto provisto (usado) por Actividades de Financiamiento</t>
  </si>
  <si>
    <t>Aumento (disminución) de efectivo y equivalente de efectivo</t>
  </si>
  <si>
    <t>Efectivo y equivalentes de efectivo al inicio</t>
  </si>
  <si>
    <t>Efectivo y equivalentes de efectivo al final de periodo</t>
  </si>
  <si>
    <t>INTERESES PAGADOS Y DEVENGADOS REPOS</t>
  </si>
  <si>
    <r>
      <t xml:space="preserve">Inscripta en la Comisión Nacional de Valores según Certificado de Registro N° 062-0308202 </t>
    </r>
    <r>
      <rPr>
        <b/>
        <i/>
        <sz val="9"/>
        <color theme="1"/>
        <rFont val="Calibri"/>
        <family val="2"/>
        <scheme val="minor"/>
      </rPr>
      <t>de fecha 03 de agosto de 2021</t>
    </r>
    <r>
      <rPr>
        <i/>
        <sz val="9"/>
        <color theme="1"/>
        <rFont val="Calibri"/>
        <family val="2"/>
        <scheme val="minor"/>
      </rPr>
      <t xml:space="preserve"> y en la Bolsa de Valores y Productos de Asunción S.A. según resolución 2.261/21 de fecha</t>
    </r>
    <r>
      <rPr>
        <b/>
        <i/>
        <sz val="9"/>
        <color theme="1"/>
        <rFont val="Calibri"/>
        <family val="2"/>
        <scheme val="minor"/>
      </rPr>
      <t xml:space="preserve"> 11 de agosto de 2021</t>
    </r>
    <r>
      <rPr>
        <i/>
        <sz val="9"/>
        <color theme="1"/>
        <rFont val="Calibri"/>
        <family val="2"/>
        <scheme val="minor"/>
      </rPr>
      <t>, bajo el número 021.</t>
    </r>
  </si>
  <si>
    <t>PERIODO PRESENTACION</t>
  </si>
  <si>
    <t>COMPARADO CON</t>
  </si>
  <si>
    <t>Banco Familiar Saeca Cta Cte 00-2906458 M/L</t>
  </si>
  <si>
    <t>Banco Familiar Saeca Caja De Ahorro 0-2986139 M/L</t>
  </si>
  <si>
    <t>Solar Ahorro y Finanzas SAECA</t>
  </si>
  <si>
    <t>Capital Integrado G.3.805.000.000 (tres mil ochocientos cinco millones)</t>
  </si>
  <si>
    <t>Renta Fija - Bonos</t>
  </si>
  <si>
    <t>Renta Fija - CDAs</t>
  </si>
  <si>
    <t>Instrumentos Financieros Cedidos en Prestamos (Repos)</t>
  </si>
  <si>
    <t>Intereses y Rendimientos a cobrar</t>
  </si>
  <si>
    <t xml:space="preserve">Intereses y Rendimientos </t>
  </si>
  <si>
    <t>Cuentas por Cobrar a Accionistas</t>
  </si>
  <si>
    <t>Corresponde a bienes activo fijo utilizados en la empresa. Su composición actual comparativo con el ejercicio anterior, es como sigue:</t>
  </si>
  <si>
    <t>Mercado de valores</t>
  </si>
  <si>
    <t>Intereses a Pagar por Repos</t>
  </si>
  <si>
    <t>Saldo pendientes por Operaciones de Clientes - Cta Cash  -</t>
  </si>
  <si>
    <t>Servicios de Contabilidad</t>
  </si>
  <si>
    <t>Incubate SA</t>
  </si>
  <si>
    <t>Accionista</t>
  </si>
  <si>
    <t>Director/Accionista</t>
  </si>
  <si>
    <t>o)       Cuentas a Pagar a personas y empresas relacionadas (Corto y Largo plazo)</t>
  </si>
  <si>
    <t>q)       Otros Pasivos Corrientes y No Corrientes</t>
  </si>
  <si>
    <t>Movilidad Y Viaticos</t>
  </si>
  <si>
    <t>Reparaciones Y Mantenimientos</t>
  </si>
  <si>
    <t>Clientes Locales M/E</t>
  </si>
  <si>
    <t>Anticipo A Proveedores</t>
  </si>
  <si>
    <t>Anticipos A Proveedores Locales. M/L</t>
  </si>
  <si>
    <t>30/09/2022</t>
  </si>
  <si>
    <t>Utilidad Por Diferencia De Cambio- Divisas</t>
  </si>
  <si>
    <t>Intereses  Por Instrumentos Financieros - Extra Bursatiles</t>
  </si>
  <si>
    <t>Perdidas Varias Operaciones</t>
  </si>
  <si>
    <t>Gastos De Ventas O Comercialización</t>
  </si>
  <si>
    <t>Otros Beneficios Al Personal de Ventas</t>
  </si>
  <si>
    <t>Publicidad Y Propaganda</t>
  </si>
  <si>
    <t>08-00607680-02</t>
  </si>
  <si>
    <t>Recupero de Gastos</t>
  </si>
  <si>
    <t>Ivan Casamayoret</t>
  </si>
  <si>
    <t>ANEXO F DE LA RESOLUCION Nº 35/23</t>
  </si>
  <si>
    <r>
      <t xml:space="preserve">Los estados Contables han sido preparados de acuerdo a la Resolución Nro. 35/23 de la Comisión Nacional de Valores, </t>
    </r>
    <r>
      <rPr>
        <b/>
        <sz val="9"/>
        <color theme="1"/>
        <rFont val="Calibri"/>
        <family val="2"/>
        <scheme val="minor"/>
      </rPr>
      <t>Capitulo 9 del reglamento general del Mercado de Valores</t>
    </r>
    <r>
      <rPr>
        <sz val="9"/>
        <color theme="1"/>
        <rFont val="Calibri"/>
        <family val="2"/>
        <scheme val="minor"/>
      </rPr>
      <t xml:space="preserve">. </t>
    </r>
  </si>
  <si>
    <t xml:space="preserve">Son aplicados los criterios de valuación y exposición se enmarcan de acuerdo a lo estipulado en la reglamentación general del Mercado de Valores, atendiendo el Anexo G. Los Bienes de Uso se valuan a valor residual o valor neto (Valor Adquisicion menos valor de las depreciaciones acumuladas).  Las Inversiones temporales y permantentes se valuan a su valor de incorporación. Salvo, a la Acción de la Bolsa que se valua al ultimo precio de transacción. </t>
  </si>
  <si>
    <t>Banco Familiar Cta. Cte. 00-2906458 M/L</t>
  </si>
  <si>
    <t>Banco Familiar SAECA  -Caja De Ahorro - 0-2986139 M/L</t>
  </si>
  <si>
    <t>(+) Ajuste por Valor de Compra Inversiones Temporales M/L</t>
  </si>
  <si>
    <t>(-) Ajuste por Desvalorización Inversiones Temporales M/L</t>
  </si>
  <si>
    <t>(-) Intereses a Devengar por Instrumentos Financieros M/L</t>
  </si>
  <si>
    <t>Instrumentos Financieros Cedidos en Garantía</t>
  </si>
  <si>
    <t>Intereses, Regalias y Otros Rendimientos Largo Plazo - Instrumentos Financieros</t>
  </si>
  <si>
    <t>Intereses, Regalías Y Otros Rendimientos M/L - Instrumentos Financieros Largo Plazo</t>
  </si>
  <si>
    <t>(-) Intereses a Devengar por Instrumentos Financieros M/L - Largo Plazo</t>
  </si>
  <si>
    <t>Ajustes  por Valuación De Inversión Permanente</t>
  </si>
  <si>
    <t>(+) Ajuste por Valor de Compra Inversiones Permanentes ML</t>
  </si>
  <si>
    <t>(-) Depreciación Acumulada</t>
  </si>
  <si>
    <t>(-) Amortización Acumulada</t>
  </si>
  <si>
    <t>Tarjeta de Crédito a Pagar</t>
  </si>
  <si>
    <t>Tarjeta de Crédito a Pagar - Familiar</t>
  </si>
  <si>
    <t>Otras Reservas</t>
  </si>
  <si>
    <t>Valuación de Acción en BVPASA</t>
  </si>
  <si>
    <t>Titulos De Deuda CDA</t>
  </si>
  <si>
    <t>Intereses cobrados por Repos - Reportador</t>
  </si>
  <si>
    <t>Intereses Devengados - Portafolio Bursátil.</t>
  </si>
  <si>
    <t>Intereses Devengados - Portafolio Extra - Bursátil.</t>
  </si>
  <si>
    <t>Utilidad Por Operaciones Bursatiles</t>
  </si>
  <si>
    <t>Costo de Venta de CDA</t>
  </si>
  <si>
    <t>Aguinaldos</t>
  </si>
  <si>
    <t>Capacitacion Al Personal</t>
  </si>
  <si>
    <t>Uniformes Del Personal</t>
  </si>
  <si>
    <t>Depreciaciones Y Amortizaciones De Activ</t>
  </si>
  <si>
    <t>Depreciaciones Del Ejercicio</t>
  </si>
  <si>
    <t>Amortizaciones Del Ejercicio</t>
  </si>
  <si>
    <t>TC</t>
  </si>
  <si>
    <t>(+) Valor de compra</t>
  </si>
  <si>
    <t>Anticipo a Proveedores Locales - Pago de Servicios</t>
  </si>
  <si>
    <t>Market Data</t>
  </si>
  <si>
    <t>Empresa Vinculada</t>
  </si>
  <si>
    <t>Metis</t>
  </si>
  <si>
    <t>Servicios de Marketing Digital</t>
  </si>
  <si>
    <t>Capacitación al Personal</t>
  </si>
  <si>
    <t>Servicios de Asesoria Legal a cobrar</t>
  </si>
  <si>
    <t>Cafetto</t>
  </si>
  <si>
    <t>Edge</t>
  </si>
  <si>
    <t>In Positiva</t>
  </si>
  <si>
    <t>Depreciaciones y Amortizaciones</t>
  </si>
  <si>
    <t>1-2384; 2485-3355; 4751-4800</t>
  </si>
  <si>
    <t>1-2384 ; 2485-4550; 4751-4800</t>
  </si>
  <si>
    <t>Maria Veronica Porro Acosta</t>
  </si>
  <si>
    <t>PERIODO ANTERIOR 31/12/2022</t>
  </si>
  <si>
    <t>Total al  30/12/2022</t>
  </si>
  <si>
    <t>AL  31/12/2022</t>
  </si>
  <si>
    <r>
      <t xml:space="preserve">Incubate . S.A. posee Acciones de la Empresa Traders Pro CBSA , constituida en Asunción-Paraguay, por valor de </t>
    </r>
    <r>
      <rPr>
        <b/>
        <sz val="9"/>
        <color theme="1"/>
        <rFont val="Calibri"/>
        <family val="2"/>
        <scheme val="minor"/>
      </rPr>
      <t>Gs.3.305.000.000</t>
    </r>
    <r>
      <rPr>
        <sz val="9"/>
        <color theme="1"/>
        <rFont val="Calibri"/>
        <family val="2"/>
        <scheme val="minor"/>
      </rPr>
      <t xml:space="preserve"> que representan el </t>
    </r>
    <r>
      <rPr>
        <b/>
        <sz val="9"/>
        <color theme="1"/>
        <rFont val="Calibri"/>
        <family val="2"/>
        <scheme val="minor"/>
      </rPr>
      <t xml:space="preserve">86,86% </t>
    </r>
    <r>
      <rPr>
        <sz val="9"/>
        <color theme="1"/>
        <rFont val="Calibri"/>
        <family val="2"/>
        <scheme val="minor"/>
      </rPr>
      <t>del Capital Social. –</t>
    </r>
  </si>
  <si>
    <t xml:space="preserve">Automaq S.A.E.C.A. </t>
  </si>
  <si>
    <t xml:space="preserve">BANCO ITAÚ PARAGUAY S.A. </t>
  </si>
  <si>
    <t>Bonos Financieros</t>
  </si>
  <si>
    <t xml:space="preserve">Cementos Concepción S.A.E. </t>
  </si>
  <si>
    <t xml:space="preserve">COOPERATIVA MULTIACTIVA DE AHORRO, CRÉDITO Y SERVICIOS DE FUNCIONARIOS DE LA ENTIDAD BINACIONAL YACYRETÁ LTDA. (COOFY) </t>
  </si>
  <si>
    <t xml:space="preserve">Imperial Compañía Distribuidora de Petróleo y Derivados S.A.E. </t>
  </si>
  <si>
    <t xml:space="preserve">NUCLEO S.A. </t>
  </si>
  <si>
    <t xml:space="preserve">TECNOLOGIA DEL SUR S.A.E. </t>
  </si>
  <si>
    <t xml:space="preserve">TELEFONICA CELULAR DEL PARAGUAY S.A.E (TELECEL S.A.E) </t>
  </si>
  <si>
    <t xml:space="preserve">BANCO FAMILIAR SAECA </t>
  </si>
  <si>
    <t>BVPASA</t>
  </si>
  <si>
    <t>Gastos de Operaciones BVPASA</t>
  </si>
  <si>
    <t>Gastos a favor del Personal</t>
  </si>
  <si>
    <t>Servicios Informaticos</t>
  </si>
  <si>
    <t>Ingresos Por Servicios</t>
  </si>
  <si>
    <t>Asesoria Económica- Corporate-</t>
  </si>
  <si>
    <t>Utilidades por Operaciones Bursatiles y Extrabursatiles</t>
  </si>
  <si>
    <t>Otros Ingresos (Asesoria Legal)</t>
  </si>
  <si>
    <t>6. PERSONAS VINCULADAS</t>
  </si>
  <si>
    <t>PERIODO ACTUAL 30/06/ 2023</t>
  </si>
  <si>
    <t>Total al  30/06/2023</t>
  </si>
  <si>
    <t>Al 30/06/2023</t>
  </si>
  <si>
    <t>Al 30/06/2022</t>
  </si>
  <si>
    <t>CORRESPONDIENTE AL 30 DE JUNIO DE 2023 PRESENTADO EN FORMA COMPARATIVA CON EL EJERCICIO ECONOMICO ANTERIOR  AL  31 DE DICIEMBRE DE  2022.</t>
  </si>
  <si>
    <t>CORRESPONDIENTE AL 3O DE JUNIO DE 2023 PRESENTADO EN FORMA COMPARATIVA CON EL 30 DE JUNIO DE 2022</t>
  </si>
  <si>
    <t>CORRESPONDIENTE AL 30 DE JUNIO DE 2023 PRESENTADO EN FORMA COMPARATIVA CON EL 30 DE JUNIO DE 2022</t>
  </si>
  <si>
    <t>Gastos de encomiendas y envíos</t>
  </si>
  <si>
    <t>IVA Gastos</t>
  </si>
  <si>
    <t xml:space="preserve"> 643.284.307 </t>
  </si>
  <si>
    <t xml:space="preserve"> 405.499.682 </t>
  </si>
  <si>
    <t>CUADRO DE EERR ESTA OCULTO GASTOS ADMINISTRATIVOS</t>
  </si>
  <si>
    <t>OCULTO CALCULO DE FLUJO DE CAJA</t>
  </si>
  <si>
    <t>Banco Familiar Saeca</t>
  </si>
  <si>
    <t>Banco Itaڠparaguay S.A</t>
  </si>
  <si>
    <t>Banco Nacional De Fomento</t>
  </si>
  <si>
    <t>Banco Continental Saeca</t>
  </si>
  <si>
    <t>Fic S.A. De Finanzas</t>
  </si>
  <si>
    <t>Solar Ahorro Y Finanzas Saeca</t>
  </si>
  <si>
    <t>Banco Rio S.A.E.C.A.</t>
  </si>
  <si>
    <t>Financiera Ueno S.A.E.C.A.</t>
  </si>
  <si>
    <t>Sudameris Bank Saeca</t>
  </si>
  <si>
    <t>Tu Financiera S.A.</t>
  </si>
  <si>
    <t>Bono</t>
  </si>
  <si>
    <t xml:space="preserve">CAMPESTRE S.A.E. </t>
  </si>
  <si>
    <t>BANCO CONTINENTAL S.A.E.C.A.</t>
  </si>
  <si>
    <t>Renta Variable - Accioness</t>
  </si>
  <si>
    <t>Títulos de Renta Variable</t>
  </si>
  <si>
    <t>Anticipo a Empleados - Descuento de Salarios</t>
  </si>
  <si>
    <t>Ariza Inmobiliaria S.A.</t>
  </si>
  <si>
    <t>Susana Cadogan Maas - Jose Enrique Bobadilla Cadogan</t>
  </si>
  <si>
    <t>* Repos realizados con Bonos de Nucleo y Tigo según constan en el cuadro de Inversiones.</t>
  </si>
  <si>
    <t xml:space="preserve">Interes a devengar </t>
  </si>
  <si>
    <t>Titulos De Participacion Acciones</t>
  </si>
  <si>
    <t>Perdida Por Venta De Valores</t>
  </si>
  <si>
    <t>Perdida Por Diferencia De Cambio - Divisas</t>
  </si>
  <si>
    <t>De acuerdo a lo previsto en el artículo 111 de la Ley 5810/17, la entidad tiene constituida como garantía a favor de la BOLSA DE VALORES Y PRODUCTOS DE ASUNCION SA, la suma de Gs 643.954.750- ( guaranies seiscientos cuarenta y tres millones,setecientos cincuenta), mediante una Poliza de Caución con FENIX SEGUROS . Asimismo, ha firmado un DISTRATO CONTRATO DE CONSTITUCION DE GARANTIA con fecha 13 de junio 2023, para dar por terminado el contrato suscripto en 21/07/2021 y la adenda del contrato del 12/07/2022.</t>
  </si>
  <si>
    <r>
      <t xml:space="preserve">Los Estados Contables trimestrales (Balance General, Estado de Resultados, Estado de Flujo de Efectivo y Estado de Variación del Patrimonio Neto) correspondientes </t>
    </r>
    <r>
      <rPr>
        <b/>
        <sz val="9"/>
        <rFont val="Calibri"/>
        <family val="2"/>
        <scheme val="minor"/>
      </rPr>
      <t xml:space="preserve">al </t>
    </r>
    <r>
      <rPr>
        <b/>
        <sz val="9"/>
        <rFont val="Calibri (Cuerpo)"/>
      </rPr>
      <t>30 de junio de 2023</t>
    </r>
    <r>
      <rPr>
        <sz val="9"/>
        <rFont val="Calibri"/>
        <family val="2"/>
        <scheme val="minor"/>
      </rPr>
      <t xml:space="preserve"> han sido considerados y aprobados según </t>
    </r>
    <r>
      <rPr>
        <b/>
        <sz val="9"/>
        <rFont val="Calibri"/>
        <family val="2"/>
        <scheme val="minor"/>
      </rPr>
      <t>Acta de Directorio</t>
    </r>
    <r>
      <rPr>
        <sz val="9"/>
        <rFont val="Calibri"/>
        <family val="2"/>
        <scheme val="minor"/>
      </rPr>
      <t xml:space="preserve"> </t>
    </r>
    <r>
      <rPr>
        <sz val="9"/>
        <rFont val="Calibri (Cuerpo)"/>
      </rPr>
      <t>N° 07/2023, de fecha  14/08/2023.-</t>
    </r>
  </si>
  <si>
    <t>In Positiva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</si>
</sst>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-* #,##0\ _D_M_-;\-* #,##0\ _D_M_-;_-* &quot;-&quot;??\ _D_M_-;_-@_-"/>
    <numFmt numFmtId="169" formatCode="_-[$Gs.-3C0A]\ * #,##0.00_ ;_-[$Gs.-3C0A]\ * \-#,##0.00\ ;_-[$Gs.-3C0A]\ * &quot;-&quot;??_ ;_-@_ "/>
    <numFmt numFmtId="170" formatCode="_(* #,##0_);_(* \(#,##0\);_(* &quot;-&quot;??_);_(@_)"/>
    <numFmt numFmtId="171" formatCode="dd/mm/yyyy;@"/>
    <numFmt numFmtId="172" formatCode="_ * #,##0.00_ ;_ * \-#,##0.00_ ;_ * &quot;-&quot;_ ;_ @_ "/>
    <numFmt numFmtId="173" formatCode="_ * #,##0_ ;_ * \-#,##0_ ;_ * &quot;-&quot;??_ ;_ @_ "/>
    <numFmt numFmtId="174" formatCode="_ * #,##0.0_ ;_ * \-#,##0.0_ ;_ * &quot;-&quot;_ ;_ @_ "/>
    <numFmt numFmtId="175" formatCode="#,##0;\(#,##0\)"/>
    <numFmt numFmtId="176" formatCode="&quot; &quot;#,##0.00&quot; &quot;;&quot; (&quot;#,##0.00&quot;)&quot;;&quot; -&quot;00&quot; &quot;;&quot; &quot;@&quot; &quot;"/>
    <numFmt numFmtId="177" formatCode="_ * #,##0.000_ ;_ * \-#,##0.000_ ;_ * &quot;-&quot;_ ;_ @_ "/>
  </numFmts>
  <fonts count="1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20212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u/>
      <sz val="9"/>
      <color theme="7" tint="-0.249977111117893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5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10"/>
      <color rgb="FF003F59"/>
      <name val="Calibri"/>
      <family val="2"/>
      <scheme val="minor"/>
    </font>
    <font>
      <sz val="10"/>
      <color rgb="FF003F5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3F59"/>
      <name val="Calibri"/>
      <family val="2"/>
      <scheme val="minor"/>
    </font>
    <font>
      <b/>
      <sz val="9"/>
      <color rgb="FF003F59"/>
      <name val="Calibri"/>
      <family val="2"/>
      <scheme val="minor"/>
    </font>
    <font>
      <b/>
      <sz val="8"/>
      <name val="Arial"/>
      <family val="2"/>
    </font>
    <font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u val="singleAccounting"/>
      <sz val="8"/>
      <color rgb="FF000000"/>
      <name val="Calibri"/>
      <family val="2"/>
      <scheme val="minor"/>
    </font>
    <font>
      <u val="singleAccounting"/>
      <sz val="8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i/>
      <u val="double"/>
      <sz val="11"/>
      <color theme="1"/>
      <name val="Calibri"/>
      <family val="2"/>
      <scheme val="minor"/>
    </font>
    <font>
      <b/>
      <i/>
      <u val="double"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u/>
      <sz val="9"/>
      <name val="Calibri"/>
      <family val="2"/>
      <scheme val="minor"/>
    </font>
    <font>
      <b/>
      <i/>
      <u/>
      <sz val="9"/>
      <name val="Calibri"/>
      <family val="2"/>
      <scheme val="minor"/>
    </font>
    <font>
      <b/>
      <sz val="8"/>
      <color rgb="FF333333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color theme="9"/>
      <name val="Arial"/>
      <family val="2"/>
    </font>
    <font>
      <b/>
      <sz val="5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sz val="10"/>
      <color theme="9" tint="-0.249977111117893"/>
      <name val="Arial"/>
      <family val="2"/>
    </font>
    <font>
      <b/>
      <i/>
      <sz val="10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0"/>
      <color theme="9" tint="-0.24997711111789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i/>
      <u val="double"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u val="double"/>
      <sz val="9"/>
      <color theme="1"/>
      <name val="Calibri"/>
      <family val="2"/>
      <scheme val="minor"/>
    </font>
    <font>
      <b/>
      <u val="double"/>
      <sz val="9"/>
      <color theme="1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name val="Calibri"/>
      <family val="2"/>
      <scheme val="minor"/>
    </font>
    <font>
      <b/>
      <i/>
      <u val="singleAccounting"/>
      <sz val="8"/>
      <color rgb="FF000000"/>
      <name val="Calibri"/>
      <family val="2"/>
      <scheme val="minor"/>
    </font>
    <font>
      <b/>
      <sz val="10"/>
      <color rgb="FF202124"/>
      <name val="Calibri"/>
      <family val="2"/>
      <scheme val="minor"/>
    </font>
    <font>
      <b/>
      <sz val="13"/>
      <color rgb="FF003F59"/>
      <name val="Helvetica Neue"/>
      <family val="2"/>
    </font>
    <font>
      <sz val="9"/>
      <name val="Calibri (Cuerpo)"/>
    </font>
    <font>
      <b/>
      <sz val="9"/>
      <name val="Calibri (Cuerpo)"/>
    </font>
  </fonts>
  <fills count="1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11E41"/>
        <bgColor indexed="64"/>
      </patternFill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A7A7A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/>
      <right/>
      <top/>
      <bottom style="thin">
        <color theme="7" tint="0.39997558519241921"/>
      </bottom>
      <diagonal/>
    </border>
  </borders>
  <cellStyleXfs count="34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89" fillId="0" borderId="0"/>
    <xf numFmtId="43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90" fillId="0" borderId="0" applyFont="0" applyFill="0" applyBorder="0" applyAlignment="0" applyProtection="0"/>
  </cellStyleXfs>
  <cellXfs count="770">
    <xf numFmtId="0" fontId="0" fillId="0" borderId="0" xfId="0"/>
    <xf numFmtId="0" fontId="8" fillId="0" borderId="5" xfId="0" quotePrefix="1" applyFont="1" applyBorder="1" applyAlignment="1">
      <alignment horizontal="left"/>
    </xf>
    <xf numFmtId="0" fontId="9" fillId="0" borderId="5" xfId="3" quotePrefix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8" fillId="0" borderId="9" xfId="0" applyFont="1" applyBorder="1"/>
    <xf numFmtId="0" fontId="12" fillId="3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8" fillId="0" borderId="6" xfId="0" applyFont="1" applyBorder="1"/>
    <xf numFmtId="0" fontId="10" fillId="0" borderId="5" xfId="0" applyFont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5" fillId="0" borderId="5" xfId="3" quotePrefix="1" applyBorder="1" applyAlignment="1">
      <alignment horizontal="left"/>
    </xf>
    <xf numFmtId="0" fontId="5" fillId="0" borderId="5" xfId="3" applyBorder="1" applyAlignment="1">
      <alignment horizontal="left"/>
    </xf>
    <xf numFmtId="0" fontId="13" fillId="0" borderId="0" xfId="0" applyFont="1"/>
    <xf numFmtId="0" fontId="8" fillId="0" borderId="4" xfId="0" applyFont="1" applyBorder="1"/>
    <xf numFmtId="0" fontId="8" fillId="0" borderId="3" xfId="0" applyFont="1" applyBorder="1"/>
    <xf numFmtId="0" fontId="5" fillId="0" borderId="2" xfId="3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3" quotePrefix="1" applyFont="1" applyBorder="1" applyAlignment="1">
      <alignment horizontal="left"/>
    </xf>
    <xf numFmtId="0" fontId="16" fillId="0" borderId="0" xfId="3" quotePrefix="1" applyFont="1"/>
    <xf numFmtId="0" fontId="14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167" fontId="14" fillId="0" borderId="1" xfId="0" applyNumberFormat="1" applyFont="1" applyBorder="1"/>
    <xf numFmtId="0" fontId="14" fillId="0" borderId="1" xfId="0" applyFont="1" applyBorder="1"/>
    <xf numFmtId="0" fontId="1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1" fontId="14" fillId="0" borderId="0" xfId="5" applyFont="1"/>
    <xf numFmtId="3" fontId="14" fillId="0" borderId="1" xfId="0" applyNumberFormat="1" applyFont="1" applyBorder="1" applyAlignment="1">
      <alignment vertical="center"/>
    </xf>
    <xf numFmtId="172" fontId="14" fillId="0" borderId="1" xfId="5" applyNumberFormat="1" applyFont="1" applyBorder="1" applyAlignment="1">
      <alignment horizontal="center" vertical="center"/>
    </xf>
    <xf numFmtId="167" fontId="14" fillId="0" borderId="1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43" fontId="14" fillId="0" borderId="1" xfId="4" applyFont="1" applyBorder="1" applyAlignment="1">
      <alignment horizontal="center" vertical="center"/>
    </xf>
    <xf numFmtId="0" fontId="7" fillId="0" borderId="1" xfId="0" applyFont="1" applyBorder="1"/>
    <xf numFmtId="0" fontId="7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167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/>
    </xf>
    <xf numFmtId="167" fontId="14" fillId="0" borderId="1" xfId="4" applyNumberFormat="1" applyFont="1" applyBorder="1" applyAlignment="1">
      <alignment horizontal="right"/>
    </xf>
    <xf numFmtId="41" fontId="14" fillId="0" borderId="0" xfId="0" applyNumberFormat="1" applyFont="1"/>
    <xf numFmtId="3" fontId="7" fillId="0" borderId="1" xfId="0" applyNumberFormat="1" applyFont="1" applyBorder="1" applyAlignment="1">
      <alignment horizontal="right"/>
    </xf>
    <xf numFmtId="41" fontId="14" fillId="0" borderId="0" xfId="5" applyFont="1" applyAlignment="1">
      <alignment horizontal="right"/>
    </xf>
    <xf numFmtId="41" fontId="14" fillId="0" borderId="0" xfId="5" applyFont="1" applyBorder="1"/>
    <xf numFmtId="0" fontId="15" fillId="0" borderId="1" xfId="0" applyFont="1" applyBorder="1" applyAlignment="1">
      <alignment horizontal="center"/>
    </xf>
    <xf numFmtId="171" fontId="15" fillId="0" borderId="1" xfId="5" applyNumberFormat="1" applyFont="1" applyBorder="1" applyAlignment="1">
      <alignment horizontal="center" vertical="center" wrapText="1"/>
    </xf>
    <xf numFmtId="171" fontId="15" fillId="0" borderId="1" xfId="5" applyNumberFormat="1" applyFont="1" applyBorder="1" applyAlignment="1">
      <alignment horizontal="center" wrapText="1"/>
    </xf>
    <xf numFmtId="0" fontId="15" fillId="0" borderId="1" xfId="0" applyFont="1" applyBorder="1"/>
    <xf numFmtId="41" fontId="11" fillId="0" borderId="1" xfId="5" applyFont="1" applyBorder="1" applyAlignment="1">
      <alignment horizontal="right" vertical="center"/>
    </xf>
    <xf numFmtId="41" fontId="11" fillId="0" borderId="1" xfId="5" applyFont="1" applyBorder="1" applyAlignment="1">
      <alignment horizontal="right"/>
    </xf>
    <xf numFmtId="41" fontId="21" fillId="0" borderId="1" xfId="5" applyFont="1" applyBorder="1" applyAlignment="1"/>
    <xf numFmtId="41" fontId="21" fillId="0" borderId="1" xfId="5" applyFont="1" applyBorder="1" applyAlignment="1">
      <alignment horizontal="right"/>
    </xf>
    <xf numFmtId="41" fontId="21" fillId="0" borderId="0" xfId="5" applyFont="1" applyBorder="1" applyAlignment="1"/>
    <xf numFmtId="0" fontId="22" fillId="0" borderId="0" xfId="0" applyFont="1"/>
    <xf numFmtId="41" fontId="15" fillId="0" borderId="1" xfId="5" applyFont="1" applyBorder="1" applyAlignment="1">
      <alignment horizontal="right" vertical="center"/>
    </xf>
    <xf numFmtId="173" fontId="14" fillId="0" borderId="0" xfId="4" applyNumberFormat="1" applyFont="1"/>
    <xf numFmtId="0" fontId="24" fillId="0" borderId="7" xfId="0" applyFont="1" applyBorder="1" applyAlignment="1">
      <alignment horizontal="center" vertical="center"/>
    </xf>
    <xf numFmtId="173" fontId="20" fillId="0" borderId="1" xfId="4" applyNumberFormat="1" applyFont="1" applyFill="1" applyBorder="1" applyAlignment="1">
      <alignment vertical="center"/>
    </xf>
    <xf numFmtId="170" fontId="14" fillId="0" borderId="0" xfId="0" applyNumberFormat="1" applyFont="1"/>
    <xf numFmtId="173" fontId="20" fillId="0" borderId="2" xfId="4" applyNumberFormat="1" applyFont="1" applyFill="1" applyBorder="1" applyAlignment="1">
      <alignment vertical="center"/>
    </xf>
    <xf numFmtId="173" fontId="24" fillId="0" borderId="2" xfId="4" applyNumberFormat="1" applyFont="1" applyFill="1" applyBorder="1" applyAlignment="1">
      <alignment horizontal="right" vertical="center"/>
    </xf>
    <xf numFmtId="173" fontId="24" fillId="0" borderId="1" xfId="4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170" fontId="24" fillId="0" borderId="0" xfId="0" applyNumberFormat="1" applyFont="1" applyAlignment="1">
      <alignment vertical="center"/>
    </xf>
    <xf numFmtId="173" fontId="24" fillId="0" borderId="0" xfId="4" applyNumberFormat="1" applyFont="1" applyAlignment="1">
      <alignment vertical="center"/>
    </xf>
    <xf numFmtId="173" fontId="24" fillId="0" borderId="0" xfId="4" applyNumberFormat="1" applyFont="1" applyBorder="1" applyAlignment="1">
      <alignment horizontal="right" vertical="center"/>
    </xf>
    <xf numFmtId="173" fontId="25" fillId="0" borderId="0" xfId="4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0" fontId="14" fillId="0" borderId="0" xfId="0" applyNumberFormat="1" applyFont="1" applyAlignment="1">
      <alignment vertical="center"/>
    </xf>
    <xf numFmtId="173" fontId="14" fillId="0" borderId="0" xfId="4" applyNumberFormat="1" applyFont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41" fontId="14" fillId="0" borderId="0" xfId="5" applyFont="1" applyFill="1" applyAlignment="1">
      <alignment horizontal="right"/>
    </xf>
    <xf numFmtId="41" fontId="14" fillId="0" borderId="1" xfId="5" applyFont="1" applyFill="1" applyBorder="1" applyAlignment="1">
      <alignment horizontal="right"/>
    </xf>
    <xf numFmtId="41" fontId="7" fillId="0" borderId="1" xfId="5" applyFont="1" applyFill="1" applyBorder="1" applyAlignment="1">
      <alignment horizontal="right"/>
    </xf>
    <xf numFmtId="170" fontId="14" fillId="0" borderId="0" xfId="4" applyNumberFormat="1" applyFont="1" applyFill="1"/>
    <xf numFmtId="41" fontId="7" fillId="0" borderId="0" xfId="5" applyFont="1" applyFill="1" applyAlignment="1">
      <alignment horizontal="right"/>
    </xf>
    <xf numFmtId="41" fontId="14" fillId="0" borderId="0" xfId="5" applyFont="1" applyFill="1"/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 vertical="center" indent="3"/>
    </xf>
    <xf numFmtId="0" fontId="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 horizontal="left"/>
    </xf>
    <xf numFmtId="3" fontId="14" fillId="0" borderId="0" xfId="0" applyNumberFormat="1" applyFont="1"/>
    <xf numFmtId="0" fontId="14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41" fontId="7" fillId="0" borderId="1" xfId="5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6" fontId="14" fillId="0" borderId="0" xfId="0" applyNumberFormat="1" applyFont="1"/>
    <xf numFmtId="0" fontId="24" fillId="0" borderId="1" xfId="0" applyFont="1" applyBorder="1"/>
    <xf numFmtId="0" fontId="19" fillId="0" borderId="0" xfId="0" applyFont="1"/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/>
    <xf numFmtId="41" fontId="14" fillId="0" borderId="1" xfId="5" applyFont="1" applyBorder="1" applyAlignment="1"/>
    <xf numFmtId="41" fontId="7" fillId="0" borderId="1" xfId="5" applyFont="1" applyBorder="1" applyAlignment="1"/>
    <xf numFmtId="167" fontId="14" fillId="0" borderId="0" xfId="0" applyNumberFormat="1" applyFont="1"/>
    <xf numFmtId="2" fontId="7" fillId="0" borderId="1" xfId="0" applyNumberFormat="1" applyFont="1" applyBorder="1" applyAlignment="1">
      <alignment horizontal="center" vertical="center" wrapText="1"/>
    </xf>
    <xf numFmtId="167" fontId="14" fillId="0" borderId="0" xfId="9" applyFont="1"/>
    <xf numFmtId="0" fontId="14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170" fontId="14" fillId="0" borderId="1" xfId="0" applyNumberFormat="1" applyFont="1" applyBorder="1" applyAlignment="1">
      <alignment horizontal="right" wrapText="1"/>
    </xf>
    <xf numFmtId="167" fontId="14" fillId="0" borderId="1" xfId="9" applyFont="1" applyBorder="1" applyAlignment="1">
      <alignment horizontal="right" wrapText="1"/>
    </xf>
    <xf numFmtId="0" fontId="24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170" fontId="7" fillId="0" borderId="1" xfId="9" applyNumberFormat="1" applyFont="1" applyBorder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170" fontId="7" fillId="0" borderId="0" xfId="9" applyNumberFormat="1" applyFont="1" applyBorder="1" applyAlignment="1">
      <alignment horizontal="right" wrapText="1"/>
    </xf>
    <xf numFmtId="167" fontId="14" fillId="0" borderId="0" xfId="9" applyFont="1" applyBorder="1" applyAlignment="1">
      <alignment horizontal="right" wrapText="1"/>
    </xf>
    <xf numFmtId="0" fontId="14" fillId="0" borderId="7" xfId="0" applyFont="1" applyBorder="1" applyAlignment="1">
      <alignment wrapText="1"/>
    </xf>
    <xf numFmtId="167" fontId="14" fillId="0" borderId="1" xfId="9" applyFont="1" applyFill="1" applyBorder="1" applyAlignment="1">
      <alignment horizontal="right" wrapText="1"/>
    </xf>
    <xf numFmtId="41" fontId="14" fillId="0" borderId="1" xfId="5" applyFont="1" applyBorder="1" applyAlignment="1">
      <alignment horizontal="right" wrapText="1"/>
    </xf>
    <xf numFmtId="170" fontId="7" fillId="0" borderId="1" xfId="0" applyNumberFormat="1" applyFont="1" applyBorder="1" applyAlignment="1">
      <alignment horizontal="right" wrapText="1"/>
    </xf>
    <xf numFmtId="41" fontId="14" fillId="0" borderId="0" xfId="5" applyFont="1" applyFill="1" applyAlignment="1">
      <alignment wrapText="1"/>
    </xf>
    <xf numFmtId="41" fontId="14" fillId="0" borderId="0" xfId="5" applyFont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5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41" fontId="20" fillId="3" borderId="1" xfId="5" applyFont="1" applyFill="1" applyBorder="1" applyAlignment="1">
      <alignment horizontal="left" wrapText="1"/>
    </xf>
    <xf numFmtId="41" fontId="7" fillId="0" borderId="1" xfId="5" applyFont="1" applyFill="1" applyBorder="1" applyAlignment="1">
      <alignment horizontal="right" wrapText="1"/>
    </xf>
    <xf numFmtId="41" fontId="14" fillId="0" borderId="1" xfId="5" applyFont="1" applyFill="1" applyBorder="1" applyAlignment="1">
      <alignment horizontal="right" wrapText="1"/>
    </xf>
    <xf numFmtId="41" fontId="14" fillId="0" borderId="0" xfId="0" applyNumberFormat="1" applyFont="1" applyAlignment="1">
      <alignment wrapText="1"/>
    </xf>
    <xf numFmtId="41" fontId="24" fillId="0" borderId="1" xfId="5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41" fontId="25" fillId="0" borderId="1" xfId="5" applyFont="1" applyFill="1" applyBorder="1" applyAlignment="1">
      <alignment horizontal="right" vertical="center"/>
    </xf>
    <xf numFmtId="41" fontId="25" fillId="0" borderId="1" xfId="5" applyFont="1" applyBorder="1" applyAlignment="1">
      <alignment horizontal="right" vertical="center"/>
    </xf>
    <xf numFmtId="170" fontId="24" fillId="0" borderId="1" xfId="9" applyNumberFormat="1" applyFont="1" applyBorder="1" applyAlignment="1">
      <alignment horizontal="right" vertical="center"/>
    </xf>
    <xf numFmtId="41" fontId="24" fillId="0" borderId="1" xfId="5" applyFont="1" applyBorder="1" applyAlignment="1">
      <alignment horizontal="right" vertical="center"/>
    </xf>
    <xf numFmtId="171" fontId="14" fillId="0" borderId="0" xfId="0" applyNumberFormat="1" applyFont="1"/>
    <xf numFmtId="170" fontId="14" fillId="0" borderId="0" xfId="9" applyNumberFormat="1" applyFont="1"/>
    <xf numFmtId="170" fontId="7" fillId="0" borderId="0" xfId="9" applyNumberFormat="1" applyFont="1"/>
    <xf numFmtId="0" fontId="7" fillId="0" borderId="0" xfId="0" applyFont="1"/>
    <xf numFmtId="41" fontId="14" fillId="0" borderId="1" xfId="5" applyFont="1" applyBorder="1" applyAlignment="1">
      <alignment horizontal="right" vertical="center"/>
    </xf>
    <xf numFmtId="41" fontId="14" fillId="0" borderId="1" xfId="5" applyFont="1" applyFill="1" applyBorder="1" applyAlignment="1">
      <alignment horizontal="right" vertical="center"/>
    </xf>
    <xf numFmtId="41" fontId="14" fillId="0" borderId="0" xfId="0" applyNumberFormat="1" applyFont="1" applyAlignment="1">
      <alignment vertical="center"/>
    </xf>
    <xf numFmtId="41" fontId="14" fillId="0" borderId="0" xfId="5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41" fontId="7" fillId="0" borderId="1" xfId="5" applyFont="1" applyBorder="1" applyAlignment="1">
      <alignment horizontal="right" vertical="center"/>
    </xf>
    <xf numFmtId="41" fontId="7" fillId="0" borderId="1" xfId="5" applyFont="1" applyFill="1" applyBorder="1" applyAlignment="1">
      <alignment horizontal="right" vertical="center"/>
    </xf>
    <xf numFmtId="0" fontId="18" fillId="0" borderId="0" xfId="0" applyFont="1"/>
    <xf numFmtId="41" fontId="14" fillId="0" borderId="1" xfId="5" applyFont="1" applyFill="1" applyBorder="1" applyAlignment="1"/>
    <xf numFmtId="0" fontId="27" fillId="0" borderId="0" xfId="0" applyFont="1" applyAlignment="1">
      <alignment horizontal="center"/>
    </xf>
    <xf numFmtId="0" fontId="27" fillId="0" borderId="3" xfId="0" applyFont="1" applyBorder="1" applyAlignment="1">
      <alignment horizontal="center"/>
    </xf>
    <xf numFmtId="41" fontId="14" fillId="0" borderId="1" xfId="5" applyFont="1" applyFill="1" applyBorder="1" applyAlignment="1">
      <alignment horizontal="center"/>
    </xf>
    <xf numFmtId="0" fontId="14" fillId="0" borderId="5" xfId="0" applyFont="1" applyBorder="1"/>
    <xf numFmtId="41" fontId="7" fillId="0" borderId="1" xfId="5" applyFont="1" applyFill="1" applyBorder="1" applyAlignment="1">
      <alignment horizontal="center"/>
    </xf>
    <xf numFmtId="41" fontId="7" fillId="0" borderId="1" xfId="5" applyFont="1" applyBorder="1" applyAlignment="1">
      <alignment horizontal="center"/>
    </xf>
    <xf numFmtId="41" fontId="14" fillId="0" borderId="1" xfId="5" applyFont="1" applyBorder="1" applyAlignment="1">
      <alignment horizontal="center"/>
    </xf>
    <xf numFmtId="41" fontId="14" fillId="0" borderId="1" xfId="5" applyFont="1" applyBorder="1"/>
    <xf numFmtId="41" fontId="7" fillId="0" borderId="1" xfId="0" applyNumberFormat="1" applyFont="1" applyBorder="1"/>
    <xf numFmtId="41" fontId="14" fillId="0" borderId="1" xfId="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quotePrefix="1"/>
    <xf numFmtId="0" fontId="20" fillId="0" borderId="0" xfId="0" applyFont="1"/>
    <xf numFmtId="0" fontId="23" fillId="0" borderId="10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1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17" fillId="0" borderId="52" xfId="0" applyFont="1" applyBorder="1" applyAlignment="1">
      <alignment vertical="center"/>
    </xf>
    <xf numFmtId="168" fontId="19" fillId="0" borderId="1" xfId="4" applyNumberFormat="1" applyFont="1" applyFill="1" applyBorder="1" applyAlignment="1">
      <alignment horizontal="center" vertical="center" wrapText="1"/>
    </xf>
    <xf numFmtId="168" fontId="19" fillId="0" borderId="17" xfId="4" applyNumberFormat="1" applyFont="1" applyFill="1" applyBorder="1" applyAlignment="1">
      <alignment horizontal="center" vertical="center" wrapText="1"/>
    </xf>
    <xf numFmtId="0" fontId="17" fillId="0" borderId="5" xfId="0" applyFont="1" applyBorder="1"/>
    <xf numFmtId="173" fontId="17" fillId="0" borderId="12" xfId="4" applyNumberFormat="1" applyFont="1" applyFill="1" applyBorder="1" applyAlignment="1">
      <alignment horizontal="right"/>
    </xf>
    <xf numFmtId="173" fontId="19" fillId="0" borderId="5" xfId="4" applyNumberFormat="1" applyFont="1" applyFill="1" applyBorder="1" applyAlignment="1">
      <alignment horizontal="right"/>
    </xf>
    <xf numFmtId="0" fontId="17" fillId="0" borderId="12" xfId="0" applyFont="1" applyBorder="1"/>
    <xf numFmtId="173" fontId="23" fillId="0" borderId="5" xfId="4" applyNumberFormat="1" applyFont="1" applyFill="1" applyBorder="1" applyAlignment="1">
      <alignment horizontal="right"/>
    </xf>
    <xf numFmtId="173" fontId="20" fillId="0" borderId="5" xfId="4" applyNumberFormat="1" applyFont="1" applyFill="1" applyBorder="1" applyAlignment="1">
      <alignment horizontal="right"/>
    </xf>
    <xf numFmtId="173" fontId="23" fillId="0" borderId="12" xfId="4" applyNumberFormat="1" applyFont="1" applyFill="1" applyBorder="1" applyAlignment="1">
      <alignment horizontal="right"/>
    </xf>
    <xf numFmtId="0" fontId="23" fillId="0" borderId="5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173" fontId="20" fillId="0" borderId="12" xfId="4" applyNumberFormat="1" applyFont="1" applyFill="1" applyBorder="1" applyAlignment="1">
      <alignment horizontal="right"/>
    </xf>
    <xf numFmtId="0" fontId="23" fillId="0" borderId="5" xfId="0" applyFont="1" applyBorder="1"/>
    <xf numFmtId="173" fontId="17" fillId="0" borderId="18" xfId="4" applyNumberFormat="1" applyFont="1" applyFill="1" applyBorder="1" applyAlignment="1">
      <alignment horizontal="right"/>
    </xf>
    <xf numFmtId="0" fontId="28" fillId="0" borderId="5" xfId="0" applyFont="1" applyBorder="1"/>
    <xf numFmtId="173" fontId="23" fillId="0" borderId="54" xfId="4" applyNumberFormat="1" applyFont="1" applyFill="1" applyBorder="1" applyAlignment="1">
      <alignment horizontal="right"/>
    </xf>
    <xf numFmtId="173" fontId="20" fillId="0" borderId="54" xfId="4" applyNumberFormat="1" applyFont="1" applyFill="1" applyBorder="1" applyAlignment="1">
      <alignment horizontal="right"/>
    </xf>
    <xf numFmtId="173" fontId="17" fillId="0" borderId="19" xfId="4" applyNumberFormat="1" applyFont="1" applyFill="1" applyBorder="1" applyAlignment="1">
      <alignment horizontal="right"/>
    </xf>
    <xf numFmtId="0" fontId="23" fillId="0" borderId="12" xfId="0" applyFont="1" applyBorder="1"/>
    <xf numFmtId="173" fontId="17" fillId="0" borderId="55" xfId="4" applyNumberFormat="1" applyFont="1" applyFill="1" applyBorder="1" applyAlignment="1">
      <alignment horizontal="right"/>
    </xf>
    <xf numFmtId="41" fontId="20" fillId="0" borderId="0" xfId="5" applyFont="1" applyAlignment="1">
      <alignment wrapText="1"/>
    </xf>
    <xf numFmtId="41" fontId="20" fillId="0" borderId="0" xfId="0" applyNumberFormat="1" applyFont="1" applyAlignment="1">
      <alignment wrapText="1"/>
    </xf>
    <xf numFmtId="0" fontId="17" fillId="0" borderId="12" xfId="0" applyFont="1" applyBorder="1" applyAlignment="1">
      <alignment horizontal="left"/>
    </xf>
    <xf numFmtId="173" fontId="17" fillId="0" borderId="5" xfId="4" applyNumberFormat="1" applyFont="1" applyFill="1" applyBorder="1" applyAlignment="1">
      <alignment horizontal="right"/>
    </xf>
    <xf numFmtId="173" fontId="17" fillId="0" borderId="1" xfId="4" applyNumberFormat="1" applyFont="1" applyFill="1" applyBorder="1" applyAlignment="1">
      <alignment horizontal="right"/>
    </xf>
    <xf numFmtId="0" fontId="17" fillId="0" borderId="20" xfId="0" applyFont="1" applyBorder="1"/>
    <xf numFmtId="173" fontId="17" fillId="0" borderId="21" xfId="4" applyNumberFormat="1" applyFont="1" applyFill="1" applyBorder="1" applyAlignment="1">
      <alignment horizontal="right"/>
    </xf>
    <xf numFmtId="0" fontId="17" fillId="0" borderId="22" xfId="0" applyFont="1" applyBorder="1"/>
    <xf numFmtId="173" fontId="17" fillId="0" borderId="22" xfId="4" applyNumberFormat="1" applyFont="1" applyFill="1" applyBorder="1" applyAlignment="1">
      <alignment horizontal="right"/>
    </xf>
    <xf numFmtId="173" fontId="17" fillId="0" borderId="23" xfId="4" applyNumberFormat="1" applyFont="1" applyFill="1" applyBorder="1" applyAlignment="1">
      <alignment horizontal="right"/>
    </xf>
    <xf numFmtId="173" fontId="26" fillId="0" borderId="12" xfId="4" applyNumberFormat="1" applyFont="1" applyFill="1" applyBorder="1" applyAlignment="1">
      <alignment horizontal="right"/>
    </xf>
    <xf numFmtId="41" fontId="23" fillId="0" borderId="12" xfId="0" applyNumberFormat="1" applyFont="1" applyBorder="1"/>
    <xf numFmtId="49" fontId="23" fillId="0" borderId="0" xfId="0" applyNumberFormat="1" applyFont="1" applyAlignment="1">
      <alignment wrapText="1"/>
    </xf>
    <xf numFmtId="0" fontId="17" fillId="0" borderId="24" xfId="0" applyFont="1" applyBorder="1"/>
    <xf numFmtId="173" fontId="17" fillId="0" borderId="25" xfId="4" applyNumberFormat="1" applyFont="1" applyFill="1" applyBorder="1" applyAlignment="1">
      <alignment horizontal="right"/>
    </xf>
    <xf numFmtId="173" fontId="23" fillId="0" borderId="55" xfId="4" applyNumberFormat="1" applyFont="1" applyFill="1" applyBorder="1" applyAlignment="1">
      <alignment horizontal="right"/>
    </xf>
    <xf numFmtId="173" fontId="20" fillId="0" borderId="2" xfId="4" applyNumberFormat="1" applyFont="1" applyFill="1" applyBorder="1" applyAlignment="1">
      <alignment horizontal="right"/>
    </xf>
    <xf numFmtId="173" fontId="17" fillId="0" borderId="54" xfId="4" applyNumberFormat="1" applyFont="1" applyFill="1" applyBorder="1" applyAlignment="1">
      <alignment horizontal="right"/>
    </xf>
    <xf numFmtId="0" fontId="17" fillId="0" borderId="11" xfId="0" applyFont="1" applyBorder="1"/>
    <xf numFmtId="173" fontId="17" fillId="0" borderId="26" xfId="4" applyNumberFormat="1" applyFont="1" applyFill="1" applyBorder="1" applyAlignment="1">
      <alignment horizontal="right"/>
    </xf>
    <xf numFmtId="173" fontId="17" fillId="0" borderId="2" xfId="4" applyNumberFormat="1" applyFont="1" applyFill="1" applyBorder="1" applyAlignment="1">
      <alignment horizontal="right"/>
    </xf>
    <xf numFmtId="0" fontId="23" fillId="0" borderId="0" xfId="0" applyFont="1"/>
    <xf numFmtId="173" fontId="19" fillId="0" borderId="17" xfId="4" applyNumberFormat="1" applyFont="1" applyFill="1" applyBorder="1" applyAlignment="1">
      <alignment horizontal="right"/>
    </xf>
    <xf numFmtId="0" fontId="17" fillId="0" borderId="2" xfId="0" applyFont="1" applyBorder="1"/>
    <xf numFmtId="41" fontId="20" fillId="0" borderId="0" xfId="5" applyFont="1"/>
    <xf numFmtId="173" fontId="20" fillId="0" borderId="0" xfId="0" applyNumberFormat="1" applyFont="1"/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7" fillId="0" borderId="0" xfId="0" applyFont="1"/>
    <xf numFmtId="168" fontId="17" fillId="0" borderId="0" xfId="4" applyNumberFormat="1" applyFont="1" applyFill="1"/>
    <xf numFmtId="168" fontId="20" fillId="0" borderId="0" xfId="0" applyNumberFormat="1" applyFont="1"/>
    <xf numFmtId="168" fontId="20" fillId="0" borderId="0" xfId="4" applyNumberFormat="1" applyFont="1" applyFill="1"/>
    <xf numFmtId="168" fontId="20" fillId="0" borderId="0" xfId="4" applyNumberFormat="1" applyFont="1" applyFill="1" applyProtection="1">
      <protection hidden="1"/>
    </xf>
    <xf numFmtId="3" fontId="20" fillId="0" borderId="0" xfId="0" applyNumberFormat="1" applyFont="1"/>
    <xf numFmtId="0" fontId="20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indent="5"/>
    </xf>
    <xf numFmtId="0" fontId="29" fillId="0" borderId="0" xfId="0" applyFont="1"/>
    <xf numFmtId="41" fontId="20" fillId="0" borderId="0" xfId="5" applyFont="1" applyFill="1"/>
    <xf numFmtId="169" fontId="20" fillId="0" borderId="0" xfId="0" applyNumberFormat="1" applyFont="1"/>
    <xf numFmtId="169" fontId="20" fillId="0" borderId="0" xfId="4" applyNumberFormat="1" applyFont="1" applyFill="1"/>
    <xf numFmtId="0" fontId="14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4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168" fontId="23" fillId="0" borderId="28" xfId="4" applyNumberFormat="1" applyFont="1" applyBorder="1"/>
    <xf numFmtId="41" fontId="23" fillId="0" borderId="36" xfId="5" applyFont="1" applyBorder="1" applyAlignment="1">
      <alignment horizontal="right"/>
    </xf>
    <xf numFmtId="41" fontId="23" fillId="0" borderId="37" xfId="5" applyFont="1" applyBorder="1" applyAlignment="1">
      <alignment horizontal="right"/>
    </xf>
    <xf numFmtId="41" fontId="23" fillId="0" borderId="38" xfId="5" applyFont="1" applyBorder="1" applyAlignment="1">
      <alignment horizontal="right"/>
    </xf>
    <xf numFmtId="41" fontId="23" fillId="0" borderId="39" xfId="5" applyFont="1" applyBorder="1" applyAlignment="1">
      <alignment horizontal="right"/>
    </xf>
    <xf numFmtId="41" fontId="17" fillId="0" borderId="36" xfId="5" applyFont="1" applyBorder="1" applyAlignment="1">
      <alignment horizontal="right"/>
    </xf>
    <xf numFmtId="41" fontId="17" fillId="0" borderId="37" xfId="5" applyFont="1" applyBorder="1" applyAlignment="1">
      <alignment horizontal="right"/>
    </xf>
    <xf numFmtId="168" fontId="30" fillId="0" borderId="28" xfId="4" applyNumberFormat="1" applyFont="1" applyBorder="1"/>
    <xf numFmtId="41" fontId="23" fillId="0" borderId="40" xfId="5" applyFont="1" applyBorder="1" applyAlignment="1">
      <alignment horizontal="right"/>
    </xf>
    <xf numFmtId="41" fontId="23" fillId="0" borderId="29" xfId="5" applyFont="1" applyBorder="1" applyAlignment="1">
      <alignment horizontal="right"/>
    </xf>
    <xf numFmtId="41" fontId="23" fillId="0" borderId="12" xfId="5" applyFont="1" applyBorder="1" applyAlignment="1">
      <alignment horizontal="right"/>
    </xf>
    <xf numFmtId="41" fontId="23" fillId="0" borderId="41" xfId="5" applyFont="1" applyBorder="1" applyAlignment="1">
      <alignment horizontal="right"/>
    </xf>
    <xf numFmtId="41" fontId="23" fillId="0" borderId="42" xfId="5" applyFont="1" applyBorder="1" applyAlignment="1">
      <alignment horizontal="right"/>
    </xf>
    <xf numFmtId="41" fontId="23" fillId="0" borderId="43" xfId="5" applyFont="1" applyBorder="1" applyAlignment="1">
      <alignment horizontal="right"/>
    </xf>
    <xf numFmtId="41" fontId="23" fillId="0" borderId="44" xfId="5" applyFont="1" applyBorder="1" applyAlignment="1">
      <alignment horizontal="right"/>
    </xf>
    <xf numFmtId="41" fontId="17" fillId="0" borderId="47" xfId="5" applyFont="1" applyBorder="1" applyAlignment="1">
      <alignment horizontal="right"/>
    </xf>
    <xf numFmtId="41" fontId="17" fillId="0" borderId="45" xfId="5" applyFont="1" applyBorder="1" applyAlignment="1">
      <alignment horizontal="right"/>
    </xf>
    <xf numFmtId="41" fontId="17" fillId="0" borderId="27" xfId="5" applyFont="1" applyBorder="1" applyAlignment="1">
      <alignment horizontal="right"/>
    </xf>
    <xf numFmtId="41" fontId="17" fillId="0" borderId="15" xfId="5" applyFont="1" applyBorder="1" applyAlignment="1">
      <alignment horizontal="right"/>
    </xf>
    <xf numFmtId="41" fontId="17" fillId="0" borderId="46" xfId="5" applyFont="1" applyBorder="1" applyAlignment="1">
      <alignment horizontal="right"/>
    </xf>
    <xf numFmtId="41" fontId="19" fillId="0" borderId="27" xfId="5" applyFont="1" applyBorder="1" applyAlignment="1">
      <alignment horizontal="right"/>
    </xf>
    <xf numFmtId="41" fontId="17" fillId="0" borderId="48" xfId="5" applyFont="1" applyBorder="1" applyAlignment="1">
      <alignment horizontal="right"/>
    </xf>
    <xf numFmtId="41" fontId="19" fillId="0" borderId="49" xfId="5" applyFont="1" applyBorder="1" applyAlignment="1">
      <alignment horizontal="right"/>
    </xf>
    <xf numFmtId="3" fontId="31" fillId="0" borderId="0" xfId="0" applyNumberFormat="1" applyFont="1"/>
    <xf numFmtId="3" fontId="32" fillId="0" borderId="0" xfId="0" applyNumberFormat="1" applyFont="1"/>
    <xf numFmtId="0" fontId="20" fillId="0" borderId="14" xfId="0" applyFont="1" applyBorder="1"/>
    <xf numFmtId="3" fontId="20" fillId="0" borderId="15" xfId="0" applyNumberFormat="1" applyFont="1" applyBorder="1"/>
    <xf numFmtId="14" fontId="19" fillId="0" borderId="27" xfId="5" applyNumberFormat="1" applyFont="1" applyFill="1" applyBorder="1" applyAlignment="1">
      <alignment horizontal="center" wrapText="1"/>
    </xf>
    <xf numFmtId="0" fontId="19" fillId="0" borderId="28" xfId="0" applyFont="1" applyBorder="1"/>
    <xf numFmtId="3" fontId="19" fillId="0" borderId="0" xfId="0" applyNumberFormat="1" applyFont="1"/>
    <xf numFmtId="173" fontId="19" fillId="0" borderId="0" xfId="4" applyNumberFormat="1" applyFont="1" applyFill="1" applyBorder="1" applyAlignment="1">
      <alignment horizontal="right"/>
    </xf>
    <xf numFmtId="0" fontId="20" fillId="0" borderId="28" xfId="0" applyFont="1" applyBorder="1"/>
    <xf numFmtId="173" fontId="20" fillId="0" borderId="0" xfId="4" applyNumberFormat="1" applyFont="1" applyFill="1" applyBorder="1" applyAlignment="1">
      <alignment horizontal="right"/>
    </xf>
    <xf numFmtId="49" fontId="20" fillId="0" borderId="28" xfId="0" applyNumberFormat="1" applyFont="1" applyBorder="1"/>
    <xf numFmtId="0" fontId="19" fillId="0" borderId="57" xfId="0" applyFont="1" applyBorder="1"/>
    <xf numFmtId="3" fontId="20" fillId="0" borderId="30" xfId="0" applyNumberFormat="1" applyFont="1" applyBorder="1"/>
    <xf numFmtId="49" fontId="19" fillId="0" borderId="28" xfId="0" applyNumberFormat="1" applyFont="1" applyBorder="1"/>
    <xf numFmtId="3" fontId="20" fillId="0" borderId="3" xfId="0" applyNumberFormat="1" applyFont="1" applyBorder="1"/>
    <xf numFmtId="41" fontId="20" fillId="0" borderId="0" xfId="0" applyNumberFormat="1" applyFont="1"/>
    <xf numFmtId="0" fontId="23" fillId="0" borderId="7" xfId="0" applyFont="1" applyBorder="1"/>
    <xf numFmtId="168" fontId="17" fillId="0" borderId="17" xfId="4" applyNumberFormat="1" applyFont="1" applyBorder="1" applyAlignment="1">
      <alignment horizontal="center" vertical="center" wrapText="1"/>
    </xf>
    <xf numFmtId="41" fontId="23" fillId="0" borderId="31" xfId="5" applyFont="1" applyBorder="1" applyAlignment="1">
      <alignment horizontal="right"/>
    </xf>
    <xf numFmtId="41" fontId="23" fillId="0" borderId="53" xfId="5" applyFont="1" applyBorder="1" applyAlignment="1">
      <alignment horizontal="right"/>
    </xf>
    <xf numFmtId="41" fontId="23" fillId="0" borderId="5" xfId="5" applyFont="1" applyBorder="1" applyAlignment="1">
      <alignment horizontal="right"/>
    </xf>
    <xf numFmtId="0" fontId="19" fillId="0" borderId="5" xfId="0" applyFont="1" applyBorder="1"/>
    <xf numFmtId="41" fontId="20" fillId="0" borderId="5" xfId="5" applyFont="1" applyBorder="1" applyAlignment="1">
      <alignment horizontal="right"/>
    </xf>
    <xf numFmtId="41" fontId="19" fillId="0" borderId="18" xfId="5" applyFont="1" applyBorder="1" applyAlignment="1">
      <alignment horizontal="right"/>
    </xf>
    <xf numFmtId="0" fontId="20" fillId="0" borderId="5" xfId="0" applyFont="1" applyBorder="1"/>
    <xf numFmtId="41" fontId="19" fillId="0" borderId="5" xfId="5" applyFont="1" applyBorder="1" applyAlignment="1">
      <alignment horizontal="right"/>
    </xf>
    <xf numFmtId="0" fontId="33" fillId="0" borderId="5" xfId="0" applyFont="1" applyBorder="1"/>
    <xf numFmtId="41" fontId="33" fillId="0" borderId="5" xfId="5" applyFont="1" applyBorder="1" applyAlignment="1">
      <alignment horizontal="right"/>
    </xf>
    <xf numFmtId="0" fontId="23" fillId="0" borderId="2" xfId="0" applyFont="1" applyBorder="1"/>
    <xf numFmtId="41" fontId="17" fillId="0" borderId="32" xfId="5" applyFont="1" applyBorder="1" applyAlignment="1">
      <alignment horizontal="right"/>
    </xf>
    <xf numFmtId="3" fontId="34" fillId="0" borderId="0" xfId="0" applyNumberFormat="1" applyFont="1"/>
    <xf numFmtId="3" fontId="35" fillId="0" borderId="0" xfId="0" applyNumberFormat="1" applyFont="1"/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9" fillId="0" borderId="59" xfId="0" applyFont="1" applyBorder="1"/>
    <xf numFmtId="0" fontId="19" fillId="0" borderId="60" xfId="0" applyFont="1" applyBorder="1"/>
    <xf numFmtId="3" fontId="20" fillId="0" borderId="61" xfId="0" applyNumberFormat="1" applyFont="1" applyBorder="1"/>
    <xf numFmtId="170" fontId="20" fillId="0" borderId="1" xfId="5" applyNumberFormat="1" applyFont="1" applyFill="1" applyBorder="1" applyAlignment="1">
      <alignment horizontal="right" vertical="center"/>
    </xf>
    <xf numFmtId="41" fontId="14" fillId="0" borderId="1" xfId="5" applyFont="1" applyFill="1" applyBorder="1"/>
    <xf numFmtId="41" fontId="36" fillId="0" borderId="18" xfId="5" applyFont="1" applyBorder="1" applyAlignment="1"/>
    <xf numFmtId="41" fontId="7" fillId="0" borderId="1" xfId="5" applyFont="1" applyBorder="1" applyAlignment="1">
      <alignment horizontal="right" wrapText="1"/>
    </xf>
    <xf numFmtId="14" fontId="17" fillId="0" borderId="33" xfId="0" applyNumberFormat="1" applyFont="1" applyBorder="1" applyAlignment="1">
      <alignment horizontal="center" wrapText="1"/>
    </xf>
    <xf numFmtId="14" fontId="17" fillId="0" borderId="34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/>
    </xf>
    <xf numFmtId="173" fontId="20" fillId="0" borderId="29" xfId="4" applyNumberFormat="1" applyFont="1" applyFill="1" applyBorder="1" applyAlignment="1"/>
    <xf numFmtId="41" fontId="19" fillId="0" borderId="29" xfId="5" applyFont="1" applyFill="1" applyBorder="1" applyAlignment="1"/>
    <xf numFmtId="41" fontId="20" fillId="0" borderId="29" xfId="5" applyFont="1" applyFill="1" applyBorder="1" applyAlignment="1"/>
    <xf numFmtId="173" fontId="19" fillId="0" borderId="29" xfId="4" applyNumberFormat="1" applyFont="1" applyFill="1" applyBorder="1" applyAlignment="1"/>
    <xf numFmtId="173" fontId="20" fillId="0" borderId="56" xfId="4" applyNumberFormat="1" applyFont="1" applyFill="1" applyBorder="1" applyAlignment="1"/>
    <xf numFmtId="0" fontId="20" fillId="0" borderId="0" xfId="0" applyFont="1" applyAlignment="1">
      <alignment horizontal="right"/>
    </xf>
    <xf numFmtId="41" fontId="19" fillId="0" borderId="30" xfId="5" applyFont="1" applyBorder="1" applyAlignment="1">
      <alignment horizontal="right"/>
    </xf>
    <xf numFmtId="41" fontId="19" fillId="0" borderId="61" xfId="5" applyFont="1" applyBorder="1" applyAlignment="1">
      <alignment horizontal="right"/>
    </xf>
    <xf numFmtId="0" fontId="21" fillId="0" borderId="0" xfId="5" applyNumberFormat="1" applyFont="1" applyBorder="1" applyAlignment="1"/>
    <xf numFmtId="0" fontId="7" fillId="0" borderId="14" xfId="0" applyFont="1" applyBorder="1" applyAlignment="1">
      <alignment wrapText="1"/>
    </xf>
    <xf numFmtId="41" fontId="7" fillId="0" borderId="0" xfId="5" applyFont="1" applyFill="1" applyBorder="1" applyAlignment="1">
      <alignment horizontal="right" wrapText="1"/>
    </xf>
    <xf numFmtId="41" fontId="14" fillId="0" borderId="1" xfId="5" applyFont="1" applyBorder="1" applyAlignment="1">
      <alignment wrapText="1"/>
    </xf>
    <xf numFmtId="41" fontId="14" fillId="0" borderId="0" xfId="5" applyFont="1" applyAlignment="1"/>
    <xf numFmtId="0" fontId="14" fillId="3" borderId="0" xfId="0" applyFont="1" applyFill="1"/>
    <xf numFmtId="0" fontId="18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 indent="5"/>
    </xf>
    <xf numFmtId="0" fontId="16" fillId="3" borderId="0" xfId="3" applyFont="1" applyFill="1" applyAlignment="1">
      <alignment vertical="center"/>
    </xf>
    <xf numFmtId="0" fontId="7" fillId="3" borderId="0" xfId="0" applyFont="1" applyFill="1"/>
    <xf numFmtId="0" fontId="14" fillId="0" borderId="1" xfId="0" applyFont="1" applyBorder="1" applyAlignment="1">
      <alignment horizontal="center"/>
    </xf>
    <xf numFmtId="0" fontId="37" fillId="6" borderId="2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 wrapText="1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4" fillId="3" borderId="0" xfId="0" applyFont="1" applyFill="1" applyAlignment="1">
      <alignment horizontal="left"/>
    </xf>
    <xf numFmtId="41" fontId="14" fillId="0" borderId="0" xfId="5" applyFont="1" applyBorder="1" applyAlignment="1"/>
    <xf numFmtId="41" fontId="7" fillId="0" borderId="0" xfId="5" applyFont="1" applyBorder="1" applyAlignment="1"/>
    <xf numFmtId="173" fontId="24" fillId="0" borderId="1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170" fontId="20" fillId="0" borderId="2" xfId="5" applyNumberFormat="1" applyFont="1" applyFill="1" applyBorder="1" applyAlignment="1">
      <alignment horizontal="right" vertical="center"/>
    </xf>
    <xf numFmtId="41" fontId="20" fillId="0" borderId="2" xfId="5" applyFont="1" applyBorder="1" applyAlignment="1">
      <alignment vertical="center"/>
    </xf>
    <xf numFmtId="41" fontId="20" fillId="0" borderId="2" xfId="5" applyFont="1" applyFill="1" applyBorder="1" applyAlignment="1">
      <alignment horizontal="right" vertical="center"/>
    </xf>
    <xf numFmtId="41" fontId="24" fillId="0" borderId="2" xfId="5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41" fontId="20" fillId="0" borderId="0" xfId="5" applyFont="1" applyFill="1" applyBorder="1" applyAlignment="1">
      <alignment horizontal="right" vertical="center"/>
    </xf>
    <xf numFmtId="0" fontId="24" fillId="0" borderId="63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41" fontId="14" fillId="0" borderId="1" xfId="5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8" fillId="0" borderId="5" xfId="0" applyFont="1" applyBorder="1" applyAlignment="1">
      <alignment horizontal="left"/>
    </xf>
    <xf numFmtId="0" fontId="5" fillId="0" borderId="5" xfId="3" applyBorder="1"/>
    <xf numFmtId="0" fontId="5" fillId="0" borderId="12" xfId="3" applyBorder="1" applyAlignment="1">
      <alignment horizontal="left"/>
    </xf>
    <xf numFmtId="0" fontId="5" fillId="0" borderId="12" xfId="3" applyBorder="1"/>
    <xf numFmtId="0" fontId="5" fillId="0" borderId="0" xfId="3" applyAlignment="1">
      <alignment horizontal="justify" vertical="center"/>
    </xf>
    <xf numFmtId="0" fontId="5" fillId="0" borderId="0" xfId="3" applyFill="1"/>
    <xf numFmtId="173" fontId="20" fillId="0" borderId="0" xfId="4" applyNumberFormat="1" applyFont="1" applyBorder="1"/>
    <xf numFmtId="41" fontId="7" fillId="0" borderId="1" xfId="5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73" fontId="14" fillId="0" borderId="0" xfId="4" applyNumberFormat="1" applyFont="1" applyBorder="1"/>
    <xf numFmtId="0" fontId="24" fillId="0" borderId="0" xfId="0" applyFont="1" applyAlignment="1">
      <alignment horizontal="center" vertical="center" wrapText="1"/>
    </xf>
    <xf numFmtId="0" fontId="14" fillId="0" borderId="0" xfId="0" quotePrefix="1" applyFont="1"/>
    <xf numFmtId="168" fontId="19" fillId="0" borderId="0" xfId="4" applyNumberFormat="1" applyFont="1" applyFill="1"/>
    <xf numFmtId="3" fontId="39" fillId="0" borderId="0" xfId="0" applyNumberFormat="1" applyFont="1"/>
    <xf numFmtId="0" fontId="39" fillId="0" borderId="0" xfId="0" applyFont="1"/>
    <xf numFmtId="0" fontId="40" fillId="0" borderId="0" xfId="0" applyFont="1"/>
    <xf numFmtId="41" fontId="44" fillId="0" borderId="1" xfId="5" applyFont="1" applyBorder="1" applyAlignment="1"/>
    <xf numFmtId="41" fontId="44" fillId="0" borderId="1" xfId="5" applyFont="1" applyBorder="1" applyAlignment="1">
      <alignment horizontal="right"/>
    </xf>
    <xf numFmtId="41" fontId="45" fillId="0" borderId="1" xfId="5" applyFont="1" applyBorder="1" applyAlignment="1"/>
    <xf numFmtId="41" fontId="45" fillId="0" borderId="1" xfId="5" applyFont="1" applyBorder="1" applyAlignment="1">
      <alignment horizontal="right"/>
    </xf>
    <xf numFmtId="41" fontId="7" fillId="0" borderId="0" xfId="5" applyFont="1" applyBorder="1" applyAlignment="1">
      <alignment horizontal="center"/>
    </xf>
    <xf numFmtId="41" fontId="20" fillId="0" borderId="2" xfId="5" applyFont="1" applyBorder="1"/>
    <xf numFmtId="170" fontId="14" fillId="0" borderId="0" xfId="0" applyNumberFormat="1" applyFont="1" applyAlignment="1">
      <alignment wrapText="1"/>
    </xf>
    <xf numFmtId="41" fontId="7" fillId="0" borderId="1" xfId="5" applyFont="1" applyFill="1" applyBorder="1" applyAlignment="1"/>
    <xf numFmtId="49" fontId="14" fillId="0" borderId="1" xfId="0" applyNumberFormat="1" applyFont="1" applyBorder="1"/>
    <xf numFmtId="0" fontId="16" fillId="0" borderId="28" xfId="3" applyFont="1" applyBorder="1"/>
    <xf numFmtId="49" fontId="16" fillId="0" borderId="28" xfId="3" applyNumberFormat="1" applyFont="1" applyBorder="1"/>
    <xf numFmtId="41" fontId="34" fillId="0" borderId="0" xfId="5" applyFont="1"/>
    <xf numFmtId="0" fontId="33" fillId="0" borderId="0" xfId="0" applyFont="1"/>
    <xf numFmtId="0" fontId="14" fillId="0" borderId="0" xfId="0" applyFont="1" applyAlignment="1">
      <alignment horizontal="center" wrapText="1"/>
    </xf>
    <xf numFmtId="0" fontId="20" fillId="0" borderId="1" xfId="0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1" fontId="14" fillId="0" borderId="7" xfId="5" applyFont="1" applyBorder="1" applyAlignment="1">
      <alignment wrapText="1"/>
    </xf>
    <xf numFmtId="41" fontId="14" fillId="0" borderId="1" xfId="5" applyFont="1" applyBorder="1" applyAlignment="1">
      <alignment horizontal="left" wrapText="1"/>
    </xf>
    <xf numFmtId="41" fontId="14" fillId="0" borderId="7" xfId="5" applyFont="1" applyBorder="1" applyAlignment="1">
      <alignment horizontal="left" vertical="center" wrapText="1"/>
    </xf>
    <xf numFmtId="0" fontId="37" fillId="6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73" fontId="24" fillId="0" borderId="7" xfId="4" applyNumberFormat="1" applyFont="1" applyBorder="1" applyAlignment="1">
      <alignment horizontal="center" vertical="center"/>
    </xf>
    <xf numFmtId="0" fontId="50" fillId="0" borderId="0" xfId="0" applyFont="1"/>
    <xf numFmtId="41" fontId="50" fillId="0" borderId="0" xfId="5" applyFont="1"/>
    <xf numFmtId="41" fontId="0" fillId="0" borderId="0" xfId="5" applyFont="1"/>
    <xf numFmtId="0" fontId="48" fillId="7" borderId="0" xfId="25" applyFont="1" applyAlignment="1">
      <alignment horizontal="center"/>
    </xf>
    <xf numFmtId="49" fontId="48" fillId="7" borderId="0" xfId="25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/>
    <xf numFmtId="41" fontId="51" fillId="0" borderId="0" xfId="0" applyNumberFormat="1" applyFont="1"/>
    <xf numFmtId="0" fontId="5" fillId="0" borderId="0" xfId="3" quotePrefix="1" applyFill="1"/>
    <xf numFmtId="41" fontId="2" fillId="0" borderId="0" xfId="5" applyFont="1"/>
    <xf numFmtId="0" fontId="52" fillId="0" borderId="0" xfId="0" applyFont="1"/>
    <xf numFmtId="0" fontId="53" fillId="0" borderId="0" xfId="0" applyFont="1"/>
    <xf numFmtId="0" fontId="54" fillId="0" borderId="0" xfId="3" quotePrefix="1" applyFont="1"/>
    <xf numFmtId="49" fontId="50" fillId="0" borderId="0" xfId="5" applyNumberFormat="1" applyFont="1" applyAlignment="1">
      <alignment horizontal="center"/>
    </xf>
    <xf numFmtId="10" fontId="0" fillId="0" borderId="0" xfId="24" applyNumberFormat="1" applyFont="1" applyAlignment="1">
      <alignment horizontal="center"/>
    </xf>
    <xf numFmtId="174" fontId="0" fillId="0" borderId="0" xfId="5" applyNumberFormat="1" applyFont="1"/>
    <xf numFmtId="10" fontId="3" fillId="7" borderId="0" xfId="24" applyNumberFormat="1" applyFont="1" applyFill="1"/>
    <xf numFmtId="0" fontId="55" fillId="0" borderId="0" xfId="0" applyFont="1"/>
    <xf numFmtId="14" fontId="3" fillId="7" borderId="0" xfId="25" applyNumberFormat="1" applyAlignment="1">
      <alignment horizontal="center"/>
    </xf>
    <xf numFmtId="0" fontId="3" fillId="7" borderId="0" xfId="25" applyAlignment="1">
      <alignment horizontal="center"/>
    </xf>
    <xf numFmtId="173" fontId="23" fillId="0" borderId="12" xfId="4" quotePrefix="1" applyNumberFormat="1" applyFont="1" applyFill="1" applyBorder="1" applyAlignment="1">
      <alignment horizontal="right"/>
    </xf>
    <xf numFmtId="0" fontId="3" fillId="7" borderId="0" xfId="25"/>
    <xf numFmtId="41" fontId="3" fillId="7" borderId="0" xfId="25" applyNumberFormat="1"/>
    <xf numFmtId="10" fontId="50" fillId="0" borderId="0" xfId="24" applyNumberFormat="1" applyFont="1" applyAlignment="1">
      <alignment horizontal="center"/>
    </xf>
    <xf numFmtId="49" fontId="57" fillId="0" borderId="28" xfId="0" applyNumberFormat="1" applyFont="1" applyBorder="1"/>
    <xf numFmtId="3" fontId="58" fillId="0" borderId="0" xfId="0" applyNumberFormat="1" applyFont="1"/>
    <xf numFmtId="173" fontId="57" fillId="0" borderId="0" xfId="4" applyNumberFormat="1" applyFont="1" applyFill="1" applyBorder="1" applyAlignment="1">
      <alignment horizontal="right"/>
    </xf>
    <xf numFmtId="3" fontId="57" fillId="0" borderId="0" xfId="0" applyNumberFormat="1" applyFont="1"/>
    <xf numFmtId="0" fontId="25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173" fontId="25" fillId="0" borderId="1" xfId="4" applyNumberFormat="1" applyFont="1" applyBorder="1" applyAlignment="1">
      <alignment horizontal="right" vertical="center"/>
    </xf>
    <xf numFmtId="173" fontId="20" fillId="0" borderId="51" xfId="4" applyNumberFormat="1" applyFont="1" applyFill="1" applyBorder="1" applyAlignment="1">
      <alignment vertical="center"/>
    </xf>
    <xf numFmtId="173" fontId="20" fillId="0" borderId="30" xfId="4" applyNumberFormat="1" applyFont="1" applyFill="1" applyBorder="1" applyAlignment="1">
      <alignment vertical="center"/>
    </xf>
    <xf numFmtId="173" fontId="24" fillId="0" borderId="9" xfId="4" applyNumberFormat="1" applyFont="1" applyFill="1" applyBorder="1" applyAlignment="1">
      <alignment horizontal="right" vertical="center"/>
    </xf>
    <xf numFmtId="173" fontId="24" fillId="0" borderId="8" xfId="4" applyNumberFormat="1" applyFont="1" applyFill="1" applyBorder="1" applyAlignment="1">
      <alignment horizontal="right" vertical="center"/>
    </xf>
    <xf numFmtId="173" fontId="25" fillId="0" borderId="6" xfId="4" applyNumberFormat="1" applyFont="1" applyBorder="1" applyAlignment="1">
      <alignment vertical="center"/>
    </xf>
    <xf numFmtId="41" fontId="19" fillId="0" borderId="2" xfId="5" applyFont="1" applyBorder="1" applyAlignment="1">
      <alignment vertical="center"/>
    </xf>
    <xf numFmtId="41" fontId="20" fillId="0" borderId="51" xfId="5" applyFont="1" applyBorder="1" applyAlignment="1">
      <alignment vertical="center"/>
    </xf>
    <xf numFmtId="41" fontId="20" fillId="0" borderId="30" xfId="5" applyFont="1" applyFill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173" fontId="24" fillId="0" borderId="0" xfId="4" applyNumberFormat="1" applyFont="1" applyBorder="1" applyAlignment="1">
      <alignment horizontal="center" vertical="center"/>
    </xf>
    <xf numFmtId="41" fontId="19" fillId="0" borderId="2" xfId="5" applyFont="1" applyFill="1" applyBorder="1" applyAlignment="1">
      <alignment horizontal="right" vertical="center"/>
    </xf>
    <xf numFmtId="171" fontId="7" fillId="0" borderId="1" xfId="5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10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 vertical="center" wrapText="1"/>
    </xf>
    <xf numFmtId="41" fontId="20" fillId="0" borderId="1" xfId="5" applyFont="1" applyBorder="1"/>
    <xf numFmtId="41" fontId="20" fillId="0" borderId="30" xfId="5" applyFont="1" applyBorder="1"/>
    <xf numFmtId="41" fontId="19" fillId="0" borderId="2" xfId="5" applyFont="1" applyBorder="1"/>
    <xf numFmtId="0" fontId="59" fillId="0" borderId="0" xfId="0" applyFont="1"/>
    <xf numFmtId="41" fontId="8" fillId="0" borderId="0" xfId="5" applyFont="1" applyFill="1" applyBorder="1"/>
    <xf numFmtId="3" fontId="10" fillId="0" borderId="0" xfId="4" applyNumberFormat="1" applyFont="1" applyFill="1" applyBorder="1" applyAlignment="1">
      <alignment horizontal="center"/>
    </xf>
    <xf numFmtId="41" fontId="0" fillId="0" borderId="0" xfId="0" applyNumberFormat="1"/>
    <xf numFmtId="0" fontId="5" fillId="0" borderId="0" xfId="3" quotePrefix="1"/>
    <xf numFmtId="0" fontId="5" fillId="0" borderId="0" xfId="3"/>
    <xf numFmtId="41" fontId="50" fillId="0" borderId="0" xfId="0" applyNumberFormat="1" applyFont="1"/>
    <xf numFmtId="0" fontId="61" fillId="0" borderId="0" xfId="26" applyAlignment="1">
      <alignment wrapText="1"/>
    </xf>
    <xf numFmtId="3" fontId="33" fillId="0" borderId="0" xfId="0" applyNumberFormat="1" applyFont="1"/>
    <xf numFmtId="173" fontId="33" fillId="0" borderId="0" xfId="4" applyNumberFormat="1" applyFont="1" applyFill="1" applyBorder="1" applyAlignment="1">
      <alignment horizontal="right"/>
    </xf>
    <xf numFmtId="175" fontId="62" fillId="0" borderId="0" xfId="12" applyNumberFormat="1" applyFont="1"/>
    <xf numFmtId="175" fontId="1" fillId="0" borderId="0" xfId="12" applyNumberFormat="1"/>
    <xf numFmtId="0" fontId="1" fillId="0" borderId="0" xfId="12"/>
    <xf numFmtId="175" fontId="63" fillId="0" borderId="66" xfId="12" applyNumberFormat="1" applyFont="1" applyBorder="1"/>
    <xf numFmtId="175" fontId="63" fillId="0" borderId="67" xfId="12" applyNumberFormat="1" applyFont="1" applyBorder="1"/>
    <xf numFmtId="175" fontId="63" fillId="0" borderId="66" xfId="12" applyNumberFormat="1" applyFont="1" applyBorder="1" applyAlignment="1">
      <alignment horizontal="centerContinuous"/>
    </xf>
    <xf numFmtId="175" fontId="63" fillId="0" borderId="68" xfId="12" applyNumberFormat="1" applyFont="1" applyBorder="1" applyAlignment="1">
      <alignment horizontal="centerContinuous"/>
    </xf>
    <xf numFmtId="175" fontId="63" fillId="0" borderId="65" xfId="12" applyNumberFormat="1" applyFont="1" applyBorder="1"/>
    <xf numFmtId="175" fontId="64" fillId="0" borderId="67" xfId="12" applyNumberFormat="1" applyFont="1" applyBorder="1" applyAlignment="1">
      <alignment horizontal="center"/>
    </xf>
    <xf numFmtId="175" fontId="63" fillId="0" borderId="68" xfId="12" applyNumberFormat="1" applyFont="1" applyBorder="1"/>
    <xf numFmtId="175" fontId="63" fillId="0" borderId="28" xfId="12" applyNumberFormat="1" applyFont="1" applyBorder="1" applyAlignment="1">
      <alignment horizontal="center"/>
    </xf>
    <xf numFmtId="175" fontId="64" fillId="0" borderId="69" xfId="12" applyNumberFormat="1" applyFont="1" applyBorder="1" applyAlignment="1">
      <alignment horizontal="center"/>
    </xf>
    <xf numFmtId="175" fontId="64" fillId="0" borderId="70" xfId="12" applyNumberFormat="1" applyFont="1" applyBorder="1" applyAlignment="1">
      <alignment horizontal="centerContinuous"/>
    </xf>
    <xf numFmtId="175" fontId="63" fillId="0" borderId="71" xfId="12" applyNumberFormat="1" applyFont="1" applyBorder="1" applyAlignment="1">
      <alignment horizontal="centerContinuous"/>
    </xf>
    <xf numFmtId="175" fontId="63" fillId="0" borderId="28" xfId="12" applyNumberFormat="1" applyFont="1" applyBorder="1" applyAlignment="1">
      <alignment horizontal="centerContinuous"/>
    </xf>
    <xf numFmtId="175" fontId="63" fillId="0" borderId="0" xfId="12" applyNumberFormat="1" applyFont="1" applyAlignment="1">
      <alignment horizontal="centerContinuous"/>
    </xf>
    <xf numFmtId="175" fontId="36" fillId="0" borderId="69" xfId="12" applyNumberFormat="1" applyFont="1" applyBorder="1" applyAlignment="1">
      <alignment horizontal="center"/>
    </xf>
    <xf numFmtId="175" fontId="63" fillId="0" borderId="29" xfId="12" applyNumberFormat="1" applyFont="1" applyBorder="1" applyAlignment="1">
      <alignment horizontal="center"/>
    </xf>
    <xf numFmtId="175" fontId="63" fillId="0" borderId="28" xfId="12" applyNumberFormat="1" applyFont="1" applyBorder="1"/>
    <xf numFmtId="175" fontId="64" fillId="0" borderId="68" xfId="12" applyNumberFormat="1" applyFont="1" applyBorder="1" applyAlignment="1">
      <alignment horizontal="center"/>
    </xf>
    <xf numFmtId="175" fontId="64" fillId="0" borderId="66" xfId="12" applyNumberFormat="1" applyFont="1" applyBorder="1" applyAlignment="1">
      <alignment horizontal="center"/>
    </xf>
    <xf numFmtId="175" fontId="36" fillId="0" borderId="67" xfId="12" applyNumberFormat="1" applyFont="1" applyBorder="1" applyAlignment="1">
      <alignment horizontal="center"/>
    </xf>
    <xf numFmtId="175" fontId="36" fillId="0" borderId="68" xfId="12" applyNumberFormat="1" applyFont="1" applyBorder="1" applyAlignment="1">
      <alignment horizontal="center"/>
    </xf>
    <xf numFmtId="175" fontId="65" fillId="0" borderId="68" xfId="12" applyNumberFormat="1" applyFont="1" applyBorder="1" applyAlignment="1">
      <alignment horizontal="center"/>
    </xf>
    <xf numFmtId="175" fontId="63" fillId="0" borderId="70" xfId="12" applyNumberFormat="1" applyFont="1" applyBorder="1" applyAlignment="1">
      <alignment horizontal="center"/>
    </xf>
    <xf numFmtId="175" fontId="66" fillId="0" borderId="72" xfId="12" applyNumberFormat="1" applyFont="1" applyBorder="1" applyAlignment="1">
      <alignment horizontal="center"/>
    </xf>
    <xf numFmtId="175" fontId="64" fillId="0" borderId="72" xfId="12" applyNumberFormat="1" applyFont="1" applyBorder="1" applyAlignment="1">
      <alignment horizontal="center"/>
    </xf>
    <xf numFmtId="175" fontId="64" fillId="0" borderId="71" xfId="12" applyNumberFormat="1" applyFont="1" applyBorder="1" applyAlignment="1">
      <alignment horizontal="center"/>
    </xf>
    <xf numFmtId="175" fontId="64" fillId="0" borderId="70" xfId="12" applyNumberFormat="1" applyFont="1" applyBorder="1" applyAlignment="1">
      <alignment horizontal="center"/>
    </xf>
    <xf numFmtId="175" fontId="36" fillId="0" borderId="72" xfId="12" applyNumberFormat="1" applyFont="1" applyBorder="1" applyAlignment="1">
      <alignment horizontal="center"/>
    </xf>
    <xf numFmtId="175" fontId="36" fillId="0" borderId="71" xfId="12" applyNumberFormat="1" applyFont="1" applyBorder="1" applyAlignment="1">
      <alignment horizontal="center"/>
    </xf>
    <xf numFmtId="175" fontId="67" fillId="0" borderId="71" xfId="12" applyNumberFormat="1" applyFont="1" applyBorder="1" applyAlignment="1">
      <alignment horizontal="center"/>
    </xf>
    <xf numFmtId="175" fontId="63" fillId="0" borderId="71" xfId="12" applyNumberFormat="1" applyFont="1" applyBorder="1"/>
    <xf numFmtId="175" fontId="68" fillId="0" borderId="73" xfId="12" applyNumberFormat="1" applyFont="1" applyBorder="1"/>
    <xf numFmtId="175" fontId="1" fillId="0" borderId="74" xfId="12" applyNumberFormat="1" applyBorder="1"/>
    <xf numFmtId="175" fontId="1" fillId="0" borderId="74" xfId="12" applyNumberFormat="1" applyBorder="1" applyAlignment="1">
      <alignment horizontal="center"/>
    </xf>
    <xf numFmtId="175" fontId="1" fillId="0" borderId="75" xfId="12" applyNumberFormat="1" applyBorder="1"/>
    <xf numFmtId="175" fontId="69" fillId="0" borderId="76" xfId="12" applyNumberFormat="1" applyFont="1" applyBorder="1"/>
    <xf numFmtId="175" fontId="69" fillId="0" borderId="2" xfId="12" applyNumberFormat="1" applyFont="1" applyBorder="1"/>
    <xf numFmtId="175" fontId="69" fillId="0" borderId="2" xfId="12" applyNumberFormat="1" applyFont="1" applyBorder="1" applyAlignment="1">
      <alignment horizontal="center"/>
    </xf>
    <xf numFmtId="175" fontId="69" fillId="0" borderId="77" xfId="12" applyNumberFormat="1" applyFont="1" applyBorder="1"/>
    <xf numFmtId="170" fontId="70" fillId="0" borderId="0" xfId="10" applyNumberFormat="1" applyFont="1"/>
    <xf numFmtId="175" fontId="69" fillId="8" borderId="76" xfId="12" applyNumberFormat="1" applyFont="1" applyFill="1" applyBorder="1"/>
    <xf numFmtId="175" fontId="69" fillId="8" borderId="2" xfId="12" applyNumberFormat="1" applyFont="1" applyFill="1" applyBorder="1"/>
    <xf numFmtId="175" fontId="69" fillId="8" borderId="2" xfId="12" applyNumberFormat="1" applyFont="1" applyFill="1" applyBorder="1" applyAlignment="1">
      <alignment horizontal="center"/>
    </xf>
    <xf numFmtId="175" fontId="1" fillId="0" borderId="78" xfId="12" applyNumberFormat="1" applyBorder="1"/>
    <xf numFmtId="175" fontId="1" fillId="0" borderId="1" xfId="12" applyNumberFormat="1" applyBorder="1"/>
    <xf numFmtId="175" fontId="1" fillId="0" borderId="1" xfId="12" applyNumberFormat="1" applyBorder="1" applyAlignment="1">
      <alignment horizontal="center"/>
    </xf>
    <xf numFmtId="175" fontId="1" fillId="0" borderId="77" xfId="12" applyNumberFormat="1" applyBorder="1"/>
    <xf numFmtId="175" fontId="69" fillId="0" borderId="78" xfId="12" applyNumberFormat="1" applyFont="1" applyBorder="1"/>
    <xf numFmtId="175" fontId="69" fillId="0" borderId="1" xfId="12" applyNumberFormat="1" applyFont="1" applyBorder="1"/>
    <xf numFmtId="175" fontId="1" fillId="9" borderId="1" xfId="12" applyNumberFormat="1" applyFill="1" applyBorder="1"/>
    <xf numFmtId="175" fontId="1" fillId="9" borderId="77" xfId="12" applyNumberFormat="1" applyFill="1" applyBorder="1"/>
    <xf numFmtId="175" fontId="71" fillId="0" borderId="1" xfId="12" applyNumberFormat="1" applyFont="1" applyBorder="1"/>
    <xf numFmtId="175" fontId="69" fillId="10" borderId="78" xfId="12" applyNumberFormat="1" applyFont="1" applyFill="1" applyBorder="1"/>
    <xf numFmtId="175" fontId="69" fillId="10" borderId="1" xfId="12" applyNumberFormat="1" applyFont="1" applyFill="1" applyBorder="1"/>
    <xf numFmtId="175" fontId="71" fillId="10" borderId="1" xfId="12" applyNumberFormat="1" applyFont="1" applyFill="1" applyBorder="1"/>
    <xf numFmtId="175" fontId="69" fillId="10" borderId="2" xfId="12" applyNumberFormat="1" applyFont="1" applyFill="1" applyBorder="1"/>
    <xf numFmtId="175" fontId="69" fillId="8" borderId="78" xfId="12" applyNumberFormat="1" applyFont="1" applyFill="1" applyBorder="1"/>
    <xf numFmtId="175" fontId="72" fillId="0" borderId="1" xfId="12" applyNumberFormat="1" applyFont="1" applyBorder="1"/>
    <xf numFmtId="175" fontId="72" fillId="0" borderId="77" xfId="12" applyNumberFormat="1" applyFont="1" applyBorder="1"/>
    <xf numFmtId="3" fontId="1" fillId="0" borderId="0" xfId="12" applyNumberFormat="1"/>
    <xf numFmtId="0" fontId="1" fillId="11" borderId="0" xfId="12" applyFill="1"/>
    <xf numFmtId="175" fontId="69" fillId="8" borderId="7" xfId="12" applyNumberFormat="1" applyFont="1" applyFill="1" applyBorder="1"/>
    <xf numFmtId="175" fontId="1" fillId="8" borderId="1" xfId="12" applyNumberFormat="1" applyFill="1" applyBorder="1"/>
    <xf numFmtId="175" fontId="69" fillId="8" borderId="1" xfId="12" applyNumberFormat="1" applyFont="1" applyFill="1" applyBorder="1"/>
    <xf numFmtId="175" fontId="72" fillId="9" borderId="1" xfId="12" applyNumberFormat="1" applyFont="1" applyFill="1" applyBorder="1"/>
    <xf numFmtId="175" fontId="72" fillId="9" borderId="77" xfId="12" applyNumberFormat="1" applyFont="1" applyFill="1" applyBorder="1"/>
    <xf numFmtId="175" fontId="73" fillId="0" borderId="78" xfId="12" applyNumberFormat="1" applyFont="1" applyBorder="1" applyAlignment="1">
      <alignment horizontal="center"/>
    </xf>
    <xf numFmtId="175" fontId="63" fillId="0" borderId="79" xfId="12" applyNumberFormat="1" applyFont="1" applyBorder="1"/>
    <xf numFmtId="175" fontId="68" fillId="0" borderId="78" xfId="12" applyNumberFormat="1" applyFont="1" applyBorder="1"/>
    <xf numFmtId="3" fontId="74" fillId="0" borderId="0" xfId="12" applyNumberFormat="1" applyFont="1"/>
    <xf numFmtId="175" fontId="74" fillId="0" borderId="1" xfId="12" applyNumberFormat="1" applyFont="1" applyBorder="1"/>
    <xf numFmtId="175" fontId="74" fillId="0" borderId="2" xfId="12" applyNumberFormat="1" applyFont="1" applyBorder="1"/>
    <xf numFmtId="175" fontId="1" fillId="0" borderId="7" xfId="12" applyNumberFormat="1" applyBorder="1"/>
    <xf numFmtId="175" fontId="75" fillId="0" borderId="1" xfId="12" applyNumberFormat="1" applyFont="1" applyBorder="1"/>
    <xf numFmtId="175" fontId="1" fillId="10" borderId="78" xfId="12" applyNumberFormat="1" applyFill="1" applyBorder="1"/>
    <xf numFmtId="175" fontId="1" fillId="10" borderId="1" xfId="12" applyNumberFormat="1" applyFill="1" applyBorder="1"/>
    <xf numFmtId="175" fontId="75" fillId="10" borderId="1" xfId="12" applyNumberFormat="1" applyFont="1" applyFill="1" applyBorder="1"/>
    <xf numFmtId="175" fontId="69" fillId="10" borderId="7" xfId="12" applyNumberFormat="1" applyFont="1" applyFill="1" applyBorder="1"/>
    <xf numFmtId="0" fontId="1" fillId="9" borderId="0" xfId="12" applyFill="1"/>
    <xf numFmtId="175" fontId="69" fillId="10" borderId="80" xfId="12" applyNumberFormat="1" applyFont="1" applyFill="1" applyBorder="1"/>
    <xf numFmtId="175" fontId="74" fillId="10" borderId="1" xfId="12" applyNumberFormat="1" applyFont="1" applyFill="1" applyBorder="1"/>
    <xf numFmtId="175" fontId="68" fillId="0" borderId="78" xfId="12" applyNumberFormat="1" applyFont="1" applyBorder="1" applyAlignment="1">
      <alignment horizontal="center"/>
    </xf>
    <xf numFmtId="175" fontId="63" fillId="0" borderId="7" xfId="12" applyNumberFormat="1" applyFont="1" applyBorder="1"/>
    <xf numFmtId="175" fontId="76" fillId="0" borderId="1" xfId="12" applyNumberFormat="1" applyFont="1" applyBorder="1"/>
    <xf numFmtId="175" fontId="1" fillId="8" borderId="78" xfId="12" applyNumberFormat="1" applyFill="1" applyBorder="1"/>
    <xf numFmtId="175" fontId="1" fillId="8" borderId="7" xfId="12" applyNumberFormat="1" applyFill="1" applyBorder="1"/>
    <xf numFmtId="175" fontId="76" fillId="8" borderId="1" xfId="12" applyNumberFormat="1" applyFont="1" applyFill="1" applyBorder="1"/>
    <xf numFmtId="175" fontId="75" fillId="8" borderId="78" xfId="12" applyNumberFormat="1" applyFont="1" applyFill="1" applyBorder="1"/>
    <xf numFmtId="175" fontId="75" fillId="8" borderId="7" xfId="12" applyNumberFormat="1" applyFont="1" applyFill="1" applyBorder="1"/>
    <xf numFmtId="175" fontId="77" fillId="8" borderId="78" xfId="12" applyNumberFormat="1" applyFont="1" applyFill="1" applyBorder="1"/>
    <xf numFmtId="175" fontId="1" fillId="0" borderId="5" xfId="12" applyNumberFormat="1" applyBorder="1"/>
    <xf numFmtId="175" fontId="75" fillId="8" borderId="81" xfId="12" applyNumberFormat="1" applyFont="1" applyFill="1" applyBorder="1"/>
    <xf numFmtId="175" fontId="75" fillId="8" borderId="1" xfId="12" applyNumberFormat="1" applyFont="1" applyFill="1" applyBorder="1"/>
    <xf numFmtId="175" fontId="74" fillId="8" borderId="1" xfId="12" applyNumberFormat="1" applyFont="1" applyFill="1" applyBorder="1"/>
    <xf numFmtId="175" fontId="78" fillId="8" borderId="1" xfId="12" applyNumberFormat="1" applyFont="1" applyFill="1" applyBorder="1"/>
    <xf numFmtId="175" fontId="69" fillId="9" borderId="2" xfId="12" applyNumberFormat="1" applyFont="1" applyFill="1" applyBorder="1"/>
    <xf numFmtId="175" fontId="73" fillId="8" borderId="78" xfId="12" applyNumberFormat="1" applyFont="1" applyFill="1" applyBorder="1" applyAlignment="1">
      <alignment horizontal="centerContinuous"/>
    </xf>
    <xf numFmtId="175" fontId="63" fillId="8" borderId="1" xfId="12" applyNumberFormat="1" applyFont="1" applyFill="1" applyBorder="1"/>
    <xf numFmtId="175" fontId="69" fillId="0" borderId="39" xfId="12" applyNumberFormat="1" applyFont="1" applyBorder="1" applyAlignment="1">
      <alignment horizontal="left"/>
    </xf>
    <xf numFmtId="175" fontId="69" fillId="0" borderId="5" xfId="12" applyNumberFormat="1" applyFont="1" applyBorder="1"/>
    <xf numFmtId="175" fontId="1" fillId="0" borderId="82" xfId="12" applyNumberFormat="1" applyBorder="1"/>
    <xf numFmtId="175" fontId="1" fillId="0" borderId="83" xfId="12" applyNumberFormat="1" applyBorder="1"/>
    <xf numFmtId="175" fontId="79" fillId="9" borderId="82" xfId="12" applyNumberFormat="1" applyFont="1" applyFill="1" applyBorder="1"/>
    <xf numFmtId="175" fontId="69" fillId="0" borderId="82" xfId="12" applyNumberFormat="1" applyFont="1" applyBorder="1"/>
    <xf numFmtId="41" fontId="1" fillId="0" borderId="0" xfId="12" applyNumberFormat="1"/>
    <xf numFmtId="175" fontId="63" fillId="0" borderId="0" xfId="12" applyNumberFormat="1" applyFont="1"/>
    <xf numFmtId="175" fontId="80" fillId="9" borderId="0" xfId="12" applyNumberFormat="1" applyFont="1" applyFill="1" applyAlignment="1">
      <alignment horizontal="center"/>
    </xf>
    <xf numFmtId="0" fontId="81" fillId="0" borderId="0" xfId="12" applyFont="1" applyAlignment="1">
      <alignment horizontal="right"/>
    </xf>
    <xf numFmtId="0" fontId="82" fillId="9" borderId="0" xfId="12" applyFont="1" applyFill="1"/>
    <xf numFmtId="0" fontId="83" fillId="9" borderId="0" xfId="12" applyFont="1" applyFill="1" applyAlignment="1">
      <alignment horizontal="right"/>
    </xf>
    <xf numFmtId="0" fontId="84" fillId="9" borderId="0" xfId="12" applyFont="1" applyFill="1"/>
    <xf numFmtId="0" fontId="83" fillId="0" borderId="0" xfId="12" applyFont="1" applyAlignment="1">
      <alignment horizontal="right"/>
    </xf>
    <xf numFmtId="0" fontId="84" fillId="0" borderId="0" xfId="12" applyFont="1"/>
    <xf numFmtId="0" fontId="83" fillId="0" borderId="0" xfId="12" applyFont="1"/>
    <xf numFmtId="3" fontId="83" fillId="0" borderId="0" xfId="12" applyNumberFormat="1" applyFont="1"/>
    <xf numFmtId="3" fontId="83" fillId="0" borderId="0" xfId="12" applyNumberFormat="1" applyFont="1" applyAlignment="1">
      <alignment horizontal="right"/>
    </xf>
    <xf numFmtId="0" fontId="85" fillId="0" borderId="0" xfId="12" applyFont="1"/>
    <xf numFmtId="3" fontId="85" fillId="9" borderId="0" xfId="12" applyNumberFormat="1" applyFont="1" applyFill="1" applyAlignment="1">
      <alignment horizontal="right"/>
    </xf>
    <xf numFmtId="175" fontId="84" fillId="0" borderId="0" xfId="12" applyNumberFormat="1" applyFont="1"/>
    <xf numFmtId="3" fontId="86" fillId="0" borderId="0" xfId="12" applyNumberFormat="1" applyFont="1" applyAlignment="1">
      <alignment horizontal="center"/>
    </xf>
    <xf numFmtId="3" fontId="85" fillId="0" borderId="0" xfId="12" applyNumberFormat="1" applyFont="1" applyAlignment="1">
      <alignment horizontal="right"/>
    </xf>
    <xf numFmtId="3" fontId="84" fillId="0" borderId="0" xfId="12" applyNumberFormat="1" applyFont="1"/>
    <xf numFmtId="0" fontId="40" fillId="0" borderId="0" xfId="0" applyFont="1" applyAlignment="1">
      <alignment horizontal="justify" vertical="center"/>
    </xf>
    <xf numFmtId="14" fontId="8" fillId="0" borderId="0" xfId="0" applyNumberFormat="1" applyFont="1"/>
    <xf numFmtId="41" fontId="14" fillId="0" borderId="0" xfId="5" applyFont="1" applyBorder="1" applyAlignment="1">
      <alignment horizontal="right"/>
    </xf>
    <xf numFmtId="0" fontId="38" fillId="12" borderId="1" xfId="0" applyFont="1" applyFill="1" applyBorder="1" applyAlignment="1">
      <alignment vertical="center"/>
    </xf>
    <xf numFmtId="0" fontId="24" fillId="12" borderId="1" xfId="0" applyFont="1" applyFill="1" applyBorder="1" applyAlignment="1">
      <alignment horizontal="center" vertical="center"/>
    </xf>
    <xf numFmtId="173" fontId="24" fillId="12" borderId="1" xfId="4" applyNumberFormat="1" applyFont="1" applyFill="1" applyBorder="1" applyAlignment="1">
      <alignment horizontal="center" vertical="center"/>
    </xf>
    <xf numFmtId="41" fontId="20" fillId="0" borderId="4" xfId="5" applyFont="1" applyBorder="1" applyAlignment="1">
      <alignment vertical="center"/>
    </xf>
    <xf numFmtId="41" fontId="20" fillId="0" borderId="3" xfId="5" applyFont="1" applyBorder="1"/>
    <xf numFmtId="41" fontId="20" fillId="0" borderId="3" xfId="5" applyFont="1" applyFill="1" applyBorder="1" applyAlignment="1">
      <alignment horizontal="right" vertical="center"/>
    </xf>
    <xf numFmtId="0" fontId="24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41" fontId="20" fillId="0" borderId="13" xfId="5" applyFont="1" applyFill="1" applyBorder="1" applyAlignment="1">
      <alignment horizontal="right" vertical="center"/>
    </xf>
    <xf numFmtId="41" fontId="20" fillId="0" borderId="11" xfId="5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wrapText="1"/>
    </xf>
    <xf numFmtId="0" fontId="91" fillId="0" borderId="1" xfId="0" applyFont="1" applyBorder="1"/>
    <xf numFmtId="41" fontId="91" fillId="0" borderId="1" xfId="5" applyFont="1" applyBorder="1" applyAlignment="1"/>
    <xf numFmtId="14" fontId="7" fillId="0" borderId="1" xfId="0" applyNumberFormat="1" applyFont="1" applyBorder="1" applyAlignment="1">
      <alignment horizontal="center" wrapText="1"/>
    </xf>
    <xf numFmtId="41" fontId="37" fillId="0" borderId="0" xfId="5" applyFont="1"/>
    <xf numFmtId="173" fontId="37" fillId="0" borderId="0" xfId="0" applyNumberFormat="1" applyFont="1"/>
    <xf numFmtId="0" fontId="37" fillId="0" borderId="0" xfId="0" applyFont="1"/>
    <xf numFmtId="173" fontId="37" fillId="0" borderId="0" xfId="4" applyNumberFormat="1" applyFont="1"/>
    <xf numFmtId="173" fontId="37" fillId="0" borderId="0" xfId="4" applyNumberFormat="1" applyFont="1" applyFill="1" applyBorder="1"/>
    <xf numFmtId="41" fontId="7" fillId="0" borderId="68" xfId="5" applyFont="1" applyFill="1" applyBorder="1" applyAlignment="1">
      <alignment horizontal="right"/>
    </xf>
    <xf numFmtId="41" fontId="7" fillId="0" borderId="71" xfId="5" applyFont="1" applyFill="1" applyBorder="1" applyAlignment="1">
      <alignment horizontal="right"/>
    </xf>
    <xf numFmtId="0" fontId="5" fillId="0" borderId="0" xfId="3" applyAlignment="1">
      <alignment horizontal="left" vertical="center" wrapText="1"/>
    </xf>
    <xf numFmtId="41" fontId="0" fillId="0" borderId="0" xfId="5" applyFont="1" applyFill="1" applyBorder="1"/>
    <xf numFmtId="173" fontId="19" fillId="0" borderId="29" xfId="4" applyNumberFormat="1" applyFont="1" applyFill="1" applyBorder="1" applyAlignment="1">
      <alignment horizontal="right"/>
    </xf>
    <xf numFmtId="41" fontId="19" fillId="0" borderId="58" xfId="5" applyFont="1" applyBorder="1" applyAlignment="1">
      <alignment horizontal="right"/>
    </xf>
    <xf numFmtId="41" fontId="19" fillId="0" borderId="62" xfId="5" applyFont="1" applyBorder="1" applyAlignment="1">
      <alignment horizontal="right"/>
    </xf>
    <xf numFmtId="41" fontId="50" fillId="0" borderId="0" xfId="24" applyNumberFormat="1" applyFont="1" applyAlignment="1">
      <alignment horizontal="center"/>
    </xf>
    <xf numFmtId="0" fontId="93" fillId="13" borderId="0" xfId="0" applyFont="1" applyFill="1"/>
    <xf numFmtId="41" fontId="93" fillId="13" borderId="0" xfId="5" applyFont="1" applyFill="1"/>
    <xf numFmtId="41" fontId="49" fillId="0" borderId="0" xfId="5" applyFont="1"/>
    <xf numFmtId="0" fontId="94" fillId="0" borderId="0" xfId="0" applyFont="1"/>
    <xf numFmtId="41" fontId="94" fillId="0" borderId="0" xfId="5" applyFont="1"/>
    <xf numFmtId="0" fontId="92" fillId="0" borderId="0" xfId="0" applyFont="1"/>
    <xf numFmtId="41" fontId="92" fillId="0" borderId="0" xfId="5" applyFont="1"/>
    <xf numFmtId="0" fontId="95" fillId="0" borderId="0" xfId="0" applyFont="1"/>
    <xf numFmtId="41" fontId="95" fillId="0" borderId="0" xfId="5" applyFont="1"/>
    <xf numFmtId="0" fontId="96" fillId="0" borderId="0" xfId="0" applyFont="1"/>
    <xf numFmtId="41" fontId="96" fillId="0" borderId="0" xfId="5" applyFont="1"/>
    <xf numFmtId="14" fontId="17" fillId="0" borderId="33" xfId="0" applyNumberFormat="1" applyFont="1" applyBorder="1"/>
    <xf numFmtId="172" fontId="7" fillId="0" borderId="1" xfId="5" applyNumberFormat="1" applyFont="1" applyBorder="1"/>
    <xf numFmtId="0" fontId="97" fillId="0" borderId="0" xfId="0" applyFont="1"/>
    <xf numFmtId="173" fontId="57" fillId="0" borderId="29" xfId="4" applyNumberFormat="1" applyFont="1" applyFill="1" applyBorder="1" applyAlignment="1"/>
    <xf numFmtId="0" fontId="57" fillId="0" borderId="0" xfId="0" applyFont="1"/>
    <xf numFmtId="0" fontId="58" fillId="0" borderId="0" xfId="0" applyFont="1"/>
    <xf numFmtId="0" fontId="98" fillId="0" borderId="0" xfId="0" applyFont="1"/>
    <xf numFmtId="41" fontId="98" fillId="0" borderId="0" xfId="5" applyFont="1"/>
    <xf numFmtId="41" fontId="98" fillId="0" borderId="0" xfId="24" applyNumberFormat="1" applyFont="1" applyAlignment="1">
      <alignment horizontal="center"/>
    </xf>
    <xf numFmtId="41" fontId="7" fillId="0" borderId="1" xfId="5" applyFont="1" applyBorder="1"/>
    <xf numFmtId="41" fontId="99" fillId="0" borderId="0" xfId="5" applyFont="1" applyAlignment="1">
      <alignment horizontal="center"/>
    </xf>
    <xf numFmtId="172" fontId="99" fillId="0" borderId="0" xfId="5" applyNumberFormat="1" applyFont="1" applyAlignment="1">
      <alignment horizontal="right"/>
    </xf>
    <xf numFmtId="41" fontId="99" fillId="0" borderId="0" xfId="5" applyFont="1" applyBorder="1" applyAlignment="1">
      <alignment horizontal="right"/>
    </xf>
    <xf numFmtId="0" fontId="38" fillId="14" borderId="1" xfId="0" applyFont="1" applyFill="1" applyBorder="1" applyAlignment="1">
      <alignment vertical="center"/>
    </xf>
    <xf numFmtId="0" fontId="24" fillId="14" borderId="1" xfId="0" applyFont="1" applyFill="1" applyBorder="1" applyAlignment="1">
      <alignment horizontal="center" vertical="center"/>
    </xf>
    <xf numFmtId="173" fontId="24" fillId="14" borderId="1" xfId="4" applyNumberFormat="1" applyFont="1" applyFill="1" applyBorder="1" applyAlignment="1">
      <alignment horizontal="center" vertical="center"/>
    </xf>
    <xf numFmtId="14" fontId="7" fillId="0" borderId="66" xfId="0" applyNumberFormat="1" applyFont="1" applyBorder="1"/>
    <xf numFmtId="14" fontId="7" fillId="0" borderId="70" xfId="0" applyNumberFormat="1" applyFont="1" applyBorder="1"/>
    <xf numFmtId="14" fontId="7" fillId="0" borderId="1" xfId="0" applyNumberFormat="1" applyFont="1" applyBorder="1" applyAlignment="1">
      <alignment horizontal="center" vertical="center" wrapText="1"/>
    </xf>
    <xf numFmtId="41" fontId="100" fillId="0" borderId="1" xfId="5" applyFont="1" applyFill="1" applyBorder="1" applyAlignment="1">
      <alignment horizontal="center"/>
    </xf>
    <xf numFmtId="0" fontId="100" fillId="0" borderId="0" xfId="0" applyFont="1"/>
    <xf numFmtId="49" fontId="100" fillId="0" borderId="1" xfId="0" applyNumberFormat="1" applyFont="1" applyBorder="1"/>
    <xf numFmtId="0" fontId="101" fillId="0" borderId="0" xfId="0" applyFont="1"/>
    <xf numFmtId="0" fontId="100" fillId="0" borderId="1" xfId="0" applyFont="1" applyBorder="1"/>
    <xf numFmtId="0" fontId="102" fillId="0" borderId="0" xfId="0" applyFont="1" applyAlignment="1">
      <alignment horizontal="center"/>
    </xf>
    <xf numFmtId="0" fontId="103" fillId="0" borderId="0" xfId="3" applyFont="1" applyFill="1"/>
    <xf numFmtId="0" fontId="102" fillId="0" borderId="3" xfId="0" applyFont="1" applyBorder="1" applyAlignment="1">
      <alignment horizontal="center"/>
    </xf>
    <xf numFmtId="41" fontId="40" fillId="0" borderId="1" xfId="5" applyFont="1" applyFill="1" applyBorder="1" applyAlignment="1">
      <alignment horizontal="center"/>
    </xf>
    <xf numFmtId="41" fontId="7" fillId="3" borderId="2" xfId="0" applyNumberFormat="1" applyFont="1" applyFill="1" applyBorder="1"/>
    <xf numFmtId="41" fontId="104" fillId="0" borderId="0" xfId="0" applyNumberFormat="1" applyFont="1"/>
    <xf numFmtId="0" fontId="104" fillId="0" borderId="0" xfId="0" applyFont="1"/>
    <xf numFmtId="173" fontId="104" fillId="0" borderId="0" xfId="4" applyNumberFormat="1" applyFont="1"/>
    <xf numFmtId="41" fontId="99" fillId="0" borderId="0" xfId="0" applyNumberFormat="1" applyFont="1"/>
    <xf numFmtId="172" fontId="14" fillId="0" borderId="1" xfId="5" applyNumberFormat="1" applyFont="1" applyBorder="1"/>
    <xf numFmtId="14" fontId="24" fillId="0" borderId="1" xfId="0" applyNumberFormat="1" applyFont="1" applyBorder="1" applyAlignment="1">
      <alignment vertical="center"/>
    </xf>
    <xf numFmtId="167" fontId="14" fillId="0" borderId="1" xfId="9" applyFont="1" applyFill="1" applyBorder="1" applyAlignment="1"/>
    <xf numFmtId="41" fontId="100" fillId="0" borderId="1" xfId="5" applyFont="1" applyFill="1" applyBorder="1"/>
    <xf numFmtId="170" fontId="14" fillId="0" borderId="1" xfId="5" applyNumberFormat="1" applyFont="1" applyFill="1" applyBorder="1" applyAlignment="1">
      <alignment horizontal="center"/>
    </xf>
    <xf numFmtId="41" fontId="7" fillId="0" borderId="1" xfId="0" applyNumberFormat="1" applyFont="1" applyBorder="1" applyAlignment="1">
      <alignment horizontal="center"/>
    </xf>
    <xf numFmtId="41" fontId="7" fillId="15" borderId="1" xfId="5" applyFont="1" applyFill="1" applyBorder="1" applyAlignment="1">
      <alignment horizontal="right" vertical="center"/>
    </xf>
    <xf numFmtId="41" fontId="99" fillId="0" borderId="0" xfId="5" applyFont="1" applyAlignment="1">
      <alignment vertical="center"/>
    </xf>
    <xf numFmtId="41" fontId="99" fillId="0" borderId="0" xfId="0" applyNumberFormat="1" applyFont="1" applyAlignment="1">
      <alignment vertical="center"/>
    </xf>
    <xf numFmtId="10" fontId="14" fillId="3" borderId="0" xfId="0" applyNumberFormat="1" applyFont="1" applyFill="1" applyAlignment="1">
      <alignment horizontal="left"/>
    </xf>
    <xf numFmtId="0" fontId="49" fillId="0" borderId="86" xfId="0" applyFont="1" applyBorder="1"/>
    <xf numFmtId="41" fontId="49" fillId="0" borderId="87" xfId="5" applyFont="1" applyFill="1" applyBorder="1"/>
    <xf numFmtId="0" fontId="105" fillId="0" borderId="85" xfId="0" applyFont="1" applyBorder="1"/>
    <xf numFmtId="41" fontId="105" fillId="0" borderId="84" xfId="5" applyFont="1" applyFill="1" applyBorder="1"/>
    <xf numFmtId="41" fontId="0" fillId="0" borderId="84" xfId="5" applyFont="1" applyFill="1" applyBorder="1"/>
    <xf numFmtId="41" fontId="19" fillId="0" borderId="0" xfId="5" applyFont="1"/>
    <xf numFmtId="0" fontId="0" fillId="0" borderId="85" xfId="0" applyBorder="1"/>
    <xf numFmtId="41" fontId="95" fillId="0" borderId="0" xfId="5" applyFont="1" applyFill="1"/>
    <xf numFmtId="0" fontId="95" fillId="0" borderId="0" xfId="4" applyNumberFormat="1" applyFont="1" applyFill="1"/>
    <xf numFmtId="0" fontId="57" fillId="0" borderId="28" xfId="0" applyFont="1" applyBorder="1"/>
    <xf numFmtId="0" fontId="106" fillId="0" borderId="85" xfId="0" applyFont="1" applyBorder="1"/>
    <xf numFmtId="41" fontId="106" fillId="0" borderId="84" xfId="5" applyFont="1" applyFill="1" applyBorder="1"/>
    <xf numFmtId="0" fontId="106" fillId="0" borderId="0" xfId="0" applyFont="1"/>
    <xf numFmtId="41" fontId="106" fillId="0" borderId="0" xfId="5" applyFont="1" applyFill="1" applyBorder="1"/>
    <xf numFmtId="41" fontId="107" fillId="0" borderId="0" xfId="5" applyFont="1" applyFill="1"/>
    <xf numFmtId="41" fontId="108" fillId="0" borderId="1" xfId="5" applyFont="1" applyBorder="1" applyAlignment="1"/>
    <xf numFmtId="41" fontId="108" fillId="0" borderId="1" xfId="5" applyFont="1" applyBorder="1" applyAlignment="1">
      <alignment horizontal="right"/>
    </xf>
    <xf numFmtId="41" fontId="7" fillId="0" borderId="0" xfId="5" applyFont="1" applyBorder="1"/>
    <xf numFmtId="0" fontId="109" fillId="0" borderId="0" xfId="0" applyFont="1"/>
    <xf numFmtId="41" fontId="43" fillId="0" borderId="0" xfId="5" applyFont="1" applyBorder="1" applyAlignment="1"/>
    <xf numFmtId="41" fontId="25" fillId="0" borderId="1" xfId="0" applyNumberFormat="1" applyFont="1" applyBorder="1" applyAlignment="1">
      <alignment horizontal="right"/>
    </xf>
    <xf numFmtId="173" fontId="25" fillId="0" borderId="30" xfId="4" applyNumberFormat="1" applyFont="1" applyBorder="1" applyAlignment="1">
      <alignment horizontal="right" vertical="center"/>
    </xf>
    <xf numFmtId="41" fontId="19" fillId="0" borderId="1" xfId="5" applyFont="1" applyBorder="1"/>
    <xf numFmtId="170" fontId="19" fillId="0" borderId="1" xfId="5" applyNumberFormat="1" applyFont="1" applyFill="1" applyBorder="1" applyAlignment="1">
      <alignment horizontal="right" vertical="center"/>
    </xf>
    <xf numFmtId="173" fontId="19" fillId="0" borderId="51" xfId="4" applyNumberFormat="1" applyFont="1" applyFill="1" applyBorder="1" applyAlignment="1">
      <alignment vertical="center"/>
    </xf>
    <xf numFmtId="173" fontId="24" fillId="0" borderId="30" xfId="4" applyNumberFormat="1" applyFont="1" applyBorder="1" applyAlignment="1">
      <alignment horizontal="right" vertical="center"/>
    </xf>
    <xf numFmtId="41" fontId="7" fillId="0" borderId="0" xfId="5" applyFont="1"/>
    <xf numFmtId="0" fontId="19" fillId="0" borderId="2" xfId="0" applyFont="1" applyBorder="1" applyAlignment="1">
      <alignment horizontal="left" vertical="center" indent="1"/>
    </xf>
    <xf numFmtId="3" fontId="19" fillId="0" borderId="2" xfId="0" applyNumberFormat="1" applyFont="1" applyBorder="1" applyAlignment="1">
      <alignment vertical="center"/>
    </xf>
    <xf numFmtId="3" fontId="20" fillId="0" borderId="2" xfId="0" applyNumberFormat="1" applyFont="1" applyBorder="1" applyAlignment="1">
      <alignment vertical="center"/>
    </xf>
    <xf numFmtId="3" fontId="20" fillId="0" borderId="2" xfId="0" applyNumberFormat="1" applyFont="1" applyBorder="1" applyAlignment="1">
      <alignment horizontal="right" vertical="center"/>
    </xf>
    <xf numFmtId="14" fontId="24" fillId="0" borderId="1" xfId="0" applyNumberFormat="1" applyFont="1" applyBorder="1"/>
    <xf numFmtId="41" fontId="110" fillId="0" borderId="0" xfId="5" applyFont="1"/>
    <xf numFmtId="41" fontId="101" fillId="0" borderId="1" xfId="5" applyFont="1" applyBorder="1" applyAlignment="1"/>
    <xf numFmtId="0" fontId="18" fillId="0" borderId="1" xfId="0" applyFont="1" applyBorder="1"/>
    <xf numFmtId="41" fontId="18" fillId="0" borderId="1" xfId="5" applyFont="1" applyBorder="1" applyAlignment="1"/>
    <xf numFmtId="41" fontId="18" fillId="0" borderId="0" xfId="5" applyFont="1"/>
    <xf numFmtId="0" fontId="101" fillId="0" borderId="1" xfId="0" applyFont="1" applyBorder="1"/>
    <xf numFmtId="0" fontId="40" fillId="0" borderId="1" xfId="0" applyFont="1" applyBorder="1" applyAlignment="1">
      <alignment wrapText="1"/>
    </xf>
    <xf numFmtId="41" fontId="40" fillId="0" borderId="1" xfId="5" applyFont="1" applyFill="1" applyBorder="1" applyAlignment="1"/>
    <xf numFmtId="41" fontId="100" fillId="0" borderId="0" xfId="5" applyFont="1"/>
    <xf numFmtId="41" fontId="101" fillId="0" borderId="0" xfId="5" applyFont="1"/>
    <xf numFmtId="49" fontId="91" fillId="0" borderId="1" xfId="0" applyNumberFormat="1" applyFont="1" applyBorder="1"/>
    <xf numFmtId="41" fontId="91" fillId="0" borderId="1" xfId="5" applyFont="1" applyFill="1" applyBorder="1" applyAlignment="1">
      <alignment horizontal="center"/>
    </xf>
    <xf numFmtId="0" fontId="91" fillId="0" borderId="0" xfId="0" applyFont="1"/>
    <xf numFmtId="41" fontId="91" fillId="0" borderId="0" xfId="5" applyFont="1"/>
    <xf numFmtId="41" fontId="101" fillId="0" borderId="0" xfId="0" applyNumberFormat="1" applyFont="1"/>
    <xf numFmtId="177" fontId="99" fillId="0" borderId="0" xfId="5" applyNumberFormat="1" applyFont="1"/>
    <xf numFmtId="0" fontId="0" fillId="0" borderId="0" xfId="0" applyAlignment="1">
      <alignment horizontal="center"/>
    </xf>
    <xf numFmtId="14" fontId="60" fillId="5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37" fillId="6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37" fillId="6" borderId="51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4" fillId="0" borderId="4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24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3" fontId="24" fillId="0" borderId="7" xfId="4" applyNumberFormat="1" applyFont="1" applyBorder="1" applyAlignment="1">
      <alignment horizontal="center" vertical="center"/>
    </xf>
    <xf numFmtId="173" fontId="24" fillId="0" borderId="5" xfId="4" applyNumberFormat="1" applyFont="1" applyBorder="1" applyAlignment="1">
      <alignment horizontal="center" vertical="center"/>
    </xf>
    <xf numFmtId="173" fontId="24" fillId="0" borderId="2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1" fontId="7" fillId="0" borderId="1" xfId="5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5" fillId="0" borderId="0" xfId="3" applyAlignment="1">
      <alignment horizontal="left" vertic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14" fillId="0" borderId="0" xfId="0" quotePrefix="1" applyFont="1"/>
    <xf numFmtId="0" fontId="14" fillId="0" borderId="0" xfId="0" applyFont="1"/>
  </cellXfs>
  <cellStyles count="34">
    <cellStyle name="Comma [0] 11" xfId="32" xr:uid="{E581B672-B907-41BA-896B-8CE035333FBB}"/>
    <cellStyle name="Énfasis2 2" xfId="1" xr:uid="{00000000-0005-0000-0000-000000000000}"/>
    <cellStyle name="Énfasis4" xfId="25" builtinId="41"/>
    <cellStyle name="Excel Built-in Normal" xfId="2" xr:uid="{00000000-0005-0000-0000-000001000000}"/>
    <cellStyle name="Hipervínculo" xfId="3" builtinId="8"/>
    <cellStyle name="Hipervínculo visitado" xfId="26" builtinId="9"/>
    <cellStyle name="Millares" xfId="4" builtinId="3"/>
    <cellStyle name="Millares [0]" xfId="5" builtinId="6"/>
    <cellStyle name="Millares [0] 2" xfId="6" xr:uid="{00000000-0005-0000-0000-000005000000}"/>
    <cellStyle name="Millares [0] 2 2" xfId="7" xr:uid="{00000000-0005-0000-0000-000006000000}"/>
    <cellStyle name="Millares [0] 2 3" xfId="19" xr:uid="{00000000-0005-0000-0000-000007000000}"/>
    <cellStyle name="Millares [0] 2 4" xfId="31" xr:uid="{DBF281ED-3A9F-4BA8-9B9C-B07C90A160AF}"/>
    <cellStyle name="Millares [0] 3" xfId="8" xr:uid="{00000000-0005-0000-0000-000008000000}"/>
    <cellStyle name="Millares [0] 3 2" xfId="23" xr:uid="{00000000-0005-0000-0000-000009000000}"/>
    <cellStyle name="Millares [0] 4" xfId="18" xr:uid="{00000000-0005-0000-0000-00000A000000}"/>
    <cellStyle name="Millares [0] 5" xfId="29" xr:uid="{188A77C5-005B-4614-A009-6340CA13F4A2}"/>
    <cellStyle name="Millares 2" xfId="9" xr:uid="{00000000-0005-0000-0000-00000B000000}"/>
    <cellStyle name="Millares 2 2" xfId="10" xr:uid="{00000000-0005-0000-0000-00000C000000}"/>
    <cellStyle name="Millares 2 2 3" xfId="16" xr:uid="{00000000-0005-0000-0000-00000D000000}"/>
    <cellStyle name="Millares 2 3" xfId="20" xr:uid="{00000000-0005-0000-0000-00000E000000}"/>
    <cellStyle name="Millares 3" xfId="17" xr:uid="{00000000-0005-0000-0000-00000F000000}"/>
    <cellStyle name="Millares 4" xfId="11" xr:uid="{00000000-0005-0000-0000-000010000000}"/>
    <cellStyle name="Millares 4 2" xfId="22" xr:uid="{00000000-0005-0000-0000-000011000000}"/>
    <cellStyle name="Millares 5" xfId="21" xr:uid="{00000000-0005-0000-0000-000012000000}"/>
    <cellStyle name="Millares 6" xfId="33" xr:uid="{C5AC26F4-6670-47BE-92CA-850CAA4B5E12}"/>
    <cellStyle name="Millares 7" xfId="28" xr:uid="{87FFDB17-BEA0-41B4-8EB3-FDC4934E8C85}"/>
    <cellStyle name="Normal" xfId="0" builtinId="0"/>
    <cellStyle name="Normal 2" xfId="12" xr:uid="{00000000-0005-0000-0000-000015000000}"/>
    <cellStyle name="Normal 3" xfId="30" xr:uid="{2E3E0C4C-C453-47BD-8C2F-F6F035B93A84}"/>
    <cellStyle name="Normal 4" xfId="13" xr:uid="{00000000-0005-0000-0000-000016000000}"/>
    <cellStyle name="Normal 5" xfId="27" xr:uid="{6F5CC2AB-CC0A-4F8A-8D6D-75DED97976D3}"/>
    <cellStyle name="Porcentaje" xfId="24" builtinId="5"/>
    <cellStyle name="Porcentaje 2" xfId="14" xr:uid="{00000000-0005-0000-0000-000017000000}"/>
    <cellStyle name="Porcentaje 3" xfId="15" xr:uid="{00000000-0005-0000-0000-000018000000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theme="7" tint="0.39997558519241921"/>
        </top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7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  <alignment horizontal="center" vertical="bottom" textRotation="0" wrapText="0" indent="0" justifyLastLine="0" shrinkToFit="0" readingOrder="0"/>
    </dxf>
    <dxf>
      <font>
        <b val="0"/>
        <i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1" defaultTableStyle="TableStyleMedium2" defaultPivotStyle="PivotStyleLight16">
    <tableStyle name="Estilo de tabla 1" pivot="0" count="0" xr9:uid="{546FED0B-542C-8F47-918A-0F62FBA07F4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1773327</xdr:colOff>
      <xdr:row>0</xdr:row>
      <xdr:rowOff>707197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A521E2-942D-4F4F-AA12-930AFE6A2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07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73327" cy="714817"/>
    <xdr:pic>
      <xdr:nvPicPr>
        <xdr:cNvPr id="2" name="Imagen 1">
          <a:extLst>
            <a:ext uri="{FF2B5EF4-FFF2-40B4-BE49-F238E27FC236}">
              <a16:creationId xmlns:a16="http://schemas.microsoft.com/office/drawing/2014/main" id="{A9CC02F2-F5EF-472D-AAA8-01D5FFB94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1481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301397</xdr:colOff>
      <xdr:row>1</xdr:row>
      <xdr:rowOff>16509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DDA94B-97D9-4D18-994D-3805A0552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1897" cy="708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12367" cy="723899"/>
    <xdr:pic>
      <xdr:nvPicPr>
        <xdr:cNvPr id="2" name="Imagen 1">
          <a:extLst>
            <a:ext uri="{FF2B5EF4-FFF2-40B4-BE49-F238E27FC236}">
              <a16:creationId xmlns:a16="http://schemas.microsoft.com/office/drawing/2014/main" id="{15FB250B-3309-4ED0-BECE-210E1B10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0"/>
          <a:ext cx="1712367" cy="72389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265043</xdr:colOff>
      <xdr:row>0</xdr:row>
      <xdr:rowOff>0</xdr:rowOff>
    </xdr:from>
    <xdr:to>
      <xdr:col>2</xdr:col>
      <xdr:colOff>1761897</xdr:colOff>
      <xdr:row>1</xdr:row>
      <xdr:rowOff>12920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1AE8E6-DE7C-4A8F-838C-1C156009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3" y="0"/>
          <a:ext cx="1761897" cy="708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15044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E5E318-3DDE-4603-8452-81D2DB2FB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385" y="0"/>
          <a:ext cx="1761897" cy="7086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16509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D454A2-DC47-4045-8BB0-BEB091ECE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750" y="0"/>
          <a:ext cx="1761897" cy="7086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1761897</xdr:colOff>
      <xdr:row>1</xdr:row>
      <xdr:rowOff>13183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77BE0D-2CFC-4B45-A30E-48BCDBCEB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57" y="0"/>
          <a:ext cx="1761897" cy="7086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175846</xdr:colOff>
      <xdr:row>0</xdr:row>
      <xdr:rowOff>0</xdr:rowOff>
    </xdr:from>
    <xdr:to>
      <xdr:col>3</xdr:col>
      <xdr:colOff>1761897</xdr:colOff>
      <xdr:row>1</xdr:row>
      <xdr:rowOff>15932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5C9967-D54A-4D62-A3C6-649ED4AAE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538" y="0"/>
          <a:ext cx="1761897" cy="70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sady_pereira_inpositiva_com_py/Documents/Investor%20SA/Contabilidad/Conformaciones%20de%20Cuentas%20Contables/Conformacion%202019/Segundo%20Semestre%202019/Plantilla%20Exel%20EEFF%20cnv_SET_19.xlsx?473D2212" TargetMode="External"/><Relationship Id="rId1" Type="http://schemas.openxmlformats.org/officeDocument/2006/relationships/externalLinkPath" Target="file:///\\473D2212\Plantilla%20Exel%20EEFF%20cnv_SET_19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/personal/sady_pereira_inpositiva_com_py/Documents/18.Trader%20Pro%20SA/Contabilidad/Conformaciones%20de%20Cuentas%20Contables/Controles%20mensuales/CONTROL%202022/12.2022.Conformaci&#243;n%20de%20EEFF%20de%20Traders%20Pro.xlsx?7E0488F8" TargetMode="External"/><Relationship Id="rId1" Type="http://schemas.openxmlformats.org/officeDocument/2006/relationships/externalLinkPath" Target="file:///\\7E0488F8\12.2022.Conformaci&#243;n%20de%20EEFF%20de%20Traders%20P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7C11E68/Plantilla%20Exel%20EEFF%20cnv_SET_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-INV/Desktop/Informe%201er%20Semestre%2006-2018/Res%20173%20INVESTOR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ROCIO-INV/Desktop/Informe%201er%20Semestre%2006-2018/Res%20173%20INVESTOR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lugo\Denise_\BDT\BDT%202016\BDT%20Cuadro%20Revaluo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/personal/sady_pereira_inpositiva_com_py/Documents/18.Trader%20Pro%20SA/Contabilidad/Conformaciones%20de%20Cuentas%20Contables/Controles%20mensuales/CONTROL%2022/Conformacion%20de%20EEFF%20de%20Traders%20Pro%20SA%20al%2031%2003%202022.xlsx?63F1D278" TargetMode="External"/><Relationship Id="rId1" Type="http://schemas.openxmlformats.org/officeDocument/2006/relationships/externalLinkPath" Target="file:///\\63F1D278\Conformacion%20de%20EEFF%20de%20Traders%20Pro%20SA%20al%2031%2003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inpositivapy-my.sharepoint.com/personal/sady_pereira_inpositiva_com_py/Documents/18.Trader%20Pro%20SA/Contabilidad/Conformaciones%20de%20Cuentas%20Contables/Controles%20mensuales/CONTROL%202023/06.2023.Conformaci&#243;n%20de%20EEFF%20de%20Traders%20Pro.xlsx" TargetMode="External"/><Relationship Id="rId2" Type="http://schemas.microsoft.com/office/2019/04/relationships/externalLinkLongPath" Target="/personal/sady_pereira_inpositiva_com_py/Documents/18.Trader%20Pro%20SA/Contabilidad/Conformaciones%20de%20Cuentas%20Contables/Controles%20mensuales/CONTROL%202023/06.2023.Conformaci&#243;n%20de%20EEFF%20de%20Traders%20Pro.xlsx?E272B707" TargetMode="External"/><Relationship Id="rId1" Type="http://schemas.openxmlformats.org/officeDocument/2006/relationships/externalLinkPath" Target="file:///\\E272B707\06.2023.Conformaci&#243;n%20de%20EEFF%20de%20Traders%20Pro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/personal/sady_pereira_inpositiva_com_py/Documents/18.Trader%20Pro%20SA/Contabilidad/Conformaciones%20de%20Cuentas%20Contables/Controles%20mensuales/CONTROL%202023/03.2023.Conformacio&#769;n%20de%20EEFF%20de%20Traders%20Pro.xlsx?E272B707" TargetMode="External"/><Relationship Id="rId1" Type="http://schemas.openxmlformats.org/officeDocument/2006/relationships/externalLinkPath" Target="file:///\\E272B707\03.2023.Conformacio&#769;n%20de%20EEFF%20de%20Traders%20Pro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positivapy-my.sharepoint.com/personal/sady_pereira_inpositiva_com_py/Documents/18.Trader%20Pro%20SA/Contabilidad/Informes%20CNV/Informes%20CNV%20Presentados/2022/06_2022_Traders%20Pro%20CBSA_Notas%20EEFF%2030.06.2022.xlsx" TargetMode="External"/><Relationship Id="rId1" Type="http://schemas.openxmlformats.org/officeDocument/2006/relationships/externalLinkPath" Target="/personal/sady_pereira_inpositiva_com_py/Documents/18.Trader%20Pro%20SA/Contabilidad/Informes%20CNV/Informes%20CNV%20Presentados/2022/06_2022_Traders%20Pro%20CBSA_Notas%20EEFF%2030.06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UESTO A PAGAR"/>
      <sheetName val="CALCULO DE IMP.RENTA"/>
      <sheetName val="Balance Gral 2022"/>
      <sheetName val="EERR 2022"/>
      <sheetName val="10.ListadoCuentaBancaria Gs"/>
      <sheetName val="10.ListadoCuentaBancaria $"/>
      <sheetName val="Familiar 458 Cta Propia"/>
      <sheetName val="Familiar $ 921 Cta Propia (2)"/>
      <sheetName val="Familiar 139 Cta Propia"/>
      <sheetName val="NOTA E - INVERSIONES 2022"/>
      <sheetName val="2022-PORTAFOLIO BY PENKA"/>
      <sheetName val="Repos Pendientes"/>
      <sheetName val="Clientes"/>
      <sheetName val="CTAS A COBRAR PR"/>
      <sheetName val="Anticipos a Proveed Local"/>
      <sheetName val="Prestamo a Accionista "/>
      <sheetName val="IVA"/>
      <sheetName val="Amortizac Gastos Constituc"/>
      <sheetName val="ACCION BVA"/>
      <sheetName val="GARANTIA BVA"/>
      <sheetName val="Equipo de Informatica"/>
      <sheetName val="Cuadro de AF 2022"/>
      <sheetName val="Acreedores por Interm Gs"/>
      <sheetName val="Acreedores por Intermed $"/>
      <sheetName val="Estado de Cuenta Proveedores"/>
      <sheetName val="Anticipo de Clientes"/>
      <sheetName val="Tarjetas de Créditos"/>
      <sheetName val="Acta de Asamblea 2022"/>
      <sheetName val="12.2022"/>
    </sheetNames>
    <sheetDataSet>
      <sheetData sheetId="0"/>
      <sheetData sheetId="1"/>
      <sheetData sheetId="2">
        <row r="59">
          <cell r="B59">
            <v>-38492921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Estado de Resultados"/>
      <sheetName val="Flujos de efectivo"/>
      <sheetName val="Estado variacion PN"/>
      <sheetName val="anexos"/>
      <sheetName val="2007 (06)"/>
      <sheetName val="2008"/>
      <sheetName val="1346 2008 "/>
      <sheetName val="1346 2009 "/>
      <sheetName val="1346 2010"/>
      <sheetName val="1346 2011"/>
      <sheetName val="1346 2012"/>
      <sheetName val="1346 2013"/>
      <sheetName val="1346 2014"/>
      <sheetName val="1346 2015"/>
      <sheetName val="1346 2016 P"/>
      <sheetName val="1346 2016 P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alance Gral 31 03 2022"/>
      <sheetName val="CALCULO DE IMP.RENTA"/>
      <sheetName val="EERR al 31 03 2022"/>
      <sheetName val="Bancos Operaciones"/>
      <sheetName val="Bancos Administración"/>
      <sheetName val="Inventario"/>
      <sheetName val="Repos"/>
      <sheetName val="Clientes"/>
      <sheetName val="IVA Crédito"/>
      <sheetName val="Prestamo a Accionista "/>
      <sheetName val="Accion BVPASA"/>
      <sheetName val="Amortizac Gastos Constituc"/>
      <sheetName val="Equipo de Informatica"/>
      <sheetName val="Prestamos y Amortiz Repos"/>
      <sheetName val="Acreedores por Intermed ML - ME"/>
      <sheetName val="Proveedores"/>
      <sheetName val="Conformación Capital"/>
      <sheetName val="Acta Dir Gtos Const."/>
    </sheetNames>
    <sheetDataSet>
      <sheetData sheetId="0"/>
      <sheetData sheetId="1">
        <row r="80">
          <cell r="B80">
            <v>-9529901</v>
          </cell>
        </row>
      </sheetData>
      <sheetData sheetId="2"/>
      <sheetData sheetId="3"/>
      <sheetData sheetId="4"/>
      <sheetData sheetId="5"/>
      <sheetData sheetId="6">
        <row r="5">
          <cell r="E5">
            <v>10513000000</v>
          </cell>
        </row>
        <row r="15">
          <cell r="E15">
            <v>600000000</v>
          </cell>
        </row>
        <row r="16">
          <cell r="E16">
            <v>900000000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IMPUESTO A PAGAR"/>
      <sheetName val="CALCULO DE IMP.RENTA"/>
      <sheetName val="Balance Gral"/>
      <sheetName val="EERR"/>
      <sheetName val="10.ListadoCuentaBancaria Gs"/>
      <sheetName val="10.ListadoCuentaBancaria $"/>
      <sheetName val="Familiar 458 Cta Propia"/>
      <sheetName val="Familiar $ 921 Cta Propia (2)"/>
      <sheetName val="Familiar 139 Cta Propia"/>
      <sheetName val="Portafolio_EEFF Q2 2023 (2)"/>
      <sheetName val="NOTA E - INVERSIONES 2022"/>
      <sheetName val="2022-PORTAFOLIO BY PENKA"/>
      <sheetName val="Repos Pendientes"/>
      <sheetName val="Clientes"/>
      <sheetName val="CTAS A COBRAR PR"/>
      <sheetName val="Anticipos a Proveed Local"/>
      <sheetName val="Prestamo a Accionista "/>
      <sheetName val="1010502 SEGUROS A DEVENGAR"/>
      <sheetName val="IVA"/>
      <sheetName val="Amortizac Gastos Constituc"/>
      <sheetName val="ACCION BVA"/>
      <sheetName val="GARANTIA BVA"/>
      <sheetName val="Equipo de Informatica"/>
      <sheetName val="Cuadro de AF 2022"/>
      <sheetName val="Acreedores por Interm Gs"/>
      <sheetName val="Acreedores por Intermed $"/>
      <sheetName val="Estado de Cuenta Proveedores"/>
      <sheetName val="Tarjetas de Créditos"/>
      <sheetName val="Anticipo de Clientes"/>
      <sheetName val="Prestamo Ariza"/>
      <sheetName val="Acta Asamblea 2023"/>
    </sheetNames>
    <sheetDataSet>
      <sheetData sheetId="0"/>
      <sheetData sheetId="1"/>
      <sheetData sheetId="2">
        <row r="5">
          <cell r="B5">
            <v>657160536</v>
          </cell>
        </row>
        <row r="8">
          <cell r="B8">
            <v>36943953</v>
          </cell>
        </row>
        <row r="13">
          <cell r="B13">
            <v>10566821</v>
          </cell>
        </row>
        <row r="19">
          <cell r="B19">
            <v>1360000000</v>
          </cell>
        </row>
        <row r="23">
          <cell r="B23">
            <v>45240000</v>
          </cell>
        </row>
        <row r="24">
          <cell r="B24">
            <v>7254000000</v>
          </cell>
        </row>
        <row r="26">
          <cell r="B26">
            <v>296754</v>
          </cell>
        </row>
        <row r="28">
          <cell r="B28">
            <v>234389054</v>
          </cell>
        </row>
        <row r="29">
          <cell r="B29">
            <v>234389054</v>
          </cell>
        </row>
        <row r="31">
          <cell r="B31">
            <v>25483201</v>
          </cell>
        </row>
        <row r="32">
          <cell r="B32">
            <v>20512975</v>
          </cell>
        </row>
        <row r="33">
          <cell r="B33">
            <v>4970226</v>
          </cell>
        </row>
        <row r="34">
          <cell r="B34">
            <v>83696766</v>
          </cell>
        </row>
        <row r="36">
          <cell r="B36">
            <v>78102266</v>
          </cell>
        </row>
        <row r="38">
          <cell r="B38">
            <v>4971500</v>
          </cell>
        </row>
        <row r="39">
          <cell r="B39">
            <v>623000</v>
          </cell>
        </row>
        <row r="41">
          <cell r="B41">
            <v>203200000</v>
          </cell>
        </row>
        <row r="45">
          <cell r="B45">
            <v>4023223</v>
          </cell>
        </row>
        <row r="46">
          <cell r="B46">
            <v>4023224</v>
          </cell>
        </row>
        <row r="59">
          <cell r="B59">
            <v>587104398</v>
          </cell>
        </row>
        <row r="63">
          <cell r="B63">
            <v>36411989</v>
          </cell>
        </row>
        <row r="65">
          <cell r="B65">
            <v>147741101</v>
          </cell>
        </row>
        <row r="68">
          <cell r="B68">
            <v>6614384067</v>
          </cell>
        </row>
        <row r="69">
          <cell r="B69">
            <v>29118913</v>
          </cell>
        </row>
        <row r="72">
          <cell r="B72">
            <v>5417899</v>
          </cell>
        </row>
        <row r="74">
          <cell r="B74">
            <v>5240329</v>
          </cell>
        </row>
        <row r="76">
          <cell r="B76">
            <v>220930</v>
          </cell>
        </row>
        <row r="78">
          <cell r="B78">
            <v>4884822</v>
          </cell>
        </row>
        <row r="92">
          <cell r="B92">
            <v>-193898242.38999999</v>
          </cell>
        </row>
      </sheetData>
      <sheetData sheetId="3">
        <row r="5">
          <cell r="B5">
            <v>132713550</v>
          </cell>
        </row>
        <row r="11">
          <cell r="B11">
            <v>16403189</v>
          </cell>
        </row>
        <row r="12">
          <cell r="B12">
            <v>1632552200</v>
          </cell>
        </row>
        <row r="16">
          <cell r="B16">
            <v>866058936</v>
          </cell>
        </row>
        <row r="20">
          <cell r="B20">
            <v>587215882</v>
          </cell>
        </row>
        <row r="21">
          <cell r="B21">
            <v>22969775</v>
          </cell>
        </row>
        <row r="25">
          <cell r="B25">
            <v>156267430</v>
          </cell>
        </row>
        <row r="32">
          <cell r="B32">
            <v>328754</v>
          </cell>
        </row>
        <row r="33">
          <cell r="B33">
            <v>88512000</v>
          </cell>
        </row>
        <row r="34">
          <cell r="B34">
            <v>1529442746</v>
          </cell>
        </row>
        <row r="35">
          <cell r="B35">
            <v>86855000</v>
          </cell>
        </row>
        <row r="36">
          <cell r="B36">
            <v>15474925</v>
          </cell>
        </row>
        <row r="44">
          <cell r="B44">
            <v>123726359</v>
          </cell>
        </row>
        <row r="69">
          <cell r="B69">
            <v>659527094</v>
          </cell>
        </row>
        <row r="77">
          <cell r="B77">
            <v>-45402324</v>
          </cell>
        </row>
        <row r="78">
          <cell r="B78">
            <v>42840820</v>
          </cell>
        </row>
      </sheetData>
      <sheetData sheetId="4">
        <row r="8">
          <cell r="E8">
            <v>31423495</v>
          </cell>
        </row>
        <row r="9">
          <cell r="E9">
            <v>539646623</v>
          </cell>
        </row>
        <row r="10">
          <cell r="E10">
            <v>1060010</v>
          </cell>
        </row>
        <row r="12">
          <cell r="E12">
            <v>2276610</v>
          </cell>
        </row>
        <row r="14">
          <cell r="E14">
            <v>1001123</v>
          </cell>
        </row>
        <row r="15">
          <cell r="E15">
            <v>0</v>
          </cell>
        </row>
        <row r="16">
          <cell r="E16">
            <v>1007292</v>
          </cell>
        </row>
        <row r="17">
          <cell r="E17">
            <v>1010758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">
          <cell r="F5">
            <v>3150000</v>
          </cell>
        </row>
        <row r="6">
          <cell r="F6">
            <v>697620</v>
          </cell>
        </row>
        <row r="7">
          <cell r="F7">
            <v>499900</v>
          </cell>
        </row>
        <row r="9">
          <cell r="F9">
            <v>230</v>
          </cell>
        </row>
        <row r="13">
          <cell r="E13">
            <v>500</v>
          </cell>
        </row>
        <row r="15">
          <cell r="F15">
            <v>200000</v>
          </cell>
        </row>
        <row r="23">
          <cell r="F23">
            <v>108000</v>
          </cell>
        </row>
        <row r="25">
          <cell r="F25">
            <v>137764</v>
          </cell>
        </row>
        <row r="27">
          <cell r="F27">
            <v>30000</v>
          </cell>
        </row>
        <row r="31">
          <cell r="F31">
            <v>100000</v>
          </cell>
        </row>
        <row r="33">
          <cell r="F33">
            <v>1834000</v>
          </cell>
        </row>
        <row r="34">
          <cell r="F34">
            <v>5310920</v>
          </cell>
        </row>
        <row r="36">
          <cell r="E36">
            <v>246</v>
          </cell>
        </row>
        <row r="40">
          <cell r="E40">
            <v>7262.6</v>
          </cell>
        </row>
      </sheetData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UESTO A PAGAR"/>
      <sheetName val="CALCULO DE IMP.RENTA"/>
      <sheetName val="Balance Gral 2022"/>
      <sheetName val="EERR 2022"/>
      <sheetName val="10.ListadoCuentaBancaria Gs"/>
      <sheetName val="10.ListadoCuentaBancaria $"/>
      <sheetName val="Familiar 458 Cta Propia"/>
      <sheetName val="Familiar $ 921 Cta Propia (2)"/>
      <sheetName val="Familiar 139 Cta Propia"/>
      <sheetName val="Nota Portafolio 03.2023"/>
      <sheetName val="NOTA E - INVERSIONES 2022"/>
      <sheetName val="2022-PORTAFOLIO BY PENKA"/>
      <sheetName val="Repos Pendientes"/>
      <sheetName val="Clientes"/>
      <sheetName val="CTAS A COBRAR PR"/>
      <sheetName val="Anticipos a Proveed Local"/>
      <sheetName val="Prestamo a Accionista "/>
      <sheetName val="IVA"/>
      <sheetName val="Amortizac Gastos Constituc"/>
      <sheetName val="ACCION BVA"/>
      <sheetName val="GARANTIA BVA"/>
      <sheetName val="Equipo de Informatica"/>
      <sheetName val="Cuadro de AF 2022"/>
      <sheetName val="Acreedores por Interm Gs"/>
      <sheetName val="Acreedores por Intermed $"/>
      <sheetName val="Estado de Cuenta Proveedores"/>
      <sheetName val="Anticipo de Clientes"/>
      <sheetName val="Prestamo Ariza"/>
      <sheetName val="Tarjetas de Créditos"/>
      <sheetName val="Acta Asamblea 2023"/>
      <sheetName val="03.2023"/>
    </sheetNames>
    <sheetDataSet>
      <sheetData sheetId="0"/>
      <sheetData sheetId="1"/>
      <sheetData sheetId="2">
        <row r="32">
          <cell r="B32">
            <v>81102179</v>
          </cell>
        </row>
        <row r="40">
          <cell r="B40">
            <v>1003000000</v>
          </cell>
        </row>
        <row r="43">
          <cell r="B43">
            <v>16086331</v>
          </cell>
        </row>
        <row r="44">
          <cell r="B44">
            <v>-949819</v>
          </cell>
        </row>
        <row r="45">
          <cell r="B45">
            <v>38492921</v>
          </cell>
        </row>
        <row r="46">
          <cell r="B46">
            <v>76985842</v>
          </cell>
        </row>
        <row r="47">
          <cell r="B47">
            <v>-38492921</v>
          </cell>
        </row>
        <row r="76">
          <cell r="B76">
            <v>3805000000</v>
          </cell>
        </row>
        <row r="81">
          <cell r="B81">
            <v>103000000</v>
          </cell>
        </row>
        <row r="83">
          <cell r="B83">
            <v>-178677351</v>
          </cell>
        </row>
      </sheetData>
      <sheetData sheetId="3">
        <row r="62">
          <cell r="B62">
            <v>416085002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ce Gral 30 06 2022"/>
      <sheetName val="EERR al 30 06 2022"/>
      <sheetName val="INDICE"/>
      <sheetName val="INFORMAC GRAL DE LA EMP"/>
      <sheetName val="BALANCE GRAL 30_06_22"/>
      <sheetName val="ESTADOS DE RESULTADOS 30_06_22"/>
      <sheetName val="Flujo de TP Calculo DIC"/>
      <sheetName val="FLUJO DE EFECTIVO 30_06_22"/>
      <sheetName val="ESTADO DE VARIAC PN 30_06_22"/>
      <sheetName val="NOTAS A LOS ESTADOS CONTA. 1-4"/>
      <sheetName val="NOTA 5 A-C CRITERIOS ESPECIF."/>
      <sheetName val="NOTA D - DISPONIBILIDADES"/>
      <sheetName val="NOTA E - INVERSIONES"/>
      <sheetName val="NOTA F - CREDITOS"/>
      <sheetName val="NOTA G BIENES DE USO"/>
      <sheetName val="NOTA H CARGOS DIFERIDOS"/>
      <sheetName val=" NOTA I INTANGIBLES"/>
      <sheetName val="NOTA J OTROS ACTIVOS CTES y NO "/>
      <sheetName val="NOTA K PRESTAMOS"/>
      <sheetName val="NOTA L ACREED VARIOS"/>
      <sheetName val="NOTAS M-Q ACREED y CTAS A PAG"/>
      <sheetName val="NOTA R SALDOS Y TRANSACC"/>
      <sheetName val="NOTA S RESULTADOS CON PERS"/>
      <sheetName val=" NOTA T PATRIMONIO Y PREVIS"/>
      <sheetName val="NOTA V INGRESOS OPERATIVOS"/>
      <sheetName val="NOTA W OTROS GASTOS OPER"/>
      <sheetName val="NOTA X OTROS INGRESOS Y EGR"/>
      <sheetName val="NOTA Y RESULTADOS FINANC"/>
      <sheetName val="NOTA Z RESULT EXTRA"/>
      <sheetName val="NOTA 6 11 INFORMACIONES"/>
    </sheetNames>
    <sheetDataSet>
      <sheetData sheetId="0"/>
      <sheetData sheetId="1"/>
      <sheetData sheetId="2"/>
      <sheetData sheetId="3"/>
      <sheetData sheetId="4">
        <row r="13">
          <cell r="D13">
            <v>227627665</v>
          </cell>
        </row>
      </sheetData>
      <sheetData sheetId="5">
        <row r="100">
          <cell r="E100">
            <v>12385251</v>
          </cell>
        </row>
      </sheetData>
      <sheetData sheetId="6"/>
      <sheetData sheetId="7"/>
      <sheetData sheetId="8">
        <row r="27">
          <cell r="J27">
            <v>3807855349.7199998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7DC6F5-E8D8-456A-AAC7-A8A43933ED8E}" name="Tabla1" displayName="Tabla1" ref="A2:C94" totalsRowShown="0" headerRowDxfId="25" dataDxfId="24">
  <autoFilter ref="A2:C94" xr:uid="{17DDE52E-69A5-4CC2-A04B-0941965302FC}"/>
  <tableColumns count="3">
    <tableColumn id="1" xr3:uid="{B03E6371-CB40-4BB9-8C46-B34C201AF3FF}" name="BALANCE GENERAL " dataDxfId="23">
      <calculatedColumnFormula>+E3</calculatedColumnFormula>
    </tableColumn>
    <tableColumn id="2" xr3:uid="{DDE8B176-8D05-49B9-BD6A-1A20A1D5C6B2}" name="30/09/2022" dataDxfId="22">
      <calculatedColumnFormula>+F3</calculatedColumnFormula>
    </tableColumn>
    <tableColumn id="3" xr3:uid="{55EE8B58-4E33-44ED-9A0D-8614260B627D}" name="Notas" dataDxfId="21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3FCDD6-16F5-4791-A370-123A3594E032}" name="Tabla9" displayName="Tabla9" ref="A97:B102" totalsRowShown="0" headerRowDxfId="20" dataDxfId="19">
  <autoFilter ref="A97:B102" xr:uid="{7EDFAA1B-C751-4AC0-AB8E-AA4E0235A3CB}"/>
  <tableColumns count="2">
    <tableColumn id="1" xr3:uid="{D42E97AA-FF78-4835-B370-59C1B0AA4EAA}" name="RESUMEN" dataDxfId="18"/>
    <tableColumn id="2" xr3:uid="{7E06575A-EBDE-4DF6-B5BB-C4B0F08AAB81}" name="+Tabla1[[#Encabezados];[+Datos!B3]]" dataDxfId="17" dataCellStyle="Millares [0]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93DA3A-AEA5-4B59-B2FE-9F0F758A86D0}" name="Tabla15" displayName="Tabla15" ref="G17:I20" totalsRowShown="0" headerRowDxfId="16" dataDxfId="15">
  <autoFilter ref="G17:I20" xr:uid="{F5CD79E1-2C01-4314-8773-B6E3F1ED7C65}"/>
  <tableColumns count="3">
    <tableColumn id="1" xr3:uid="{DC2D4AB5-F70F-4066-9698-B2B806D17EDF}" name="Según Contab" dataDxfId="14"/>
    <tableColumn id="2" xr3:uid="{EC14043C-AA64-4BF8-ADEA-45A3212059A5}" name="Según TP" dataDxfId="13"/>
    <tableColumn id="3" xr3:uid="{54786CAB-B168-46E1-8F03-60C8AAE43722}" name="Diferencia" dataDxfId="12">
      <calculatedColumnFormula>+G18-H18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ECD746-8EEA-44C1-9E22-9703C96CBF6B}" name="Tabla2" displayName="Tabla2" ref="A2:D85" totalsRowShown="0" dataDxfId="11">
  <autoFilter ref="A2:D85" xr:uid="{207BA5BA-2222-49EC-A6EF-5D88F7A62D2A}"/>
  <tableColumns count="4">
    <tableColumn id="1" xr3:uid="{8AC0A366-1CE9-4C03-B299-30D5BEDB2F62}" name="ESTADOS DE RESULTADOS AL " dataDxfId="10">
      <calculatedColumnFormula>+F3</calculatedColumnFormula>
    </tableColumn>
    <tableColumn id="2" xr3:uid="{76854CC2-F17A-44FC-A70F-C48326927F93}" name="31/3/2022" dataDxfId="9">
      <calculatedColumnFormula>+G3</calculatedColumnFormula>
    </tableColumn>
    <tableColumn id="3" xr3:uid="{5E698702-4354-4E55-83AD-1952DBAFB682}" name="%" dataDxfId="8" dataCellStyle="Porcentaje">
      <calculatedColumnFormula>+Tabla2[[#This Row],[31/3/2022]]/$B$3</calculatedColumnFormula>
    </tableColumn>
    <tableColumn id="4" xr3:uid="{6D20FF1F-FC51-4142-89BE-BDFC3993482A}" name="OBSERVACIONES" dataDxfId="7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4FC7784-915A-8E44-8639-48CC42FF01EB}" name="Tabla5" displayName="Tabla5" ref="H48:J73" totalsRowShown="0" headerRowDxfId="6" dataDxfId="4" headerRowBorderDxfId="5" tableBorderDxfId="3" headerRowCellStyle="Millares [0]">
  <autoFilter ref="H48:J73" xr:uid="{24FC7784-915A-8E44-8639-48CC42FF01EB}"/>
  <tableColumns count="3">
    <tableColumn id="1" xr3:uid="{D75AC662-8314-924B-9A1C-8A284941A84D}" name="Gastos De Administración" dataDxfId="2"/>
    <tableColumn id="2" xr3:uid="{0FD352D2-A4BA-524A-9BBA-8344A2A532A2}" name=" 643.284.307 " dataDxfId="1" dataCellStyle="Millares [0]"/>
    <tableColumn id="3" xr3:uid="{205205AC-C2E3-9E42-8435-BEFD5A5FE12E}" name=" 405.499.682 " dataDxfId="0" dataCellStyle="Millares [0]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traderspro.com.py/" TargetMode="External"/><Relationship Id="rId1" Type="http://schemas.openxmlformats.org/officeDocument/2006/relationships/hyperlink" Target="mailto:directorio@traderspro.com.py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F059-E89C-4F08-8A57-D3766289A187}">
  <sheetPr>
    <tabColor theme="7" tint="0.59999389629810485"/>
    <pageSetUpPr fitToPage="1"/>
  </sheetPr>
  <dimension ref="A1:I102"/>
  <sheetViews>
    <sheetView zoomScale="120" zoomScaleNormal="120" workbookViewId="0">
      <pane ySplit="2" topLeftCell="A38" activePane="bottomLeft" state="frozen"/>
      <selection activeCell="G96" sqref="G96"/>
      <selection pane="bottomLeft" activeCell="A36" sqref="A36"/>
    </sheetView>
  </sheetViews>
  <sheetFormatPr baseColWidth="10" defaultColWidth="8.88671875" defaultRowHeight="14.4"/>
  <cols>
    <col min="1" max="1" width="65.88671875" style="402" customWidth="1"/>
    <col min="2" max="2" width="25.6640625" style="403" customWidth="1"/>
    <col min="3" max="3" width="36.33203125" customWidth="1"/>
    <col min="5" max="5" width="58.33203125" bestFit="1" customWidth="1"/>
    <col min="6" max="6" width="15.109375" style="404" bestFit="1" customWidth="1"/>
    <col min="7" max="7" width="15.6640625" customWidth="1"/>
    <col min="8" max="8" width="14.44140625" bestFit="1" customWidth="1"/>
    <col min="9" max="9" width="15.33203125" bestFit="1" customWidth="1"/>
  </cols>
  <sheetData>
    <row r="1" spans="1:9" ht="60.75" customHeight="1"/>
    <row r="2" spans="1:9" s="408" customFormat="1">
      <c r="A2" s="405" t="s">
        <v>728</v>
      </c>
      <c r="B2" s="406" t="s">
        <v>981</v>
      </c>
      <c r="C2" s="407" t="s">
        <v>729</v>
      </c>
      <c r="E2" s="618" t="s">
        <v>730</v>
      </c>
      <c r="F2" s="619" t="s">
        <v>731</v>
      </c>
    </row>
    <row r="3" spans="1:9">
      <c r="A3" t="str">
        <f>+E3</f>
        <v>Activo</v>
      </c>
      <c r="B3" s="411">
        <f>+F3</f>
        <v>11737588990</v>
      </c>
      <c r="C3" s="402"/>
      <c r="E3" s="408" t="s">
        <v>732</v>
      </c>
      <c r="F3" s="620">
        <v>11737588990</v>
      </c>
      <c r="G3" s="454">
        <f>+Tabla1[[#This Row],[30/09/2022]]-F3</f>
        <v>0</v>
      </c>
    </row>
    <row r="4" spans="1:9">
      <c r="A4" t="str">
        <f t="shared" ref="A4:B67" si="0">+E4</f>
        <v>Activo Corriente</v>
      </c>
      <c r="B4" s="411">
        <f t="shared" si="0"/>
        <v>10031975216</v>
      </c>
      <c r="C4" s="402"/>
      <c r="E4" s="408" t="s">
        <v>733</v>
      </c>
      <c r="F4" s="620">
        <v>10031975216</v>
      </c>
    </row>
    <row r="5" spans="1:9">
      <c r="A5" t="str">
        <f t="shared" si="0"/>
        <v>Disponibilidades</v>
      </c>
      <c r="B5" s="411">
        <f t="shared" si="0"/>
        <v>396498174</v>
      </c>
      <c r="C5" s="402"/>
      <c r="E5" s="408" t="s">
        <v>734</v>
      </c>
      <c r="F5" s="620">
        <v>396498174</v>
      </c>
    </row>
    <row r="6" spans="1:9">
      <c r="A6" s="402" t="str">
        <f t="shared" si="0"/>
        <v>Bancos De Operaciones</v>
      </c>
      <c r="B6" s="403">
        <f t="shared" si="0"/>
        <v>323106777</v>
      </c>
      <c r="C6" s="402"/>
      <c r="E6" s="621" t="s">
        <v>698</v>
      </c>
      <c r="F6" s="622">
        <v>323106777</v>
      </c>
      <c r="G6" s="454"/>
    </row>
    <row r="7" spans="1:9">
      <c r="A7" s="402" t="str">
        <f t="shared" si="0"/>
        <v>Bancos Operaciones - Moneda Extranjera</v>
      </c>
      <c r="B7" s="403">
        <f t="shared" si="0"/>
        <v>279665652</v>
      </c>
      <c r="C7" s="402"/>
      <c r="E7" t="s">
        <v>699</v>
      </c>
      <c r="F7" s="404">
        <v>279665652</v>
      </c>
    </row>
    <row r="8" spans="1:9">
      <c r="A8" s="402" t="str">
        <f t="shared" si="0"/>
        <v>Banco Operaciones M/E</v>
      </c>
      <c r="B8" s="403">
        <f t="shared" si="0"/>
        <v>279665652</v>
      </c>
      <c r="C8" s="455" t="s">
        <v>735</v>
      </c>
      <c r="E8" t="s">
        <v>700</v>
      </c>
      <c r="F8" s="404">
        <v>279665652</v>
      </c>
    </row>
    <row r="9" spans="1:9">
      <c r="A9" s="402" t="str">
        <f t="shared" si="0"/>
        <v>Bancos Operaciones - Moneda Local</v>
      </c>
      <c r="B9" s="403">
        <f t="shared" si="0"/>
        <v>43441126</v>
      </c>
      <c r="C9" s="402"/>
      <c r="E9" t="s">
        <v>701</v>
      </c>
      <c r="F9" s="404">
        <v>43441126</v>
      </c>
    </row>
    <row r="10" spans="1:9">
      <c r="A10" s="402" t="str">
        <f t="shared" si="0"/>
        <v>Banco Operaciones M/L</v>
      </c>
      <c r="B10" s="403">
        <f t="shared" si="0"/>
        <v>43441126</v>
      </c>
      <c r="C10" s="402"/>
      <c r="E10" t="s">
        <v>702</v>
      </c>
      <c r="F10" s="404">
        <v>43441126</v>
      </c>
    </row>
    <row r="11" spans="1:9">
      <c r="A11" s="402" t="str">
        <f t="shared" si="0"/>
        <v>Bancos Administrativas</v>
      </c>
      <c r="B11" s="403">
        <f t="shared" si="0"/>
        <v>73391397</v>
      </c>
      <c r="C11" s="455" t="s">
        <v>736</v>
      </c>
      <c r="E11" s="408" t="s">
        <v>703</v>
      </c>
      <c r="F11" s="620">
        <v>73391397</v>
      </c>
    </row>
    <row r="12" spans="1:9">
      <c r="A12" s="402" t="str">
        <f t="shared" si="0"/>
        <v>Bancos Moneda Extranjera</v>
      </c>
      <c r="B12" s="403">
        <f t="shared" si="0"/>
        <v>10984716</v>
      </c>
      <c r="C12" s="402"/>
      <c r="E12" s="621" t="s">
        <v>704</v>
      </c>
      <c r="F12" s="622">
        <v>10984716</v>
      </c>
    </row>
    <row r="13" spans="1:9">
      <c r="A13" s="402" t="str">
        <f t="shared" si="0"/>
        <v>Banco Familiar SAECA - M/E</v>
      </c>
      <c r="B13" s="403">
        <f t="shared" si="0"/>
        <v>10984716</v>
      </c>
      <c r="C13" s="402"/>
      <c r="E13" t="s">
        <v>705</v>
      </c>
      <c r="F13" s="404">
        <v>10984716</v>
      </c>
    </row>
    <row r="14" spans="1:9">
      <c r="A14" s="402" t="str">
        <f t="shared" si="0"/>
        <v>Bancos Moneda Local</v>
      </c>
      <c r="B14" s="403">
        <f t="shared" si="0"/>
        <v>62406681</v>
      </c>
      <c r="C14" s="402"/>
      <c r="E14" s="621" t="s">
        <v>706</v>
      </c>
      <c r="F14" s="622">
        <v>62406681</v>
      </c>
    </row>
    <row r="15" spans="1:9">
      <c r="A15" s="402" t="str">
        <f t="shared" si="0"/>
        <v>Banco Familiar Cta. Cte. 00-2906458 M/L</v>
      </c>
      <c r="B15" s="403">
        <f t="shared" si="0"/>
        <v>2369784</v>
      </c>
      <c r="C15" s="402"/>
      <c r="E15" t="s">
        <v>994</v>
      </c>
      <c r="F15" s="404">
        <v>2369784</v>
      </c>
    </row>
    <row r="16" spans="1:9">
      <c r="A16" s="402" t="str">
        <f t="shared" si="0"/>
        <v>Banco Familiar SAECA  -Caja De Ahorro - 0-2986139 M/L</v>
      </c>
      <c r="B16" s="403">
        <f t="shared" si="0"/>
        <v>60036897</v>
      </c>
      <c r="C16" s="402"/>
      <c r="E16" t="s">
        <v>995</v>
      </c>
      <c r="F16" s="404">
        <v>60036897</v>
      </c>
      <c r="G16" s="720" t="s">
        <v>737</v>
      </c>
      <c r="H16" s="720"/>
      <c r="I16" s="720"/>
    </row>
    <row r="17" spans="1:9">
      <c r="A17" s="402" t="str">
        <f t="shared" si="0"/>
        <v>Inversiones Temporarias</v>
      </c>
      <c r="B17" s="403">
        <f t="shared" si="0"/>
        <v>8400633163</v>
      </c>
      <c r="C17" s="402"/>
      <c r="E17" s="408" t="s">
        <v>742</v>
      </c>
      <c r="F17" s="620">
        <v>8400633163</v>
      </c>
      <c r="G17" t="s">
        <v>738</v>
      </c>
      <c r="H17" t="s">
        <v>739</v>
      </c>
      <c r="I17" t="s">
        <v>740</v>
      </c>
    </row>
    <row r="18" spans="1:9" ht="16.2">
      <c r="A18" s="402" t="str">
        <f t="shared" si="0"/>
        <v>Inversiones Financieras Temporales -Moneda Local</v>
      </c>
      <c r="B18" s="403">
        <f t="shared" si="0"/>
        <v>894000000</v>
      </c>
      <c r="C18" s="402"/>
      <c r="E18" s="408" t="s">
        <v>743</v>
      </c>
      <c r="F18" s="620">
        <v>894000000</v>
      </c>
      <c r="G18" s="409">
        <f>SUM(G19:G20)</f>
        <v>9162017338</v>
      </c>
      <c r="H18" s="409">
        <f>SUM(H19:H20)</f>
        <v>12013000000</v>
      </c>
      <c r="I18" s="409">
        <f t="shared" ref="I18" si="1">SUM(I19:I20)</f>
        <v>-2850982662</v>
      </c>
    </row>
    <row r="19" spans="1:9">
      <c r="A19" s="402" t="str">
        <f t="shared" si="0"/>
        <v>Títulos Representativos De Deuda -M/L</v>
      </c>
      <c r="B19" s="403">
        <f t="shared" si="0"/>
        <v>894000000</v>
      </c>
      <c r="C19" s="410" t="s">
        <v>741</v>
      </c>
      <c r="E19" t="s">
        <v>744</v>
      </c>
      <c r="F19" s="404">
        <v>894000000</v>
      </c>
      <c r="G19" s="454">
        <f>+B21+B24</f>
        <v>7507179097</v>
      </c>
      <c r="H19" s="411">
        <f>+[6]Inventario!E5+[6]Inventario!E15</f>
        <v>11113000000</v>
      </c>
      <c r="I19" s="454">
        <f>+G19-H19</f>
        <v>-3605820903</v>
      </c>
    </row>
    <row r="20" spans="1:9">
      <c r="A20" s="402" t="str">
        <f t="shared" si="0"/>
        <v>Bonos M/L</v>
      </c>
      <c r="B20" s="403">
        <f t="shared" si="0"/>
        <v>894000000</v>
      </c>
      <c r="C20" s="402"/>
      <c r="E20" s="623" t="s">
        <v>745</v>
      </c>
      <c r="F20" s="624">
        <v>894000000</v>
      </c>
      <c r="G20" s="454">
        <f>+B45</f>
        <v>1654838241</v>
      </c>
      <c r="H20" s="411">
        <f>+[6]Inventario!E16</f>
        <v>900000000</v>
      </c>
      <c r="I20" s="454">
        <f>+G20-H20</f>
        <v>754838241</v>
      </c>
    </row>
    <row r="21" spans="1:9">
      <c r="A21" s="402" t="str">
        <f t="shared" si="0"/>
        <v>Otras Inversiones a Corto Plazo</v>
      </c>
      <c r="B21" s="403">
        <f t="shared" si="0"/>
        <v>7500000000</v>
      </c>
      <c r="C21" s="402"/>
      <c r="E21" s="625" t="s">
        <v>746</v>
      </c>
      <c r="F21" s="626">
        <v>7500000000</v>
      </c>
      <c r="H21" s="411"/>
    </row>
    <row r="22" spans="1:9">
      <c r="A22" s="402" t="str">
        <f t="shared" si="0"/>
        <v xml:space="preserve">Instrumentos Financieros Cedidos En Prestamos M/L - </v>
      </c>
      <c r="B22" s="403">
        <f t="shared" si="0"/>
        <v>7500000000</v>
      </c>
      <c r="C22" s="402"/>
      <c r="E22" s="408" t="s">
        <v>748</v>
      </c>
      <c r="F22" s="620">
        <v>7500000000</v>
      </c>
      <c r="H22" s="411"/>
    </row>
    <row r="23" spans="1:9">
      <c r="A23" s="402" t="str">
        <f t="shared" si="0"/>
        <v>Ajuste por Valuación de Inversiones Temporales</v>
      </c>
      <c r="B23" s="403">
        <f t="shared" si="0"/>
        <v>1983763</v>
      </c>
      <c r="C23" s="176"/>
      <c r="E23" t="s">
        <v>749</v>
      </c>
      <c r="F23" s="411">
        <v>1983763</v>
      </c>
      <c r="H23" s="411"/>
    </row>
    <row r="24" spans="1:9">
      <c r="A24" s="402" t="str">
        <f t="shared" si="0"/>
        <v>(+) Ajuste por Valor de Compra Inversiones Temporales M/L</v>
      </c>
      <c r="B24" s="403">
        <f t="shared" si="0"/>
        <v>7179097</v>
      </c>
      <c r="C24" s="402"/>
      <c r="E24" t="s">
        <v>996</v>
      </c>
      <c r="F24" s="411">
        <v>7179097</v>
      </c>
      <c r="H24" s="411"/>
    </row>
    <row r="25" spans="1:9">
      <c r="A25" s="402" t="str">
        <f t="shared" si="0"/>
        <v>(-) Ajuste por Desvalorización Inversiones Temporales M/L</v>
      </c>
      <c r="B25" s="403">
        <f t="shared" si="0"/>
        <v>-5195334</v>
      </c>
      <c r="C25" s="455" t="s">
        <v>747</v>
      </c>
      <c r="E25" s="408" t="s">
        <v>997</v>
      </c>
      <c r="F25" s="620">
        <v>-5195334</v>
      </c>
      <c r="G25" s="454"/>
      <c r="H25" s="411"/>
    </row>
    <row r="26" spans="1:9">
      <c r="A26" s="402" t="str">
        <f t="shared" si="0"/>
        <v>Intereses, Regalías Y Otros Rendimientos</v>
      </c>
      <c r="B26" s="403">
        <f t="shared" si="0"/>
        <v>4649400</v>
      </c>
      <c r="C26" s="402"/>
      <c r="E26" t="s">
        <v>750</v>
      </c>
      <c r="F26" s="411">
        <v>4649400</v>
      </c>
      <c r="G26" s="454"/>
      <c r="H26" s="411"/>
    </row>
    <row r="27" spans="1:9">
      <c r="A27" s="402" t="str">
        <f t="shared" si="0"/>
        <v>Intereses y Rendimientos a Cobrar por Instrumentos Financ.M/L</v>
      </c>
      <c r="B27" s="403">
        <f t="shared" si="0"/>
        <v>367061699</v>
      </c>
      <c r="C27" s="402"/>
      <c r="E27" s="408" t="s">
        <v>751</v>
      </c>
      <c r="F27" s="620">
        <v>367061699</v>
      </c>
      <c r="G27" s="454"/>
      <c r="H27" s="411"/>
    </row>
    <row r="28" spans="1:9">
      <c r="A28" s="402" t="str">
        <f t="shared" si="0"/>
        <v>(-) Intereses a Devengar por Instrumentos Financieros M/L</v>
      </c>
      <c r="B28" s="403">
        <f t="shared" si="0"/>
        <v>-362412299</v>
      </c>
      <c r="C28" s="402"/>
      <c r="E28" t="s">
        <v>998</v>
      </c>
      <c r="F28" s="411">
        <v>-362412299</v>
      </c>
      <c r="G28" s="454"/>
      <c r="H28" s="411"/>
    </row>
    <row r="29" spans="1:9">
      <c r="A29" s="402" t="str">
        <f t="shared" si="0"/>
        <v>Créditos</v>
      </c>
      <c r="B29" s="403">
        <f t="shared" si="0"/>
        <v>236738332</v>
      </c>
      <c r="C29" s="402"/>
      <c r="E29" s="408" t="s">
        <v>752</v>
      </c>
      <c r="F29" s="620">
        <v>236738332</v>
      </c>
      <c r="H29" s="411"/>
    </row>
    <row r="30" spans="1:9">
      <c r="A30" s="402" t="str">
        <f t="shared" si="0"/>
        <v>Deudores Por Intermediacion De Valores</v>
      </c>
      <c r="B30" s="403">
        <f t="shared" si="0"/>
        <v>16642719</v>
      </c>
      <c r="C30" s="402"/>
      <c r="E30" s="408" t="s">
        <v>753</v>
      </c>
      <c r="F30" s="620">
        <v>16642719</v>
      </c>
      <c r="H30" s="411"/>
    </row>
    <row r="31" spans="1:9">
      <c r="A31" s="402" t="str">
        <f t="shared" si="0"/>
        <v>Clientes Locales M/L</v>
      </c>
      <c r="B31" s="403">
        <f t="shared" si="0"/>
        <v>9707200</v>
      </c>
      <c r="C31" s="402"/>
      <c r="E31" t="s">
        <v>755</v>
      </c>
      <c r="F31" s="411">
        <v>9707200</v>
      </c>
    </row>
    <row r="32" spans="1:9">
      <c r="A32" s="402" t="str">
        <f t="shared" si="0"/>
        <v>Clientes Locales M/E</v>
      </c>
      <c r="B32" s="403">
        <f t="shared" si="0"/>
        <v>6935519</v>
      </c>
      <c r="C32" s="402"/>
      <c r="E32" s="408" t="s">
        <v>978</v>
      </c>
      <c r="F32" s="620">
        <v>6935519</v>
      </c>
    </row>
    <row r="33" spans="1:8">
      <c r="A33" s="402" t="str">
        <f t="shared" si="0"/>
        <v>Documentos Y Cuentas Cobrar</v>
      </c>
      <c r="B33" s="403">
        <f t="shared" si="0"/>
        <v>80175613</v>
      </c>
      <c r="C33" s="456" t="s">
        <v>754</v>
      </c>
      <c r="E33" s="408" t="s">
        <v>757</v>
      </c>
      <c r="F33" s="620">
        <v>80175613</v>
      </c>
    </row>
    <row r="34" spans="1:8">
      <c r="A34" s="402" t="str">
        <f t="shared" si="0"/>
        <v>Créditos Por Impuestos Corrientes</v>
      </c>
      <c r="B34" s="403">
        <f t="shared" si="0"/>
        <v>65175613</v>
      </c>
      <c r="C34" s="455" t="s">
        <v>756</v>
      </c>
      <c r="E34" s="621" t="s">
        <v>758</v>
      </c>
      <c r="F34" s="622">
        <v>65175613</v>
      </c>
    </row>
    <row r="35" spans="1:8">
      <c r="A35" s="402" t="str">
        <f t="shared" si="0"/>
        <v xml:space="preserve">IVA - Crédito a favor - DDJJ </v>
      </c>
      <c r="B35" s="403">
        <f t="shared" si="0"/>
        <v>65175613</v>
      </c>
      <c r="C35" s="402"/>
      <c r="E35" s="408" t="s">
        <v>759</v>
      </c>
      <c r="F35" s="620">
        <v>65175613</v>
      </c>
      <c r="H35" s="454"/>
    </row>
    <row r="36" spans="1:8">
      <c r="A36" s="402" t="str">
        <f t="shared" si="0"/>
        <v>Anticipo A Proveedores</v>
      </c>
      <c r="B36" s="403">
        <f t="shared" si="0"/>
        <v>15000000</v>
      </c>
      <c r="C36" s="402"/>
      <c r="E36" s="408" t="s">
        <v>979</v>
      </c>
      <c r="F36" s="620">
        <v>15000000</v>
      </c>
    </row>
    <row r="37" spans="1:8">
      <c r="A37" s="402" t="str">
        <f t="shared" si="0"/>
        <v>Anticipos A Proveedores Locales. M/L</v>
      </c>
      <c r="B37" s="403">
        <f t="shared" si="0"/>
        <v>15000000</v>
      </c>
      <c r="C37" s="402"/>
      <c r="E37" t="s">
        <v>980</v>
      </c>
      <c r="F37" s="411">
        <v>15000000</v>
      </c>
    </row>
    <row r="38" spans="1:8">
      <c r="A38" s="402" t="str">
        <f t="shared" si="0"/>
        <v>Cuentas A Cobrar Entidades Relacionadas</v>
      </c>
      <c r="B38" s="403">
        <f t="shared" si="0"/>
        <v>139920000</v>
      </c>
      <c r="C38" s="455" t="s">
        <v>761</v>
      </c>
      <c r="E38" s="408" t="s">
        <v>760</v>
      </c>
      <c r="F38" s="620">
        <v>139920000</v>
      </c>
    </row>
    <row r="39" spans="1:8">
      <c r="A39" s="402" t="str">
        <f t="shared" si="0"/>
        <v>Cuentas A Cobrar a Directores y Accionistas M/L</v>
      </c>
      <c r="B39" s="403">
        <f t="shared" si="0"/>
        <v>23000000</v>
      </c>
      <c r="C39" s="402"/>
      <c r="E39" s="408" t="s">
        <v>762</v>
      </c>
      <c r="F39" s="620">
        <v>23000000</v>
      </c>
    </row>
    <row r="40" spans="1:8">
      <c r="A40" s="402" t="str">
        <f t="shared" si="0"/>
        <v>Intereses a Cobrar a Directores y Accionistas M/L</v>
      </c>
      <c r="B40" s="403">
        <f t="shared" si="0"/>
        <v>5520000</v>
      </c>
      <c r="C40" s="402"/>
      <c r="E40" t="s">
        <v>763</v>
      </c>
      <c r="F40" s="411">
        <v>5520000</v>
      </c>
    </row>
    <row r="41" spans="1:8">
      <c r="A41" s="402" t="str">
        <f t="shared" si="0"/>
        <v>Cuentas a Cobrar a Empresas y Personas Relacionadas M/L</v>
      </c>
      <c r="B41" s="403">
        <f t="shared" si="0"/>
        <v>111400000</v>
      </c>
      <c r="C41" s="402"/>
      <c r="E41" s="408" t="s">
        <v>852</v>
      </c>
      <c r="F41" s="620">
        <v>111400000</v>
      </c>
    </row>
    <row r="42" spans="1:8">
      <c r="A42" s="402" t="str">
        <f t="shared" si="0"/>
        <v>Gastos Pagados Por Adelantado</v>
      </c>
      <c r="B42" s="403">
        <f t="shared" si="0"/>
        <v>998105547</v>
      </c>
      <c r="C42" s="402"/>
      <c r="E42" s="408" t="s">
        <v>764</v>
      </c>
      <c r="F42" s="620">
        <v>998105547</v>
      </c>
    </row>
    <row r="43" spans="1:8">
      <c r="A43" s="402" t="str">
        <f t="shared" si="0"/>
        <v>Intereses a Vencer M/L</v>
      </c>
      <c r="B43" s="403">
        <f t="shared" si="0"/>
        <v>998105547</v>
      </c>
      <c r="C43" s="402"/>
      <c r="E43" s="408" t="s">
        <v>533</v>
      </c>
      <c r="F43" s="620">
        <v>998105547</v>
      </c>
    </row>
    <row r="44" spans="1:8">
      <c r="A44" s="402" t="str">
        <f t="shared" si="0"/>
        <v>Activo No Corriente</v>
      </c>
      <c r="B44" s="403">
        <f t="shared" si="0"/>
        <v>1705613774</v>
      </c>
      <c r="C44" s="402"/>
      <c r="E44" s="408" t="s">
        <v>765</v>
      </c>
      <c r="F44" s="620">
        <v>1705613774</v>
      </c>
    </row>
    <row r="45" spans="1:8">
      <c r="A45" s="402" t="str">
        <f t="shared" si="0"/>
        <v>Inversiones A Largo Plazo</v>
      </c>
      <c r="B45" s="403">
        <f t="shared" si="0"/>
        <v>1654838241</v>
      </c>
      <c r="C45" s="455" t="s">
        <v>768</v>
      </c>
      <c r="E45" s="408" t="s">
        <v>766</v>
      </c>
      <c r="F45" s="620">
        <v>1654838241</v>
      </c>
    </row>
    <row r="46" spans="1:8">
      <c r="A46" s="402" t="str">
        <f t="shared" si="0"/>
        <v>Otras Inversiones Permanentes</v>
      </c>
      <c r="B46" s="403">
        <f t="shared" si="0"/>
        <v>1640000000</v>
      </c>
      <c r="C46" s="402"/>
      <c r="E46" t="s">
        <v>767</v>
      </c>
      <c r="F46" s="411">
        <v>1640000000</v>
      </c>
    </row>
    <row r="47" spans="1:8">
      <c r="A47" s="402" t="str">
        <f t="shared" si="0"/>
        <v>Acción en la BVPASA</v>
      </c>
      <c r="B47" s="403">
        <f t="shared" si="0"/>
        <v>1002000000</v>
      </c>
      <c r="C47" s="455" t="s">
        <v>771</v>
      </c>
      <c r="E47" s="408" t="s">
        <v>769</v>
      </c>
      <c r="F47" s="620">
        <v>1002000000</v>
      </c>
    </row>
    <row r="48" spans="1:8">
      <c r="A48" s="402" t="str">
        <f t="shared" si="0"/>
        <v>Instrumentos Financieros Cedidos en Garantía</v>
      </c>
      <c r="B48" s="403">
        <f t="shared" si="0"/>
        <v>638000000</v>
      </c>
      <c r="C48" s="402"/>
      <c r="E48" s="408" t="s">
        <v>999</v>
      </c>
      <c r="F48" s="620">
        <v>638000000</v>
      </c>
    </row>
    <row r="49" spans="1:6">
      <c r="A49" s="402" t="str">
        <f t="shared" si="0"/>
        <v>Intereses, Regalias y Otros Rendimientos Largo Plazo - Instrumentos Financieros</v>
      </c>
      <c r="B49" s="403">
        <f t="shared" si="0"/>
        <v>14400291</v>
      </c>
      <c r="C49" s="455" t="s">
        <v>774</v>
      </c>
      <c r="E49" s="408" t="s">
        <v>1000</v>
      </c>
      <c r="F49" s="620">
        <v>14400291</v>
      </c>
    </row>
    <row r="50" spans="1:6">
      <c r="A50" s="402" t="str">
        <f t="shared" si="0"/>
        <v>Intereses, Regalías Y Otros Rendimientos M/L - Instrumentos Financieros Largo Plazo</v>
      </c>
      <c r="B50" s="403">
        <f t="shared" si="0"/>
        <v>69118145</v>
      </c>
      <c r="C50" s="402"/>
      <c r="E50" s="408" t="s">
        <v>1001</v>
      </c>
      <c r="F50" s="620">
        <v>69118145</v>
      </c>
    </row>
    <row r="51" spans="1:6">
      <c r="A51" s="402" t="str">
        <f t="shared" si="0"/>
        <v>(-) Intereses a Devengar por Instrumentos Financieros M/L - Largo Plazo</v>
      </c>
      <c r="B51" s="403">
        <f t="shared" si="0"/>
        <v>-54717854</v>
      </c>
      <c r="C51" s="402"/>
      <c r="E51" s="408" t="s">
        <v>1002</v>
      </c>
      <c r="F51" s="620">
        <v>-54717854</v>
      </c>
    </row>
    <row r="52" spans="1:6">
      <c r="A52" s="402" t="str">
        <f t="shared" si="0"/>
        <v>Ajustes  por Valuación De Inversión Permanente</v>
      </c>
      <c r="B52" s="403">
        <f t="shared" si="0"/>
        <v>437950</v>
      </c>
      <c r="C52" s="402"/>
      <c r="E52" s="408" t="s">
        <v>1003</v>
      </c>
      <c r="F52" s="620">
        <v>437950</v>
      </c>
    </row>
    <row r="53" spans="1:6">
      <c r="A53" s="402" t="str">
        <f t="shared" si="0"/>
        <v>(+) Ajuste por Valor de Compra Inversiones Permanentes ML</v>
      </c>
      <c r="B53" s="403">
        <f t="shared" si="0"/>
        <v>437950</v>
      </c>
      <c r="C53" s="410" t="s">
        <v>779</v>
      </c>
      <c r="E53" s="408" t="s">
        <v>1004</v>
      </c>
      <c r="F53" s="620">
        <v>437950</v>
      </c>
    </row>
    <row r="54" spans="1:6">
      <c r="A54" s="402" t="str">
        <f t="shared" si="0"/>
        <v>Propiedad, Planta Y Equipo</v>
      </c>
      <c r="B54" s="403">
        <f t="shared" si="0"/>
        <v>12282612</v>
      </c>
      <c r="C54" s="402"/>
      <c r="E54" s="408" t="s">
        <v>770</v>
      </c>
      <c r="F54" s="620">
        <v>12282612</v>
      </c>
    </row>
    <row r="55" spans="1:6">
      <c r="A55" s="402" t="str">
        <f t="shared" si="0"/>
        <v>Equipos De Informaticas</v>
      </c>
      <c r="B55" s="403">
        <f t="shared" si="0"/>
        <v>13232431</v>
      </c>
      <c r="C55" s="402"/>
      <c r="E55" s="621" t="s">
        <v>772</v>
      </c>
      <c r="F55" s="622">
        <v>13232431</v>
      </c>
    </row>
    <row r="56" spans="1:6">
      <c r="A56" s="402" t="str">
        <f t="shared" si="0"/>
        <v>(-) Depreciación Acumulada</v>
      </c>
      <c r="B56" s="403">
        <f t="shared" si="0"/>
        <v>-949819</v>
      </c>
      <c r="C56" s="402"/>
      <c r="E56" s="408" t="s">
        <v>1005</v>
      </c>
      <c r="F56" s="620">
        <v>-949819</v>
      </c>
    </row>
    <row r="57" spans="1:6">
      <c r="A57" s="402" t="str">
        <f t="shared" si="0"/>
        <v>Cargos Diferidos</v>
      </c>
      <c r="B57" s="403">
        <f t="shared" si="0"/>
        <v>38492921</v>
      </c>
      <c r="C57" s="402"/>
      <c r="E57" s="627" t="s">
        <v>773</v>
      </c>
      <c r="F57" s="628">
        <v>38492921</v>
      </c>
    </row>
    <row r="58" spans="1:6">
      <c r="A58" s="402" t="str">
        <f t="shared" si="0"/>
        <v>Gastos De Constitución</v>
      </c>
      <c r="B58" s="403">
        <f t="shared" si="0"/>
        <v>76985842</v>
      </c>
      <c r="C58" s="402"/>
      <c r="E58" t="s">
        <v>775</v>
      </c>
      <c r="F58" s="411">
        <v>76985842</v>
      </c>
    </row>
    <row r="59" spans="1:6">
      <c r="A59" s="402" t="str">
        <f t="shared" si="0"/>
        <v>(-) Amortización Acumulada</v>
      </c>
      <c r="B59" s="403">
        <f t="shared" si="0"/>
        <v>-38492921</v>
      </c>
      <c r="C59" s="402"/>
      <c r="E59" s="408" t="s">
        <v>1006</v>
      </c>
      <c r="F59" s="620">
        <v>-38492921</v>
      </c>
    </row>
    <row r="60" spans="1:6">
      <c r="A60" s="402" t="str">
        <f t="shared" si="0"/>
        <v>Pasivo</v>
      </c>
      <c r="B60" s="403">
        <f t="shared" si="0"/>
        <v>8009266341</v>
      </c>
      <c r="C60" s="402"/>
      <c r="E60" s="408" t="s">
        <v>776</v>
      </c>
      <c r="F60" s="620">
        <v>8009266341</v>
      </c>
    </row>
    <row r="61" spans="1:6">
      <c r="A61" s="402" t="str">
        <f t="shared" si="0"/>
        <v>Pasivo Corriente</v>
      </c>
      <c r="B61" s="403">
        <f t="shared" si="0"/>
        <v>8009266341</v>
      </c>
      <c r="C61" s="402"/>
      <c r="E61" s="408" t="s">
        <v>777</v>
      </c>
      <c r="F61" s="620">
        <v>8009266341</v>
      </c>
    </row>
    <row r="62" spans="1:6">
      <c r="A62" s="402" t="str">
        <f t="shared" si="0"/>
        <v>Acreedores Por Operaciones</v>
      </c>
      <c r="B62" s="403">
        <f t="shared" si="0"/>
        <v>317004338</v>
      </c>
      <c r="C62" s="410" t="s">
        <v>747</v>
      </c>
      <c r="E62" s="408" t="s">
        <v>778</v>
      </c>
      <c r="F62" s="620">
        <v>317004338</v>
      </c>
    </row>
    <row r="63" spans="1:6">
      <c r="A63" s="402" t="str">
        <f t="shared" si="0"/>
        <v>Acreedores Por Operaciones M/L</v>
      </c>
      <c r="B63" s="403">
        <f t="shared" si="0"/>
        <v>37974593</v>
      </c>
      <c r="C63" s="176"/>
      <c r="E63" t="s">
        <v>780</v>
      </c>
      <c r="F63" s="411">
        <v>37974593</v>
      </c>
    </row>
    <row r="64" spans="1:6">
      <c r="A64" s="402" t="str">
        <f t="shared" si="0"/>
        <v>Acreedores Por Intermediacion De Valores M/L</v>
      </c>
      <c r="B64" s="403">
        <f t="shared" si="0"/>
        <v>37974593</v>
      </c>
      <c r="C64" s="402"/>
      <c r="E64" s="408" t="s">
        <v>781</v>
      </c>
      <c r="F64" s="620">
        <v>37974593</v>
      </c>
    </row>
    <row r="65" spans="1:6">
      <c r="A65" s="402" t="str">
        <f t="shared" si="0"/>
        <v>Acreedores Por Operaciones M/E</v>
      </c>
      <c r="B65" s="403">
        <f t="shared" si="0"/>
        <v>279029746</v>
      </c>
      <c r="C65" s="402"/>
      <c r="E65" s="627" t="s">
        <v>782</v>
      </c>
      <c r="F65" s="628">
        <v>279029746</v>
      </c>
    </row>
    <row r="66" spans="1:6">
      <c r="A66" s="402" t="str">
        <f t="shared" si="0"/>
        <v>Acreedores Por Intermediacion De Valores M/E</v>
      </c>
      <c r="B66" s="403">
        <f t="shared" si="0"/>
        <v>279029746</v>
      </c>
      <c r="C66" s="402"/>
      <c r="E66" t="s">
        <v>783</v>
      </c>
      <c r="F66" s="411">
        <v>279029746</v>
      </c>
    </row>
    <row r="67" spans="1:6">
      <c r="A67" s="402" t="str">
        <f t="shared" si="0"/>
        <v>Deudas Financieras</v>
      </c>
      <c r="B67" s="403">
        <f t="shared" si="0"/>
        <v>7170492534</v>
      </c>
      <c r="C67" s="456" t="s">
        <v>791</v>
      </c>
      <c r="E67" s="408" t="s">
        <v>784</v>
      </c>
      <c r="F67" s="620">
        <v>7170492534</v>
      </c>
    </row>
    <row r="68" spans="1:6">
      <c r="A68" s="402" t="str">
        <f t="shared" ref="A68:B82" si="2">+E68</f>
        <v>Intereses A Pagar</v>
      </c>
      <c r="B68" s="403">
        <f t="shared" si="2"/>
        <v>416085000</v>
      </c>
      <c r="C68" s="402"/>
      <c r="E68" s="408" t="s">
        <v>785</v>
      </c>
      <c r="F68" s="620">
        <v>416085000</v>
      </c>
    </row>
    <row r="69" spans="1:6">
      <c r="A69" s="402" t="str">
        <f t="shared" si="2"/>
        <v>Intereses sobre REPOS a Pagar - M/L</v>
      </c>
      <c r="B69" s="403">
        <f t="shared" si="2"/>
        <v>416085000</v>
      </c>
      <c r="C69" s="402"/>
      <c r="E69" t="s">
        <v>786</v>
      </c>
      <c r="F69" s="411">
        <v>416085000</v>
      </c>
    </row>
    <row r="70" spans="1:6">
      <c r="A70" s="402" t="str">
        <f t="shared" si="2"/>
        <v>Otros Prestamos A Pagar - Repos</v>
      </c>
      <c r="B70" s="403">
        <f t="shared" si="2"/>
        <v>6754407535</v>
      </c>
      <c r="C70" s="402"/>
      <c r="E70" s="408" t="s">
        <v>787</v>
      </c>
      <c r="F70" s="620">
        <v>6754407535</v>
      </c>
    </row>
    <row r="71" spans="1:6" s="412" customFormat="1">
      <c r="A71" s="402" t="str">
        <f t="shared" si="2"/>
        <v>Operaciones de Repo - Prestamos Repos M/L</v>
      </c>
      <c r="B71" s="403">
        <f t="shared" si="2"/>
        <v>6754407535</v>
      </c>
      <c r="E71" s="408" t="s">
        <v>788</v>
      </c>
      <c r="F71" s="620">
        <v>6754407535</v>
      </c>
    </row>
    <row r="72" spans="1:6" s="412" customFormat="1">
      <c r="A72" s="402" t="str">
        <f t="shared" si="2"/>
        <v>Otras Cuentas Por Pagar</v>
      </c>
      <c r="B72" s="403">
        <f t="shared" si="2"/>
        <v>59164690</v>
      </c>
      <c r="C72" s="414"/>
      <c r="E72" t="s">
        <v>789</v>
      </c>
      <c r="F72" s="411">
        <v>59164690</v>
      </c>
    </row>
    <row r="73" spans="1:6" s="412" customFormat="1">
      <c r="A73" s="402" t="str">
        <f t="shared" si="2"/>
        <v>Cuentas a Pagar Administración</v>
      </c>
      <c r="B73" s="403">
        <f t="shared" si="2"/>
        <v>59164690</v>
      </c>
      <c r="C73" s="414"/>
      <c r="E73" s="408" t="s">
        <v>790</v>
      </c>
      <c r="F73" s="620">
        <v>59164690</v>
      </c>
    </row>
    <row r="74" spans="1:6" s="412" customFormat="1">
      <c r="A74" s="402" t="str">
        <f t="shared" si="2"/>
        <v>Proveedores Locales M/L</v>
      </c>
      <c r="B74" s="403">
        <f t="shared" si="2"/>
        <v>53689333</v>
      </c>
      <c r="C74" s="414"/>
      <c r="E74" s="408" t="s">
        <v>792</v>
      </c>
      <c r="F74" s="620">
        <v>53689333</v>
      </c>
    </row>
    <row r="75" spans="1:6" s="412" customFormat="1">
      <c r="A75" s="402" t="str">
        <f t="shared" si="2"/>
        <v>Proveedores Locales M/E</v>
      </c>
      <c r="B75" s="403">
        <f t="shared" si="2"/>
        <v>5475357</v>
      </c>
      <c r="C75" s="455" t="s">
        <v>799</v>
      </c>
      <c r="E75" s="408" t="s">
        <v>793</v>
      </c>
      <c r="F75" s="620">
        <v>5475357</v>
      </c>
    </row>
    <row r="76" spans="1:6" s="412" customFormat="1">
      <c r="A76" s="402" t="str">
        <f t="shared" si="2"/>
        <v>Provisiones</v>
      </c>
      <c r="B76" s="403">
        <f t="shared" si="2"/>
        <v>7722862</v>
      </c>
      <c r="C76" s="414"/>
      <c r="E76" t="s">
        <v>794</v>
      </c>
      <c r="F76" s="411">
        <v>7722862</v>
      </c>
    </row>
    <row r="77" spans="1:6" s="412" customFormat="1">
      <c r="A77" s="402" t="str">
        <f t="shared" si="2"/>
        <v>Ips A Pagar</v>
      </c>
      <c r="B77" s="403">
        <f t="shared" si="2"/>
        <v>6400658</v>
      </c>
      <c r="C77" s="414"/>
      <c r="E77" t="s">
        <v>795</v>
      </c>
      <c r="F77" s="411">
        <v>6400658</v>
      </c>
    </row>
    <row r="78" spans="1:6" s="412" customFormat="1">
      <c r="A78" s="402" t="str">
        <f t="shared" si="2"/>
        <v>Tarjeta de Crédito a Pagar</v>
      </c>
      <c r="B78" s="403">
        <f t="shared" si="2"/>
        <v>1322204</v>
      </c>
      <c r="C78" s="414"/>
      <c r="E78" s="408" t="s">
        <v>1007</v>
      </c>
      <c r="F78" s="620">
        <v>1322204</v>
      </c>
    </row>
    <row r="79" spans="1:6" s="412" customFormat="1">
      <c r="A79" s="402" t="str">
        <f t="shared" si="2"/>
        <v>Tarjeta de Crédito a Pagar - Familiar</v>
      </c>
      <c r="B79" s="403">
        <f t="shared" si="2"/>
        <v>1322204</v>
      </c>
      <c r="C79" s="414"/>
      <c r="E79" s="408" t="s">
        <v>1008</v>
      </c>
      <c r="F79" s="620">
        <v>1322204</v>
      </c>
    </row>
    <row r="80" spans="1:6" s="412" customFormat="1">
      <c r="A80" s="402" t="str">
        <f t="shared" si="2"/>
        <v>Ingresos Diferidos</v>
      </c>
      <c r="B80" s="403">
        <f t="shared" si="2"/>
        <v>454881917</v>
      </c>
      <c r="C80" s="414"/>
      <c r="E80" t="s">
        <v>796</v>
      </c>
      <c r="F80" s="404">
        <v>454881917</v>
      </c>
    </row>
    <row r="81" spans="1:6" s="412" customFormat="1">
      <c r="A81" s="402" t="str">
        <f t="shared" si="2"/>
        <v>Intereses Diferidos M/L -Cupones en Repos</v>
      </c>
      <c r="B81" s="403">
        <f t="shared" si="2"/>
        <v>449997095</v>
      </c>
      <c r="C81" s="414"/>
      <c r="E81" s="408" t="s">
        <v>853</v>
      </c>
      <c r="F81" s="620">
        <v>449997095</v>
      </c>
    </row>
    <row r="82" spans="1:6" s="413" customFormat="1">
      <c r="A82" s="402" t="str">
        <f t="shared" si="2"/>
        <v>Ingresos Diferidos Administración - M/L</v>
      </c>
      <c r="B82" s="403">
        <f t="shared" si="2"/>
        <v>4884822</v>
      </c>
      <c r="C82" s="410"/>
      <c r="E82" t="s">
        <v>854</v>
      </c>
      <c r="F82" s="404">
        <v>4884822</v>
      </c>
    </row>
    <row r="83" spans="1:6">
      <c r="A83" s="402" t="str">
        <f t="shared" ref="A83:A94" si="3">+E83</f>
        <v>Patrimonio Neto</v>
      </c>
      <c r="B83" s="403">
        <f t="shared" ref="B83:B94" si="4">+F83</f>
        <v>3728322648.3000002</v>
      </c>
      <c r="C83" s="402"/>
      <c r="E83" s="402" t="s">
        <v>797</v>
      </c>
      <c r="F83" s="403">
        <v>3728322648.3000002</v>
      </c>
    </row>
    <row r="84" spans="1:6">
      <c r="A84" s="402" t="str">
        <f t="shared" si="3"/>
        <v>Capital</v>
      </c>
      <c r="B84" s="403">
        <f t="shared" si="4"/>
        <v>3805000000</v>
      </c>
      <c r="C84" s="402"/>
      <c r="E84" s="402" t="s">
        <v>798</v>
      </c>
      <c r="F84" s="403">
        <v>3805000000</v>
      </c>
    </row>
    <row r="85" spans="1:6">
      <c r="A85" s="402" t="str">
        <f t="shared" si="3"/>
        <v>Capital Integrado</v>
      </c>
      <c r="B85" s="403">
        <f t="shared" si="4"/>
        <v>3805000000</v>
      </c>
      <c r="C85" s="402"/>
      <c r="E85" s="402" t="s">
        <v>452</v>
      </c>
      <c r="F85" s="403">
        <v>3805000000</v>
      </c>
    </row>
    <row r="86" spans="1:6">
      <c r="A86" s="402" t="str">
        <f t="shared" si="3"/>
        <v>Capital Suscripto</v>
      </c>
      <c r="B86" s="403">
        <f t="shared" si="4"/>
        <v>5000000000</v>
      </c>
      <c r="C86" s="402"/>
      <c r="E86" s="402" t="s">
        <v>800</v>
      </c>
      <c r="F86" s="403">
        <v>5000000000</v>
      </c>
    </row>
    <row r="87" spans="1:6">
      <c r="A87" s="402" t="str">
        <f t="shared" si="3"/>
        <v>(-) Capital a Integrar</v>
      </c>
      <c r="B87" s="403">
        <f t="shared" si="4"/>
        <v>-1195000000</v>
      </c>
      <c r="C87" s="402"/>
      <c r="E87" t="s">
        <v>801</v>
      </c>
      <c r="F87" s="404">
        <v>-1195000000</v>
      </c>
    </row>
    <row r="88" spans="1:6">
      <c r="A88" s="402" t="str">
        <f t="shared" si="3"/>
        <v>Reservas</v>
      </c>
      <c r="B88" s="403">
        <f t="shared" si="4"/>
        <v>102000000</v>
      </c>
      <c r="C88" s="402"/>
      <c r="E88" t="s">
        <v>133</v>
      </c>
      <c r="F88" s="404">
        <v>102000000</v>
      </c>
    </row>
    <row r="89" spans="1:6">
      <c r="A89" s="402" t="str">
        <f t="shared" si="3"/>
        <v>Otras Reservas</v>
      </c>
      <c r="B89" s="403">
        <f t="shared" si="4"/>
        <v>102000000</v>
      </c>
      <c r="C89" s="402"/>
      <c r="E89" t="s">
        <v>1009</v>
      </c>
      <c r="F89" s="404">
        <v>102000000</v>
      </c>
    </row>
    <row r="90" spans="1:6">
      <c r="A90" s="402" t="str">
        <f t="shared" si="3"/>
        <v>Valuación de Acción en BVPASA</v>
      </c>
      <c r="B90" s="403">
        <f t="shared" si="4"/>
        <v>102000000</v>
      </c>
      <c r="C90" s="402"/>
      <c r="E90" t="s">
        <v>1010</v>
      </c>
      <c r="F90" s="404">
        <v>102000000</v>
      </c>
    </row>
    <row r="91" spans="1:6">
      <c r="A91" s="402" t="str">
        <f t="shared" si="3"/>
        <v>Resultados</v>
      </c>
      <c r="B91" s="403">
        <f t="shared" si="4"/>
        <v>-178677351.69999999</v>
      </c>
      <c r="C91" s="402"/>
      <c r="E91" t="s">
        <v>802</v>
      </c>
      <c r="F91" s="404">
        <v>-178677351.69999999</v>
      </c>
    </row>
    <row r="92" spans="1:6">
      <c r="A92" s="402" t="str">
        <f t="shared" si="3"/>
        <v>Resultados Acumulados</v>
      </c>
      <c r="B92" s="403">
        <f t="shared" si="4"/>
        <v>-9529901</v>
      </c>
      <c r="C92" s="402"/>
      <c r="E92" t="s">
        <v>144</v>
      </c>
      <c r="F92" s="404">
        <v>-9529901</v>
      </c>
    </row>
    <row r="93" spans="1:6">
      <c r="A93" s="402" t="str">
        <f t="shared" si="3"/>
        <v>Resultados Acumulados 2021</v>
      </c>
      <c r="B93" s="403">
        <f t="shared" si="4"/>
        <v>-9529901</v>
      </c>
      <c r="C93" s="402"/>
      <c r="E93" t="s">
        <v>803</v>
      </c>
      <c r="F93" s="404">
        <v>-9529901</v>
      </c>
    </row>
    <row r="94" spans="1:6">
      <c r="A94" s="402" t="str">
        <f t="shared" si="3"/>
        <v>Resultado Del Ejercicio</v>
      </c>
      <c r="B94" s="403">
        <f t="shared" si="4"/>
        <v>-169147450.69999999</v>
      </c>
      <c r="C94" s="402"/>
      <c r="E94" t="s">
        <v>804</v>
      </c>
      <c r="F94" s="404">
        <v>-169147450.69999999</v>
      </c>
    </row>
    <row r="97" spans="1:2">
      <c r="A97" s="407" t="s">
        <v>805</v>
      </c>
      <c r="B97" s="415" t="s">
        <v>806</v>
      </c>
    </row>
    <row r="98" spans="1:2">
      <c r="A98" s="402" t="s">
        <v>58</v>
      </c>
      <c r="B98" s="403">
        <f>+B3</f>
        <v>11737588990</v>
      </c>
    </row>
    <row r="99" spans="1:2">
      <c r="A99" s="402" t="s">
        <v>59</v>
      </c>
      <c r="B99" s="403">
        <f>B60</f>
        <v>8009266341</v>
      </c>
    </row>
    <row r="100" spans="1:2">
      <c r="A100" s="402" t="s">
        <v>266</v>
      </c>
      <c r="B100" s="403">
        <f>B83</f>
        <v>3728322648.3000002</v>
      </c>
    </row>
    <row r="101" spans="1:2">
      <c r="B101" s="403">
        <f>+B98-B99-B100</f>
        <v>0.69999980926513672</v>
      </c>
    </row>
    <row r="102" spans="1:2">
      <c r="A102" s="402" t="s">
        <v>807</v>
      </c>
      <c r="B102" s="403">
        <f>B94</f>
        <v>-169147450.69999999</v>
      </c>
    </row>
  </sheetData>
  <mergeCells count="1">
    <mergeCell ref="G16:I16"/>
  </mergeCells>
  <hyperlinks>
    <hyperlink ref="C8" location="'Bancos Operaciones'!A1" display="'Bancos Operaciones'!A1" xr:uid="{861A3C27-9623-4443-95DB-F8966789FBFA}"/>
    <hyperlink ref="C11" location="'Bancos Administración'!A1" display="'Bancos Administración'!A1" xr:uid="{3862CEC3-7671-48E6-9AD5-DA2992EDEC2E}"/>
    <hyperlink ref="C25" location="'Repos al 31 12 21'!A1" display="'Repos al 31 12 21'!A1" xr:uid="{0365BB2E-F3A0-448C-B03E-53EE77ABFA17}"/>
    <hyperlink ref="C33" location="Clientes!A1" display="Clientes!A1" xr:uid="{BA326645-11F0-4FA7-A8E4-71F3A714C6D5}"/>
    <hyperlink ref="C34" location="'IVA Crédito'!A1" display="'IVA Crédito'!A1" xr:uid="{C89A153D-B5AB-43DE-92B1-10E9B50BE64C}"/>
    <hyperlink ref="C38" location="'Prestamo a Accionista '!A1" display="'Prestamo a Accionista '!A1" xr:uid="{369E12F2-5AE7-473C-94F7-97B99AF3997A}"/>
    <hyperlink ref="C49" location="'Amortizac Gastos Constituc'!A1" display="'Amortizac Gastos Constituc'!A1" xr:uid="{1F9AEB88-1CF9-4D85-8383-544D9FE42E45}"/>
    <hyperlink ref="C67" location="Proveedores!A1" display="Proveedores!A1" xr:uid="{F477187A-BF9B-4CA2-A602-BC53F1CFFF03}"/>
    <hyperlink ref="C75" location="'Conformaciión Capital'!A1" display="'Conformaciión Capital'!A1" xr:uid="{28F00D24-0168-46BE-A523-DB1E3780B165}"/>
    <hyperlink ref="C45" location="'ACCION BVPASA'!A1" display="'ACCION BVPASA'!A1" xr:uid="{0AD706C3-279D-4CCC-B195-BF4171A1AB11}"/>
    <hyperlink ref="C47" location="'Equipo de Informatica'!A1" display="'Equipo de Informatica'!A1" xr:uid="{0D00B209-BDF8-4077-96B7-E2C8F965888C}"/>
    <hyperlink ref="C19" location="Inventario!A1" display="Inventario Valuado 31 12 2021'!A1" xr:uid="{D6D31892-2FE5-4803-A2F8-85667E930573}"/>
    <hyperlink ref="C53" location="'Acreedores por Intermed ML - ME'!A1" display="Acreedores por Intermed 31 12 '!A1" xr:uid="{E6826967-88DD-4D0F-A35D-86459CA1BB03}"/>
    <hyperlink ref="C62" location="'Prestamos e Intereses generados'!A1" display="Repos al 31 12 21'!A1" xr:uid="{09472A20-F11A-4FA7-8727-F107DB67F7A9}"/>
  </hyperlinks>
  <pageMargins left="0.7" right="0.7" top="0.75" bottom="0.75" header="0.3" footer="0.3"/>
  <pageSetup paperSize="9" scale="95" fitToHeight="0" orientation="portrait" horizontalDpi="0" verticalDpi="0" r:id="rId1"/>
  <drawing r:id="rId2"/>
  <tableParts count="3"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C1:F55"/>
  <sheetViews>
    <sheetView showGridLines="0" topLeftCell="A34" zoomScale="98" zoomScaleNormal="98" workbookViewId="0">
      <selection activeCell="K27" sqref="K27"/>
    </sheetView>
  </sheetViews>
  <sheetFormatPr baseColWidth="10" defaultColWidth="9.109375" defaultRowHeight="12"/>
  <cols>
    <col min="1" max="3" width="2.44140625" style="27" customWidth="1"/>
    <col min="4" max="4" width="74.44140625" style="27" customWidth="1"/>
    <col min="5" max="257" width="11.44140625" style="27" customWidth="1"/>
    <col min="258" max="16384" width="9.109375" style="27"/>
  </cols>
  <sheetData>
    <row r="1" spans="3:6" ht="55.35" customHeight="1"/>
    <row r="3" spans="3:6">
      <c r="D3" s="172" t="s">
        <v>679</v>
      </c>
    </row>
    <row r="4" spans="3:6">
      <c r="C4" s="172"/>
      <c r="D4" s="28"/>
    </row>
    <row r="5" spans="3:6">
      <c r="C5" s="28"/>
      <c r="D5" s="172" t="s">
        <v>282</v>
      </c>
      <c r="E5" s="28"/>
      <c r="F5" s="28"/>
    </row>
    <row r="6" spans="3:6">
      <c r="C6" s="28"/>
      <c r="D6" s="28"/>
    </row>
    <row r="7" spans="3:6" ht="36">
      <c r="C7" s="28"/>
      <c r="D7" s="237" t="s">
        <v>1099</v>
      </c>
    </row>
    <row r="8" spans="3:6">
      <c r="C8" s="30"/>
      <c r="D8" s="30"/>
    </row>
    <row r="9" spans="3:6">
      <c r="C9" s="30"/>
      <c r="D9" s="28" t="s">
        <v>283</v>
      </c>
      <c r="E9" s="28"/>
      <c r="F9" s="28"/>
    </row>
    <row r="10" spans="3:6">
      <c r="C10" s="28"/>
      <c r="D10" s="30"/>
    </row>
    <row r="11" spans="3:6">
      <c r="C11" s="30"/>
      <c r="D11" s="29" t="s">
        <v>519</v>
      </c>
    </row>
    <row r="12" spans="3:6">
      <c r="C12" s="29"/>
      <c r="D12" s="29"/>
    </row>
    <row r="13" spans="3:6" ht="60">
      <c r="C13" s="29"/>
      <c r="D13" s="29" t="s">
        <v>695</v>
      </c>
    </row>
    <row r="14" spans="3:6">
      <c r="C14" s="29"/>
      <c r="D14" s="30"/>
    </row>
    <row r="15" spans="3:6" ht="36">
      <c r="C15" s="30"/>
      <c r="D15" s="585" t="s">
        <v>953</v>
      </c>
    </row>
    <row r="16" spans="3:6">
      <c r="C16" s="30"/>
      <c r="D16" s="30"/>
    </row>
    <row r="17" spans="3:6">
      <c r="C17" s="30"/>
      <c r="D17" s="30" t="s">
        <v>284</v>
      </c>
      <c r="F17" s="30"/>
    </row>
    <row r="18" spans="3:6" ht="24">
      <c r="D18" s="30" t="s">
        <v>285</v>
      </c>
    </row>
    <row r="19" spans="3:6" ht="24">
      <c r="C19" s="30"/>
      <c r="D19" s="30" t="s">
        <v>286</v>
      </c>
    </row>
    <row r="20" spans="3:6">
      <c r="C20" s="30"/>
      <c r="D20" s="30" t="s">
        <v>287</v>
      </c>
    </row>
    <row r="21" spans="3:6">
      <c r="C21" s="30"/>
      <c r="D21" s="30" t="s">
        <v>288</v>
      </c>
    </row>
    <row r="22" spans="3:6">
      <c r="C22" s="30"/>
      <c r="D22" s="30" t="s">
        <v>289</v>
      </c>
    </row>
    <row r="23" spans="3:6">
      <c r="C23" s="30"/>
      <c r="D23" s="30" t="s">
        <v>290</v>
      </c>
    </row>
    <row r="24" spans="3:6" ht="24">
      <c r="C24" s="30"/>
      <c r="D24" s="30" t="s">
        <v>291</v>
      </c>
    </row>
    <row r="25" spans="3:6" ht="24">
      <c r="C25" s="30"/>
      <c r="D25" s="30" t="s">
        <v>292</v>
      </c>
    </row>
    <row r="26" spans="3:6" ht="24">
      <c r="C26" s="30"/>
      <c r="D26" s="30" t="s">
        <v>293</v>
      </c>
    </row>
    <row r="27" spans="3:6" ht="36">
      <c r="C27" s="30"/>
      <c r="D27" s="30" t="s">
        <v>294</v>
      </c>
    </row>
    <row r="28" spans="3:6">
      <c r="C28" s="30"/>
      <c r="D28" s="29"/>
    </row>
    <row r="29" spans="3:6">
      <c r="C29" s="29"/>
      <c r="D29" s="29" t="s">
        <v>520</v>
      </c>
    </row>
    <row r="30" spans="3:6">
      <c r="C30" s="29"/>
      <c r="D30" s="238"/>
    </row>
    <row r="31" spans="3:6" ht="24">
      <c r="C31" s="238"/>
      <c r="D31" s="30" t="s">
        <v>1042</v>
      </c>
    </row>
    <row r="32" spans="3:6">
      <c r="C32" s="30"/>
      <c r="D32" s="30"/>
    </row>
    <row r="33" spans="3:6">
      <c r="C33" s="30"/>
      <c r="D33" s="28" t="s">
        <v>295</v>
      </c>
      <c r="E33" s="28"/>
      <c r="F33" s="28"/>
    </row>
    <row r="34" spans="3:6">
      <c r="C34" s="28"/>
      <c r="D34" s="30"/>
    </row>
    <row r="35" spans="3:6">
      <c r="C35" s="30"/>
      <c r="D35" s="29" t="s">
        <v>296</v>
      </c>
    </row>
    <row r="36" spans="3:6" ht="24">
      <c r="C36" s="29"/>
      <c r="D36" s="30" t="s">
        <v>992</v>
      </c>
    </row>
    <row r="37" spans="3:6">
      <c r="C37" s="30"/>
      <c r="D37" s="30"/>
    </row>
    <row r="38" spans="3:6">
      <c r="C38" s="30"/>
      <c r="D38" s="29" t="s">
        <v>297</v>
      </c>
    </row>
    <row r="39" spans="3:6" ht="60">
      <c r="C39" s="29"/>
      <c r="D39" s="30" t="s">
        <v>993</v>
      </c>
    </row>
    <row r="40" spans="3:6">
      <c r="C40" s="30"/>
      <c r="D40" s="30"/>
    </row>
    <row r="41" spans="3:6">
      <c r="C41" s="30"/>
      <c r="D41" s="29" t="s">
        <v>298</v>
      </c>
    </row>
    <row r="42" spans="3:6">
      <c r="C42" s="29"/>
      <c r="D42" s="30" t="s">
        <v>299</v>
      </c>
    </row>
    <row r="43" spans="3:6">
      <c r="C43" s="30"/>
      <c r="D43" s="29"/>
    </row>
    <row r="44" spans="3:6">
      <c r="C44" s="29"/>
      <c r="D44" s="29" t="s">
        <v>521</v>
      </c>
    </row>
    <row r="45" spans="3:6">
      <c r="C45" s="30"/>
      <c r="D45" s="30" t="s">
        <v>300</v>
      </c>
    </row>
    <row r="46" spans="3:6">
      <c r="C46" s="30"/>
      <c r="D46" s="30"/>
    </row>
    <row r="47" spans="3:6">
      <c r="C47" s="30"/>
      <c r="D47" s="29" t="s">
        <v>301</v>
      </c>
    </row>
    <row r="48" spans="3:6" ht="36">
      <c r="C48" s="29"/>
      <c r="D48" s="30" t="s">
        <v>302</v>
      </c>
    </row>
    <row r="49" spans="3:6">
      <c r="C49" s="30"/>
      <c r="D49" s="30"/>
    </row>
    <row r="50" spans="3:6">
      <c r="C50" s="30"/>
      <c r="D50" s="29" t="s">
        <v>303</v>
      </c>
    </row>
    <row r="51" spans="3:6" ht="24">
      <c r="C51" s="29"/>
      <c r="D51" s="30" t="s">
        <v>304</v>
      </c>
    </row>
    <row r="52" spans="3:6">
      <c r="C52" s="30"/>
      <c r="D52" s="28"/>
    </row>
    <row r="53" spans="3:6">
      <c r="C53" s="28"/>
      <c r="D53" s="28" t="s">
        <v>305</v>
      </c>
      <c r="E53" s="28"/>
      <c r="F53" s="28"/>
    </row>
    <row r="54" spans="3:6">
      <c r="C54" s="28"/>
      <c r="D54" s="84" t="s">
        <v>306</v>
      </c>
    </row>
    <row r="55" spans="3:6">
      <c r="C55" s="8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rgb="FF002060"/>
  </sheetPr>
  <dimension ref="C1:L99"/>
  <sheetViews>
    <sheetView showGridLines="0" topLeftCell="A71" zoomScale="98" zoomScaleNormal="98" workbookViewId="0">
      <selection activeCell="K27" sqref="K27"/>
    </sheetView>
  </sheetViews>
  <sheetFormatPr baseColWidth="10" defaultColWidth="11.44140625" defaultRowHeight="12"/>
  <cols>
    <col min="1" max="1" width="3" style="27" customWidth="1"/>
    <col min="2" max="2" width="5.44140625" style="27" customWidth="1"/>
    <col min="3" max="3" width="47.44140625" style="27" bestFit="1" customWidth="1"/>
    <col min="4" max="4" width="11.88671875" style="27" bestFit="1" customWidth="1"/>
    <col min="5" max="5" width="15.44140625" style="27" bestFit="1" customWidth="1"/>
    <col min="6" max="6" width="9.88671875" style="27" bestFit="1" customWidth="1"/>
    <col min="7" max="7" width="13.44140625" style="27" customWidth="1"/>
    <col min="8" max="8" width="13.109375" style="27" bestFit="1" customWidth="1"/>
    <col min="9" max="9" width="12.44140625" style="27" customWidth="1"/>
    <col min="10" max="10" width="13.88671875" style="27" bestFit="1" customWidth="1"/>
    <col min="11" max="11" width="13.88671875" style="27" customWidth="1"/>
    <col min="12" max="12" width="14.109375" style="27" bestFit="1" customWidth="1"/>
    <col min="13" max="16384" width="11.44140625" style="27"/>
  </cols>
  <sheetData>
    <row r="1" spans="3:11">
      <c r="C1" s="26"/>
    </row>
    <row r="3" spans="3:11">
      <c r="C3" s="28" t="s">
        <v>307</v>
      </c>
      <c r="D3" s="28"/>
    </row>
    <row r="4" spans="3:11">
      <c r="C4" s="28"/>
      <c r="D4" s="28"/>
    </row>
    <row r="5" spans="3:11" ht="18.75" customHeight="1">
      <c r="C5" s="29" t="s">
        <v>509</v>
      </c>
    </row>
    <row r="6" spans="3:11">
      <c r="C6" s="30"/>
    </row>
    <row r="7" spans="3:11">
      <c r="C7" s="31" t="s">
        <v>308</v>
      </c>
      <c r="D7" s="32" t="str">
        <f>+INDICE!I3</f>
        <v>Al 30/06/2023</v>
      </c>
      <c r="E7" s="32">
        <v>44926</v>
      </c>
    </row>
    <row r="8" spans="3:11">
      <c r="C8" s="33" t="s">
        <v>309</v>
      </c>
      <c r="D8" s="34">
        <v>7258.03</v>
      </c>
      <c r="E8" s="34">
        <v>7322.9</v>
      </c>
    </row>
    <row r="9" spans="3:11">
      <c r="C9" s="35" t="s">
        <v>310</v>
      </c>
      <c r="D9" s="34">
        <v>7262.6</v>
      </c>
      <c r="E9" s="34">
        <v>7339.62</v>
      </c>
    </row>
    <row r="11" spans="3:11">
      <c r="C11" s="29" t="s">
        <v>510</v>
      </c>
    </row>
    <row r="12" spans="3:11">
      <c r="C12" s="29"/>
    </row>
    <row r="13" spans="3:11">
      <c r="C13" s="36" t="s">
        <v>311</v>
      </c>
    </row>
    <row r="16" spans="3:11" ht="48">
      <c r="C16" s="31" t="s">
        <v>312</v>
      </c>
      <c r="D16" s="37" t="s">
        <v>313</v>
      </c>
      <c r="E16" s="37" t="s">
        <v>314</v>
      </c>
      <c r="F16" s="37" t="s">
        <v>696</v>
      </c>
      <c r="G16" s="37" t="s">
        <v>634</v>
      </c>
      <c r="H16" s="37" t="s">
        <v>313</v>
      </c>
      <c r="I16" s="37" t="s">
        <v>314</v>
      </c>
      <c r="J16" s="37" t="s">
        <v>697</v>
      </c>
      <c r="K16" s="37" t="s">
        <v>635</v>
      </c>
    </row>
    <row r="17" spans="3:12">
      <c r="C17" s="38" t="s">
        <v>58</v>
      </c>
      <c r="D17" s="39"/>
      <c r="E17" s="39"/>
      <c r="F17" s="39"/>
      <c r="G17" s="39"/>
      <c r="H17" s="39"/>
      <c r="I17" s="39"/>
      <c r="J17" s="39"/>
      <c r="K17" s="39"/>
    </row>
    <row r="18" spans="3:12">
      <c r="C18" s="38" t="s">
        <v>315</v>
      </c>
      <c r="D18" s="39"/>
      <c r="E18" s="39"/>
      <c r="F18" s="39"/>
      <c r="G18" s="39"/>
      <c r="H18" s="39"/>
      <c r="I18" s="39"/>
      <c r="J18" s="39"/>
      <c r="K18" s="39"/>
    </row>
    <row r="19" spans="3:12">
      <c r="C19" s="38" t="s">
        <v>316</v>
      </c>
      <c r="D19" s="39"/>
      <c r="E19" s="40"/>
      <c r="F19" s="39"/>
      <c r="G19" s="39"/>
      <c r="H19" s="39"/>
      <c r="I19" s="40"/>
      <c r="J19" s="39"/>
      <c r="K19" s="39"/>
      <c r="L19" s="41"/>
    </row>
    <row r="20" spans="3:12">
      <c r="C20" s="39" t="s">
        <v>64</v>
      </c>
      <c r="D20" s="42" t="s">
        <v>317</v>
      </c>
      <c r="E20" s="43">
        <v>0</v>
      </c>
      <c r="F20" s="44">
        <f>+D8</f>
        <v>7258.03</v>
      </c>
      <c r="G20" s="44">
        <v>0</v>
      </c>
      <c r="H20" s="42" t="s">
        <v>317</v>
      </c>
      <c r="I20" s="43">
        <v>0</v>
      </c>
      <c r="J20" s="44">
        <f>E8</f>
        <v>7322.9</v>
      </c>
      <c r="K20" s="44">
        <v>0</v>
      </c>
    </row>
    <row r="21" spans="3:12">
      <c r="C21" s="39" t="s">
        <v>67</v>
      </c>
      <c r="D21" s="42" t="s">
        <v>317</v>
      </c>
      <c r="E21" s="43">
        <f>+G21/F21</f>
        <v>6545.9599918986287</v>
      </c>
      <c r="F21" s="44">
        <f>+F20</f>
        <v>7258.03</v>
      </c>
      <c r="G21" s="171">
        <f>+'[7]Balance Gral'!$B$8+'[7]Balance Gral'!$B$13</f>
        <v>47510774</v>
      </c>
      <c r="H21" s="42" t="s">
        <v>317</v>
      </c>
      <c r="I21" s="43">
        <v>39690.610004233298</v>
      </c>
      <c r="J21" s="44">
        <f>J20</f>
        <v>7322.9</v>
      </c>
      <c r="K21" s="171">
        <v>5877496.0361256879</v>
      </c>
    </row>
    <row r="22" spans="3:12">
      <c r="C22" s="46" t="s">
        <v>516</v>
      </c>
      <c r="D22" s="47"/>
      <c r="E22" s="43">
        <f t="shared" ref="E22:E57" si="0">+G22/F22</f>
        <v>0</v>
      </c>
      <c r="F22" s="44">
        <f t="shared" ref="F22:F57" si="1">+F21</f>
        <v>7258.03</v>
      </c>
      <c r="G22" s="44"/>
      <c r="H22" s="47"/>
      <c r="I22" s="43">
        <v>0</v>
      </c>
      <c r="J22" s="44">
        <f t="shared" ref="J22:J57" si="2">J21</f>
        <v>7322.9</v>
      </c>
      <c r="K22" s="44"/>
    </row>
    <row r="23" spans="3:12">
      <c r="C23" s="47" t="s">
        <v>329</v>
      </c>
      <c r="D23" s="48" t="s">
        <v>317</v>
      </c>
      <c r="E23" s="43">
        <f t="shared" si="0"/>
        <v>0</v>
      </c>
      <c r="F23" s="44">
        <f t="shared" si="1"/>
        <v>7258.03</v>
      </c>
      <c r="G23" s="44">
        <v>0</v>
      </c>
      <c r="H23" s="48" t="s">
        <v>317</v>
      </c>
      <c r="I23" s="43">
        <v>0</v>
      </c>
      <c r="J23" s="44">
        <f t="shared" si="2"/>
        <v>7322.9</v>
      </c>
      <c r="K23" s="44">
        <v>0</v>
      </c>
    </row>
    <row r="24" spans="3:12">
      <c r="C24" s="47" t="s">
        <v>330</v>
      </c>
      <c r="D24" s="48" t="s">
        <v>317</v>
      </c>
      <c r="E24" s="43">
        <f t="shared" si="0"/>
        <v>0</v>
      </c>
      <c r="F24" s="44">
        <f t="shared" si="1"/>
        <v>7258.03</v>
      </c>
      <c r="G24" s="44">
        <v>0</v>
      </c>
      <c r="H24" s="48" t="s">
        <v>317</v>
      </c>
      <c r="I24" s="171">
        <v>0</v>
      </c>
      <c r="J24" s="44">
        <f t="shared" si="2"/>
        <v>7322.9</v>
      </c>
      <c r="K24" s="44">
        <v>0</v>
      </c>
    </row>
    <row r="25" spans="3:12">
      <c r="C25" s="47" t="s">
        <v>331</v>
      </c>
      <c r="D25" s="48" t="s">
        <v>317</v>
      </c>
      <c r="E25" s="43">
        <f t="shared" si="0"/>
        <v>0</v>
      </c>
      <c r="F25" s="44">
        <f t="shared" si="1"/>
        <v>7258.03</v>
      </c>
      <c r="G25" s="44"/>
      <c r="H25" s="48" t="s">
        <v>317</v>
      </c>
      <c r="I25" s="43">
        <v>0</v>
      </c>
      <c r="J25" s="44">
        <f t="shared" si="2"/>
        <v>7322.9</v>
      </c>
      <c r="K25" s="44"/>
    </row>
    <row r="26" spans="3:12">
      <c r="C26" s="39"/>
      <c r="D26" s="42"/>
      <c r="E26" s="43">
        <f t="shared" si="0"/>
        <v>0</v>
      </c>
      <c r="F26" s="44">
        <f t="shared" si="1"/>
        <v>7258.03</v>
      </c>
      <c r="G26" s="44"/>
      <c r="H26" s="42"/>
      <c r="I26" s="43">
        <v>0</v>
      </c>
      <c r="J26" s="44">
        <f t="shared" si="2"/>
        <v>7322.9</v>
      </c>
      <c r="K26" s="44"/>
    </row>
    <row r="27" spans="3:12">
      <c r="C27" s="38" t="s">
        <v>121</v>
      </c>
      <c r="D27" s="39"/>
      <c r="E27" s="43">
        <f t="shared" si="0"/>
        <v>0</v>
      </c>
      <c r="F27" s="44">
        <f t="shared" si="1"/>
        <v>7258.03</v>
      </c>
      <c r="G27" s="44"/>
      <c r="H27" s="39"/>
      <c r="I27" s="43">
        <v>0</v>
      </c>
      <c r="J27" s="44">
        <f t="shared" si="2"/>
        <v>7322.9</v>
      </c>
      <c r="K27" s="44"/>
    </row>
    <row r="28" spans="3:12">
      <c r="C28" s="39" t="s">
        <v>79</v>
      </c>
      <c r="D28" s="42" t="s">
        <v>317</v>
      </c>
      <c r="E28" s="43">
        <f t="shared" si="0"/>
        <v>684.78994988998397</v>
      </c>
      <c r="F28" s="44">
        <f t="shared" si="1"/>
        <v>7258.03</v>
      </c>
      <c r="G28" s="44">
        <f>'[7]Balance Gral'!$B$33</f>
        <v>4970226</v>
      </c>
      <c r="H28" s="42" t="s">
        <v>317</v>
      </c>
      <c r="I28" s="43">
        <v>947.10005598874773</v>
      </c>
      <c r="J28" s="44">
        <f t="shared" si="2"/>
        <v>7322.9</v>
      </c>
      <c r="K28" s="44">
        <f>+J28*I28</f>
        <v>6935519</v>
      </c>
    </row>
    <row r="29" spans="3:12">
      <c r="C29" s="39" t="s">
        <v>318</v>
      </c>
      <c r="D29" s="42" t="s">
        <v>317</v>
      </c>
      <c r="E29" s="43">
        <f t="shared" si="0"/>
        <v>0</v>
      </c>
      <c r="F29" s="44">
        <f t="shared" si="1"/>
        <v>7258.03</v>
      </c>
      <c r="G29" s="44">
        <v>0</v>
      </c>
      <c r="H29" s="42" t="s">
        <v>317</v>
      </c>
      <c r="I29" s="43">
        <v>0</v>
      </c>
      <c r="J29" s="44">
        <f t="shared" si="2"/>
        <v>7322.9</v>
      </c>
      <c r="K29" s="44">
        <v>0</v>
      </c>
    </row>
    <row r="30" spans="3:12">
      <c r="C30" s="39" t="s">
        <v>319</v>
      </c>
      <c r="D30" s="42" t="s">
        <v>317</v>
      </c>
      <c r="E30" s="43">
        <f t="shared" si="0"/>
        <v>0</v>
      </c>
      <c r="F30" s="44">
        <f t="shared" si="1"/>
        <v>7258.03</v>
      </c>
      <c r="G30" s="44">
        <v>0</v>
      </c>
      <c r="H30" s="42" t="s">
        <v>317</v>
      </c>
      <c r="I30" s="43">
        <v>0</v>
      </c>
      <c r="J30" s="44">
        <f t="shared" si="2"/>
        <v>7322.9</v>
      </c>
      <c r="K30" s="44">
        <v>0</v>
      </c>
    </row>
    <row r="31" spans="3:12">
      <c r="C31" s="39" t="s">
        <v>320</v>
      </c>
      <c r="D31" s="42" t="s">
        <v>317</v>
      </c>
      <c r="E31" s="43">
        <f t="shared" si="0"/>
        <v>0</v>
      </c>
      <c r="F31" s="44">
        <f t="shared" si="1"/>
        <v>7258.03</v>
      </c>
      <c r="G31" s="44">
        <v>0</v>
      </c>
      <c r="H31" s="42" t="s">
        <v>317</v>
      </c>
      <c r="I31" s="43">
        <v>0</v>
      </c>
      <c r="J31" s="44">
        <f t="shared" si="2"/>
        <v>7322.9</v>
      </c>
      <c r="K31" s="44">
        <v>0</v>
      </c>
    </row>
    <row r="32" spans="3:12">
      <c r="C32" s="39" t="s">
        <v>87</v>
      </c>
      <c r="D32" s="42" t="s">
        <v>317</v>
      </c>
      <c r="E32" s="43">
        <f t="shared" si="0"/>
        <v>0</v>
      </c>
      <c r="F32" s="44">
        <f t="shared" si="1"/>
        <v>7258.03</v>
      </c>
      <c r="G32" s="44">
        <v>0</v>
      </c>
      <c r="H32" s="42" t="s">
        <v>317</v>
      </c>
      <c r="I32" s="43">
        <v>0</v>
      </c>
      <c r="J32" s="44">
        <f t="shared" si="2"/>
        <v>7322.9</v>
      </c>
      <c r="K32" s="44">
        <v>0</v>
      </c>
    </row>
    <row r="33" spans="3:11">
      <c r="C33" s="39" t="s">
        <v>321</v>
      </c>
      <c r="D33" s="42" t="s">
        <v>317</v>
      </c>
      <c r="E33" s="43">
        <f t="shared" si="0"/>
        <v>0</v>
      </c>
      <c r="F33" s="44">
        <f t="shared" si="1"/>
        <v>7258.03</v>
      </c>
      <c r="G33" s="44">
        <v>0</v>
      </c>
      <c r="H33" s="42" t="s">
        <v>317</v>
      </c>
      <c r="I33" s="43">
        <v>0</v>
      </c>
      <c r="J33" s="44">
        <f t="shared" si="2"/>
        <v>7322.9</v>
      </c>
      <c r="K33" s="44">
        <v>0</v>
      </c>
    </row>
    <row r="34" spans="3:11">
      <c r="C34" s="38" t="s">
        <v>322</v>
      </c>
      <c r="D34" s="39"/>
      <c r="E34" s="43">
        <f t="shared" si="0"/>
        <v>0</v>
      </c>
      <c r="F34" s="44">
        <f t="shared" si="1"/>
        <v>7258.03</v>
      </c>
      <c r="G34" s="44"/>
      <c r="H34" s="39"/>
      <c r="I34" s="43">
        <v>0</v>
      </c>
      <c r="J34" s="44">
        <f t="shared" si="2"/>
        <v>7322.9</v>
      </c>
      <c r="K34" s="44"/>
    </row>
    <row r="35" spans="3:11">
      <c r="C35" s="39" t="s">
        <v>323</v>
      </c>
      <c r="D35" s="42" t="s">
        <v>317</v>
      </c>
      <c r="E35" s="43">
        <f t="shared" si="0"/>
        <v>0</v>
      </c>
      <c r="F35" s="44">
        <f t="shared" si="1"/>
        <v>7258.03</v>
      </c>
      <c r="G35" s="44">
        <v>0</v>
      </c>
      <c r="H35" s="42" t="s">
        <v>317</v>
      </c>
      <c r="I35" s="43">
        <v>0</v>
      </c>
      <c r="J35" s="44">
        <f t="shared" si="2"/>
        <v>7322.9</v>
      </c>
      <c r="K35" s="44">
        <v>0</v>
      </c>
    </row>
    <row r="36" spans="3:11">
      <c r="C36" s="39" t="s">
        <v>324</v>
      </c>
      <c r="D36" s="42" t="s">
        <v>317</v>
      </c>
      <c r="E36" s="43">
        <f t="shared" si="0"/>
        <v>0</v>
      </c>
      <c r="F36" s="44">
        <f t="shared" si="1"/>
        <v>7258.03</v>
      </c>
      <c r="G36" s="44">
        <v>0</v>
      </c>
      <c r="H36" s="42" t="s">
        <v>317</v>
      </c>
      <c r="I36" s="43">
        <v>0</v>
      </c>
      <c r="J36" s="44">
        <f t="shared" si="2"/>
        <v>7322.9</v>
      </c>
      <c r="K36" s="44">
        <v>0</v>
      </c>
    </row>
    <row r="37" spans="3:11">
      <c r="C37" s="38" t="s">
        <v>94</v>
      </c>
      <c r="D37" s="39"/>
      <c r="E37" s="43">
        <f t="shared" si="0"/>
        <v>0</v>
      </c>
      <c r="F37" s="44">
        <f t="shared" si="1"/>
        <v>7258.03</v>
      </c>
      <c r="G37" s="44"/>
      <c r="H37" s="39"/>
      <c r="I37" s="43">
        <v>0</v>
      </c>
      <c r="J37" s="44">
        <f t="shared" si="2"/>
        <v>7322.9</v>
      </c>
      <c r="K37" s="44"/>
    </row>
    <row r="38" spans="3:11">
      <c r="C38" s="39" t="s">
        <v>325</v>
      </c>
      <c r="D38" s="42" t="s">
        <v>317</v>
      </c>
      <c r="E38" s="43">
        <f t="shared" si="0"/>
        <v>0</v>
      </c>
      <c r="F38" s="44">
        <f t="shared" si="1"/>
        <v>7258.03</v>
      </c>
      <c r="G38" s="44">
        <v>0</v>
      </c>
      <c r="H38" s="42" t="s">
        <v>317</v>
      </c>
      <c r="I38" s="43">
        <v>0</v>
      </c>
      <c r="J38" s="44">
        <f t="shared" si="2"/>
        <v>7322.9</v>
      </c>
      <c r="K38" s="44">
        <v>0</v>
      </c>
    </row>
    <row r="39" spans="3:11">
      <c r="C39" s="39" t="s">
        <v>326</v>
      </c>
      <c r="D39" s="42" t="s">
        <v>317</v>
      </c>
      <c r="E39" s="43">
        <f t="shared" si="0"/>
        <v>0</v>
      </c>
      <c r="F39" s="44">
        <f t="shared" si="1"/>
        <v>7258.03</v>
      </c>
      <c r="G39" s="44">
        <v>0</v>
      </c>
      <c r="H39" s="42" t="s">
        <v>317</v>
      </c>
      <c r="I39" s="43">
        <v>0</v>
      </c>
      <c r="J39" s="44">
        <f t="shared" si="2"/>
        <v>7322.9</v>
      </c>
      <c r="K39" s="44">
        <v>0</v>
      </c>
    </row>
    <row r="40" spans="3:11">
      <c r="C40" s="45" t="s">
        <v>105</v>
      </c>
      <c r="D40" s="42"/>
      <c r="E40" s="43">
        <f t="shared" si="0"/>
        <v>0</v>
      </c>
      <c r="F40" s="44">
        <f t="shared" si="1"/>
        <v>7258.03</v>
      </c>
      <c r="G40" s="44"/>
      <c r="H40" s="42"/>
      <c r="I40" s="43">
        <v>0</v>
      </c>
      <c r="J40" s="44">
        <f t="shared" si="2"/>
        <v>7322.9</v>
      </c>
      <c r="K40" s="44"/>
    </row>
    <row r="41" spans="3:11">
      <c r="C41" s="46" t="s">
        <v>121</v>
      </c>
      <c r="D41" s="47"/>
      <c r="E41" s="43">
        <f t="shared" si="0"/>
        <v>0</v>
      </c>
      <c r="F41" s="44">
        <f t="shared" si="1"/>
        <v>7258.03</v>
      </c>
      <c r="G41" s="44"/>
      <c r="H41" s="47"/>
      <c r="I41" s="43">
        <v>0</v>
      </c>
      <c r="J41" s="44">
        <f t="shared" si="2"/>
        <v>7322.9</v>
      </c>
      <c r="K41" s="44"/>
    </row>
    <row r="42" spans="3:11" ht="14.25" customHeight="1">
      <c r="C42" s="47" t="s">
        <v>327</v>
      </c>
      <c r="D42" s="48" t="s">
        <v>317</v>
      </c>
      <c r="E42" s="43">
        <f t="shared" si="0"/>
        <v>0</v>
      </c>
      <c r="F42" s="44">
        <f t="shared" si="1"/>
        <v>7258.03</v>
      </c>
      <c r="G42" s="44">
        <v>0</v>
      </c>
      <c r="H42" s="48" t="s">
        <v>317</v>
      </c>
      <c r="I42" s="43">
        <v>0</v>
      </c>
      <c r="J42" s="44">
        <f t="shared" si="2"/>
        <v>7322.9</v>
      </c>
      <c r="K42" s="44">
        <v>0</v>
      </c>
    </row>
    <row r="43" spans="3:11">
      <c r="C43" s="46" t="s">
        <v>328</v>
      </c>
      <c r="D43" s="47"/>
      <c r="E43" s="43">
        <f t="shared" si="0"/>
        <v>0</v>
      </c>
      <c r="F43" s="44">
        <f t="shared" si="1"/>
        <v>7258.03</v>
      </c>
      <c r="G43" s="44"/>
      <c r="H43" s="47"/>
      <c r="I43" s="43">
        <v>0</v>
      </c>
      <c r="J43" s="44">
        <f t="shared" si="2"/>
        <v>7322.9</v>
      </c>
      <c r="K43" s="44"/>
    </row>
    <row r="44" spans="3:11">
      <c r="C44" s="47" t="s">
        <v>329</v>
      </c>
      <c r="D44" s="48" t="s">
        <v>317</v>
      </c>
      <c r="E44" s="43">
        <f t="shared" si="0"/>
        <v>0</v>
      </c>
      <c r="F44" s="44">
        <f t="shared" si="1"/>
        <v>7258.03</v>
      </c>
      <c r="G44" s="44">
        <v>0</v>
      </c>
      <c r="H44" s="48" t="s">
        <v>317</v>
      </c>
      <c r="I44" s="43">
        <v>0</v>
      </c>
      <c r="J44" s="44">
        <f t="shared" si="2"/>
        <v>7322.9</v>
      </c>
      <c r="K44" s="44">
        <v>0</v>
      </c>
    </row>
    <row r="45" spans="3:11">
      <c r="C45" s="47" t="s">
        <v>330</v>
      </c>
      <c r="D45" s="48" t="s">
        <v>317</v>
      </c>
      <c r="E45" s="43">
        <f t="shared" si="0"/>
        <v>0</v>
      </c>
      <c r="F45" s="44">
        <f t="shared" si="1"/>
        <v>7258.03</v>
      </c>
      <c r="G45" s="44">
        <v>0</v>
      </c>
      <c r="H45" s="48" t="s">
        <v>317</v>
      </c>
      <c r="I45" s="171">
        <v>0</v>
      </c>
      <c r="J45" s="44">
        <f t="shared" si="2"/>
        <v>7322.9</v>
      </c>
      <c r="K45" s="44">
        <v>0</v>
      </c>
    </row>
    <row r="46" spans="3:11">
      <c r="C46" s="47" t="s">
        <v>331</v>
      </c>
      <c r="D46" s="48" t="s">
        <v>317</v>
      </c>
      <c r="E46" s="43">
        <f t="shared" si="0"/>
        <v>0</v>
      </c>
      <c r="F46" s="44">
        <f t="shared" si="1"/>
        <v>7258.03</v>
      </c>
      <c r="G46" s="44"/>
      <c r="H46" s="48" t="s">
        <v>317</v>
      </c>
      <c r="I46" s="43">
        <v>0</v>
      </c>
      <c r="J46" s="44">
        <f t="shared" si="2"/>
        <v>7322.9</v>
      </c>
      <c r="K46" s="44"/>
    </row>
    <row r="47" spans="3:11">
      <c r="C47" s="46" t="s">
        <v>332</v>
      </c>
      <c r="D47" s="47"/>
      <c r="E47" s="43">
        <f t="shared" si="0"/>
        <v>0</v>
      </c>
      <c r="F47" s="44">
        <f t="shared" si="1"/>
        <v>7258.03</v>
      </c>
      <c r="G47" s="44"/>
      <c r="H47" s="47"/>
      <c r="I47" s="43">
        <v>0</v>
      </c>
      <c r="J47" s="44">
        <f t="shared" si="2"/>
        <v>7322.9</v>
      </c>
      <c r="K47" s="44"/>
    </row>
    <row r="48" spans="3:11">
      <c r="C48" s="47" t="s">
        <v>333</v>
      </c>
      <c r="D48" s="48" t="s">
        <v>317</v>
      </c>
      <c r="E48" s="43">
        <f t="shared" si="0"/>
        <v>0</v>
      </c>
      <c r="F48" s="44">
        <f t="shared" si="1"/>
        <v>7258.03</v>
      </c>
      <c r="G48" s="44">
        <v>0</v>
      </c>
      <c r="H48" s="48" t="s">
        <v>317</v>
      </c>
      <c r="I48" s="43">
        <v>0</v>
      </c>
      <c r="J48" s="44">
        <f t="shared" si="2"/>
        <v>7322.9</v>
      </c>
      <c r="K48" s="44">
        <v>0</v>
      </c>
    </row>
    <row r="49" spans="3:11">
      <c r="C49" s="47" t="s">
        <v>334</v>
      </c>
      <c r="D49" s="48" t="s">
        <v>317</v>
      </c>
      <c r="E49" s="43">
        <f t="shared" si="0"/>
        <v>0</v>
      </c>
      <c r="F49" s="44">
        <f t="shared" si="1"/>
        <v>7258.03</v>
      </c>
      <c r="G49" s="44">
        <v>0</v>
      </c>
      <c r="H49" s="48" t="s">
        <v>317</v>
      </c>
      <c r="I49" s="43">
        <v>0</v>
      </c>
      <c r="J49" s="44">
        <f t="shared" si="2"/>
        <v>7322.9</v>
      </c>
      <c r="K49" s="44">
        <v>0</v>
      </c>
    </row>
    <row r="50" spans="3:11">
      <c r="C50" s="46" t="s">
        <v>335</v>
      </c>
      <c r="D50" s="47"/>
      <c r="E50" s="43">
        <f t="shared" si="0"/>
        <v>0</v>
      </c>
      <c r="F50" s="44">
        <f t="shared" si="1"/>
        <v>7258.03</v>
      </c>
      <c r="G50" s="44"/>
      <c r="H50" s="47"/>
      <c r="I50" s="43">
        <v>0</v>
      </c>
      <c r="J50" s="44">
        <f t="shared" si="2"/>
        <v>7322.9</v>
      </c>
      <c r="K50" s="44"/>
    </row>
    <row r="51" spans="3:11">
      <c r="C51" s="47" t="s">
        <v>140</v>
      </c>
      <c r="D51" s="48" t="s">
        <v>317</v>
      </c>
      <c r="E51" s="43">
        <f t="shared" si="0"/>
        <v>0</v>
      </c>
      <c r="F51" s="44">
        <f t="shared" si="1"/>
        <v>7258.03</v>
      </c>
      <c r="G51" s="44">
        <v>0</v>
      </c>
      <c r="H51" s="48" t="s">
        <v>317</v>
      </c>
      <c r="I51" s="43">
        <v>0</v>
      </c>
      <c r="J51" s="44">
        <f t="shared" si="2"/>
        <v>7322.9</v>
      </c>
      <c r="K51" s="44">
        <v>0</v>
      </c>
    </row>
    <row r="52" spans="3:11">
      <c r="C52" s="47" t="s">
        <v>141</v>
      </c>
      <c r="D52" s="48" t="s">
        <v>317</v>
      </c>
      <c r="E52" s="43">
        <f t="shared" si="0"/>
        <v>0</v>
      </c>
      <c r="F52" s="44">
        <f t="shared" si="1"/>
        <v>7258.03</v>
      </c>
      <c r="G52" s="44">
        <v>0</v>
      </c>
      <c r="H52" s="48" t="s">
        <v>317</v>
      </c>
      <c r="I52" s="43">
        <v>0</v>
      </c>
      <c r="J52" s="44">
        <f t="shared" si="2"/>
        <v>7322.9</v>
      </c>
      <c r="K52" s="44">
        <v>0</v>
      </c>
    </row>
    <row r="53" spans="3:11">
      <c r="C53" s="47" t="s">
        <v>143</v>
      </c>
      <c r="D53" s="48" t="s">
        <v>317</v>
      </c>
      <c r="E53" s="43">
        <f t="shared" si="0"/>
        <v>0</v>
      </c>
      <c r="F53" s="44">
        <f t="shared" si="1"/>
        <v>7258.03</v>
      </c>
      <c r="G53" s="44">
        <v>0</v>
      </c>
      <c r="H53" s="48" t="s">
        <v>317</v>
      </c>
      <c r="I53" s="43">
        <v>0</v>
      </c>
      <c r="J53" s="44">
        <f t="shared" si="2"/>
        <v>7322.9</v>
      </c>
      <c r="K53" s="44">
        <v>0</v>
      </c>
    </row>
    <row r="54" spans="3:11">
      <c r="C54" s="47" t="s">
        <v>336</v>
      </c>
      <c r="D54" s="48" t="s">
        <v>317</v>
      </c>
      <c r="E54" s="43">
        <f t="shared" si="0"/>
        <v>0</v>
      </c>
      <c r="F54" s="44">
        <f t="shared" si="1"/>
        <v>7258.03</v>
      </c>
      <c r="G54" s="44">
        <v>0</v>
      </c>
      <c r="H54" s="48" t="s">
        <v>317</v>
      </c>
      <c r="I54" s="43">
        <v>0</v>
      </c>
      <c r="J54" s="44">
        <f t="shared" si="2"/>
        <v>7322.9</v>
      </c>
      <c r="K54" s="44">
        <v>0</v>
      </c>
    </row>
    <row r="55" spans="3:11">
      <c r="C55" s="47" t="s">
        <v>145</v>
      </c>
      <c r="D55" s="48" t="s">
        <v>317</v>
      </c>
      <c r="E55" s="43">
        <f t="shared" si="0"/>
        <v>0</v>
      </c>
      <c r="F55" s="44">
        <f t="shared" si="1"/>
        <v>7258.03</v>
      </c>
      <c r="G55" s="44">
        <v>0</v>
      </c>
      <c r="H55" s="48" t="s">
        <v>317</v>
      </c>
      <c r="I55" s="43">
        <v>0</v>
      </c>
      <c r="J55" s="44">
        <f t="shared" si="2"/>
        <v>7322.9</v>
      </c>
      <c r="K55" s="44">
        <v>0</v>
      </c>
    </row>
    <row r="56" spans="3:11">
      <c r="C56" s="45" t="s">
        <v>94</v>
      </c>
      <c r="D56" s="49"/>
      <c r="E56" s="43">
        <f t="shared" si="0"/>
        <v>0</v>
      </c>
      <c r="F56" s="44">
        <f t="shared" si="1"/>
        <v>7258.03</v>
      </c>
      <c r="G56" s="44"/>
      <c r="H56" s="49"/>
      <c r="I56" s="43">
        <v>0</v>
      </c>
      <c r="J56" s="44">
        <f t="shared" si="2"/>
        <v>7322.9</v>
      </c>
      <c r="K56" s="44"/>
    </row>
    <row r="57" spans="3:11">
      <c r="C57" s="47" t="s">
        <v>337</v>
      </c>
      <c r="D57" s="48" t="s">
        <v>317</v>
      </c>
      <c r="E57" s="43">
        <f t="shared" si="0"/>
        <v>0</v>
      </c>
      <c r="F57" s="44">
        <f t="shared" si="1"/>
        <v>7258.03</v>
      </c>
      <c r="G57" s="44">
        <v>0</v>
      </c>
      <c r="H57" s="48" t="s">
        <v>317</v>
      </c>
      <c r="I57" s="43">
        <v>0</v>
      </c>
      <c r="J57" s="44">
        <f t="shared" si="2"/>
        <v>7322.9</v>
      </c>
      <c r="K57" s="44">
        <v>0</v>
      </c>
    </row>
    <row r="60" spans="3:11" ht="48">
      <c r="C60" s="31" t="s">
        <v>312</v>
      </c>
      <c r="D60" s="37" t="s">
        <v>313</v>
      </c>
      <c r="E60" s="37" t="s">
        <v>314</v>
      </c>
      <c r="F60" s="37" t="str">
        <f>+F16</f>
        <v>CAMBIO CIERRE PERIODO ACTUAL</v>
      </c>
      <c r="G60" s="37"/>
      <c r="H60" s="37" t="s">
        <v>313</v>
      </c>
      <c r="I60" s="37" t="s">
        <v>314</v>
      </c>
      <c r="J60" s="37" t="str">
        <f>+J16</f>
        <v>CAMBIO CIERRE PERIODO ANTERIOR</v>
      </c>
      <c r="K60" s="37" t="s">
        <v>635</v>
      </c>
    </row>
    <row r="61" spans="3:11">
      <c r="C61" s="45" t="s">
        <v>59</v>
      </c>
      <c r="D61" s="49"/>
      <c r="E61" s="49"/>
      <c r="F61" s="49"/>
      <c r="G61" s="49"/>
      <c r="H61" s="49"/>
      <c r="I61" s="49"/>
      <c r="J61" s="49"/>
      <c r="K61" s="49"/>
    </row>
    <row r="62" spans="3:11">
      <c r="C62" s="45" t="s">
        <v>61</v>
      </c>
      <c r="D62" s="49"/>
      <c r="E62" s="49"/>
      <c r="F62" s="49"/>
      <c r="G62" s="49"/>
      <c r="H62" s="49"/>
      <c r="I62" s="49"/>
      <c r="J62" s="49"/>
      <c r="K62" s="49"/>
    </row>
    <row r="63" spans="3:11">
      <c r="C63" s="38" t="s">
        <v>338</v>
      </c>
      <c r="D63" s="39"/>
      <c r="E63" s="40"/>
      <c r="F63" s="50"/>
      <c r="G63" s="50"/>
      <c r="H63" s="39"/>
      <c r="I63" s="40"/>
      <c r="J63" s="39"/>
      <c r="K63" s="39"/>
    </row>
    <row r="64" spans="3:11">
      <c r="C64" s="39" t="s">
        <v>339</v>
      </c>
      <c r="D64" s="42" t="s">
        <v>317</v>
      </c>
      <c r="E64" s="43">
        <f>+G64/F64</f>
        <v>745.99991738495851</v>
      </c>
      <c r="F64" s="44">
        <f>+D9</f>
        <v>7262.6</v>
      </c>
      <c r="G64" s="171">
        <f>'[7]Balance Gral'!$B$72</f>
        <v>5417899</v>
      </c>
      <c r="H64" s="42" t="s">
        <v>317</v>
      </c>
      <c r="I64" s="43">
        <v>746.00006539848118</v>
      </c>
      <c r="J64" s="44">
        <f>E9</f>
        <v>7339.62</v>
      </c>
      <c r="K64" s="43">
        <f>I64*J64</f>
        <v>5475357</v>
      </c>
    </row>
    <row r="65" spans="3:11">
      <c r="C65" s="39" t="s">
        <v>340</v>
      </c>
      <c r="D65" s="42" t="s">
        <v>317</v>
      </c>
      <c r="E65" s="43">
        <f>+G65/F65</f>
        <v>5013.6299672293662</v>
      </c>
      <c r="F65" s="44">
        <f>+F64</f>
        <v>7262.6</v>
      </c>
      <c r="G65" s="171">
        <f>'[7]Balance Gral'!$B$63</f>
        <v>36411989</v>
      </c>
      <c r="H65" s="42" t="s">
        <v>317</v>
      </c>
      <c r="I65" s="43">
        <v>38016.919949534175</v>
      </c>
      <c r="J65" s="44">
        <f>J64</f>
        <v>7339.62</v>
      </c>
      <c r="K65" s="43">
        <f>+I65*J65</f>
        <v>279029746</v>
      </c>
    </row>
    <row r="66" spans="3:11">
      <c r="C66" s="39" t="s">
        <v>341</v>
      </c>
      <c r="D66" s="42" t="s">
        <v>317</v>
      </c>
      <c r="E66" s="43">
        <v>0</v>
      </c>
      <c r="F66" s="44">
        <f t="shared" ref="F66:F86" si="3">+F65</f>
        <v>7262.6</v>
      </c>
      <c r="G66" s="44">
        <v>0</v>
      </c>
      <c r="H66" s="42" t="s">
        <v>317</v>
      </c>
      <c r="I66" s="43">
        <v>0</v>
      </c>
      <c r="J66" s="44">
        <f t="shared" ref="J66:J86" si="4">J65</f>
        <v>7339.62</v>
      </c>
      <c r="K66" s="43">
        <v>0</v>
      </c>
    </row>
    <row r="67" spans="3:11">
      <c r="C67" s="39" t="s">
        <v>342</v>
      </c>
      <c r="D67" s="42" t="s">
        <v>317</v>
      </c>
      <c r="E67" s="43">
        <v>0</v>
      </c>
      <c r="F67" s="44">
        <f t="shared" si="3"/>
        <v>7262.6</v>
      </c>
      <c r="G67" s="44">
        <v>0</v>
      </c>
      <c r="H67" s="42" t="s">
        <v>317</v>
      </c>
      <c r="I67" s="43">
        <v>0</v>
      </c>
      <c r="J67" s="44">
        <f t="shared" si="4"/>
        <v>7339.62</v>
      </c>
      <c r="K67" s="43">
        <v>0</v>
      </c>
    </row>
    <row r="68" spans="3:11">
      <c r="C68" s="38" t="s">
        <v>109</v>
      </c>
      <c r="D68" s="39"/>
      <c r="E68" s="43"/>
      <c r="F68" s="44">
        <f t="shared" si="3"/>
        <v>7262.6</v>
      </c>
      <c r="G68" s="44"/>
      <c r="H68" s="39"/>
      <c r="I68" s="43"/>
      <c r="J68" s="44">
        <f t="shared" si="4"/>
        <v>7339.62</v>
      </c>
      <c r="K68" s="43"/>
    </row>
    <row r="69" spans="3:11">
      <c r="C69" s="39" t="s">
        <v>343</v>
      </c>
      <c r="D69" s="42" t="s">
        <v>317</v>
      </c>
      <c r="E69" s="43">
        <v>0</v>
      </c>
      <c r="F69" s="44">
        <f t="shared" si="3"/>
        <v>7262.6</v>
      </c>
      <c r="G69" s="44">
        <v>0</v>
      </c>
      <c r="H69" s="42" t="s">
        <v>317</v>
      </c>
      <c r="I69" s="43">
        <v>0</v>
      </c>
      <c r="J69" s="44">
        <f t="shared" si="4"/>
        <v>7339.62</v>
      </c>
      <c r="K69" s="43">
        <v>0</v>
      </c>
    </row>
    <row r="70" spans="3:11">
      <c r="C70" s="39" t="s">
        <v>344</v>
      </c>
      <c r="D70" s="42" t="s">
        <v>317</v>
      </c>
      <c r="E70" s="50">
        <v>0</v>
      </c>
      <c r="F70" s="44">
        <f t="shared" si="3"/>
        <v>7262.6</v>
      </c>
      <c r="G70" s="44">
        <v>0</v>
      </c>
      <c r="H70" s="42" t="s">
        <v>317</v>
      </c>
      <c r="I70" s="43">
        <v>0</v>
      </c>
      <c r="J70" s="44">
        <f t="shared" si="4"/>
        <v>7339.62</v>
      </c>
      <c r="K70" s="43">
        <v>0</v>
      </c>
    </row>
    <row r="71" spans="3:11">
      <c r="C71" s="39" t="s">
        <v>72</v>
      </c>
      <c r="D71" s="42" t="s">
        <v>317</v>
      </c>
      <c r="E71" s="43">
        <v>0</v>
      </c>
      <c r="F71" s="44">
        <f t="shared" si="3"/>
        <v>7262.6</v>
      </c>
      <c r="G71" s="44">
        <v>0</v>
      </c>
      <c r="H71" s="42" t="s">
        <v>317</v>
      </c>
      <c r="I71" s="43">
        <v>0</v>
      </c>
      <c r="J71" s="44">
        <f t="shared" si="4"/>
        <v>7339.62</v>
      </c>
      <c r="K71" s="43">
        <v>0</v>
      </c>
    </row>
    <row r="72" spans="3:11">
      <c r="C72" s="38" t="s">
        <v>78</v>
      </c>
      <c r="D72" s="39"/>
      <c r="E72" s="43"/>
      <c r="F72" s="44">
        <f t="shared" si="3"/>
        <v>7262.6</v>
      </c>
      <c r="G72" s="44"/>
      <c r="H72" s="39"/>
      <c r="I72" s="43"/>
      <c r="J72" s="44">
        <f t="shared" si="4"/>
        <v>7339.62</v>
      </c>
      <c r="K72" s="43"/>
    </row>
    <row r="73" spans="3:11">
      <c r="C73" s="39" t="s">
        <v>345</v>
      </c>
      <c r="D73" s="42" t="s">
        <v>317</v>
      </c>
      <c r="E73" s="43">
        <v>0</v>
      </c>
      <c r="F73" s="44">
        <f t="shared" si="3"/>
        <v>7262.6</v>
      </c>
      <c r="G73" s="44">
        <v>0</v>
      </c>
      <c r="H73" s="42" t="s">
        <v>317</v>
      </c>
      <c r="I73" s="43">
        <v>0</v>
      </c>
      <c r="J73" s="44">
        <f t="shared" si="4"/>
        <v>7339.62</v>
      </c>
      <c r="K73" s="43">
        <v>0</v>
      </c>
    </row>
    <row r="74" spans="3:11">
      <c r="C74" s="39" t="s">
        <v>346</v>
      </c>
      <c r="D74" s="42" t="s">
        <v>317</v>
      </c>
      <c r="E74" s="43">
        <v>0</v>
      </c>
      <c r="F74" s="44">
        <f t="shared" si="3"/>
        <v>7262.6</v>
      </c>
      <c r="G74" s="44">
        <v>0</v>
      </c>
      <c r="H74" s="42" t="s">
        <v>317</v>
      </c>
      <c r="I74" s="43">
        <v>0</v>
      </c>
      <c r="J74" s="44">
        <f t="shared" si="4"/>
        <v>7339.62</v>
      </c>
      <c r="K74" s="43">
        <v>0</v>
      </c>
    </row>
    <row r="75" spans="3:11">
      <c r="C75" s="39" t="s">
        <v>86</v>
      </c>
      <c r="D75" s="42" t="s">
        <v>317</v>
      </c>
      <c r="E75" s="43">
        <v>0</v>
      </c>
      <c r="F75" s="44">
        <f t="shared" si="3"/>
        <v>7262.6</v>
      </c>
      <c r="G75" s="44">
        <v>0</v>
      </c>
      <c r="H75" s="42" t="s">
        <v>317</v>
      </c>
      <c r="I75" s="43">
        <v>0</v>
      </c>
      <c r="J75" s="44">
        <f t="shared" si="4"/>
        <v>7339.62</v>
      </c>
      <c r="K75" s="43">
        <v>0</v>
      </c>
    </row>
    <row r="76" spans="3:11">
      <c r="C76" s="39" t="s">
        <v>100</v>
      </c>
      <c r="D76" s="42" t="s">
        <v>317</v>
      </c>
      <c r="E76" s="43">
        <v>0</v>
      </c>
      <c r="F76" s="44">
        <f t="shared" si="3"/>
        <v>7262.6</v>
      </c>
      <c r="G76" s="44">
        <v>0</v>
      </c>
      <c r="H76" s="42" t="s">
        <v>317</v>
      </c>
      <c r="I76" s="43">
        <v>0</v>
      </c>
      <c r="J76" s="44">
        <f t="shared" si="4"/>
        <v>7339.62</v>
      </c>
      <c r="K76" s="43">
        <v>0</v>
      </c>
    </row>
    <row r="77" spans="3:11">
      <c r="C77" s="39" t="s">
        <v>347</v>
      </c>
      <c r="D77" s="42" t="s">
        <v>317</v>
      </c>
      <c r="E77" s="43">
        <v>0</v>
      </c>
      <c r="F77" s="44">
        <f t="shared" si="3"/>
        <v>7262.6</v>
      </c>
      <c r="G77" s="44">
        <v>0</v>
      </c>
      <c r="H77" s="42" t="s">
        <v>317</v>
      </c>
      <c r="I77" s="43">
        <v>0</v>
      </c>
      <c r="J77" s="44">
        <f t="shared" si="4"/>
        <v>7339.62</v>
      </c>
      <c r="K77" s="43">
        <v>0</v>
      </c>
    </row>
    <row r="78" spans="3:11">
      <c r="C78" s="45" t="s">
        <v>348</v>
      </c>
      <c r="D78" s="49"/>
      <c r="E78" s="43"/>
      <c r="F78" s="44">
        <f t="shared" si="3"/>
        <v>7262.6</v>
      </c>
      <c r="G78" s="44"/>
      <c r="H78" s="49"/>
      <c r="I78" s="43"/>
      <c r="J78" s="44">
        <f t="shared" si="4"/>
        <v>7339.62</v>
      </c>
      <c r="K78" s="43"/>
    </row>
    <row r="79" spans="3:11">
      <c r="C79" s="38" t="s">
        <v>109</v>
      </c>
      <c r="D79" s="39"/>
      <c r="E79" s="43"/>
      <c r="F79" s="44">
        <f t="shared" si="3"/>
        <v>7262.6</v>
      </c>
      <c r="G79" s="44"/>
      <c r="H79" s="39"/>
      <c r="I79" s="43"/>
      <c r="J79" s="44">
        <f t="shared" si="4"/>
        <v>7339.62</v>
      </c>
      <c r="K79" s="43"/>
    </row>
    <row r="80" spans="3:11">
      <c r="C80" s="39" t="s">
        <v>343</v>
      </c>
      <c r="D80" s="42" t="s">
        <v>317</v>
      </c>
      <c r="E80" s="43">
        <v>0</v>
      </c>
      <c r="F80" s="44">
        <f t="shared" si="3"/>
        <v>7262.6</v>
      </c>
      <c r="G80" s="44">
        <v>0</v>
      </c>
      <c r="H80" s="42" t="s">
        <v>317</v>
      </c>
      <c r="I80" s="43">
        <v>0</v>
      </c>
      <c r="J80" s="44">
        <f t="shared" si="4"/>
        <v>7339.62</v>
      </c>
      <c r="K80" s="43">
        <v>0</v>
      </c>
    </row>
    <row r="81" spans="3:11">
      <c r="C81" s="39" t="s">
        <v>344</v>
      </c>
      <c r="D81" s="42" t="s">
        <v>317</v>
      </c>
      <c r="E81" s="43">
        <v>0</v>
      </c>
      <c r="F81" s="44">
        <f t="shared" si="3"/>
        <v>7262.6</v>
      </c>
      <c r="G81" s="44">
        <v>0</v>
      </c>
      <c r="H81" s="42" t="s">
        <v>317</v>
      </c>
      <c r="I81" s="43">
        <v>0</v>
      </c>
      <c r="J81" s="44">
        <f t="shared" si="4"/>
        <v>7339.62</v>
      </c>
      <c r="K81" s="43">
        <v>0</v>
      </c>
    </row>
    <row r="82" spans="3:11">
      <c r="C82" s="38" t="s">
        <v>95</v>
      </c>
      <c r="D82" s="39"/>
      <c r="E82" s="43"/>
      <c r="F82" s="44">
        <f t="shared" si="3"/>
        <v>7262.6</v>
      </c>
      <c r="G82" s="44"/>
      <c r="H82" s="39"/>
      <c r="I82" s="43"/>
      <c r="J82" s="44">
        <f t="shared" si="4"/>
        <v>7339.62</v>
      </c>
      <c r="K82" s="43"/>
    </row>
    <row r="83" spans="3:11">
      <c r="C83" s="39" t="s">
        <v>76</v>
      </c>
      <c r="D83" s="42" t="s">
        <v>317</v>
      </c>
      <c r="E83" s="43">
        <v>0</v>
      </c>
      <c r="F83" s="44">
        <f t="shared" si="3"/>
        <v>7262.6</v>
      </c>
      <c r="G83" s="44">
        <v>0</v>
      </c>
      <c r="H83" s="42" t="s">
        <v>317</v>
      </c>
      <c r="I83" s="43">
        <v>0</v>
      </c>
      <c r="J83" s="44">
        <f t="shared" si="4"/>
        <v>7339.62</v>
      </c>
      <c r="K83" s="43">
        <v>0</v>
      </c>
    </row>
    <row r="84" spans="3:11">
      <c r="C84" s="39" t="s">
        <v>349</v>
      </c>
      <c r="D84" s="42" t="s">
        <v>317</v>
      </c>
      <c r="E84" s="43">
        <v>0</v>
      </c>
      <c r="F84" s="44">
        <f t="shared" si="3"/>
        <v>7262.6</v>
      </c>
      <c r="G84" s="44">
        <v>0</v>
      </c>
      <c r="H84" s="42" t="s">
        <v>317</v>
      </c>
      <c r="I84" s="43">
        <v>0</v>
      </c>
      <c r="J84" s="44">
        <f t="shared" si="4"/>
        <v>7339.62</v>
      </c>
      <c r="K84" s="43">
        <v>0</v>
      </c>
    </row>
    <row r="85" spans="3:11">
      <c r="C85" s="39" t="s">
        <v>350</v>
      </c>
      <c r="D85" s="42" t="s">
        <v>317</v>
      </c>
      <c r="E85" s="43">
        <v>0</v>
      </c>
      <c r="F85" s="44">
        <f t="shared" si="3"/>
        <v>7262.6</v>
      </c>
      <c r="G85" s="44">
        <v>0</v>
      </c>
      <c r="H85" s="42" t="s">
        <v>317</v>
      </c>
      <c r="I85" s="43">
        <v>0</v>
      </c>
      <c r="J85" s="44">
        <f t="shared" si="4"/>
        <v>7339.62</v>
      </c>
      <c r="K85" s="43">
        <v>0</v>
      </c>
    </row>
    <row r="86" spans="3:11">
      <c r="C86" s="39" t="s">
        <v>350</v>
      </c>
      <c r="D86" s="42" t="s">
        <v>317</v>
      </c>
      <c r="E86" s="43">
        <v>0</v>
      </c>
      <c r="F86" s="44">
        <f t="shared" si="3"/>
        <v>7262.6</v>
      </c>
      <c r="G86" s="44">
        <v>0</v>
      </c>
      <c r="H86" s="42" t="s">
        <v>317</v>
      </c>
      <c r="I86" s="43">
        <v>0</v>
      </c>
      <c r="J86" s="44">
        <f t="shared" si="4"/>
        <v>7339.62</v>
      </c>
      <c r="K86" s="43">
        <v>0</v>
      </c>
    </row>
    <row r="89" spans="3:11">
      <c r="C89" s="29" t="s">
        <v>511</v>
      </c>
    </row>
    <row r="91" spans="3:11">
      <c r="C91" s="51"/>
      <c r="D91" s="740" t="str">
        <f>+D7</f>
        <v>Al 30/06/2023</v>
      </c>
      <c r="E91" s="741"/>
      <c r="F91" s="740">
        <f>+E7</f>
        <v>44926</v>
      </c>
      <c r="G91" s="740"/>
      <c r="H91" s="741"/>
    </row>
    <row r="92" spans="3:11" ht="48">
      <c r="C92" s="37" t="s">
        <v>351</v>
      </c>
      <c r="D92" s="52" t="s">
        <v>352</v>
      </c>
      <c r="E92" s="52" t="s">
        <v>353</v>
      </c>
      <c r="F92" s="52" t="s">
        <v>354</v>
      </c>
      <c r="G92" s="52"/>
      <c r="H92" s="52" t="s">
        <v>355</v>
      </c>
    </row>
    <row r="93" spans="3:11" ht="25.5" customHeight="1">
      <c r="C93" s="53" t="s">
        <v>356</v>
      </c>
      <c r="D93" s="54">
        <f>+D8</f>
        <v>7258.03</v>
      </c>
      <c r="E93" s="55">
        <f>'ESTADOS DE RESULTADOS '!E86</f>
        <v>45402324</v>
      </c>
      <c r="F93" s="56">
        <f>E8</f>
        <v>7322.9</v>
      </c>
      <c r="G93" s="56"/>
      <c r="H93" s="55">
        <f>'ESTADOS DE RESULTADOS '!F86</f>
        <v>1371296</v>
      </c>
      <c r="I93" s="303"/>
      <c r="J93" s="57"/>
      <c r="K93" s="57"/>
    </row>
    <row r="94" spans="3:11" ht="25.5" customHeight="1">
      <c r="C94" s="53" t="s">
        <v>357</v>
      </c>
      <c r="D94" s="54">
        <f>+D9</f>
        <v>7262.6</v>
      </c>
      <c r="E94" s="55">
        <v>0</v>
      </c>
      <c r="F94" s="56">
        <f>E9</f>
        <v>7339.62</v>
      </c>
      <c r="G94" s="56"/>
      <c r="H94" s="55">
        <v>0</v>
      </c>
      <c r="J94" s="101"/>
      <c r="K94" s="101"/>
    </row>
    <row r="95" spans="3:11" ht="25.5" customHeight="1">
      <c r="C95" s="53" t="s">
        <v>358</v>
      </c>
      <c r="D95" s="54">
        <f>+D93</f>
        <v>7258.03</v>
      </c>
      <c r="E95" s="55">
        <f>'ESTADOS DE RESULTADOS '!E89</f>
        <v>42840820</v>
      </c>
      <c r="F95" s="56">
        <f>F93</f>
        <v>7322.9</v>
      </c>
      <c r="G95" s="56"/>
      <c r="H95" s="55">
        <f>'ESTADOS DE RESULTADOS '!F89</f>
        <v>1219060</v>
      </c>
    </row>
    <row r="96" spans="3:11" ht="25.5" customHeight="1">
      <c r="C96" s="53" t="s">
        <v>359</v>
      </c>
      <c r="D96" s="54">
        <f>+D94</f>
        <v>7262.6</v>
      </c>
      <c r="E96" s="55">
        <v>0</v>
      </c>
      <c r="F96" s="56">
        <f>F94</f>
        <v>7339.62</v>
      </c>
      <c r="G96" s="56"/>
      <c r="H96" s="55">
        <v>0</v>
      </c>
    </row>
    <row r="97" spans="3:8">
      <c r="C97" s="51" t="s">
        <v>360</v>
      </c>
      <c r="D97" s="58"/>
      <c r="E97" s="104">
        <f>+E93-E95</f>
        <v>2561504</v>
      </c>
      <c r="F97" s="104"/>
      <c r="G97" s="104"/>
      <c r="H97" s="104">
        <f>H93-H95</f>
        <v>152236</v>
      </c>
    </row>
    <row r="98" spans="3:8">
      <c r="E98" s="304"/>
    </row>
    <row r="99" spans="3:8">
      <c r="E99" s="390">
        <f>'ESTADOS DE RESULTADOS '!E86-'ESTADOS DE RESULTADOS '!E89-E97</f>
        <v>0</v>
      </c>
      <c r="H99" s="57"/>
    </row>
  </sheetData>
  <mergeCells count="2">
    <mergeCell ref="D91:E91"/>
    <mergeCell ref="F91:H91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rgb="FF002060"/>
  </sheetPr>
  <dimension ref="B1:H71"/>
  <sheetViews>
    <sheetView showGridLines="0" topLeftCell="A22" zoomScaleNormal="100" workbookViewId="0">
      <selection activeCell="K21" sqref="K21"/>
    </sheetView>
  </sheetViews>
  <sheetFormatPr baseColWidth="10" defaultColWidth="11.44140625" defaultRowHeight="12"/>
  <cols>
    <col min="1" max="1" width="7.33203125" style="27" customWidth="1"/>
    <col min="2" max="2" width="47.6640625" style="27" customWidth="1"/>
    <col min="3" max="3" width="16.33203125" style="59" customWidth="1"/>
    <col min="4" max="4" width="14.109375" style="59" bestFit="1" customWidth="1"/>
    <col min="5" max="5" width="13.44140625" style="27" customWidth="1"/>
    <col min="6" max="6" width="14.44140625" style="41" bestFit="1" customWidth="1"/>
    <col min="7" max="7" width="9.33203125" style="27" bestFit="1" customWidth="1"/>
    <col min="8" max="8" width="7" style="27" bestFit="1" customWidth="1"/>
    <col min="9" max="9" width="12.33203125" style="27" bestFit="1" customWidth="1"/>
    <col min="10" max="16384" width="11.44140625" style="27"/>
  </cols>
  <sheetData>
    <row r="1" spans="2:8" ht="14.4">
      <c r="B1" s="176"/>
    </row>
    <row r="3" spans="2:8" ht="14.4">
      <c r="B3" s="366" t="s">
        <v>662</v>
      </c>
    </row>
    <row r="4" spans="2:8" ht="14.4">
      <c r="B4" s="365"/>
    </row>
    <row r="5" spans="2:8">
      <c r="B5" s="734" t="s">
        <v>535</v>
      </c>
      <c r="C5" s="734"/>
      <c r="D5" s="734"/>
      <c r="F5" s="60"/>
    </row>
    <row r="6" spans="2:8">
      <c r="B6" s="174"/>
      <c r="C6" s="174"/>
      <c r="D6" s="174"/>
      <c r="F6" s="60"/>
    </row>
    <row r="7" spans="2:8">
      <c r="B7" s="61" t="s">
        <v>361</v>
      </c>
      <c r="C7" s="62" t="str">
        <f>+INDICE!I2</f>
        <v>Total al  30/06/2023</v>
      </c>
      <c r="D7" s="63">
        <v>44926</v>
      </c>
      <c r="F7" s="60"/>
    </row>
    <row r="8" spans="2:8">
      <c r="B8" s="64" t="s">
        <v>362</v>
      </c>
      <c r="C8" s="65">
        <v>0</v>
      </c>
      <c r="D8" s="66">
        <v>0</v>
      </c>
      <c r="F8" s="60"/>
    </row>
    <row r="9" spans="2:8">
      <c r="B9" s="64" t="str">
        <f>+'Balance Gral 2022'!A6</f>
        <v>Bancos De Operaciones</v>
      </c>
      <c r="C9" s="71">
        <v>629257493</v>
      </c>
      <c r="D9" s="71">
        <v>323106777</v>
      </c>
      <c r="F9" s="60"/>
    </row>
    <row r="10" spans="2:8" s="152" customFormat="1" ht="13.2">
      <c r="B10" s="687" t="str">
        <f>+'Balance Gral 2022'!A7</f>
        <v>Bancos Operaciones - Moneda Extranjera</v>
      </c>
      <c r="C10" s="688">
        <v>36943953</v>
      </c>
      <c r="D10" s="688">
        <v>279665652</v>
      </c>
      <c r="F10" s="689"/>
    </row>
    <row r="11" spans="2:8" ht="13.8">
      <c r="B11" s="67" t="str">
        <f>+'Balance Gral 2022'!A8</f>
        <v>Banco Operaciones M/E</v>
      </c>
      <c r="C11" s="68">
        <v>36943953</v>
      </c>
      <c r="D11" s="68">
        <v>279665652</v>
      </c>
      <c r="F11" s="325"/>
      <c r="H11" s="70"/>
    </row>
    <row r="12" spans="2:8" s="152" customFormat="1" ht="14.4">
      <c r="B12" s="687" t="str">
        <f>+'Balance Gral 2022'!A9</f>
        <v>Bancos Operaciones - Moneda Local</v>
      </c>
      <c r="C12" s="688">
        <v>592313540</v>
      </c>
      <c r="D12" s="688">
        <v>43441126</v>
      </c>
      <c r="F12" s="691"/>
      <c r="H12" s="690"/>
    </row>
    <row r="13" spans="2:8" ht="13.8">
      <c r="B13" s="67" t="str">
        <f>+'Balance Gral 2022'!A10</f>
        <v>Banco Operaciones M/L</v>
      </c>
      <c r="C13" s="68">
        <v>592313540</v>
      </c>
      <c r="D13" s="68">
        <v>43441126</v>
      </c>
      <c r="F13" s="69"/>
      <c r="H13" s="70"/>
    </row>
    <row r="14" spans="2:8" ht="13.8">
      <c r="B14" s="64" t="str">
        <f>+'Balance Gral 2022'!A11</f>
        <v>Bancos Administrativas</v>
      </c>
      <c r="C14" s="71">
        <f>27903042+1</f>
        <v>27903043</v>
      </c>
      <c r="D14" s="71">
        <v>73391397</v>
      </c>
      <c r="F14" s="69"/>
      <c r="H14" s="70"/>
    </row>
    <row r="15" spans="2:8" ht="14.4">
      <c r="B15" s="379" t="str">
        <f>+'Balance Gral 2022'!A12</f>
        <v>Bancos Moneda Extranjera</v>
      </c>
      <c r="C15" s="380">
        <v>10566821</v>
      </c>
      <c r="D15" s="380">
        <v>10984716</v>
      </c>
      <c r="F15" s="69"/>
      <c r="H15" s="70"/>
    </row>
    <row r="16" spans="2:8" ht="13.8">
      <c r="B16" s="67" t="str">
        <f>+'Balance Gral 2022'!A13</f>
        <v>Banco Familiar SAECA - M/E</v>
      </c>
      <c r="C16" s="68">
        <v>10566821</v>
      </c>
      <c r="D16" s="68">
        <v>10984716</v>
      </c>
      <c r="F16" s="69"/>
      <c r="H16" s="70"/>
    </row>
    <row r="17" spans="2:8" ht="14.4">
      <c r="B17" s="379" t="str">
        <f>+'Balance Gral 2022'!A14</f>
        <v>Bancos Moneda Local</v>
      </c>
      <c r="C17" s="380">
        <f>17336221</f>
        <v>17336221</v>
      </c>
      <c r="D17" s="380">
        <v>62406681</v>
      </c>
      <c r="F17" s="69"/>
      <c r="H17" s="70"/>
    </row>
    <row r="18" spans="2:8" ht="13.8">
      <c r="B18" s="67" t="s">
        <v>956</v>
      </c>
      <c r="C18" s="68">
        <v>5000000</v>
      </c>
      <c r="D18" s="68">
        <v>2369784</v>
      </c>
      <c r="F18" s="69"/>
      <c r="H18" s="70"/>
    </row>
    <row r="19" spans="2:8" ht="14.4">
      <c r="B19" s="381" t="s">
        <v>957</v>
      </c>
      <c r="C19" s="382">
        <v>12336221</v>
      </c>
      <c r="D19" s="382">
        <v>60036897</v>
      </c>
      <c r="F19" s="69"/>
      <c r="H19" s="70"/>
    </row>
    <row r="20" spans="2:8">
      <c r="B20" s="64" t="s">
        <v>363</v>
      </c>
      <c r="C20" s="71">
        <f>+C9+C14</f>
        <v>657160536</v>
      </c>
      <c r="D20" s="71">
        <f>+D9+D14</f>
        <v>396498174</v>
      </c>
      <c r="F20" s="27"/>
    </row>
    <row r="21" spans="2:8">
      <c r="F21" s="27"/>
    </row>
    <row r="22" spans="2:8">
      <c r="C22" s="59">
        <f>+C20-'BALANCE GRAL'!D13</f>
        <v>0</v>
      </c>
      <c r="D22" s="59">
        <f>+D20-'BALANCE GRAL'!E13</f>
        <v>0</v>
      </c>
      <c r="F22" s="27"/>
    </row>
    <row r="23" spans="2:8">
      <c r="B23" s="160" t="s">
        <v>726</v>
      </c>
      <c r="F23" s="27"/>
    </row>
    <row r="24" spans="2:8">
      <c r="F24" s="27"/>
    </row>
    <row r="25" spans="2:8">
      <c r="B25" s="152" t="s">
        <v>707</v>
      </c>
      <c r="F25" s="27"/>
    </row>
    <row r="26" spans="2:8">
      <c r="B26" s="105" t="s">
        <v>708</v>
      </c>
      <c r="C26" s="167" t="s">
        <v>709</v>
      </c>
      <c r="D26" s="444" t="str">
        <f>+C7</f>
        <v>Total al  30/06/2023</v>
      </c>
      <c r="E26" s="444">
        <f>+D7</f>
        <v>44926</v>
      </c>
      <c r="F26" s="27"/>
    </row>
    <row r="27" spans="2:8">
      <c r="B27" s="35" t="s">
        <v>1075</v>
      </c>
      <c r="C27" s="55" t="s">
        <v>710</v>
      </c>
      <c r="D27" s="55">
        <f>'[7]10.ListadoCuentaBancaria Gs'!$E$8</f>
        <v>31423495</v>
      </c>
      <c r="E27" s="55">
        <v>2163504</v>
      </c>
    </row>
    <row r="28" spans="2:8">
      <c r="B28" s="35" t="s">
        <v>1076</v>
      </c>
      <c r="C28" s="55">
        <v>700703295</v>
      </c>
      <c r="D28" s="55">
        <f>'[7]10.ListadoCuentaBancaria Gs'!$E$9</f>
        <v>539646623</v>
      </c>
      <c r="E28" s="55">
        <v>11544427</v>
      </c>
    </row>
    <row r="29" spans="2:8">
      <c r="B29" s="35" t="s">
        <v>1077</v>
      </c>
      <c r="C29" s="55">
        <v>230374</v>
      </c>
      <c r="D29" s="55">
        <f>'[7]10.ListadoCuentaBancaria Gs'!$E$10</f>
        <v>1060010</v>
      </c>
      <c r="E29" s="55">
        <v>1197500</v>
      </c>
    </row>
    <row r="30" spans="2:8">
      <c r="B30" s="35" t="s">
        <v>1078</v>
      </c>
      <c r="C30" s="55">
        <v>12325345101</v>
      </c>
      <c r="D30" s="55">
        <f>'[7]10.ListadoCuentaBancaria Gs'!$E$12</f>
        <v>2276610</v>
      </c>
      <c r="E30" s="55">
        <v>909719</v>
      </c>
    </row>
    <row r="31" spans="2:8">
      <c r="B31" s="35" t="s">
        <v>712</v>
      </c>
      <c r="C31" s="55">
        <v>1405560</v>
      </c>
      <c r="D31" s="55">
        <v>0</v>
      </c>
      <c r="E31" s="55">
        <v>503330</v>
      </c>
    </row>
    <row r="32" spans="2:8">
      <c r="B32" s="35" t="s">
        <v>713</v>
      </c>
      <c r="C32" s="55">
        <v>193101131</v>
      </c>
      <c r="D32" s="55">
        <f>'[7]10.ListadoCuentaBancaria Gs'!$E$14</f>
        <v>1001123</v>
      </c>
      <c r="E32" s="55">
        <v>26016314</v>
      </c>
    </row>
    <row r="33" spans="2:5">
      <c r="B33" s="35" t="s">
        <v>1079</v>
      </c>
      <c r="C33" s="55">
        <v>131002689</v>
      </c>
      <c r="D33" s="55">
        <f>'[7]10.ListadoCuentaBancaria Gs'!$E$15</f>
        <v>0</v>
      </c>
      <c r="E33" s="55">
        <v>0</v>
      </c>
    </row>
    <row r="34" spans="2:5">
      <c r="B34" s="35" t="s">
        <v>1080</v>
      </c>
      <c r="C34" s="55">
        <v>188634</v>
      </c>
      <c r="D34" s="55">
        <f>'[7]10.ListadoCuentaBancaria Gs'!$E$16</f>
        <v>1007292</v>
      </c>
      <c r="E34" s="55">
        <v>101698</v>
      </c>
    </row>
    <row r="35" spans="2:5">
      <c r="B35" s="35" t="s">
        <v>1081</v>
      </c>
      <c r="C35" s="55" t="s">
        <v>988</v>
      </c>
      <c r="D35" s="55">
        <f>'[7]10.ListadoCuentaBancaria Gs'!$E$17-3</f>
        <v>1010755</v>
      </c>
      <c r="E35" s="55">
        <v>1004634</v>
      </c>
    </row>
    <row r="36" spans="2:5">
      <c r="B36" s="35" t="s">
        <v>1082</v>
      </c>
      <c r="C36" s="692">
        <v>61980920</v>
      </c>
      <c r="D36" s="55">
        <v>6225800</v>
      </c>
      <c r="E36" s="55"/>
    </row>
    <row r="37" spans="2:5">
      <c r="B37" s="35" t="s">
        <v>1083</v>
      </c>
      <c r="C37" s="55">
        <v>4628715</v>
      </c>
      <c r="D37" s="55">
        <v>3583808</v>
      </c>
      <c r="E37" s="55"/>
    </row>
    <row r="38" spans="2:5">
      <c r="B38" s="35" t="s">
        <v>1084</v>
      </c>
      <c r="C38" s="55">
        <v>16665756</v>
      </c>
      <c r="D38" s="55">
        <v>5078024</v>
      </c>
      <c r="E38" s="55"/>
    </row>
    <row r="39" spans="2:5">
      <c r="B39" s="51" t="s">
        <v>459</v>
      </c>
      <c r="C39" s="167"/>
      <c r="D39" s="104">
        <f>SUM(D27:D38)</f>
        <v>592313540</v>
      </c>
      <c r="E39" s="104">
        <f>SUM(E27:E35)</f>
        <v>43441126</v>
      </c>
    </row>
    <row r="40" spans="2:5">
      <c r="B40" s="152" t="s">
        <v>364</v>
      </c>
      <c r="C40" s="383"/>
      <c r="D40" s="587">
        <f>D39-C12</f>
        <v>0</v>
      </c>
      <c r="E40" s="587">
        <f>+E39-'Balance Gral 2022'!G10-E39</f>
        <v>0</v>
      </c>
    </row>
    <row r="41" spans="2:5">
      <c r="B41" s="152" t="s">
        <v>714</v>
      </c>
      <c r="C41" s="639" t="s">
        <v>1023</v>
      </c>
      <c r="D41" s="640">
        <f>'NOTA 5 A-C CRITERIOS ESPECIF.'!D8</f>
        <v>7258.03</v>
      </c>
      <c r="E41" s="239"/>
    </row>
    <row r="42" spans="2:5">
      <c r="B42" s="105" t="s">
        <v>708</v>
      </c>
      <c r="C42" s="167" t="s">
        <v>709</v>
      </c>
      <c r="D42" s="445" t="str">
        <f>+D26</f>
        <v>Total al  30/06/2023</v>
      </c>
      <c r="E42" s="445">
        <f>+E26</f>
        <v>44926</v>
      </c>
    </row>
    <row r="43" spans="2:5">
      <c r="B43" s="35" t="s">
        <v>711</v>
      </c>
      <c r="C43" s="168">
        <f>+D43*$D$41</f>
        <v>21055980.511799999</v>
      </c>
      <c r="D43" s="662">
        <v>2901.06</v>
      </c>
      <c r="E43" s="662">
        <v>34260.449999999997</v>
      </c>
    </row>
    <row r="44" spans="2:5">
      <c r="B44" s="35" t="s">
        <v>712</v>
      </c>
      <c r="C44" s="168">
        <f t="shared" ref="C44:C46" si="0">+D44*$D$41</f>
        <v>0</v>
      </c>
      <c r="D44" s="662">
        <v>0</v>
      </c>
      <c r="E44" s="662">
        <v>2719.25</v>
      </c>
    </row>
    <row r="45" spans="2:5">
      <c r="B45" s="35" t="s">
        <v>713</v>
      </c>
      <c r="C45" s="168">
        <f t="shared" si="0"/>
        <v>15162169.830599999</v>
      </c>
      <c r="D45" s="662">
        <v>2089.02</v>
      </c>
      <c r="E45" s="662">
        <v>1110.8599999999999</v>
      </c>
    </row>
    <row r="46" spans="2:5">
      <c r="B46" s="35" t="s">
        <v>958</v>
      </c>
      <c r="C46" s="168">
        <f t="shared" si="0"/>
        <v>725803</v>
      </c>
      <c r="D46" s="662">
        <v>100</v>
      </c>
      <c r="E46" s="662">
        <v>100</v>
      </c>
    </row>
    <row r="47" spans="2:5">
      <c r="B47" s="51" t="s">
        <v>459</v>
      </c>
      <c r="C47" s="638">
        <f>SUM(C43:C46)</f>
        <v>36943953.342399999</v>
      </c>
      <c r="D47" s="630">
        <f>SUM(D43:D46)</f>
        <v>5090.08</v>
      </c>
      <c r="E47" s="630">
        <f>SUM(E43:E46)</f>
        <v>38190.559999999998</v>
      </c>
    </row>
    <row r="48" spans="2:5">
      <c r="B48" s="27" t="s">
        <v>364</v>
      </c>
      <c r="D48" s="641">
        <f>+C11-C47</f>
        <v>-0.34239999949932098</v>
      </c>
      <c r="E48" s="641"/>
    </row>
    <row r="49" spans="2:2">
      <c r="B49" s="27" t="s">
        <v>364</v>
      </c>
    </row>
    <row r="50" spans="2:2">
      <c r="B50" s="27" t="s">
        <v>364</v>
      </c>
    </row>
    <row r="51" spans="2:2">
      <c r="B51" s="27" t="s">
        <v>364</v>
      </c>
    </row>
    <row r="52" spans="2:2">
      <c r="B52" s="27" t="s">
        <v>364</v>
      </c>
    </row>
    <row r="53" spans="2:2">
      <c r="B53" s="27" t="s">
        <v>364</v>
      </c>
    </row>
    <row r="70" spans="5:5">
      <c r="E70" s="27" t="s">
        <v>364</v>
      </c>
    </row>
    <row r="71" spans="5:5">
      <c r="E71" s="27" t="s">
        <v>364</v>
      </c>
    </row>
  </sheetData>
  <autoFilter ref="B7:D20" xr:uid="{00000000-0001-0000-0700-000000000000}"/>
  <mergeCells count="1">
    <mergeCell ref="B5:D5"/>
  </mergeCells>
  <hyperlinks>
    <hyperlink ref="B3" location="'BALANCE GRAL 30_09_22'!A1" display="d)       Disponibilidades" xr:uid="{83B31589-9BBC-451F-A7E8-85EE38AD545F}"/>
  </hyperlink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774D3-6D10-4ADE-8524-0CAA1A0E8326}">
  <sheetPr>
    <tabColor rgb="FF002060"/>
  </sheetPr>
  <dimension ref="C1:O87"/>
  <sheetViews>
    <sheetView showGridLines="0" topLeftCell="A52" zoomScaleNormal="100" workbookViewId="0">
      <selection activeCell="A86" sqref="A86"/>
    </sheetView>
  </sheetViews>
  <sheetFormatPr baseColWidth="10" defaultColWidth="11.44140625" defaultRowHeight="12"/>
  <cols>
    <col min="1" max="1" width="4.44140625" style="27" customWidth="1"/>
    <col min="2" max="2" width="5.6640625" style="27" customWidth="1"/>
    <col min="3" max="3" width="50.109375" style="27" customWidth="1"/>
    <col min="4" max="4" width="15" style="27" bestFit="1" customWidth="1"/>
    <col min="5" max="5" width="19.44140625" style="72" bestFit="1" customWidth="1"/>
    <col min="6" max="7" width="17.44140625" style="72" bestFit="1" customWidth="1"/>
    <col min="8" max="8" width="17.88671875" style="72" bestFit="1" customWidth="1"/>
    <col min="9" max="9" width="16.88671875" style="72" bestFit="1" customWidth="1"/>
    <col min="10" max="10" width="18.44140625" style="72" bestFit="1" customWidth="1"/>
    <col min="11" max="12" width="11.44140625" style="27"/>
    <col min="13" max="15" width="11.44140625" style="41"/>
    <col min="16" max="16384" width="11.44140625" style="27"/>
  </cols>
  <sheetData>
    <row r="1" spans="3:10">
      <c r="C1" s="374"/>
    </row>
    <row r="3" spans="3:10" ht="14.4">
      <c r="C3" s="366" t="s">
        <v>840</v>
      </c>
    </row>
    <row r="5" spans="3:10">
      <c r="C5" s="745" t="s">
        <v>365</v>
      </c>
      <c r="D5" s="746"/>
      <c r="E5" s="746"/>
      <c r="F5" s="746"/>
      <c r="G5" s="747"/>
      <c r="H5" s="745" t="s">
        <v>841</v>
      </c>
      <c r="I5" s="746"/>
      <c r="J5" s="747"/>
    </row>
    <row r="6" spans="3:10">
      <c r="C6" s="745" t="s">
        <v>366</v>
      </c>
      <c r="D6" s="746"/>
      <c r="E6" s="746"/>
      <c r="F6" s="746"/>
      <c r="G6" s="746"/>
      <c r="H6" s="746"/>
      <c r="I6" s="746"/>
      <c r="J6" s="747"/>
    </row>
    <row r="7" spans="3:10">
      <c r="C7" s="430"/>
      <c r="D7" s="400" t="s">
        <v>367</v>
      </c>
      <c r="E7" s="347" t="s">
        <v>368</v>
      </c>
      <c r="F7" s="347" t="s">
        <v>369</v>
      </c>
      <c r="G7" s="347" t="s">
        <v>369</v>
      </c>
      <c r="H7" s="748" t="s">
        <v>263</v>
      </c>
      <c r="I7" s="748" t="s">
        <v>370</v>
      </c>
      <c r="J7" s="748" t="s">
        <v>371</v>
      </c>
    </row>
    <row r="8" spans="3:10">
      <c r="C8" s="46" t="s">
        <v>372</v>
      </c>
      <c r="D8" s="73" t="s">
        <v>373</v>
      </c>
      <c r="E8" s="401" t="s">
        <v>374</v>
      </c>
      <c r="F8" s="401" t="s">
        <v>375</v>
      </c>
      <c r="G8" s="401" t="s">
        <v>376</v>
      </c>
      <c r="H8" s="749"/>
      <c r="I8" s="749"/>
      <c r="J8" s="749"/>
    </row>
    <row r="9" spans="3:10">
      <c r="C9" s="588" t="s">
        <v>381</v>
      </c>
      <c r="D9" s="589"/>
      <c r="E9" s="590">
        <f>+E23+E10+E29+E33+E26</f>
        <v>8171</v>
      </c>
      <c r="F9" s="590">
        <f>+F23+F10+F29+F33+F26</f>
        <v>8659240000</v>
      </c>
      <c r="G9" s="590">
        <f>+G23+G10+G29+G33+G26</f>
        <v>8893925808</v>
      </c>
      <c r="H9" s="750"/>
      <c r="I9" s="750"/>
      <c r="J9" s="750"/>
    </row>
    <row r="10" spans="3:10">
      <c r="C10" s="431" t="s">
        <v>960</v>
      </c>
      <c r="D10" s="400"/>
      <c r="E10" s="347">
        <f>SUM(E11:E21)</f>
        <v>760</v>
      </c>
      <c r="F10" s="347">
        <f>SUM(F11:F21)</f>
        <v>760000000</v>
      </c>
      <c r="G10" s="347">
        <f>SUM(G11:G21)</f>
        <v>760000000</v>
      </c>
      <c r="H10" s="433"/>
      <c r="I10" s="434"/>
      <c r="J10" s="434"/>
    </row>
    <row r="11" spans="3:10">
      <c r="C11" s="47" t="s">
        <v>1043</v>
      </c>
      <c r="D11" s="47" t="s">
        <v>1085</v>
      </c>
      <c r="E11" s="448">
        <v>22</v>
      </c>
      <c r="F11" s="310">
        <v>22000000</v>
      </c>
      <c r="G11" s="310">
        <v>22000000</v>
      </c>
      <c r="H11" s="74">
        <v>213840000000</v>
      </c>
      <c r="I11" s="432">
        <v>208845083553</v>
      </c>
      <c r="J11" s="432">
        <v>465641409354</v>
      </c>
    </row>
    <row r="12" spans="3:10">
      <c r="C12" s="47" t="s">
        <v>1052</v>
      </c>
      <c r="D12" s="47" t="s">
        <v>1045</v>
      </c>
      <c r="E12" s="448">
        <v>77</v>
      </c>
      <c r="F12" s="310">
        <v>77000000</v>
      </c>
      <c r="G12" s="310">
        <v>77000000</v>
      </c>
      <c r="H12" s="74">
        <v>636107132915</v>
      </c>
      <c r="I12" s="432">
        <v>315108784133</v>
      </c>
      <c r="J12" s="432">
        <v>996268953311</v>
      </c>
    </row>
    <row r="13" spans="3:10">
      <c r="C13" s="47" t="s">
        <v>1044</v>
      </c>
      <c r="D13" s="47" t="s">
        <v>1045</v>
      </c>
      <c r="E13" s="448">
        <v>42</v>
      </c>
      <c r="F13" s="310">
        <v>42000000</v>
      </c>
      <c r="G13" s="310">
        <v>42000000</v>
      </c>
      <c r="H13" s="74">
        <v>2199709144782</v>
      </c>
      <c r="I13" s="432">
        <v>2309217837549</v>
      </c>
      <c r="J13" s="432">
        <v>4774593801896</v>
      </c>
    </row>
    <row r="14" spans="3:10">
      <c r="C14" s="47" t="s">
        <v>1086</v>
      </c>
      <c r="D14" s="47" t="s">
        <v>1085</v>
      </c>
      <c r="E14" s="448">
        <v>15</v>
      </c>
      <c r="F14" s="310">
        <v>15000000</v>
      </c>
      <c r="G14" s="310">
        <v>15000000</v>
      </c>
      <c r="H14" s="74">
        <v>20000000000</v>
      </c>
      <c r="I14" s="432">
        <v>5133196983</v>
      </c>
      <c r="J14" s="432">
        <v>160012701472</v>
      </c>
    </row>
    <row r="15" spans="3:10">
      <c r="C15" s="47" t="s">
        <v>1046</v>
      </c>
      <c r="D15" s="47" t="s">
        <v>1085</v>
      </c>
      <c r="E15" s="448">
        <v>213</v>
      </c>
      <c r="F15" s="310">
        <v>213000000</v>
      </c>
      <c r="G15" s="310">
        <v>213000000</v>
      </c>
      <c r="H15" s="74">
        <v>387101925000</v>
      </c>
      <c r="I15" s="432">
        <v>-199803196508.28998</v>
      </c>
      <c r="J15" s="432">
        <v>219777995286.71002</v>
      </c>
    </row>
    <row r="16" spans="3:10">
      <c r="C16" s="47" t="s">
        <v>1047</v>
      </c>
      <c r="D16" s="47" t="s">
        <v>1085</v>
      </c>
      <c r="E16" s="448">
        <v>9</v>
      </c>
      <c r="F16" s="310">
        <v>9000000</v>
      </c>
      <c r="G16" s="310">
        <v>9000000</v>
      </c>
      <c r="H16" s="74">
        <v>20742309371</v>
      </c>
      <c r="I16" s="432">
        <v>1265733160</v>
      </c>
      <c r="J16" s="432">
        <v>26722437573</v>
      </c>
    </row>
    <row r="17" spans="3:15">
      <c r="C17" s="47" t="s">
        <v>1048</v>
      </c>
      <c r="D17" s="47" t="s">
        <v>1085</v>
      </c>
      <c r="E17" s="448">
        <v>19</v>
      </c>
      <c r="F17" s="310">
        <v>19000000</v>
      </c>
      <c r="G17" s="310">
        <v>19000000</v>
      </c>
      <c r="H17" s="74">
        <v>50000000000</v>
      </c>
      <c r="I17" s="432">
        <v>5153941338</v>
      </c>
      <c r="J17" s="432">
        <v>57332950443</v>
      </c>
    </row>
    <row r="18" spans="3:15">
      <c r="C18" s="47" t="s">
        <v>1049</v>
      </c>
      <c r="D18" s="47" t="s">
        <v>1085</v>
      </c>
      <c r="E18" s="448">
        <v>191</v>
      </c>
      <c r="F18" s="310">
        <v>191000000</v>
      </c>
      <c r="G18" s="310">
        <v>191000000</v>
      </c>
      <c r="H18" s="74">
        <v>146400000000</v>
      </c>
      <c r="I18" s="432">
        <v>676556000000</v>
      </c>
      <c r="J18" s="432">
        <v>968833000000</v>
      </c>
    </row>
    <row r="19" spans="3:15">
      <c r="C19" s="47" t="s">
        <v>1050</v>
      </c>
      <c r="D19" s="47" t="s">
        <v>1085</v>
      </c>
      <c r="E19" s="448">
        <v>96</v>
      </c>
      <c r="F19" s="310">
        <v>96000000</v>
      </c>
      <c r="G19" s="310">
        <v>96000000</v>
      </c>
      <c r="H19" s="74">
        <v>50700000000</v>
      </c>
      <c r="I19" s="432">
        <v>4076874060</v>
      </c>
      <c r="J19" s="432">
        <v>61391511970</v>
      </c>
    </row>
    <row r="20" spans="3:15">
      <c r="C20" s="47" t="s">
        <v>1051</v>
      </c>
      <c r="D20" s="47" t="s">
        <v>1085</v>
      </c>
      <c r="E20" s="448">
        <v>76</v>
      </c>
      <c r="F20" s="310">
        <v>76000000</v>
      </c>
      <c r="G20" s="310">
        <v>76000000</v>
      </c>
      <c r="H20" s="74">
        <v>327245000000</v>
      </c>
      <c r="I20" s="432">
        <v>80872000000</v>
      </c>
      <c r="J20" s="432">
        <v>613554000000</v>
      </c>
    </row>
    <row r="21" spans="3:15">
      <c r="C21" s="47"/>
      <c r="D21" s="47"/>
      <c r="E21" s="448"/>
      <c r="F21" s="310"/>
      <c r="G21" s="310"/>
      <c r="H21" s="74"/>
      <c r="I21" s="432"/>
      <c r="J21" s="432"/>
    </row>
    <row r="22" spans="3:15">
      <c r="C22" s="47"/>
      <c r="D22" s="47"/>
      <c r="E22" s="448"/>
      <c r="F22" s="310"/>
      <c r="G22" s="310"/>
      <c r="H22" s="74"/>
      <c r="I22" s="432"/>
      <c r="J22" s="432"/>
    </row>
    <row r="23" spans="3:15">
      <c r="C23" s="431" t="s">
        <v>961</v>
      </c>
      <c r="D23" s="400"/>
      <c r="E23" s="347">
        <f>SUM(E24)</f>
        <v>1</v>
      </c>
      <c r="F23" s="347">
        <f t="shared" ref="F23:G23" si="0">SUM(F24)</f>
        <v>600000000</v>
      </c>
      <c r="G23" s="347">
        <f t="shared" si="0"/>
        <v>600000000</v>
      </c>
      <c r="H23" s="433"/>
      <c r="I23" s="434"/>
      <c r="J23" s="434"/>
    </row>
    <row r="24" spans="3:15">
      <c r="C24" s="47" t="s">
        <v>1052</v>
      </c>
      <c r="D24" s="47" t="s">
        <v>377</v>
      </c>
      <c r="E24" s="448">
        <v>1</v>
      </c>
      <c r="F24" s="310">
        <v>600000000</v>
      </c>
      <c r="G24" s="310">
        <v>600000000</v>
      </c>
      <c r="H24" s="74">
        <v>636107132915</v>
      </c>
      <c r="I24" s="432">
        <v>315108784133</v>
      </c>
      <c r="J24" s="432">
        <v>996268953311</v>
      </c>
    </row>
    <row r="25" spans="3:15">
      <c r="C25" s="47"/>
      <c r="D25" s="47"/>
      <c r="E25" s="448"/>
      <c r="F25" s="310"/>
      <c r="G25" s="310"/>
      <c r="H25" s="74"/>
      <c r="I25" s="432"/>
      <c r="J25" s="432"/>
    </row>
    <row r="26" spans="3:15" s="152" customFormat="1">
      <c r="C26" s="431" t="s">
        <v>1088</v>
      </c>
      <c r="D26" s="46"/>
      <c r="E26" s="694">
        <f>SUM(E27:E28)</f>
        <v>156</v>
      </c>
      <c r="F26" s="695">
        <f t="shared" ref="F26:G26" si="1">SUM(F27:F28)</f>
        <v>45240000</v>
      </c>
      <c r="G26" s="695">
        <f t="shared" si="1"/>
        <v>45240000</v>
      </c>
      <c r="H26" s="696"/>
      <c r="I26" s="697"/>
      <c r="J26" s="697"/>
      <c r="M26" s="698"/>
      <c r="N26" s="698"/>
      <c r="O26" s="698"/>
    </row>
    <row r="27" spans="3:15">
      <c r="C27" s="47" t="s">
        <v>1087</v>
      </c>
      <c r="D27" s="47" t="s">
        <v>842</v>
      </c>
      <c r="E27" s="448">
        <v>156</v>
      </c>
      <c r="F27" s="310">
        <v>45240000</v>
      </c>
      <c r="G27" s="310">
        <v>45240000</v>
      </c>
      <c r="H27" s="74">
        <v>2316639128610</v>
      </c>
      <c r="I27" s="432">
        <v>179165229957.48001</v>
      </c>
      <c r="J27" s="432">
        <v>4238328667989</v>
      </c>
    </row>
    <row r="28" spans="3:15">
      <c r="C28" s="47"/>
      <c r="D28" s="47"/>
      <c r="E28" s="448"/>
      <c r="F28" s="310"/>
      <c r="G28" s="310"/>
      <c r="H28" s="433"/>
      <c r="I28" s="693"/>
      <c r="J28" s="693"/>
    </row>
    <row r="29" spans="3:15">
      <c r="C29" s="642" t="s">
        <v>962</v>
      </c>
      <c r="D29" s="643"/>
      <c r="E29" s="644">
        <f>SUM(E30:E31)</f>
        <v>7254</v>
      </c>
      <c r="F29" s="644">
        <f t="shared" ref="F29:G29" si="2">SUM(F30:F31)</f>
        <v>7254000000</v>
      </c>
      <c r="G29" s="644">
        <f t="shared" si="2"/>
        <v>7254000000</v>
      </c>
      <c r="H29" s="433"/>
      <c r="I29" s="434"/>
      <c r="J29" s="434"/>
    </row>
    <row r="30" spans="3:15">
      <c r="C30" s="47" t="s">
        <v>1049</v>
      </c>
      <c r="D30" s="47" t="s">
        <v>1085</v>
      </c>
      <c r="E30" s="448">
        <v>4809</v>
      </c>
      <c r="F30" s="310">
        <v>4809000000</v>
      </c>
      <c r="G30" s="310">
        <v>4809000000</v>
      </c>
      <c r="H30" s="76">
        <v>146400000000</v>
      </c>
      <c r="I30" s="76">
        <v>676556000000</v>
      </c>
      <c r="J30" s="76">
        <v>968833000000</v>
      </c>
    </row>
    <row r="31" spans="3:15">
      <c r="C31" s="47" t="s">
        <v>1051</v>
      </c>
      <c r="D31" s="47" t="s">
        <v>1085</v>
      </c>
      <c r="E31" s="448">
        <v>2445</v>
      </c>
      <c r="F31" s="310">
        <v>2445000000</v>
      </c>
      <c r="G31" s="310">
        <v>2445000000</v>
      </c>
      <c r="H31" s="76">
        <v>327245000000</v>
      </c>
      <c r="I31" s="76">
        <v>80872000000</v>
      </c>
      <c r="J31" s="76">
        <v>613554000000</v>
      </c>
    </row>
    <row r="32" spans="3:15">
      <c r="C32" s="47"/>
      <c r="D32" s="47"/>
      <c r="E32" s="448"/>
      <c r="F32" s="310"/>
      <c r="G32" s="310"/>
      <c r="H32" s="74"/>
      <c r="I32" s="432"/>
      <c r="J32" s="432"/>
    </row>
    <row r="33" spans="3:10">
      <c r="C33" s="642" t="s">
        <v>964</v>
      </c>
      <c r="D33" s="643"/>
      <c r="E33" s="644"/>
      <c r="F33" s="644">
        <f>+F34</f>
        <v>0</v>
      </c>
      <c r="G33" s="644">
        <f>+G34</f>
        <v>234685808</v>
      </c>
      <c r="H33" s="76"/>
      <c r="I33" s="76"/>
      <c r="J33" s="76"/>
    </row>
    <row r="34" spans="3:10">
      <c r="C34" s="349" t="s">
        <v>963</v>
      </c>
      <c r="D34" s="349"/>
      <c r="E34" s="384"/>
      <c r="F34" s="350"/>
      <c r="G34" s="350">
        <f>'[7]Balance Gral'!$B$29+'[7]Balance Gral'!$B$26</f>
        <v>234685808</v>
      </c>
      <c r="H34" s="76"/>
      <c r="I34" s="76"/>
      <c r="J34" s="76"/>
    </row>
    <row r="35" spans="3:10">
      <c r="C35" s="349"/>
      <c r="D35" s="349"/>
      <c r="E35" s="384"/>
      <c r="F35" s="350"/>
      <c r="G35" s="350"/>
      <c r="H35" s="76"/>
      <c r="I35" s="76"/>
      <c r="J35" s="76"/>
    </row>
    <row r="36" spans="3:10">
      <c r="C36" s="588" t="s">
        <v>382</v>
      </c>
      <c r="D36" s="589"/>
      <c r="E36" s="590">
        <f>SUM(E37:E37)</f>
        <v>1</v>
      </c>
      <c r="F36" s="590">
        <f>SUM(F37:F37)</f>
        <v>200000000</v>
      </c>
      <c r="G36" s="590">
        <f>SUM(G37:G37)</f>
        <v>1003000000</v>
      </c>
      <c r="H36" s="433"/>
      <c r="I36" s="434"/>
      <c r="J36" s="434"/>
    </row>
    <row r="37" spans="3:10">
      <c r="C37" s="349" t="s">
        <v>1053</v>
      </c>
      <c r="D37" s="349" t="s">
        <v>842</v>
      </c>
      <c r="E37" s="384">
        <v>1</v>
      </c>
      <c r="F37" s="350">
        <v>200000000</v>
      </c>
      <c r="G37" s="350">
        <v>1003000000</v>
      </c>
      <c r="H37" s="76">
        <v>9000000000</v>
      </c>
      <c r="I37" s="76">
        <v>5351780515</v>
      </c>
      <c r="J37" s="76">
        <v>28122272234</v>
      </c>
    </row>
    <row r="38" spans="3:10">
      <c r="C38" s="742" t="str">
        <f>INDICE!I2</f>
        <v>Total al  30/06/2023</v>
      </c>
      <c r="D38" s="743"/>
      <c r="E38" s="743"/>
      <c r="F38" s="77">
        <f>+F9+F36</f>
        <v>8859240000</v>
      </c>
      <c r="G38" s="77">
        <f>+G9+G36</f>
        <v>9896925808</v>
      </c>
      <c r="H38" s="435"/>
      <c r="I38" s="436"/>
      <c r="J38" s="436"/>
    </row>
    <row r="39" spans="3:10">
      <c r="C39" s="742" t="str">
        <f>INDICE!J2</f>
        <v>Total al  30/12/2022</v>
      </c>
      <c r="D39" s="743"/>
      <c r="E39" s="743"/>
      <c r="F39" s="78">
        <v>9232000000</v>
      </c>
      <c r="G39" s="78">
        <v>10055471404.379999</v>
      </c>
      <c r="H39" s="437"/>
      <c r="I39" s="83"/>
      <c r="J39" s="83"/>
    </row>
    <row r="40" spans="3:10">
      <c r="C40" s="79"/>
      <c r="D40" s="80"/>
      <c r="E40" s="81"/>
      <c r="F40" s="82"/>
      <c r="G40" s="82">
        <f>+G9-'BALANCE GRAL'!D20</f>
        <v>0</v>
      </c>
      <c r="H40" s="83"/>
      <c r="I40" s="83"/>
      <c r="J40" s="83"/>
    </row>
    <row r="41" spans="3:10">
      <c r="C41" s="84"/>
      <c r="D41" s="85"/>
      <c r="E41" s="86"/>
      <c r="F41" s="82"/>
      <c r="G41" s="86">
        <f>+G36-'BALANCE GRAL'!D47</f>
        <v>0</v>
      </c>
      <c r="H41" s="86"/>
      <c r="I41" s="86"/>
      <c r="J41" s="86"/>
    </row>
    <row r="42" spans="3:10" ht="12.6" thickBot="1">
      <c r="C42" s="84"/>
      <c r="D42" s="85"/>
      <c r="E42" s="86"/>
      <c r="F42" s="82"/>
      <c r="G42" s="86"/>
      <c r="H42" s="86"/>
      <c r="I42" s="86"/>
      <c r="J42" s="86"/>
    </row>
    <row r="43" spans="3:10" ht="24">
      <c r="C43" s="594" t="s">
        <v>267</v>
      </c>
      <c r="D43" s="595" t="s">
        <v>618</v>
      </c>
      <c r="E43" s="595" t="s">
        <v>380</v>
      </c>
      <c r="F43" s="595" t="s">
        <v>619</v>
      </c>
      <c r="G43" s="595" t="s">
        <v>620</v>
      </c>
      <c r="H43" s="86"/>
      <c r="I43" s="86"/>
      <c r="J43" s="86"/>
    </row>
    <row r="44" spans="3:10">
      <c r="C44" s="46" t="s">
        <v>621</v>
      </c>
      <c r="D44" s="439"/>
      <c r="E44" s="449"/>
      <c r="F44" s="440"/>
      <c r="G44" s="596"/>
    </row>
    <row r="45" spans="3:10">
      <c r="C45" s="354" t="s">
        <v>622</v>
      </c>
      <c r="D45" s="438">
        <f>SUM(D46:D57)</f>
        <v>8659240000</v>
      </c>
      <c r="E45" s="438">
        <f>SUM(E46:E57)</f>
        <v>8659240000</v>
      </c>
      <c r="F45" s="438"/>
      <c r="G45" s="438">
        <f>SUM(G46:G57)</f>
        <v>8772322037</v>
      </c>
    </row>
    <row r="46" spans="3:10">
      <c r="C46" s="47" t="s">
        <v>1043</v>
      </c>
      <c r="D46" s="351">
        <v>22000000</v>
      </c>
      <c r="E46" s="384">
        <v>22000000</v>
      </c>
      <c r="F46" s="352">
        <v>1000000</v>
      </c>
      <c r="G46" s="352">
        <v>22176308</v>
      </c>
    </row>
    <row r="47" spans="3:10">
      <c r="C47" s="47" t="s">
        <v>1052</v>
      </c>
      <c r="D47" s="351">
        <v>600000000</v>
      </c>
      <c r="E47" s="384">
        <v>600000000</v>
      </c>
      <c r="F47" s="352">
        <v>600000000</v>
      </c>
      <c r="G47" s="352">
        <v>600000000</v>
      </c>
    </row>
    <row r="48" spans="3:10">
      <c r="C48" s="47" t="s">
        <v>1052</v>
      </c>
      <c r="D48" s="384">
        <v>77000000</v>
      </c>
      <c r="E48" s="384">
        <v>77000000</v>
      </c>
      <c r="F48" s="352">
        <v>1000000</v>
      </c>
      <c r="G48" s="352">
        <v>77588588</v>
      </c>
    </row>
    <row r="49" spans="3:7">
      <c r="C49" s="47" t="s">
        <v>1044</v>
      </c>
      <c r="D49" s="384">
        <v>42000000</v>
      </c>
      <c r="E49" s="384">
        <v>42000000</v>
      </c>
      <c r="F49" s="352">
        <v>1000000</v>
      </c>
      <c r="G49" s="352">
        <v>38350242</v>
      </c>
    </row>
    <row r="50" spans="3:7">
      <c r="C50" s="47" t="s">
        <v>1086</v>
      </c>
      <c r="D50" s="351">
        <v>15000000</v>
      </c>
      <c r="E50" s="384">
        <v>15000000</v>
      </c>
      <c r="F50" s="352">
        <v>1000000</v>
      </c>
      <c r="G50" s="352">
        <v>15234240</v>
      </c>
    </row>
    <row r="51" spans="3:7">
      <c r="C51" s="349" t="s">
        <v>1046</v>
      </c>
      <c r="D51" s="351">
        <v>213000000</v>
      </c>
      <c r="E51" s="384">
        <v>213000000</v>
      </c>
      <c r="F51" s="352">
        <v>1000000</v>
      </c>
      <c r="G51" s="352">
        <v>206622130</v>
      </c>
    </row>
    <row r="52" spans="3:7">
      <c r="C52" s="349" t="s">
        <v>1047</v>
      </c>
      <c r="D52" s="351">
        <v>9000000</v>
      </c>
      <c r="E52" s="384">
        <v>9000000</v>
      </c>
      <c r="F52" s="352">
        <v>1000000</v>
      </c>
      <c r="G52" s="352">
        <v>9083835</v>
      </c>
    </row>
    <row r="53" spans="3:7">
      <c r="C53" s="349" t="s">
        <v>1048</v>
      </c>
      <c r="D53" s="351">
        <v>19000000</v>
      </c>
      <c r="E53" s="384">
        <v>19000000</v>
      </c>
      <c r="F53" s="352">
        <v>1000000</v>
      </c>
      <c r="G53" s="352">
        <v>19137788</v>
      </c>
    </row>
    <row r="54" spans="3:7">
      <c r="C54" s="349" t="s">
        <v>1049</v>
      </c>
      <c r="D54" s="351">
        <v>5000000000</v>
      </c>
      <c r="E54" s="384">
        <v>5000000000</v>
      </c>
      <c r="F54" s="352">
        <v>1000000</v>
      </c>
      <c r="G54" s="352">
        <v>5120550000</v>
      </c>
    </row>
    <row r="55" spans="3:7">
      <c r="C55" s="349" t="s">
        <v>1050</v>
      </c>
      <c r="D55" s="351">
        <v>96000000</v>
      </c>
      <c r="E55" s="384">
        <v>96000000</v>
      </c>
      <c r="F55" s="352">
        <v>1000000</v>
      </c>
      <c r="G55" s="352">
        <v>97881446</v>
      </c>
    </row>
    <row r="56" spans="3:7">
      <c r="C56" s="349" t="s">
        <v>1051</v>
      </c>
      <c r="D56" s="351">
        <v>2521000000</v>
      </c>
      <c r="E56" s="384">
        <v>2521000000</v>
      </c>
      <c r="F56" s="352">
        <v>1000000</v>
      </c>
      <c r="G56" s="352">
        <v>2526697460</v>
      </c>
    </row>
    <row r="57" spans="3:7">
      <c r="C57" s="699" t="s">
        <v>1089</v>
      </c>
      <c r="D57" s="700">
        <v>45240000</v>
      </c>
      <c r="E57" s="700">
        <v>45240000</v>
      </c>
      <c r="F57" s="700"/>
      <c r="G57" s="700">
        <v>39000000</v>
      </c>
    </row>
    <row r="58" spans="3:7">
      <c r="C58" s="349" t="s">
        <v>1087</v>
      </c>
      <c r="D58" s="701">
        <v>45240000</v>
      </c>
      <c r="E58" s="701">
        <v>45240000</v>
      </c>
      <c r="F58" s="702">
        <v>100000</v>
      </c>
      <c r="G58" s="702">
        <v>39000000</v>
      </c>
    </row>
    <row r="59" spans="3:7">
      <c r="C59" s="349"/>
      <c r="D59" s="701"/>
      <c r="E59" s="701"/>
      <c r="F59" s="702"/>
      <c r="G59" s="702"/>
    </row>
    <row r="60" spans="3:7">
      <c r="C60" s="349" t="s">
        <v>1024</v>
      </c>
      <c r="D60" s="351"/>
      <c r="E60" s="450">
        <f>G33</f>
        <v>234685808</v>
      </c>
      <c r="F60" s="352"/>
      <c r="G60" s="352"/>
    </row>
    <row r="61" spans="3:7">
      <c r="C61" s="349"/>
      <c r="D61" s="591"/>
      <c r="E61" s="592"/>
      <c r="F61" s="593"/>
      <c r="G61" s="597"/>
    </row>
    <row r="62" spans="3:7">
      <c r="C62" s="354" t="s">
        <v>623</v>
      </c>
      <c r="D62" s="439"/>
      <c r="E62" s="449"/>
      <c r="F62" s="440"/>
      <c r="G62" s="596"/>
    </row>
    <row r="63" spans="3:7">
      <c r="C63" s="354" t="s">
        <v>622</v>
      </c>
      <c r="D63" s="438">
        <f>SUM(D64:D64)</f>
        <v>1003000000</v>
      </c>
      <c r="E63" s="438">
        <f>SUM(E64:E64)</f>
        <v>1003000000</v>
      </c>
      <c r="F63" s="438">
        <f>SUM(F64:F64)</f>
        <v>200000000</v>
      </c>
      <c r="G63" s="438">
        <f>SUM(G64:G64)</f>
        <v>1003000000</v>
      </c>
    </row>
    <row r="64" spans="3:7">
      <c r="C64" s="349" t="s">
        <v>1053</v>
      </c>
      <c r="D64" s="351">
        <v>1003000000</v>
      </c>
      <c r="E64" s="384">
        <v>1003000000</v>
      </c>
      <c r="F64" s="352">
        <v>200000000</v>
      </c>
      <c r="G64" s="352">
        <v>1003000000</v>
      </c>
    </row>
    <row r="65" spans="3:10">
      <c r="C65" s="87" t="str">
        <f>+C38</f>
        <v>Total al  30/06/2023</v>
      </c>
      <c r="D65" s="353">
        <f>+D45+D63</f>
        <v>9662240000</v>
      </c>
      <c r="E65" s="353">
        <f>+E45+E63+E60</f>
        <v>9896925808</v>
      </c>
      <c r="F65" s="353">
        <f>+F45+F63</f>
        <v>200000000</v>
      </c>
      <c r="G65" s="353">
        <f>+G45+G63</f>
        <v>9775322037</v>
      </c>
    </row>
    <row r="66" spans="3:10">
      <c r="C66" s="663" t="str">
        <f>C39</f>
        <v>Total al  30/12/2022</v>
      </c>
      <c r="D66" s="438">
        <v>10029547616</v>
      </c>
      <c r="E66" s="450">
        <v>10055776404.379999</v>
      </c>
      <c r="F66" s="443">
        <v>812000000</v>
      </c>
      <c r="G66" s="443">
        <v>9750213988.0533333</v>
      </c>
    </row>
    <row r="69" spans="3:10" ht="12.6" thickBot="1">
      <c r="C69" s="356" t="s">
        <v>378</v>
      </c>
      <c r="D69" s="357" t="s">
        <v>379</v>
      </c>
      <c r="E69" s="358" t="s">
        <v>624</v>
      </c>
      <c r="F69" s="373"/>
    </row>
    <row r="70" spans="3:10">
      <c r="C70" s="441" t="s">
        <v>843</v>
      </c>
      <c r="D70" s="351">
        <v>200000000</v>
      </c>
      <c r="E70" s="384">
        <f>G64</f>
        <v>1003000000</v>
      </c>
      <c r="F70" s="355"/>
    </row>
    <row r="71" spans="3:10">
      <c r="C71" s="87" t="str">
        <f>+C65</f>
        <v>Total al  30/06/2023</v>
      </c>
      <c r="D71" s="353">
        <f>+D70</f>
        <v>200000000</v>
      </c>
      <c r="E71" s="353">
        <f>+E70</f>
        <v>1003000000</v>
      </c>
    </row>
    <row r="72" spans="3:10">
      <c r="C72" s="663" t="str">
        <f>C66</f>
        <v>Total al  30/12/2022</v>
      </c>
      <c r="D72" s="438">
        <v>200000000</v>
      </c>
      <c r="E72" s="450">
        <v>1002000000</v>
      </c>
    </row>
    <row r="74" spans="3:10">
      <c r="H74" s="372"/>
      <c r="I74" s="372"/>
      <c r="J74" s="372"/>
    </row>
    <row r="75" spans="3:10" ht="13.8">
      <c r="C75" s="451"/>
      <c r="H75" s="452"/>
      <c r="I75" s="453"/>
      <c r="J75" s="372"/>
    </row>
    <row r="76" spans="3:10">
      <c r="H76" s="744"/>
      <c r="I76" s="744"/>
      <c r="J76" s="744"/>
    </row>
    <row r="77" spans="3:10">
      <c r="H77" s="442"/>
      <c r="I77" s="442"/>
      <c r="J77" s="442"/>
    </row>
    <row r="78" spans="3:10">
      <c r="H78" s="372"/>
      <c r="I78" s="372"/>
      <c r="J78" s="372"/>
    </row>
    <row r="79" spans="3:10">
      <c r="H79" s="372"/>
      <c r="I79" s="372"/>
      <c r="J79" s="372"/>
    </row>
    <row r="87" spans="9:10">
      <c r="I87" s="27"/>
      <c r="J87" s="27"/>
    </row>
  </sheetData>
  <autoFilter ref="C7:G39" xr:uid="{5017627D-B59A-4FF1-98C9-A54E6C099614}"/>
  <mergeCells count="9">
    <mergeCell ref="C38:E38"/>
    <mergeCell ref="C39:E39"/>
    <mergeCell ref="H76:J76"/>
    <mergeCell ref="C5:G5"/>
    <mergeCell ref="H5:J5"/>
    <mergeCell ref="C6:J6"/>
    <mergeCell ref="H7:H9"/>
    <mergeCell ref="I7:I9"/>
    <mergeCell ref="J7:J9"/>
  </mergeCells>
  <hyperlinks>
    <hyperlink ref="C3" location="'BALANCE GRAL 30_09_22'!A1" display="e)   Inversiones  Temporales y Permanentes" xr:uid="{3219745F-FEF6-4A63-8E69-CC742E32731E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9667-0DC1-4465-B011-682B38C9428D}">
  <sheetPr>
    <tabColor rgb="FF002060"/>
  </sheetPr>
  <dimension ref="B1:H47"/>
  <sheetViews>
    <sheetView showGridLines="0" topLeftCell="A12" zoomScale="98" zoomScaleNormal="98" workbookViewId="0">
      <selection activeCell="K27" sqref="K27"/>
    </sheetView>
  </sheetViews>
  <sheetFormatPr baseColWidth="10" defaultColWidth="67.44140625" defaultRowHeight="12"/>
  <cols>
    <col min="1" max="1" width="5.33203125" style="27" customWidth="1"/>
    <col min="2" max="2" width="44" style="27" customWidth="1"/>
    <col min="3" max="3" width="17.6640625" style="90" bestFit="1" customWidth="1"/>
    <col min="4" max="4" width="21.44140625" style="90" bestFit="1" customWidth="1"/>
    <col min="5" max="5" width="10.88671875" style="27" bestFit="1" customWidth="1"/>
    <col min="6" max="6" width="13.6640625" style="27" bestFit="1" customWidth="1"/>
    <col min="7" max="7" width="22.109375" style="27" bestFit="1" customWidth="1"/>
    <col min="8" max="8" width="26" style="27" customWidth="1"/>
    <col min="9" max="16384" width="67.44140625" style="27"/>
  </cols>
  <sheetData>
    <row r="1" spans="2:8" ht="31.35" customHeight="1"/>
    <row r="3" spans="2:8" ht="14.4">
      <c r="B3" s="366" t="s">
        <v>663</v>
      </c>
    </row>
    <row r="4" spans="2:8">
      <c r="B4" s="30"/>
    </row>
    <row r="5" spans="2:8">
      <c r="B5" s="756" t="s">
        <v>850</v>
      </c>
      <c r="C5" s="756"/>
      <c r="D5" s="756"/>
    </row>
    <row r="7" spans="2:8">
      <c r="B7" s="741" t="s">
        <v>383</v>
      </c>
      <c r="C7" s="741"/>
      <c r="D7" s="741"/>
    </row>
    <row r="8" spans="2:8">
      <c r="B8" s="752" t="s">
        <v>384</v>
      </c>
      <c r="C8" s="753"/>
      <c r="D8" s="754"/>
    </row>
    <row r="9" spans="2:8">
      <c r="B9" s="37" t="s">
        <v>351</v>
      </c>
      <c r="C9" s="368" t="s">
        <v>385</v>
      </c>
      <c r="D9" s="368" t="s">
        <v>386</v>
      </c>
      <c r="E9" s="392"/>
      <c r="F9" s="392"/>
      <c r="G9" s="392"/>
      <c r="H9" s="392"/>
    </row>
    <row r="10" spans="2:8">
      <c r="B10" s="393" t="s">
        <v>636</v>
      </c>
      <c r="C10" s="91">
        <f>'[7]Balance Gral'!$B$32</f>
        <v>20512975</v>
      </c>
      <c r="D10" s="91">
        <v>0</v>
      </c>
    </row>
    <row r="11" spans="2:8">
      <c r="B11" s="393" t="s">
        <v>637</v>
      </c>
      <c r="C11" s="91">
        <f>'[7]Balance Gral'!$B$33</f>
        <v>4970226</v>
      </c>
      <c r="D11" s="91">
        <v>0</v>
      </c>
    </row>
    <row r="12" spans="2:8">
      <c r="B12" s="107" t="str">
        <f>+'NOTA E - INVERSIONES'!C65</f>
        <v>Total al  30/06/2023</v>
      </c>
      <c r="C12" s="92">
        <f>SUM(C10:C11)</f>
        <v>25483201</v>
      </c>
      <c r="D12" s="92">
        <f>SUM(D10:D11)</f>
        <v>0</v>
      </c>
      <c r="E12" s="93"/>
      <c r="F12" s="101"/>
    </row>
    <row r="13" spans="2:8">
      <c r="B13" s="107" t="str">
        <f>+'NOTA E - INVERSIONES'!C66</f>
        <v>Total al  30/12/2022</v>
      </c>
      <c r="C13" s="92">
        <f>'BALANCE GRAL'!E22</f>
        <v>16642719</v>
      </c>
      <c r="D13" s="92">
        <v>0</v>
      </c>
    </row>
    <row r="14" spans="2:8">
      <c r="B14" s="369"/>
      <c r="C14" s="94"/>
      <c r="D14" s="94"/>
      <c r="F14" s="101"/>
    </row>
    <row r="15" spans="2:8">
      <c r="B15" s="741" t="s">
        <v>81</v>
      </c>
      <c r="C15" s="741"/>
      <c r="D15" s="741"/>
    </row>
    <row r="16" spans="2:8">
      <c r="B16" s="752" t="s">
        <v>384</v>
      </c>
      <c r="C16" s="753"/>
      <c r="D16" s="754"/>
    </row>
    <row r="17" spans="2:7">
      <c r="B17" s="37" t="s">
        <v>351</v>
      </c>
      <c r="C17" s="368" t="s">
        <v>385</v>
      </c>
      <c r="D17" s="368" t="s">
        <v>386</v>
      </c>
    </row>
    <row r="18" spans="2:7">
      <c r="B18" s="393" t="s">
        <v>1090</v>
      </c>
      <c r="C18" s="359">
        <f>'[7]Balance Gral'!$B$38</f>
        <v>4971500</v>
      </c>
      <c r="D18" s="368"/>
    </row>
    <row r="19" spans="2:7">
      <c r="B19" s="393" t="s">
        <v>1025</v>
      </c>
      <c r="C19" s="359">
        <f>'[7]Balance Gral'!$B$39</f>
        <v>623000</v>
      </c>
      <c r="D19" s="368"/>
    </row>
    <row r="20" spans="2:7">
      <c r="B20" s="393" t="s">
        <v>387</v>
      </c>
      <c r="C20" s="91">
        <f>'[7]Balance Gral'!$B$36</f>
        <v>78102266</v>
      </c>
      <c r="D20" s="91">
        <v>0</v>
      </c>
      <c r="E20" s="101"/>
    </row>
    <row r="21" spans="2:7">
      <c r="B21" s="107" t="str">
        <f>+B12</f>
        <v>Total al  30/06/2023</v>
      </c>
      <c r="C21" s="92">
        <f>SUM(C18:C20)</f>
        <v>83696766</v>
      </c>
      <c r="D21" s="91">
        <v>0</v>
      </c>
      <c r="G21" s="95"/>
    </row>
    <row r="22" spans="2:7">
      <c r="B22" s="107" t="str">
        <f>+B13</f>
        <v>Total al  30/12/2022</v>
      </c>
      <c r="C22" s="92">
        <f>'BALANCE GRAL'!E23</f>
        <v>80175613</v>
      </c>
      <c r="D22" s="91">
        <v>0</v>
      </c>
    </row>
    <row r="23" spans="2:7">
      <c r="B23" s="96"/>
    </row>
    <row r="24" spans="2:7">
      <c r="B24" s="741" t="s">
        <v>87</v>
      </c>
      <c r="C24" s="741"/>
      <c r="D24" s="741"/>
    </row>
    <row r="25" spans="2:7">
      <c r="B25" s="752" t="s">
        <v>384</v>
      </c>
      <c r="C25" s="753"/>
      <c r="D25" s="754"/>
    </row>
    <row r="26" spans="2:7">
      <c r="B26" s="37" t="s">
        <v>351</v>
      </c>
      <c r="C26" s="368" t="s">
        <v>385</v>
      </c>
      <c r="D26" s="368" t="s">
        <v>386</v>
      </c>
    </row>
    <row r="27" spans="2:7">
      <c r="B27" s="393" t="str">
        <f>+B18</f>
        <v>Anticipo a Empleados - Descuento de Salarios</v>
      </c>
      <c r="C27" s="91">
        <v>0</v>
      </c>
      <c r="D27" s="91">
        <v>0</v>
      </c>
    </row>
    <row r="28" spans="2:7">
      <c r="B28" s="393" t="s">
        <v>388</v>
      </c>
      <c r="C28" s="91">
        <v>0</v>
      </c>
      <c r="D28" s="91">
        <v>0</v>
      </c>
    </row>
    <row r="29" spans="2:7">
      <c r="B29" s="393" t="s">
        <v>965</v>
      </c>
      <c r="C29" s="91">
        <f>'[7]Balance Gral'!$B$41</f>
        <v>203200000</v>
      </c>
      <c r="D29" s="91">
        <v>0</v>
      </c>
    </row>
    <row r="30" spans="2:7">
      <c r="B30" s="107" t="str">
        <f>+B12</f>
        <v>Total al  30/06/2023</v>
      </c>
      <c r="C30" s="92">
        <f>SUM(C27:C29)</f>
        <v>203200000</v>
      </c>
      <c r="D30" s="91">
        <v>0</v>
      </c>
      <c r="F30" s="27" t="s">
        <v>389</v>
      </c>
    </row>
    <row r="31" spans="2:7">
      <c r="B31" s="107" t="str">
        <f>+B22</f>
        <v>Total al  30/12/2022</v>
      </c>
      <c r="C31" s="92">
        <f>'BALANCE GRAL'!E26</f>
        <v>139920000</v>
      </c>
      <c r="D31" s="91">
        <v>0</v>
      </c>
    </row>
    <row r="32" spans="2:7">
      <c r="B32" s="96"/>
    </row>
    <row r="33" spans="2:8">
      <c r="B33" s="96"/>
      <c r="C33" s="90">
        <f>+C30+C21+C12-'BALANCE GRAL'!D29</f>
        <v>0</v>
      </c>
      <c r="F33" s="57"/>
    </row>
    <row r="34" spans="2:8">
      <c r="B34" s="96"/>
    </row>
    <row r="35" spans="2:8">
      <c r="B35" s="741" t="s">
        <v>390</v>
      </c>
      <c r="C35" s="741"/>
      <c r="D35" s="741"/>
    </row>
    <row r="36" spans="2:8">
      <c r="B36" s="751" t="s">
        <v>372</v>
      </c>
      <c r="C36" s="755" t="s">
        <v>391</v>
      </c>
      <c r="D36" s="755" t="s">
        <v>392</v>
      </c>
      <c r="E36" s="37" t="s">
        <v>369</v>
      </c>
      <c r="F36" s="37" t="s">
        <v>393</v>
      </c>
      <c r="G36" s="751" t="s">
        <v>394</v>
      </c>
      <c r="H36" s="751"/>
    </row>
    <row r="37" spans="2:8">
      <c r="B37" s="751"/>
      <c r="C37" s="755"/>
      <c r="D37" s="755"/>
      <c r="E37" s="37" t="s">
        <v>395</v>
      </c>
      <c r="F37" s="37" t="s">
        <v>396</v>
      </c>
      <c r="G37" s="751"/>
      <c r="H37" s="751"/>
    </row>
    <row r="38" spans="2:8">
      <c r="B38" s="751"/>
      <c r="C38" s="755"/>
      <c r="D38" s="755"/>
      <c r="E38" s="394"/>
      <c r="F38" s="37" t="s">
        <v>397</v>
      </c>
      <c r="G38" s="751"/>
      <c r="H38" s="751"/>
    </row>
    <row r="39" spans="2:8">
      <c r="B39" s="395"/>
      <c r="C39" s="751" t="s">
        <v>398</v>
      </c>
      <c r="D39" s="751"/>
      <c r="E39" s="751"/>
      <c r="F39" s="751"/>
      <c r="G39" s="751"/>
      <c r="H39" s="37"/>
    </row>
    <row r="40" spans="2:8">
      <c r="B40" s="395" t="s">
        <v>399</v>
      </c>
      <c r="C40" s="751"/>
      <c r="D40" s="751"/>
      <c r="E40" s="751"/>
      <c r="F40" s="751"/>
      <c r="G40" s="751"/>
      <c r="H40" s="395"/>
    </row>
    <row r="41" spans="2:8">
      <c r="B41" s="395" t="s">
        <v>400</v>
      </c>
      <c r="C41" s="751"/>
      <c r="D41" s="751"/>
      <c r="E41" s="751"/>
      <c r="F41" s="751"/>
      <c r="G41" s="751"/>
      <c r="H41" s="395"/>
    </row>
    <row r="45" spans="2:8" ht="12.6" thickBot="1"/>
    <row r="46" spans="2:8">
      <c r="B46" s="645" t="str">
        <f>+INDICE!I2</f>
        <v>Total al  30/06/2023</v>
      </c>
      <c r="C46" s="610">
        <f>+C30+C21+C12</f>
        <v>312379967</v>
      </c>
      <c r="D46" s="90">
        <f>+C46-'BALANCE GRAL'!D29</f>
        <v>0</v>
      </c>
    </row>
    <row r="47" spans="2:8" ht="12.6" thickBot="1">
      <c r="B47" s="646" t="str">
        <f>+INDICE!J2</f>
        <v>Total al  30/12/2022</v>
      </c>
      <c r="C47" s="611">
        <f>+C31+C22+C13</f>
        <v>236738332</v>
      </c>
      <c r="D47" s="90">
        <f>+C47-'BALANCE GRAL'!E29</f>
        <v>0</v>
      </c>
    </row>
  </sheetData>
  <mergeCells count="14">
    <mergeCell ref="B24:D24"/>
    <mergeCell ref="B5:D5"/>
    <mergeCell ref="B7:D7"/>
    <mergeCell ref="B8:D8"/>
    <mergeCell ref="B15:D15"/>
    <mergeCell ref="B16:D16"/>
    <mergeCell ref="H36:H38"/>
    <mergeCell ref="C39:G41"/>
    <mergeCell ref="B25:D25"/>
    <mergeCell ref="B35:D35"/>
    <mergeCell ref="B36:B38"/>
    <mergeCell ref="C36:C38"/>
    <mergeCell ref="D36:D38"/>
    <mergeCell ref="G36:G38"/>
  </mergeCells>
  <hyperlinks>
    <hyperlink ref="B3" location="'BALANCE GRAL 30_09_22'!A1" display="f)       Créditos" xr:uid="{2D1E64B5-15B9-4E10-909F-88D2CDF12081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rgb="FF002060"/>
  </sheetPr>
  <dimension ref="B3:Q23"/>
  <sheetViews>
    <sheetView showGridLines="0" topLeftCell="B1" zoomScale="98" zoomScaleNormal="98" workbookViewId="0">
      <pane xSplit="1" ySplit="8" topLeftCell="D9" activePane="bottomRight" state="frozen"/>
      <selection activeCell="K27" sqref="K27"/>
      <selection pane="topRight" activeCell="K27" sqref="K27"/>
      <selection pane="bottomLeft" activeCell="K27" sqref="K27"/>
      <selection pane="bottomRight" activeCell="K27" sqref="K27"/>
    </sheetView>
  </sheetViews>
  <sheetFormatPr baseColWidth="10" defaultColWidth="11.44140625" defaultRowHeight="12"/>
  <cols>
    <col min="1" max="1" width="2.44140625" style="27" customWidth="1"/>
    <col min="2" max="2" width="23" style="96" customWidth="1"/>
    <col min="3" max="3" width="20.6640625" style="27" bestFit="1" customWidth="1"/>
    <col min="4" max="4" width="14.109375" style="27" bestFit="1" customWidth="1"/>
    <col min="5" max="5" width="11.33203125" style="27" customWidth="1"/>
    <col min="6" max="6" width="10.33203125" style="27" bestFit="1" customWidth="1"/>
    <col min="7" max="7" width="14.44140625" style="27" bestFit="1" customWidth="1"/>
    <col min="8" max="8" width="13" style="27" bestFit="1" customWidth="1"/>
    <col min="9" max="9" width="10.6640625" style="27" bestFit="1" customWidth="1"/>
    <col min="10" max="10" width="7.6640625" style="27" customWidth="1"/>
    <col min="11" max="11" width="9.44140625" style="27" customWidth="1"/>
    <col min="12" max="12" width="13.109375" style="27" bestFit="1" customWidth="1"/>
    <col min="13" max="13" width="14.109375" style="27" bestFit="1" customWidth="1"/>
    <col min="14" max="14" width="10.33203125" style="27" customWidth="1"/>
    <col min="15" max="16384" width="11.44140625" style="27"/>
  </cols>
  <sheetData>
    <row r="3" spans="2:17" s="173" customFormat="1" ht="19.350000000000001" hidden="1" customHeight="1">
      <c r="B3" s="96"/>
      <c r="C3" s="30"/>
      <c r="D3" s="27"/>
      <c r="E3" s="27"/>
      <c r="F3" s="27"/>
      <c r="G3" s="27"/>
      <c r="H3" s="27"/>
      <c r="I3" s="27"/>
      <c r="J3" s="27"/>
      <c r="K3" s="27"/>
      <c r="L3" s="27"/>
      <c r="M3" s="27"/>
      <c r="N3" s="598"/>
    </row>
    <row r="4" spans="2:17" ht="14.4">
      <c r="C4" s="366" t="s">
        <v>725</v>
      </c>
      <c r="N4" s="99"/>
    </row>
    <row r="5" spans="2:17" ht="32.1" customHeight="1">
      <c r="B5" s="756" t="s">
        <v>966</v>
      </c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599"/>
      <c r="O5" s="101"/>
    </row>
    <row r="6" spans="2:17">
      <c r="C6" s="97"/>
      <c r="N6" s="99"/>
    </row>
    <row r="7" spans="2:17">
      <c r="B7" s="45"/>
      <c r="C7" s="757" t="s">
        <v>401</v>
      </c>
      <c r="D7" s="758"/>
      <c r="E7" s="758"/>
      <c r="F7" s="758"/>
      <c r="G7" s="759"/>
      <c r="H7" s="757" t="s">
        <v>402</v>
      </c>
      <c r="I7" s="758"/>
      <c r="J7" s="758"/>
      <c r="K7" s="175"/>
      <c r="L7" s="175"/>
      <c r="M7" s="600"/>
      <c r="N7" s="99"/>
    </row>
    <row r="8" spans="2:17" ht="36">
      <c r="B8" s="37" t="s">
        <v>267</v>
      </c>
      <c r="C8" s="98" t="s">
        <v>403</v>
      </c>
      <c r="D8" s="37" t="s">
        <v>404</v>
      </c>
      <c r="E8" s="37" t="s">
        <v>405</v>
      </c>
      <c r="F8" s="37" t="s">
        <v>406</v>
      </c>
      <c r="G8" s="37" t="s">
        <v>407</v>
      </c>
      <c r="H8" s="37" t="s">
        <v>408</v>
      </c>
      <c r="I8" s="37" t="s">
        <v>404</v>
      </c>
      <c r="J8" s="37" t="s">
        <v>405</v>
      </c>
      <c r="K8" s="37" t="s">
        <v>406</v>
      </c>
      <c r="L8" s="37" t="s">
        <v>409</v>
      </c>
      <c r="M8" s="37" t="s">
        <v>410</v>
      </c>
      <c r="N8" s="599"/>
    </row>
    <row r="9" spans="2:17">
      <c r="B9" s="100" t="s">
        <v>411</v>
      </c>
      <c r="C9" s="91">
        <v>0</v>
      </c>
      <c r="D9" s="55">
        <v>0</v>
      </c>
      <c r="E9" s="55">
        <v>0</v>
      </c>
      <c r="F9" s="91">
        <v>0</v>
      </c>
      <c r="G9" s="91">
        <f>C9+D9-E9+F9</f>
        <v>0</v>
      </c>
      <c r="H9" s="91">
        <v>0</v>
      </c>
      <c r="I9" s="91">
        <v>0</v>
      </c>
      <c r="J9" s="91">
        <v>0</v>
      </c>
      <c r="K9" s="91">
        <v>0</v>
      </c>
      <c r="L9" s="91">
        <f>H9+I9-J9+K9</f>
        <v>0</v>
      </c>
      <c r="M9" s="91">
        <f>+G9-L9</f>
        <v>0</v>
      </c>
      <c r="N9" s="99"/>
      <c r="O9" s="57"/>
      <c r="P9" s="57"/>
    </row>
    <row r="10" spans="2:17">
      <c r="B10" s="102" t="s">
        <v>412</v>
      </c>
      <c r="C10" s="91">
        <v>0</v>
      </c>
      <c r="D10" s="55">
        <v>0</v>
      </c>
      <c r="E10" s="55">
        <v>0</v>
      </c>
      <c r="F10" s="91">
        <v>0</v>
      </c>
      <c r="G10" s="91">
        <f t="shared" ref="G10:G17" si="0">C10+D10-E10+F10</f>
        <v>0</v>
      </c>
      <c r="H10" s="91">
        <v>0</v>
      </c>
      <c r="I10" s="91">
        <v>0</v>
      </c>
      <c r="J10" s="91">
        <v>0</v>
      </c>
      <c r="K10" s="91">
        <v>0</v>
      </c>
      <c r="L10" s="91">
        <f t="shared" ref="L10:L17" si="1">H10+I10-J10+K10</f>
        <v>0</v>
      </c>
      <c r="M10" s="91">
        <f t="shared" ref="M10:M17" si="2">+G10-L10</f>
        <v>0</v>
      </c>
      <c r="N10" s="99"/>
      <c r="O10" s="57"/>
      <c r="P10" s="57"/>
    </row>
    <row r="11" spans="2:17">
      <c r="B11" s="102" t="s">
        <v>413</v>
      </c>
      <c r="C11" s="91">
        <v>0</v>
      </c>
      <c r="D11" s="55">
        <v>0</v>
      </c>
      <c r="E11" s="55">
        <v>0</v>
      </c>
      <c r="F11" s="91">
        <v>0</v>
      </c>
      <c r="G11" s="91">
        <f t="shared" si="0"/>
        <v>0</v>
      </c>
      <c r="H11" s="91">
        <v>0</v>
      </c>
      <c r="I11" s="91">
        <v>0</v>
      </c>
      <c r="J11" s="91">
        <v>0</v>
      </c>
      <c r="K11" s="91">
        <v>0</v>
      </c>
      <c r="L11" s="91">
        <f t="shared" si="1"/>
        <v>0</v>
      </c>
      <c r="M11" s="91">
        <f t="shared" si="2"/>
        <v>0</v>
      </c>
      <c r="N11" s="99"/>
      <c r="O11" s="57"/>
      <c r="P11" s="57"/>
    </row>
    <row r="12" spans="2:17">
      <c r="B12" s="102" t="s">
        <v>414</v>
      </c>
      <c r="C12" s="91">
        <v>0</v>
      </c>
      <c r="D12" s="55">
        <v>0</v>
      </c>
      <c r="E12" s="55">
        <v>0</v>
      </c>
      <c r="F12" s="91">
        <v>0</v>
      </c>
      <c r="G12" s="91">
        <f t="shared" si="0"/>
        <v>0</v>
      </c>
      <c r="H12" s="91">
        <v>0</v>
      </c>
      <c r="I12" s="91">
        <v>0</v>
      </c>
      <c r="J12" s="91">
        <v>0</v>
      </c>
      <c r="K12" s="91">
        <v>0</v>
      </c>
      <c r="L12" s="91">
        <f t="shared" si="1"/>
        <v>0</v>
      </c>
      <c r="M12" s="91">
        <f t="shared" si="2"/>
        <v>0</v>
      </c>
      <c r="N12" s="99"/>
      <c r="O12" s="57"/>
      <c r="P12" s="57"/>
    </row>
    <row r="13" spans="2:17">
      <c r="B13" s="102" t="s">
        <v>415</v>
      </c>
      <c r="C13" s="91">
        <v>13232431</v>
      </c>
      <c r="D13" s="55">
        <v>2853900</v>
      </c>
      <c r="E13" s="55"/>
      <c r="F13" s="91">
        <v>0</v>
      </c>
      <c r="G13" s="91">
        <f t="shared" si="0"/>
        <v>16086331</v>
      </c>
      <c r="H13" s="91">
        <v>949819</v>
      </c>
      <c r="I13" s="91">
        <v>0</v>
      </c>
      <c r="J13" s="91">
        <v>0</v>
      </c>
      <c r="K13" s="91">
        <v>0</v>
      </c>
      <c r="L13" s="91">
        <f t="shared" si="1"/>
        <v>949819</v>
      </c>
      <c r="M13" s="91">
        <f>+G13-L13</f>
        <v>15136512</v>
      </c>
      <c r="N13" s="99"/>
      <c r="O13" s="57"/>
      <c r="P13" s="57"/>
      <c r="Q13" s="57"/>
    </row>
    <row r="14" spans="2:17">
      <c r="B14" s="102" t="s">
        <v>416</v>
      </c>
      <c r="C14" s="91">
        <v>0</v>
      </c>
      <c r="D14" s="55">
        <v>0</v>
      </c>
      <c r="E14" s="91">
        <v>0</v>
      </c>
      <c r="F14" s="91">
        <v>0</v>
      </c>
      <c r="G14" s="91">
        <f t="shared" si="0"/>
        <v>0</v>
      </c>
      <c r="H14" s="91">
        <v>0</v>
      </c>
      <c r="I14" s="91">
        <v>0</v>
      </c>
      <c r="J14" s="91">
        <v>0</v>
      </c>
      <c r="K14" s="91">
        <v>0</v>
      </c>
      <c r="L14" s="91">
        <f t="shared" si="1"/>
        <v>0</v>
      </c>
      <c r="M14" s="91">
        <f t="shared" si="2"/>
        <v>0</v>
      </c>
      <c r="N14" s="599"/>
      <c r="O14" s="101"/>
      <c r="P14" s="57"/>
    </row>
    <row r="15" spans="2:17">
      <c r="B15" s="102" t="s">
        <v>417</v>
      </c>
      <c r="C15" s="55">
        <v>0</v>
      </c>
      <c r="D15" s="55">
        <v>0</v>
      </c>
      <c r="E15" s="91"/>
      <c r="F15" s="91"/>
      <c r="G15" s="91">
        <f t="shared" si="0"/>
        <v>0</v>
      </c>
      <c r="H15" s="91">
        <v>0</v>
      </c>
      <c r="I15" s="91">
        <v>0</v>
      </c>
      <c r="J15" s="91">
        <v>0</v>
      </c>
      <c r="K15" s="91">
        <v>0</v>
      </c>
      <c r="L15" s="91">
        <f t="shared" si="1"/>
        <v>0</v>
      </c>
      <c r="M15" s="91">
        <f>+G15+L15</f>
        <v>0</v>
      </c>
      <c r="N15" s="599"/>
      <c r="O15" s="57"/>
      <c r="P15" s="57"/>
    </row>
    <row r="16" spans="2:17">
      <c r="B16" s="102" t="s">
        <v>418</v>
      </c>
      <c r="C16" s="55">
        <v>0</v>
      </c>
      <c r="D16" s="55">
        <v>0</v>
      </c>
      <c r="E16" s="91">
        <v>0</v>
      </c>
      <c r="F16" s="91">
        <v>0</v>
      </c>
      <c r="G16" s="91">
        <f t="shared" si="0"/>
        <v>0</v>
      </c>
      <c r="H16" s="91">
        <v>0</v>
      </c>
      <c r="I16" s="91">
        <v>0</v>
      </c>
      <c r="J16" s="91">
        <f>+H16</f>
        <v>0</v>
      </c>
      <c r="K16" s="91">
        <v>0</v>
      </c>
      <c r="L16" s="91">
        <f t="shared" si="1"/>
        <v>0</v>
      </c>
      <c r="M16" s="91">
        <f>+G16+L16</f>
        <v>0</v>
      </c>
      <c r="N16" s="99"/>
      <c r="P16" s="57"/>
    </row>
    <row r="17" spans="2:16">
      <c r="B17" s="102" t="s">
        <v>419</v>
      </c>
      <c r="C17" s="91">
        <v>0</v>
      </c>
      <c r="D17" s="55">
        <v>0</v>
      </c>
      <c r="E17" s="91"/>
      <c r="F17" s="91"/>
      <c r="G17" s="91">
        <f t="shared" si="0"/>
        <v>0</v>
      </c>
      <c r="H17" s="91">
        <v>0</v>
      </c>
      <c r="I17" s="91">
        <v>0</v>
      </c>
      <c r="J17" s="91">
        <v>0</v>
      </c>
      <c r="K17" s="91">
        <v>0</v>
      </c>
      <c r="L17" s="91">
        <f t="shared" si="1"/>
        <v>0</v>
      </c>
      <c r="M17" s="91">
        <f t="shared" si="2"/>
        <v>0</v>
      </c>
      <c r="O17" s="57"/>
      <c r="P17" s="57"/>
    </row>
    <row r="18" spans="2:16">
      <c r="B18" s="103" t="str">
        <f>+'NOTA F - CREDITOS'!B30</f>
        <v>Total al  30/06/2023</v>
      </c>
      <c r="C18" s="104">
        <f>SUM(C9:C17)</f>
        <v>13232431</v>
      </c>
      <c r="D18" s="104">
        <f>SUM(D9:D17)</f>
        <v>2853900</v>
      </c>
      <c r="E18" s="91">
        <v>0</v>
      </c>
      <c r="F18" s="91">
        <v>0</v>
      </c>
      <c r="G18" s="92">
        <f>SUM(G9:G17)</f>
        <v>16086331</v>
      </c>
      <c r="H18" s="92">
        <f>SUM(H9:H17)</f>
        <v>949819</v>
      </c>
      <c r="I18" s="92">
        <f>SUM(I9:I17)</f>
        <v>0</v>
      </c>
      <c r="J18" s="91">
        <v>0</v>
      </c>
      <c r="K18" s="91">
        <v>0</v>
      </c>
      <c r="L18" s="92">
        <f>SUM(L9:L17)</f>
        <v>949819</v>
      </c>
      <c r="M18" s="92">
        <f>SUM(M9:M17)</f>
        <v>15136512</v>
      </c>
      <c r="O18" s="57"/>
      <c r="P18" s="57"/>
    </row>
    <row r="19" spans="2:16">
      <c r="B19" s="103" t="str">
        <f>+'NOTA F - CREDITOS'!B31</f>
        <v>Total al  30/12/2022</v>
      </c>
      <c r="C19" s="104">
        <v>5276772</v>
      </c>
      <c r="D19" s="104">
        <v>7955659</v>
      </c>
      <c r="E19" s="91">
        <v>0</v>
      </c>
      <c r="F19" s="92">
        <v>0</v>
      </c>
      <c r="G19" s="92">
        <v>13232431</v>
      </c>
      <c r="H19" s="92">
        <v>0</v>
      </c>
      <c r="I19" s="92">
        <v>949819</v>
      </c>
      <c r="J19" s="91">
        <v>0</v>
      </c>
      <c r="K19" s="91">
        <v>0</v>
      </c>
      <c r="L19" s="92">
        <v>949819</v>
      </c>
      <c r="M19" s="92">
        <v>12282612</v>
      </c>
    </row>
    <row r="22" spans="2:16">
      <c r="M22" s="57">
        <f>+M18-'BALANCE GRAL'!D61</f>
        <v>0</v>
      </c>
    </row>
    <row r="23" spans="2:16">
      <c r="D23" s="41"/>
    </row>
  </sheetData>
  <mergeCells count="3">
    <mergeCell ref="B5:M5"/>
    <mergeCell ref="C7:G7"/>
    <mergeCell ref="H7:J7"/>
  </mergeCells>
  <hyperlinks>
    <hyperlink ref="C4" location="'BALANCE GRAL 30_09_22'!A1" display="g)      Bienes de Uso." xr:uid="{AC234295-59C2-4E74-810A-FA80B622CF4A}"/>
  </hyperlink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tabColor rgb="FF002060"/>
  </sheetPr>
  <dimension ref="B3:H17"/>
  <sheetViews>
    <sheetView showGridLines="0" zoomScale="98" zoomScaleNormal="98" workbookViewId="0">
      <selection activeCell="K27" sqref="K27"/>
    </sheetView>
  </sheetViews>
  <sheetFormatPr baseColWidth="10" defaultColWidth="20.109375" defaultRowHeight="12"/>
  <cols>
    <col min="1" max="1" width="6.33203125" style="27" customWidth="1"/>
    <col min="2" max="2" width="23.44140625" style="27" bestFit="1" customWidth="1"/>
    <col min="3" max="3" width="13.44140625" style="27" bestFit="1" customWidth="1"/>
    <col min="4" max="4" width="12.33203125" style="27" bestFit="1" customWidth="1"/>
    <col min="5" max="5" width="16.33203125" style="27" bestFit="1" customWidth="1"/>
    <col min="6" max="6" width="17.6640625" style="27" bestFit="1" customWidth="1"/>
    <col min="7" max="16384" width="20.109375" style="27"/>
  </cols>
  <sheetData>
    <row r="3" spans="2:8" ht="14.4">
      <c r="B3" s="366" t="s">
        <v>664</v>
      </c>
    </row>
    <row r="4" spans="2:8">
      <c r="B4" s="756" t="s">
        <v>625</v>
      </c>
      <c r="C4" s="756"/>
      <c r="D4" s="756"/>
      <c r="E4" s="756"/>
      <c r="F4" s="756"/>
    </row>
    <row r="6" spans="2:8">
      <c r="B6" s="105" t="s">
        <v>351</v>
      </c>
      <c r="C6" s="105" t="s">
        <v>420</v>
      </c>
      <c r="D6" s="105" t="s">
        <v>421</v>
      </c>
      <c r="E6" s="105" t="s">
        <v>422</v>
      </c>
      <c r="F6" s="105" t="s">
        <v>423</v>
      </c>
    </row>
    <row r="7" spans="2:8">
      <c r="B7" s="35" t="s">
        <v>532</v>
      </c>
      <c r="C7" s="55">
        <v>0</v>
      </c>
      <c r="D7" s="55">
        <f>'[7]Balance Gral'!$B$46-1</f>
        <v>4023223</v>
      </c>
      <c r="E7" s="91">
        <v>0</v>
      </c>
      <c r="F7" s="55">
        <f>C7+D7-E7</f>
        <v>4023223</v>
      </c>
      <c r="G7" s="57"/>
      <c r="H7" s="101"/>
    </row>
    <row r="8" spans="2:8">
      <c r="B8" s="35" t="s">
        <v>533</v>
      </c>
      <c r="C8" s="55">
        <v>998105547</v>
      </c>
      <c r="D8" s="55">
        <v>0</v>
      </c>
      <c r="E8" s="91">
        <v>998105547</v>
      </c>
      <c r="F8" s="55">
        <f t="shared" ref="F8:F10" si="0">C8+D8-E8</f>
        <v>0</v>
      </c>
      <c r="G8" s="106"/>
      <c r="H8" s="75"/>
    </row>
    <row r="9" spans="2:8">
      <c r="B9" s="35" t="s">
        <v>534</v>
      </c>
      <c r="C9" s="55">
        <v>0</v>
      </c>
      <c r="D9" s="55">
        <v>0</v>
      </c>
      <c r="E9" s="91">
        <v>0</v>
      </c>
      <c r="F9" s="55">
        <f t="shared" si="0"/>
        <v>0</v>
      </c>
      <c r="G9" s="106"/>
      <c r="H9" s="75"/>
    </row>
    <row r="10" spans="2:8">
      <c r="B10" s="35" t="s">
        <v>536</v>
      </c>
      <c r="C10" s="55">
        <v>0</v>
      </c>
      <c r="D10" s="55">
        <v>0</v>
      </c>
      <c r="E10" s="91">
        <v>0</v>
      </c>
      <c r="F10" s="55">
        <f t="shared" si="0"/>
        <v>0</v>
      </c>
      <c r="G10" s="106"/>
      <c r="H10" s="75"/>
    </row>
    <row r="11" spans="2:8">
      <c r="B11" s="107" t="str">
        <f>+'NOTA G BIENES DE USO'!B18</f>
        <v>Total al  30/06/2023</v>
      </c>
      <c r="C11" s="104">
        <f>SUM(C7:C10)</f>
        <v>998105547</v>
      </c>
      <c r="D11" s="104">
        <f t="shared" ref="D11:F11" si="1">SUM(D7:D10)</f>
        <v>4023223</v>
      </c>
      <c r="E11" s="104">
        <f t="shared" si="1"/>
        <v>998105547</v>
      </c>
      <c r="F11" s="104">
        <f t="shared" si="1"/>
        <v>4023223</v>
      </c>
      <c r="G11" s="101"/>
      <c r="H11" s="101"/>
    </row>
    <row r="12" spans="2:8">
      <c r="B12" s="107" t="str">
        <f>+'NOTA G BIENES DE USO'!B19</f>
        <v>Total al  30/12/2022</v>
      </c>
      <c r="C12" s="104">
        <v>337853472</v>
      </c>
      <c r="D12" s="104">
        <v>1000435030</v>
      </c>
      <c r="E12" s="104">
        <v>340182955</v>
      </c>
      <c r="F12" s="104">
        <v>998105547</v>
      </c>
      <c r="G12" s="101"/>
    </row>
    <row r="14" spans="2:8" ht="13.8">
      <c r="E14" s="273"/>
      <c r="F14" s="57">
        <f>+F11-'BALANCE GRAL'!D36</f>
        <v>0</v>
      </c>
    </row>
    <row r="15" spans="2:8" ht="13.8">
      <c r="E15" s="274"/>
    </row>
    <row r="16" spans="2:8" ht="13.8">
      <c r="E16" s="274"/>
    </row>
    <row r="17" spans="5:5">
      <c r="E17" s="101"/>
    </row>
  </sheetData>
  <mergeCells count="1">
    <mergeCell ref="B4:F4"/>
  </mergeCells>
  <hyperlinks>
    <hyperlink ref="B3" location="'BALANCE GRAL 30_09_22'!A1" display="h)       Cargos Diferidos" xr:uid="{AEF3DEC7-C701-431E-9B45-81F7BB961E29}"/>
  </hyperlink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tabColor rgb="FF002060"/>
  </sheetPr>
  <dimension ref="B3:N27"/>
  <sheetViews>
    <sheetView showGridLines="0" zoomScale="98" zoomScaleNormal="98" workbookViewId="0">
      <selection activeCell="K27" sqref="K27"/>
    </sheetView>
  </sheetViews>
  <sheetFormatPr baseColWidth="10" defaultColWidth="11.44140625" defaultRowHeight="12"/>
  <cols>
    <col min="1" max="1" width="6.88671875" style="27" customWidth="1"/>
    <col min="2" max="2" width="29.44140625" style="27" customWidth="1"/>
    <col min="3" max="3" width="26.44140625" style="27" customWidth="1"/>
    <col min="4" max="4" width="22" style="27" customWidth="1"/>
    <col min="5" max="5" width="11.44140625" style="27"/>
    <col min="6" max="7" width="13.44140625" style="27" bestFit="1" customWidth="1"/>
    <col min="8" max="8" width="12" style="27" bestFit="1" customWidth="1"/>
    <col min="9" max="16384" width="11.44140625" style="27"/>
  </cols>
  <sheetData>
    <row r="3" spans="2:6" ht="14.4">
      <c r="B3" s="366" t="s">
        <v>626</v>
      </c>
    </row>
    <row r="4" spans="2:6">
      <c r="B4" s="756" t="s">
        <v>627</v>
      </c>
      <c r="C4" s="756"/>
      <c r="D4" s="756"/>
    </row>
    <row r="6" spans="2:6">
      <c r="B6" s="37" t="s">
        <v>424</v>
      </c>
      <c r="C6" s="37" t="s">
        <v>351</v>
      </c>
      <c r="D6" s="109" t="str">
        <f>+'NOTA F - CREDITOS'!B30</f>
        <v>Total al  30/06/2023</v>
      </c>
    </row>
    <row r="7" spans="2:6">
      <c r="B7" s="102" t="s">
        <v>425</v>
      </c>
      <c r="C7" s="102"/>
      <c r="D7" s="161">
        <v>0</v>
      </c>
    </row>
    <row r="8" spans="2:6">
      <c r="B8" s="102" t="s">
        <v>426</v>
      </c>
      <c r="C8" s="102"/>
      <c r="D8" s="111">
        <v>0</v>
      </c>
    </row>
    <row r="9" spans="2:6">
      <c r="B9" s="102" t="s">
        <v>427</v>
      </c>
      <c r="C9" s="102"/>
      <c r="D9" s="111">
        <v>0</v>
      </c>
      <c r="E9" s="101"/>
      <c r="F9" s="101"/>
    </row>
    <row r="10" spans="2:6">
      <c r="B10" s="102" t="s">
        <v>142</v>
      </c>
      <c r="C10" s="102"/>
      <c r="D10" s="111">
        <v>0</v>
      </c>
    </row>
    <row r="11" spans="2:6">
      <c r="B11" s="102" t="s">
        <v>428</v>
      </c>
      <c r="C11" s="102"/>
      <c r="D11" s="111">
        <v>0</v>
      </c>
    </row>
    <row r="12" spans="2:6">
      <c r="B12" s="107" t="str">
        <f>+'NOTA H CARGOS DIFERIDOS'!B11</f>
        <v>Total al  30/06/2023</v>
      </c>
      <c r="C12" s="107"/>
      <c r="D12" s="112">
        <f>SUM(D7:D11)</f>
        <v>0</v>
      </c>
      <c r="E12" s="101"/>
      <c r="F12" s="101"/>
    </row>
    <row r="13" spans="2:6">
      <c r="B13" s="107" t="str">
        <f>+'NOTA H CARGOS DIFERIDOS'!B12</f>
        <v>Total al  30/12/2022</v>
      </c>
      <c r="C13" s="110"/>
      <c r="D13" s="112">
        <v>0</v>
      </c>
      <c r="E13" s="101"/>
    </row>
    <row r="16" spans="2:6">
      <c r="D16" s="57">
        <f>+D13-'BALANCE GRAL'!D68</f>
        <v>0</v>
      </c>
    </row>
    <row r="17" spans="7:14">
      <c r="G17" s="41"/>
      <c r="K17" s="27" t="s">
        <v>364</v>
      </c>
      <c r="N17" s="27" t="s">
        <v>364</v>
      </c>
    </row>
    <row r="18" spans="7:14">
      <c r="G18" s="41"/>
      <c r="K18" s="27" t="s">
        <v>364</v>
      </c>
      <c r="N18" s="27" t="s">
        <v>364</v>
      </c>
    </row>
    <row r="19" spans="7:14">
      <c r="G19" s="41"/>
      <c r="K19" s="27" t="s">
        <v>364</v>
      </c>
      <c r="N19" s="27" t="s">
        <v>364</v>
      </c>
    </row>
    <row r="20" spans="7:14">
      <c r="G20" s="41"/>
      <c r="K20" s="27" t="s">
        <v>364</v>
      </c>
      <c r="N20" s="27" t="s">
        <v>364</v>
      </c>
    </row>
    <row r="21" spans="7:14">
      <c r="G21" s="41"/>
      <c r="H21" s="57"/>
      <c r="K21" s="27" t="s">
        <v>364</v>
      </c>
      <c r="N21" s="27" t="s">
        <v>364</v>
      </c>
    </row>
    <row r="22" spans="7:14">
      <c r="G22" s="41"/>
      <c r="K22" s="27" t="s">
        <v>364</v>
      </c>
      <c r="N22" s="27" t="s">
        <v>364</v>
      </c>
    </row>
    <row r="23" spans="7:14">
      <c r="G23" s="41"/>
      <c r="H23" s="57"/>
      <c r="K23" s="27" t="s">
        <v>364</v>
      </c>
      <c r="N23" s="27" t="s">
        <v>364</v>
      </c>
    </row>
    <row r="24" spans="7:14">
      <c r="G24" s="41"/>
      <c r="K24" s="27" t="s">
        <v>364</v>
      </c>
      <c r="N24" s="27" t="s">
        <v>364</v>
      </c>
    </row>
    <row r="25" spans="7:14">
      <c r="G25" s="41"/>
      <c r="H25" s="57"/>
      <c r="K25" s="27" t="s">
        <v>364</v>
      </c>
      <c r="N25" s="27" t="s">
        <v>364</v>
      </c>
    </row>
    <row r="26" spans="7:14">
      <c r="G26" s="41"/>
      <c r="K26" s="27" t="s">
        <v>364</v>
      </c>
      <c r="N26" s="27" t="s">
        <v>364</v>
      </c>
    </row>
    <row r="27" spans="7:14">
      <c r="G27" s="41"/>
      <c r="H27" s="57"/>
      <c r="K27" s="27" t="s">
        <v>364</v>
      </c>
      <c r="N27" s="27" t="s">
        <v>364</v>
      </c>
    </row>
  </sheetData>
  <mergeCells count="1">
    <mergeCell ref="B4:D4"/>
  </mergeCells>
  <hyperlinks>
    <hyperlink ref="B3" location="'BALANCE GRAL 30_06_22'!A1" display="i)   Intangibles," xr:uid="{FEE892CA-FFD6-4F72-B431-65E031ADFFE6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tabColor rgb="FF002060"/>
  </sheetPr>
  <dimension ref="B2:G15"/>
  <sheetViews>
    <sheetView showGridLines="0" zoomScale="98" zoomScaleNormal="98" workbookViewId="0">
      <selection activeCell="K27" sqref="K27"/>
    </sheetView>
  </sheetViews>
  <sheetFormatPr baseColWidth="10" defaultColWidth="11.44140625" defaultRowHeight="12"/>
  <cols>
    <col min="1" max="1" width="8.33203125" style="27" customWidth="1"/>
    <col min="2" max="2" width="37.88671875" style="27" bestFit="1" customWidth="1"/>
    <col min="3" max="3" width="11.33203125" style="27" bestFit="1" customWidth="1"/>
    <col min="4" max="4" width="10.33203125" style="27" bestFit="1" customWidth="1"/>
    <col min="5" max="5" width="14" style="27" bestFit="1" customWidth="1"/>
    <col min="6" max="6" width="14.88671875" style="27" bestFit="1" customWidth="1"/>
    <col min="7" max="7" width="8.109375" style="27" customWidth="1"/>
    <col min="8" max="16384" width="11.44140625" style="27"/>
  </cols>
  <sheetData>
    <row r="2" spans="2:7" ht="11.4" customHeight="1">
      <c r="B2" s="97"/>
    </row>
    <row r="3" spans="2:7" ht="14.4">
      <c r="B3" s="366" t="s">
        <v>660</v>
      </c>
    </row>
    <row r="4" spans="2:7">
      <c r="B4" s="97"/>
    </row>
    <row r="5" spans="2:7" ht="12" customHeight="1">
      <c r="B5" s="756" t="s">
        <v>627</v>
      </c>
      <c r="C5" s="756"/>
      <c r="D5" s="756"/>
      <c r="E5" s="756"/>
      <c r="F5" s="756"/>
    </row>
    <row r="7" spans="2:7">
      <c r="B7" s="105" t="s">
        <v>351</v>
      </c>
      <c r="C7" s="105" t="s">
        <v>420</v>
      </c>
      <c r="D7" s="105" t="s">
        <v>421</v>
      </c>
      <c r="E7" s="105" t="s">
        <v>422</v>
      </c>
      <c r="F7" s="105" t="s">
        <v>423</v>
      </c>
    </row>
    <row r="8" spans="2:7">
      <c r="B8" s="35" t="s">
        <v>337</v>
      </c>
      <c r="C8" s="111">
        <v>0</v>
      </c>
      <c r="D8" s="111">
        <v>0</v>
      </c>
      <c r="E8" s="111">
        <v>0</v>
      </c>
      <c r="F8" s="111">
        <f t="shared" ref="F8:F12" si="0">+C8+D8-E8</f>
        <v>0</v>
      </c>
    </row>
    <row r="9" spans="2:7">
      <c r="B9" s="35" t="s">
        <v>150</v>
      </c>
      <c r="C9" s="111">
        <f>+'BALANCE GRAL'!E72</f>
        <v>38492921</v>
      </c>
      <c r="D9" s="111">
        <v>0</v>
      </c>
      <c r="E9" s="111">
        <f>C9-F9</f>
        <v>0</v>
      </c>
      <c r="F9" s="111">
        <f>'BALANCE GRAL'!D72</f>
        <v>38492921</v>
      </c>
    </row>
    <row r="10" spans="2:7">
      <c r="B10" s="35" t="s">
        <v>429</v>
      </c>
      <c r="C10" s="111">
        <v>0</v>
      </c>
      <c r="D10" s="111">
        <v>0</v>
      </c>
      <c r="E10" s="111">
        <v>0</v>
      </c>
      <c r="F10" s="111">
        <f t="shared" si="0"/>
        <v>0</v>
      </c>
    </row>
    <row r="11" spans="2:7">
      <c r="B11" s="35" t="s">
        <v>430</v>
      </c>
      <c r="C11" s="111">
        <v>0</v>
      </c>
      <c r="D11" s="111">
        <v>0</v>
      </c>
      <c r="E11" s="111">
        <v>0</v>
      </c>
      <c r="F11" s="111">
        <f t="shared" si="0"/>
        <v>0</v>
      </c>
    </row>
    <row r="12" spans="2:7">
      <c r="B12" s="107" t="str">
        <f>+' NOTA I INTANGIBLES'!B12</f>
        <v>Total al  30/06/2023</v>
      </c>
      <c r="C12" s="112">
        <f>SUM(C8:C11)</f>
        <v>38492921</v>
      </c>
      <c r="D12" s="112">
        <f>SUM(D8:D11)</f>
        <v>0</v>
      </c>
      <c r="E12" s="112">
        <f>SUM(E8:E11)</f>
        <v>0</v>
      </c>
      <c r="F12" s="112">
        <f t="shared" si="0"/>
        <v>38492921</v>
      </c>
      <c r="G12" s="113"/>
    </row>
    <row r="13" spans="2:7">
      <c r="B13" s="107" t="str">
        <f>+'NOTA H CARGOS DIFERIDOS'!B12</f>
        <v>Total al  30/12/2022</v>
      </c>
      <c r="C13" s="112">
        <v>57739382</v>
      </c>
      <c r="D13" s="112">
        <v>0</v>
      </c>
      <c r="E13" s="112">
        <v>19246461</v>
      </c>
      <c r="F13" s="112">
        <v>38492921</v>
      </c>
      <c r="G13" s="113"/>
    </row>
    <row r="15" spans="2:7">
      <c r="F15" s="57">
        <f>+F12-'BALANCE GRAL'!D74</f>
        <v>0</v>
      </c>
    </row>
  </sheetData>
  <mergeCells count="1">
    <mergeCell ref="B5:F5"/>
  </mergeCells>
  <hyperlinks>
    <hyperlink ref="B3" location="'BALANCE GRAL 30_09_22'!A1" display="j)       Otros Activos Corrientes y No Corrientes" xr:uid="{354A6F1D-A12F-463D-9975-902A5483722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>
    <tabColor rgb="FF002060"/>
  </sheetPr>
  <dimension ref="C3:G15"/>
  <sheetViews>
    <sheetView showGridLines="0" topLeftCell="B1" zoomScale="98" zoomScaleNormal="98" workbookViewId="0">
      <selection activeCell="D11" sqref="D11"/>
    </sheetView>
  </sheetViews>
  <sheetFormatPr baseColWidth="10" defaultColWidth="11.44140625" defaultRowHeight="12"/>
  <cols>
    <col min="1" max="1" width="0" style="27" hidden="1" customWidth="1"/>
    <col min="2" max="2" width="7.109375" style="27" customWidth="1"/>
    <col min="3" max="3" width="51.109375" style="27" customWidth="1"/>
    <col min="4" max="5" width="13.88671875" style="27" bestFit="1" customWidth="1"/>
    <col min="6" max="6" width="2.44140625" style="27" bestFit="1" customWidth="1"/>
    <col min="7" max="16384" width="11.44140625" style="27"/>
  </cols>
  <sheetData>
    <row r="3" spans="3:7" ht="14.4">
      <c r="C3" s="366" t="s">
        <v>666</v>
      </c>
    </row>
    <row r="4" spans="3:7">
      <c r="C4" s="97"/>
    </row>
    <row r="5" spans="3:7" ht="12" customHeight="1">
      <c r="C5" s="756" t="s">
        <v>627</v>
      </c>
      <c r="D5" s="756"/>
      <c r="E5" s="756"/>
      <c r="F5" s="360"/>
      <c r="G5" s="360"/>
    </row>
    <row r="7" spans="3:7">
      <c r="C7" s="31" t="s">
        <v>431</v>
      </c>
      <c r="D7" s="31" t="s">
        <v>432</v>
      </c>
      <c r="E7" s="31" t="s">
        <v>433</v>
      </c>
    </row>
    <row r="8" spans="3:7">
      <c r="C8" s="35" t="s">
        <v>1091</v>
      </c>
      <c r="D8" s="161">
        <v>2201856472.5999999</v>
      </c>
      <c r="E8" s="91"/>
    </row>
    <row r="9" spans="3:7">
      <c r="C9" s="35" t="s">
        <v>1092</v>
      </c>
      <c r="D9" s="161">
        <v>100013621.92</v>
      </c>
      <c r="E9" s="161"/>
    </row>
    <row r="10" spans="3:7">
      <c r="C10" s="35" t="s">
        <v>967</v>
      </c>
      <c r="D10" s="161">
        <f>4312513972.6-1-0.22</f>
        <v>4312513971.3800001</v>
      </c>
      <c r="E10" s="161"/>
    </row>
    <row r="11" spans="3:7">
      <c r="C11" s="35" t="s">
        <v>968</v>
      </c>
      <c r="D11" s="161">
        <v>147741102.09999999</v>
      </c>
      <c r="E11" s="161">
        <v>0</v>
      </c>
    </row>
    <row r="12" spans="3:7">
      <c r="C12" s="107" t="str">
        <f>+'NOTA J OTROS ACTIVOS CTES y NO '!B12</f>
        <v>Total al  30/06/2023</v>
      </c>
      <c r="D12" s="110">
        <f>SUM(D8:D11)</f>
        <v>6762125168</v>
      </c>
      <c r="E12" s="664">
        <v>0</v>
      </c>
      <c r="F12" s="41"/>
    </row>
    <row r="13" spans="3:7">
      <c r="C13" s="107" t="str">
        <f>+'NOTA J OTROS ACTIVOS CTES y NO '!B13</f>
        <v>Total al  30/12/2022</v>
      </c>
      <c r="D13" s="112">
        <f>'BALANCE GRAL'!H20</f>
        <v>7170492535</v>
      </c>
      <c r="E13" s="664">
        <v>0</v>
      </c>
      <c r="F13" s="41"/>
    </row>
    <row r="14" spans="3:7">
      <c r="D14" s="719">
        <f>+D12-'BALANCE GRAL'!G20</f>
        <v>0</v>
      </c>
    </row>
    <row r="15" spans="3:7">
      <c r="C15" s="378" t="s">
        <v>1093</v>
      </c>
    </row>
  </sheetData>
  <mergeCells count="1">
    <mergeCell ref="C5:E5"/>
  </mergeCells>
  <hyperlinks>
    <hyperlink ref="C3" location="'BALANCE GRAL 30_09_22'!A1" display="k)       Préstamos Financieros a corto y a largo plazo." xr:uid="{8CCE8202-9946-4902-A655-0866DED0DB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D54C8-7ACC-4D36-8E8E-5AFAFA8D298D}">
  <sheetPr>
    <tabColor theme="7" tint="0.59999389629810485"/>
    <pageSetUpPr fitToPage="1"/>
  </sheetPr>
  <dimension ref="A1:H89"/>
  <sheetViews>
    <sheetView zoomScale="120" zoomScaleNormal="120" workbookViewId="0">
      <pane ySplit="2" topLeftCell="A58" activePane="bottomLeft" state="frozen"/>
      <selection activeCell="G96" sqref="G96"/>
      <selection pane="bottomLeft" activeCell="A78" sqref="A78:XFD78"/>
    </sheetView>
  </sheetViews>
  <sheetFormatPr baseColWidth="10" defaultColWidth="8.88671875" defaultRowHeight="14.4"/>
  <cols>
    <col min="1" max="1" width="65.88671875" customWidth="1"/>
    <col min="2" max="2" width="25.6640625" style="404" customWidth="1"/>
    <col min="3" max="3" width="8.6640625" style="416" bestFit="1" customWidth="1"/>
    <col min="4" max="4" width="23" customWidth="1"/>
    <col min="5" max="5" width="18.44140625" customWidth="1"/>
    <col min="6" max="6" width="53.33203125" bestFit="1" customWidth="1"/>
    <col min="7" max="7" width="14.109375" style="404" bestFit="1" customWidth="1"/>
    <col min="8" max="8" width="11.6640625" bestFit="1" customWidth="1"/>
  </cols>
  <sheetData>
    <row r="1" spans="1:8" ht="54.75" customHeight="1"/>
    <row r="2" spans="1:8">
      <c r="A2" s="421" t="s">
        <v>839</v>
      </c>
      <c r="B2" s="420" t="s">
        <v>838</v>
      </c>
      <c r="C2" s="416" t="s">
        <v>837</v>
      </c>
      <c r="D2" t="s">
        <v>836</v>
      </c>
      <c r="F2" t="s">
        <v>730</v>
      </c>
      <c r="G2" s="404" t="s">
        <v>731</v>
      </c>
    </row>
    <row r="3" spans="1:8" s="402" customFormat="1">
      <c r="A3" s="402" t="str">
        <f t="shared" ref="A3:A34" si="0">+F3</f>
        <v>Ingresos</v>
      </c>
      <c r="B3" s="403">
        <f t="shared" ref="B3:B34" si="1">+G3</f>
        <v>4846732795</v>
      </c>
      <c r="C3" s="425">
        <f>+Tabla2[[#This Row],[31/3/2022]]/$B$3</f>
        <v>1</v>
      </c>
      <c r="F3" s="402" t="s">
        <v>230</v>
      </c>
      <c r="G3" s="403">
        <v>4846732795</v>
      </c>
      <c r="H3" s="457">
        <f>+G3-Tabla2[[#This Row],[31/3/2022]]</f>
        <v>0</v>
      </c>
    </row>
    <row r="4" spans="1:8" s="402" customFormat="1">
      <c r="A4" s="402" t="str">
        <f t="shared" si="0"/>
        <v>Ingresos Operativos</v>
      </c>
      <c r="B4" s="403">
        <f t="shared" si="1"/>
        <v>4466219247</v>
      </c>
      <c r="C4" s="425">
        <f>+Tabla2[[#This Row],[31/3/2022]]/$B$3</f>
        <v>0.92149071052719345</v>
      </c>
      <c r="F4" s="402" t="s">
        <v>835</v>
      </c>
      <c r="G4" s="403">
        <v>4466219247</v>
      </c>
    </row>
    <row r="5" spans="1:8" s="402" customFormat="1">
      <c r="A5" s="402" t="str">
        <f t="shared" si="0"/>
        <v>Ingresos Por Intermediacion</v>
      </c>
      <c r="B5" s="403">
        <f t="shared" si="1"/>
        <v>82276870</v>
      </c>
      <c r="C5" s="425">
        <f>+Tabla2[[#This Row],[31/3/2022]]/$B$3</f>
        <v>1.6975738807981883E-2</v>
      </c>
      <c r="F5" s="402" t="s">
        <v>718</v>
      </c>
      <c r="G5" s="403">
        <v>82276870</v>
      </c>
    </row>
    <row r="6" spans="1:8" s="402" customFormat="1">
      <c r="A6" s="402" t="str">
        <f t="shared" si="0"/>
        <v>Comisiones Por Intermediacion</v>
      </c>
      <c r="B6" s="403">
        <f t="shared" si="1"/>
        <v>82276870</v>
      </c>
      <c r="C6" s="425">
        <f>+Tabla2[[#This Row],[31/3/2022]]/$B$3</f>
        <v>1.6975738807981883E-2</v>
      </c>
      <c r="F6" s="402" t="s">
        <v>719</v>
      </c>
      <c r="G6" s="403">
        <v>82276870</v>
      </c>
    </row>
    <row r="7" spans="1:8" s="402" customFormat="1">
      <c r="A7" s="402" t="str">
        <f t="shared" si="0"/>
        <v>Bursatiles</v>
      </c>
      <c r="B7" s="403">
        <f t="shared" si="1"/>
        <v>64178337</v>
      </c>
      <c r="C7" s="425">
        <f>+Tabla2[[#This Row],[31/3/2022]]/$B$3</f>
        <v>1.3241566992553796E-2</v>
      </c>
      <c r="F7" s="402" t="s">
        <v>720</v>
      </c>
      <c r="G7" s="403">
        <v>64178337</v>
      </c>
    </row>
    <row r="8" spans="1:8" s="402" customFormat="1">
      <c r="A8" s="402" t="str">
        <f t="shared" si="0"/>
        <v>Extrabursatiles</v>
      </c>
      <c r="B8" s="403">
        <f t="shared" si="1"/>
        <v>15347399</v>
      </c>
      <c r="C8" s="425">
        <f>+Tabla2[[#This Row],[31/3/2022]]/$B$3</f>
        <v>3.1665453098286595E-3</v>
      </c>
      <c r="F8" s="402" t="s">
        <v>721</v>
      </c>
      <c r="G8" s="403">
        <v>15347399</v>
      </c>
    </row>
    <row r="9" spans="1:8" s="402" customFormat="1">
      <c r="A9" s="402" t="str">
        <f t="shared" si="0"/>
        <v>Aranceles Cobrados BVPASA</v>
      </c>
      <c r="B9" s="403">
        <f t="shared" si="1"/>
        <v>2751134</v>
      </c>
      <c r="C9" s="425">
        <f>+Tabla2[[#This Row],[31/3/2022]]/$B$3</f>
        <v>5.6762650559942821E-4</v>
      </c>
      <c r="F9" s="402" t="s">
        <v>855</v>
      </c>
      <c r="G9" s="403">
        <v>2751134</v>
      </c>
    </row>
    <row r="10" spans="1:8" s="402" customFormat="1">
      <c r="A10" s="402" t="str">
        <f t="shared" si="0"/>
        <v>Utilidad Por Venta De Inversiones/Cartera Propia</v>
      </c>
      <c r="B10" s="403">
        <f t="shared" si="1"/>
        <v>3822086726</v>
      </c>
      <c r="C10" s="425">
        <f>+Tabla2[[#This Row],[31/3/2022]]/$B$3</f>
        <v>0.78859035306071579</v>
      </c>
      <c r="F10" s="402" t="s">
        <v>722</v>
      </c>
      <c r="G10" s="403">
        <v>3822086726</v>
      </c>
    </row>
    <row r="11" spans="1:8" s="402" customFormat="1">
      <c r="A11" s="402" t="str">
        <f t="shared" si="0"/>
        <v>Instrumentos Financieros</v>
      </c>
      <c r="B11" s="403">
        <f t="shared" si="1"/>
        <v>3822086726</v>
      </c>
      <c r="C11" s="425">
        <f>+Tabla2[[#This Row],[31/3/2022]]/$B$3</f>
        <v>0.78859035306071579</v>
      </c>
      <c r="F11" s="402" t="s">
        <v>723</v>
      </c>
      <c r="G11" s="403">
        <v>3822086726</v>
      </c>
    </row>
    <row r="12" spans="1:8" s="402" customFormat="1">
      <c r="A12" s="402" t="str">
        <f t="shared" si="0"/>
        <v>Titulos De Deuda Bonos</v>
      </c>
      <c r="B12" s="403">
        <f t="shared" si="1"/>
        <v>3676898142</v>
      </c>
      <c r="C12" s="425">
        <f>+Tabla2[[#This Row],[31/3/2022]]/$B$3</f>
        <v>0.75863438269037065</v>
      </c>
      <c r="F12" s="402" t="s">
        <v>724</v>
      </c>
      <c r="G12" s="403">
        <v>3676898142</v>
      </c>
    </row>
    <row r="13" spans="1:8" s="402" customFormat="1">
      <c r="A13" s="402" t="str">
        <f t="shared" si="0"/>
        <v>Titulos De Deuda CDA</v>
      </c>
      <c r="B13" s="403">
        <f t="shared" si="1"/>
        <v>145188584</v>
      </c>
      <c r="C13" s="425">
        <f>+Tabla2[[#This Row],[31/3/2022]]/$B$3</f>
        <v>2.9955970370345121E-2</v>
      </c>
      <c r="F13" s="402" t="s">
        <v>1011</v>
      </c>
      <c r="G13" s="403">
        <v>145188584</v>
      </c>
    </row>
    <row r="14" spans="1:8" s="402" customFormat="1">
      <c r="A14" s="402" t="str">
        <f t="shared" si="0"/>
        <v>Ingresos Financieros</v>
      </c>
      <c r="B14" s="403">
        <f t="shared" si="1"/>
        <v>560759516</v>
      </c>
      <c r="C14" s="425">
        <f>+Tabla2[[#This Row],[31/3/2022]]/$B$3</f>
        <v>0.11569845908949061</v>
      </c>
      <c r="F14" s="402" t="s">
        <v>834</v>
      </c>
      <c r="G14" s="403">
        <v>560759516</v>
      </c>
    </row>
    <row r="15" spans="1:8" s="402" customFormat="1">
      <c r="A15" s="402" t="str">
        <f t="shared" si="0"/>
        <v>Intereses caja de ahorro en entidades bancarias</v>
      </c>
      <c r="B15" s="403">
        <f t="shared" si="1"/>
        <v>307380</v>
      </c>
      <c r="C15" s="425">
        <f>+Tabla2[[#This Row],[31/3/2022]]/$B$3</f>
        <v>6.3420042531971271E-5</v>
      </c>
      <c r="F15" s="402" t="s">
        <v>833</v>
      </c>
      <c r="G15" s="403">
        <v>307380</v>
      </c>
    </row>
    <row r="16" spans="1:8" s="402" customFormat="1">
      <c r="A16" s="402" t="str">
        <f t="shared" si="0"/>
        <v>Intereses  Por Instrumentos Financieros - Bursatiles -</v>
      </c>
      <c r="B16" s="403">
        <f t="shared" si="1"/>
        <v>536376727</v>
      </c>
      <c r="C16" s="425">
        <f>+Tabla2[[#This Row],[31/3/2022]]/$B$3</f>
        <v>0.11066769093467221</v>
      </c>
      <c r="F16" s="402" t="s">
        <v>832</v>
      </c>
      <c r="G16" s="403">
        <v>536376727</v>
      </c>
    </row>
    <row r="17" spans="1:8" s="402" customFormat="1">
      <c r="A17" s="402" t="str">
        <f t="shared" si="0"/>
        <v>Utilidad Por Diferencia De Cambio- Divisas</v>
      </c>
      <c r="B17" s="403">
        <f t="shared" si="1"/>
        <v>3481738</v>
      </c>
      <c r="C17" s="425">
        <f>+Tabla2[[#This Row],[31/3/2022]]/$B$3</f>
        <v>7.183680527203481E-4</v>
      </c>
      <c r="F17" s="402" t="s">
        <v>982</v>
      </c>
      <c r="G17" s="403">
        <v>3481738</v>
      </c>
    </row>
    <row r="18" spans="1:8" s="402" customFormat="1">
      <c r="A18" s="402" t="str">
        <f t="shared" si="0"/>
        <v>Intereses  Por Instrumentos Financieros - Extra Bursatiles</v>
      </c>
      <c r="B18" s="403">
        <f t="shared" si="1"/>
        <v>800731</v>
      </c>
      <c r="C18" s="425">
        <f>+Tabla2[[#This Row],[31/3/2022]]/$B$3</f>
        <v>1.6521046937558687E-4</v>
      </c>
      <c r="F18" s="402" t="s">
        <v>983</v>
      </c>
      <c r="G18" s="403">
        <v>800731</v>
      </c>
    </row>
    <row r="19" spans="1:8" s="402" customFormat="1">
      <c r="A19" s="402" t="str">
        <f t="shared" si="0"/>
        <v>Intereses cobrados por Repos - Reportador</v>
      </c>
      <c r="B19" s="403">
        <f t="shared" si="1"/>
        <v>305295</v>
      </c>
      <c r="C19" s="425">
        <f>+Tabla2[[#This Row],[31/3/2022]]/$B$3</f>
        <v>6.2989855829260748E-5</v>
      </c>
      <c r="F19" s="402" t="s">
        <v>1012</v>
      </c>
      <c r="G19" s="403">
        <v>305295</v>
      </c>
    </row>
    <row r="20" spans="1:8" s="402" customFormat="1">
      <c r="A20" s="402" t="str">
        <f t="shared" si="0"/>
        <v>Intereses Devengados - Portafolio Bursátil.</v>
      </c>
      <c r="B20" s="403">
        <f t="shared" si="1"/>
        <v>6232573</v>
      </c>
      <c r="C20" s="425">
        <f>+Tabla2[[#This Row],[31/3/2022]]/$B$3</f>
        <v>1.2859328672770376E-3</v>
      </c>
      <c r="F20" s="402" t="s">
        <v>1013</v>
      </c>
      <c r="G20" s="403">
        <v>6232573</v>
      </c>
    </row>
    <row r="21" spans="1:8" s="402" customFormat="1">
      <c r="A21" s="402" t="str">
        <f t="shared" si="0"/>
        <v>Intereses Devengados - Portafolio Extra - Bursátil.</v>
      </c>
      <c r="B21" s="403">
        <f t="shared" si="1"/>
        <v>13255072</v>
      </c>
      <c r="C21" s="425">
        <f>+Tabla2[[#This Row],[31/3/2022]]/$B$3</f>
        <v>2.7348468670842004E-3</v>
      </c>
      <c r="F21" s="402" t="s">
        <v>1014</v>
      </c>
      <c r="G21" s="403">
        <v>13255072</v>
      </c>
      <c r="H21" s="457">
        <f>+G21-Tabla2[[#This Row],[31/3/2022]]</f>
        <v>0</v>
      </c>
    </row>
    <row r="22" spans="1:8" s="402" customFormat="1">
      <c r="A22" s="402" t="str">
        <f t="shared" si="0"/>
        <v>Otros Ingresos Operativos</v>
      </c>
      <c r="B22" s="403">
        <f t="shared" si="1"/>
        <v>1096135</v>
      </c>
      <c r="C22" s="425">
        <f>+Tabla2[[#This Row],[31/3/2022]]/$B$3</f>
        <v>2.2615956900508274E-4</v>
      </c>
      <c r="F22" s="402" t="s">
        <v>208</v>
      </c>
      <c r="G22" s="403">
        <v>1096135</v>
      </c>
      <c r="H22" s="457">
        <f>+G22-Tabla2[[#This Row],[31/3/2022]]</f>
        <v>0</v>
      </c>
    </row>
    <row r="23" spans="1:8" s="402" customFormat="1">
      <c r="A23" s="402" t="str">
        <f t="shared" si="0"/>
        <v>Utilidad Por Operaciones Bursatiles</v>
      </c>
      <c r="B23" s="403">
        <f t="shared" si="1"/>
        <v>410000</v>
      </c>
      <c r="C23" s="425">
        <f>+Tabla2[[#This Row],[31/3/2022]]/$B$3</f>
        <v>8.4593068638519816E-5</v>
      </c>
      <c r="F23" s="402" t="s">
        <v>1015</v>
      </c>
      <c r="G23" s="403">
        <v>410000</v>
      </c>
    </row>
    <row r="24" spans="1:8" s="402" customFormat="1">
      <c r="A24" s="402" t="str">
        <f t="shared" si="0"/>
        <v>Utilidad Por Operaciones Extrabursátiles</v>
      </c>
      <c r="B24" s="403">
        <f t="shared" si="1"/>
        <v>686135</v>
      </c>
      <c r="C24" s="425">
        <f>+Tabla2[[#This Row],[31/3/2022]]/$B$3</f>
        <v>1.4156650036656291E-4</v>
      </c>
      <c r="F24" s="402" t="s">
        <v>856</v>
      </c>
      <c r="G24" s="403">
        <v>686135</v>
      </c>
    </row>
    <row r="25" spans="1:8" s="402" customFormat="1">
      <c r="A25" s="402" t="str">
        <f t="shared" si="0"/>
        <v>Ingresos No Operativos</v>
      </c>
      <c r="B25" s="403">
        <f t="shared" si="1"/>
        <v>380513548</v>
      </c>
      <c r="C25" s="425">
        <f>+Tabla2[[#This Row],[31/3/2022]]/$B$3</f>
        <v>7.8509289472806595E-2</v>
      </c>
      <c r="F25" s="402" t="s">
        <v>831</v>
      </c>
      <c r="G25" s="403">
        <v>380513548</v>
      </c>
    </row>
    <row r="26" spans="1:8" s="402" customFormat="1">
      <c r="A26" s="402" t="str">
        <f t="shared" si="0"/>
        <v>Ingresos Extraordinarios</v>
      </c>
      <c r="B26" s="403">
        <f t="shared" si="1"/>
        <v>380513548</v>
      </c>
      <c r="C26" s="425">
        <f>+Tabla2[[#This Row],[31/3/2022]]/$B$3</f>
        <v>7.8509289472806595E-2</v>
      </c>
      <c r="F26" s="402" t="s">
        <v>465</v>
      </c>
      <c r="G26" s="403">
        <v>380513548</v>
      </c>
    </row>
    <row r="27" spans="1:8" s="402" customFormat="1">
      <c r="A27" s="402" t="str">
        <f t="shared" si="0"/>
        <v>Otros Ingresos Administrativos</v>
      </c>
      <c r="B27" s="403">
        <f t="shared" si="1"/>
        <v>380513548</v>
      </c>
      <c r="C27" s="425">
        <f>+Tabla2[[#This Row],[31/3/2022]]/$B$3</f>
        <v>7.8509289472806595E-2</v>
      </c>
      <c r="F27" s="402" t="s">
        <v>830</v>
      </c>
      <c r="G27" s="403">
        <v>380513548</v>
      </c>
    </row>
    <row r="28" spans="1:8" s="402" customFormat="1">
      <c r="A28" s="402" t="str">
        <f t="shared" si="0"/>
        <v>Egresos Operativos</v>
      </c>
      <c r="B28" s="403">
        <f t="shared" si="1"/>
        <v>5015880246</v>
      </c>
      <c r="C28" s="425">
        <f>+Tabla2[[#This Row],[31/3/2022]]/$B$3</f>
        <v>1.0348992730060333</v>
      </c>
      <c r="F28" s="402" t="s">
        <v>829</v>
      </c>
      <c r="G28" s="403">
        <v>5015880246</v>
      </c>
    </row>
    <row r="29" spans="1:8" s="402" customFormat="1">
      <c r="A29" s="402" t="str">
        <f t="shared" si="0"/>
        <v>Gastos De Gestión De Operaciones</v>
      </c>
      <c r="B29" s="403">
        <f t="shared" si="1"/>
        <v>3960968719</v>
      </c>
      <c r="C29" s="425">
        <f>+Tabla2[[#This Row],[31/3/2022]]/$B$3</f>
        <v>0.81724511883267537</v>
      </c>
      <c r="F29" s="402" t="s">
        <v>828</v>
      </c>
      <c r="G29" s="403">
        <v>3960968719</v>
      </c>
    </row>
    <row r="30" spans="1:8" s="402" customFormat="1">
      <c r="A30" s="402" t="str">
        <f t="shared" si="0"/>
        <v>Costo de Venta de Valores</v>
      </c>
      <c r="B30" s="403">
        <f t="shared" si="1"/>
        <v>3901319882</v>
      </c>
      <c r="C30" s="425">
        <f>+Tabla2[[#This Row],[31/3/2022]]/$B$3</f>
        <v>0.80493809892401957</v>
      </c>
      <c r="F30" s="402" t="s">
        <v>827</v>
      </c>
      <c r="G30" s="403">
        <v>3901319882</v>
      </c>
    </row>
    <row r="31" spans="1:8" s="402" customFormat="1">
      <c r="A31" s="402" t="str">
        <f t="shared" si="0"/>
        <v>Fondo De Garantia Bvpasa</v>
      </c>
      <c r="B31" s="403">
        <f t="shared" si="1"/>
        <v>1420204</v>
      </c>
      <c r="C31" s="425">
        <f>+Tabla2[[#This Row],[31/3/2022]]/$B$3</f>
        <v>2.9302296207975705E-4</v>
      </c>
      <c r="F31" s="402" t="s">
        <v>826</v>
      </c>
      <c r="G31" s="403">
        <v>1420204</v>
      </c>
    </row>
    <row r="32" spans="1:8" s="402" customFormat="1">
      <c r="A32" s="402" t="str">
        <f t="shared" si="0"/>
        <v>Aranceles Pagados Bvpasa</v>
      </c>
      <c r="B32" s="403">
        <f t="shared" si="1"/>
        <v>82560000</v>
      </c>
      <c r="C32" s="425">
        <f>+Tabla2[[#This Row],[31/3/2022]]/$B$3</f>
        <v>1.7034155479990723E-2</v>
      </c>
      <c r="F32" s="402" t="s">
        <v>825</v>
      </c>
      <c r="G32" s="403">
        <v>82560000</v>
      </c>
    </row>
    <row r="33" spans="1:7" s="402" customFormat="1">
      <c r="A33" s="402" t="str">
        <f t="shared" si="0"/>
        <v>Costo de Venta de Bonos</v>
      </c>
      <c r="B33" s="403">
        <f t="shared" si="1"/>
        <v>3672255411</v>
      </c>
      <c r="C33" s="425">
        <f>+Tabla2[[#This Row],[31/3/2022]]/$B$3</f>
        <v>0.75767647327048493</v>
      </c>
      <c r="F33" s="402" t="s">
        <v>824</v>
      </c>
      <c r="G33" s="403">
        <v>3672255411</v>
      </c>
    </row>
    <row r="34" spans="1:7" s="402" customFormat="1">
      <c r="A34" s="402" t="str">
        <f t="shared" si="0"/>
        <v>Costo de Venta de CDA</v>
      </c>
      <c r="B34" s="403">
        <f t="shared" si="1"/>
        <v>145084267</v>
      </c>
      <c r="C34" s="425">
        <f>+Tabla2[[#This Row],[31/3/2022]]/$B$3</f>
        <v>2.9934447211464234E-2</v>
      </c>
      <c r="F34" s="402" t="s">
        <v>1016</v>
      </c>
      <c r="G34" s="403">
        <v>145084267</v>
      </c>
    </row>
    <row r="35" spans="1:7" s="402" customFormat="1">
      <c r="A35" s="402" t="str">
        <f t="shared" ref="A35:A64" si="2">+F35</f>
        <v>Otros Gastos De Operaciones</v>
      </c>
      <c r="B35" s="403">
        <f t="shared" ref="B35:B56" si="3">+G35</f>
        <v>59648837</v>
      </c>
      <c r="C35" s="425">
        <f>+Tabla2[[#This Row],[31/3/2022]]/$B$3</f>
        <v>1.2307019908655806E-2</v>
      </c>
      <c r="F35" s="402" t="s">
        <v>823</v>
      </c>
      <c r="G35" s="403">
        <v>59648837</v>
      </c>
    </row>
    <row r="36" spans="1:7" s="402" customFormat="1">
      <c r="A36" s="402" t="str">
        <f t="shared" si="2"/>
        <v>Perdidas Varias Operaciones</v>
      </c>
      <c r="B36" s="403">
        <f t="shared" si="3"/>
        <v>6</v>
      </c>
      <c r="C36" s="425">
        <f>+Tabla2[[#This Row],[31/3/2022]]/$B$3</f>
        <v>1.2379473459295584E-9</v>
      </c>
      <c r="F36" s="402" t="s">
        <v>984</v>
      </c>
      <c r="G36" s="403">
        <v>6</v>
      </c>
    </row>
    <row r="37" spans="1:7" s="402" customFormat="1">
      <c r="A37" s="402" t="str">
        <f t="shared" si="2"/>
        <v>Intereses Pagados sobre REPOS - Recompra</v>
      </c>
      <c r="B37" s="403">
        <f t="shared" si="3"/>
        <v>46422505</v>
      </c>
      <c r="C37" s="425">
        <f>+Tabla2[[#This Row],[31/3/2022]]/$B$3</f>
        <v>9.5781028093586077E-3</v>
      </c>
      <c r="F37" s="402" t="s">
        <v>822</v>
      </c>
      <c r="G37" s="403">
        <v>46422505</v>
      </c>
    </row>
    <row r="38" spans="1:7" s="402" customFormat="1">
      <c r="A38" s="402" t="str">
        <f t="shared" si="2"/>
        <v>Aranceles pagados a CNV</v>
      </c>
      <c r="B38" s="403">
        <f t="shared" si="3"/>
        <v>3230064</v>
      </c>
      <c r="C38" s="425">
        <f>+Tabla2[[#This Row],[31/3/2022]]/$B$3</f>
        <v>6.6644152599710214E-4</v>
      </c>
      <c r="F38" s="402" t="s">
        <v>821</v>
      </c>
      <c r="G38" s="403">
        <v>3230064</v>
      </c>
    </row>
    <row r="39" spans="1:7" s="402" customFormat="1">
      <c r="A39" s="402" t="str">
        <f t="shared" si="2"/>
        <v xml:space="preserve">Comisiones Pagadas Asesores Independientes </v>
      </c>
      <c r="B39" s="403">
        <f t="shared" si="3"/>
        <v>2058235</v>
      </c>
      <c r="C39" s="425">
        <f>+Tabla2[[#This Row],[31/3/2022]]/$B$3</f>
        <v>4.2466442592488743E-4</v>
      </c>
      <c r="F39" s="402" t="s">
        <v>820</v>
      </c>
      <c r="G39" s="403">
        <v>2058235</v>
      </c>
    </row>
    <row r="40" spans="1:7" s="402" customFormat="1">
      <c r="A40" s="402" t="str">
        <f t="shared" si="2"/>
        <v>Comisiones Pagadas a Otras entidades por intermediación</v>
      </c>
      <c r="B40" s="403">
        <f t="shared" si="3"/>
        <v>375000</v>
      </c>
      <c r="C40" s="425">
        <f>+Tabla2[[#This Row],[31/3/2022]]/$B$3</f>
        <v>7.7371709120597394E-5</v>
      </c>
      <c r="F40" s="402" t="s">
        <v>819</v>
      </c>
      <c r="G40" s="403">
        <v>375000</v>
      </c>
    </row>
    <row r="41" spans="1:7" s="402" customFormat="1">
      <c r="A41" s="402" t="str">
        <f t="shared" si="2"/>
        <v>Aranceles Pagados SEPRELAD</v>
      </c>
      <c r="B41" s="403">
        <f t="shared" si="3"/>
        <v>7563027</v>
      </c>
      <c r="C41" s="425">
        <f>+Tabla2[[#This Row],[31/3/2022]]/$B$3</f>
        <v>1.5604382003072648E-3</v>
      </c>
      <c r="F41" s="402" t="s">
        <v>857</v>
      </c>
      <c r="G41" s="403">
        <v>7563027</v>
      </c>
    </row>
    <row r="42" spans="1:7" s="402" customFormat="1">
      <c r="A42" s="402" t="str">
        <f t="shared" si="2"/>
        <v>Gastos De Ventas O Comercialización</v>
      </c>
      <c r="B42" s="403">
        <f t="shared" si="3"/>
        <v>10914028</v>
      </c>
      <c r="C42" s="425">
        <f>+Tabla2[[#This Row],[31/3/2022]]/$B$3</f>
        <v>2.2518319993334807E-3</v>
      </c>
      <c r="D42" s="419"/>
      <c r="E42" s="419"/>
      <c r="F42" s="402" t="s">
        <v>985</v>
      </c>
      <c r="G42" s="403">
        <v>10914028</v>
      </c>
    </row>
    <row r="43" spans="1:7" s="402" customFormat="1">
      <c r="A43" s="402" t="str">
        <f t="shared" si="2"/>
        <v>Otros Beneficios Al Personal de Ventas</v>
      </c>
      <c r="B43" s="403">
        <f t="shared" si="3"/>
        <v>10914028</v>
      </c>
      <c r="C43" s="425">
        <f>+Tabla2[[#This Row],[31/3/2022]]/$B$3</f>
        <v>2.2518319993334807E-3</v>
      </c>
      <c r="F43" s="402" t="s">
        <v>986</v>
      </c>
      <c r="G43" s="403">
        <v>10914028</v>
      </c>
    </row>
    <row r="44" spans="1:7" s="402" customFormat="1">
      <c r="A44" s="402" t="str">
        <f t="shared" si="2"/>
        <v>Publicidad Y Propaganda</v>
      </c>
      <c r="B44" s="403">
        <f t="shared" si="3"/>
        <v>10914028</v>
      </c>
      <c r="C44" s="425">
        <f>+Tabla2[[#This Row],[31/3/2022]]/$B$3</f>
        <v>2.2518319993334807E-3</v>
      </c>
      <c r="F44" s="402" t="s">
        <v>987</v>
      </c>
      <c r="G44" s="403">
        <v>10914028</v>
      </c>
    </row>
    <row r="45" spans="1:7" s="402" customFormat="1">
      <c r="A45" s="402" t="str">
        <f t="shared" si="2"/>
        <v>Gastos De Administración</v>
      </c>
      <c r="B45" s="403">
        <f t="shared" si="3"/>
        <v>875231058</v>
      </c>
      <c r="C45" s="425">
        <f>+Tabla2[[#This Row],[31/3/2022]]/$B$3</f>
        <v>0.18058166088770322</v>
      </c>
      <c r="F45" s="402" t="s">
        <v>818</v>
      </c>
      <c r="G45" s="403">
        <v>875231058</v>
      </c>
    </row>
    <row r="46" spans="1:7" s="402" customFormat="1">
      <c r="A46" s="402" t="str">
        <f t="shared" si="2"/>
        <v>Sueldos Y Otras Remuneraciones Al Personal</v>
      </c>
      <c r="B46" s="403">
        <f t="shared" si="3"/>
        <v>132556999</v>
      </c>
      <c r="C46" s="425">
        <f>+Tabla2[[#This Row],[31/3/2022]]/$B$3</f>
        <v>2.734976418273952E-2</v>
      </c>
      <c r="F46" s="402" t="s">
        <v>817</v>
      </c>
      <c r="G46" s="403">
        <v>132556999</v>
      </c>
    </row>
    <row r="47" spans="1:7" s="402" customFormat="1">
      <c r="A47" s="402" t="str">
        <f t="shared" si="2"/>
        <v>Sueldos Y Jornales</v>
      </c>
      <c r="B47" s="403">
        <f t="shared" si="3"/>
        <v>96718509</v>
      </c>
      <c r="C47" s="425">
        <f>+Tabla2[[#This Row],[31/3/2022]]/$B$3</f>
        <v>1.9955403586469016E-2</v>
      </c>
      <c r="F47" s="402" t="s">
        <v>684</v>
      </c>
      <c r="G47" s="403">
        <v>96718509</v>
      </c>
    </row>
    <row r="48" spans="1:7" s="402" customFormat="1">
      <c r="A48" s="402" t="str">
        <f t="shared" si="2"/>
        <v>Aporte Patronal</v>
      </c>
      <c r="B48" s="403">
        <f t="shared" si="3"/>
        <v>15958556</v>
      </c>
      <c r="C48" s="425">
        <f>+Tabla2[[#This Row],[31/3/2022]]/$B$3</f>
        <v>3.2926420075113714E-3</v>
      </c>
      <c r="F48" s="402" t="s">
        <v>217</v>
      </c>
      <c r="G48" s="403">
        <v>15958556</v>
      </c>
    </row>
    <row r="49" spans="1:7" s="402" customFormat="1">
      <c r="A49" s="402" t="str">
        <f t="shared" si="2"/>
        <v>Otros Beneficios Al Personal</v>
      </c>
      <c r="B49" s="403">
        <f t="shared" si="3"/>
        <v>7145480</v>
      </c>
      <c r="C49" s="425">
        <f>+Tabla2[[#This Row],[31/3/2022]]/$B$3</f>
        <v>1.4742880002321234E-3</v>
      </c>
      <c r="F49" s="402" t="s">
        <v>685</v>
      </c>
      <c r="G49" s="403">
        <v>7145480</v>
      </c>
    </row>
    <row r="50" spans="1:7" s="402" customFormat="1">
      <c r="A50" s="402" t="str">
        <f t="shared" si="2"/>
        <v>Aguinaldos</v>
      </c>
      <c r="B50" s="403">
        <f t="shared" si="3"/>
        <v>8059876</v>
      </c>
      <c r="C50" s="425">
        <f>+Tabla2[[#This Row],[31/3/2022]]/$B$3</f>
        <v>1.6629503504535575E-3</v>
      </c>
      <c r="F50" s="402" t="s">
        <v>1017</v>
      </c>
      <c r="G50" s="403">
        <v>8059876</v>
      </c>
    </row>
    <row r="51" spans="1:7" s="402" customFormat="1">
      <c r="A51" s="402" t="str">
        <f t="shared" si="2"/>
        <v>Capacitacion Al Personal</v>
      </c>
      <c r="B51" s="403">
        <f t="shared" si="3"/>
        <v>3222760</v>
      </c>
      <c r="C51" s="425">
        <f>+Tabla2[[#This Row],[31/3/2022]]/$B$3</f>
        <v>6.6493453142799054E-4</v>
      </c>
      <c r="F51" s="402" t="s">
        <v>1018</v>
      </c>
      <c r="G51" s="403">
        <v>3222760</v>
      </c>
    </row>
    <row r="52" spans="1:7" s="402" customFormat="1">
      <c r="A52" s="402" t="str">
        <f t="shared" si="2"/>
        <v>Uniformes Del Personal</v>
      </c>
      <c r="B52" s="403">
        <f t="shared" si="3"/>
        <v>1451818</v>
      </c>
      <c r="C52" s="425">
        <f>+Tabla2[[#This Row],[31/3/2022]]/$B$3</f>
        <v>2.9954570664545994E-4</v>
      </c>
      <c r="F52" s="402" t="s">
        <v>1019</v>
      </c>
      <c r="G52" s="403">
        <v>1451818</v>
      </c>
    </row>
    <row r="53" spans="1:7" s="402" customFormat="1">
      <c r="A53" s="402" t="str">
        <f t="shared" si="2"/>
        <v>Remuneración Personal Superior</v>
      </c>
      <c r="B53" s="403">
        <f t="shared" si="3"/>
        <v>605833338</v>
      </c>
      <c r="C53" s="425">
        <f>+Tabla2[[#This Row],[31/3/2022]]/$B$3</f>
        <v>0.1249982954754575</v>
      </c>
      <c r="F53" s="402" t="s">
        <v>858</v>
      </c>
      <c r="G53" s="403">
        <v>605833338</v>
      </c>
    </row>
    <row r="54" spans="1:7" s="402" customFormat="1">
      <c r="A54" s="402" t="str">
        <f t="shared" si="2"/>
        <v xml:space="preserve">Servicios Personales Independientes </v>
      </c>
      <c r="B54" s="403">
        <f t="shared" si="3"/>
        <v>605833338</v>
      </c>
      <c r="C54" s="425">
        <f>+Tabla2[[#This Row],[31/3/2022]]/$B$3</f>
        <v>0.1249982954754575</v>
      </c>
      <c r="F54" s="402" t="s">
        <v>859</v>
      </c>
      <c r="G54" s="403">
        <v>605833338</v>
      </c>
    </row>
    <row r="55" spans="1:7" s="402" customFormat="1">
      <c r="A55" s="402" t="str">
        <f t="shared" si="2"/>
        <v>Servicios Prestados Por Terceros</v>
      </c>
      <c r="B55" s="403">
        <f t="shared" si="3"/>
        <v>136840721</v>
      </c>
      <c r="C55" s="425">
        <f>+Tabla2[[#This Row],[31/3/2022]]/$B$3</f>
        <v>2.8233601229506196E-2</v>
      </c>
      <c r="F55" s="402" t="s">
        <v>686</v>
      </c>
      <c r="G55" s="403">
        <v>136840721</v>
      </c>
    </row>
    <row r="56" spans="1:7" s="402" customFormat="1">
      <c r="A56" s="402" t="str">
        <f t="shared" si="2"/>
        <v>Honorarios Profesionales</v>
      </c>
      <c r="B56" s="403">
        <f t="shared" si="3"/>
        <v>6481911</v>
      </c>
      <c r="C56" s="425">
        <f>+Tabla2[[#This Row],[31/3/2022]]/$B$3</f>
        <v>1.3373774198336015E-3</v>
      </c>
      <c r="F56" s="402" t="s">
        <v>614</v>
      </c>
      <c r="G56" s="403">
        <v>6481911</v>
      </c>
    </row>
    <row r="57" spans="1:7" s="402" customFormat="1">
      <c r="A57" s="402" t="str">
        <f t="shared" si="2"/>
        <v>Servicios Contratados Ire</v>
      </c>
      <c r="B57" s="403">
        <f t="shared" ref="B57:B63" si="4">+G57</f>
        <v>103293773</v>
      </c>
      <c r="C57" s="425">
        <f>+Tabla2[[#This Row],[31/3/2022]]/$B$3</f>
        <v>2.1312042022733377E-2</v>
      </c>
      <c r="F57" s="402" t="s">
        <v>687</v>
      </c>
      <c r="G57" s="403">
        <v>103293773</v>
      </c>
    </row>
    <row r="58" spans="1:7" s="402" customFormat="1">
      <c r="A58" s="402" t="str">
        <f t="shared" si="2"/>
        <v>Servicios Personales Irp</v>
      </c>
      <c r="B58" s="403">
        <f t="shared" si="4"/>
        <v>2209092</v>
      </c>
      <c r="C58" s="425">
        <f>+Tabla2[[#This Row],[31/3/2022]]/$B$3</f>
        <v>4.5578992971903663E-4</v>
      </c>
      <c r="F58" s="402" t="s">
        <v>688</v>
      </c>
      <c r="G58" s="403">
        <v>2209092</v>
      </c>
    </row>
    <row r="59" spans="1:7" s="402" customFormat="1">
      <c r="A59" s="402" t="str">
        <f t="shared" si="2"/>
        <v>Agua, Luz, Teléfono E Internet</v>
      </c>
      <c r="B59" s="403">
        <f t="shared" si="4"/>
        <v>13210480</v>
      </c>
      <c r="C59" s="425">
        <f>+Tabla2[[#This Row],[31/3/2022]]/$B$3</f>
        <v>2.725646442409252E-3</v>
      </c>
      <c r="F59" s="402" t="s">
        <v>689</v>
      </c>
      <c r="G59" s="403">
        <v>13210480</v>
      </c>
    </row>
    <row r="60" spans="1:7" s="402" customFormat="1">
      <c r="A60" s="402" t="str">
        <f t="shared" si="2"/>
        <v>Movilidad Y Viaticos</v>
      </c>
      <c r="B60" s="403">
        <f t="shared" si="4"/>
        <v>425362</v>
      </c>
      <c r="C60" s="425">
        <f>+Tabla2[[#This Row],[31/3/2022]]/$B$3</f>
        <v>8.77626264932148E-5</v>
      </c>
      <c r="F60" s="402" t="s">
        <v>976</v>
      </c>
      <c r="G60" s="403">
        <v>425362</v>
      </c>
    </row>
    <row r="61" spans="1:7" s="402" customFormat="1">
      <c r="A61" s="402" t="str">
        <f t="shared" si="2"/>
        <v>Reparaciones Y Mantenimientos</v>
      </c>
      <c r="B61" s="403">
        <f t="shared" si="4"/>
        <v>211956</v>
      </c>
      <c r="C61" s="425">
        <f>+Tabla2[[#This Row],[31/3/2022]]/$B$3</f>
        <v>4.373172794230758E-5</v>
      </c>
      <c r="F61" s="402" t="s">
        <v>977</v>
      </c>
      <c r="G61" s="403">
        <v>211956</v>
      </c>
    </row>
    <row r="62" spans="1:7" s="402" customFormat="1">
      <c r="A62" s="402" t="str">
        <f t="shared" si="2"/>
        <v>Refrigerio Y Cafeteria</v>
      </c>
      <c r="B62" s="403">
        <f t="shared" si="4"/>
        <v>1423955</v>
      </c>
      <c r="C62" s="425">
        <f>+Tabla2[[#This Row],[31/3/2022]]/$B$3</f>
        <v>2.9379688549552069E-4</v>
      </c>
      <c r="F62" s="402" t="s">
        <v>816</v>
      </c>
      <c r="G62" s="403">
        <v>1423955</v>
      </c>
    </row>
    <row r="63" spans="1:7" s="402" customFormat="1">
      <c r="A63" s="402" t="str">
        <f t="shared" si="2"/>
        <v>Comunicaciones Y Progagandas</v>
      </c>
      <c r="B63" s="403">
        <f t="shared" si="4"/>
        <v>1090909</v>
      </c>
      <c r="C63" s="425">
        <f>+Tabla2[[#This Row],[31/3/2022]]/$B$3</f>
        <v>2.2508131686677809E-4</v>
      </c>
      <c r="F63" s="402" t="s">
        <v>690</v>
      </c>
      <c r="G63" s="403">
        <v>1090909</v>
      </c>
    </row>
    <row r="64" spans="1:7">
      <c r="A64" s="402" t="str">
        <f t="shared" si="2"/>
        <v>Papeleria E Impresos</v>
      </c>
      <c r="B64" s="403">
        <f>+G64</f>
        <v>510364</v>
      </c>
      <c r="C64" s="425">
        <f>+Tabla2[[#This Row],[31/3/2022]]/$B$3</f>
        <v>1.0530062654299885E-4</v>
      </c>
      <c r="D64" s="402"/>
      <c r="F64" t="s">
        <v>691</v>
      </c>
      <c r="G64" s="404">
        <v>510364</v>
      </c>
    </row>
    <row r="65" spans="1:7">
      <c r="A65" s="402" t="str">
        <f t="shared" ref="A65:A72" si="5">+F65</f>
        <v>Gastos No Deducibles</v>
      </c>
      <c r="B65" s="403">
        <f t="shared" ref="B65:B72" si="6">+G65</f>
        <v>492688</v>
      </c>
      <c r="C65" s="617">
        <f>+Tabla2[[#This Row],[31/3/2022]]/$B$3</f>
        <v>1.0165363366189037E-4</v>
      </c>
      <c r="D65" s="402"/>
      <c r="F65" t="s">
        <v>815</v>
      </c>
      <c r="G65" s="404">
        <v>492688</v>
      </c>
    </row>
    <row r="66" spans="1:7">
      <c r="A66" s="402" t="str">
        <f t="shared" si="5"/>
        <v>Dominios Y Suscripciones</v>
      </c>
      <c r="B66" s="403">
        <f t="shared" si="6"/>
        <v>160000</v>
      </c>
      <c r="C66" s="617">
        <f>+Tabla2[[#This Row],[31/3/2022]]/$B$3</f>
        <v>3.301192922478822E-5</v>
      </c>
      <c r="D66" s="402"/>
      <c r="F66" t="s">
        <v>860</v>
      </c>
      <c r="G66" s="404">
        <v>160000</v>
      </c>
    </row>
    <row r="67" spans="1:7">
      <c r="A67" s="402" t="str">
        <f t="shared" si="5"/>
        <v>Gastos administrativos</v>
      </c>
      <c r="B67" s="403">
        <f t="shared" si="6"/>
        <v>1122506</v>
      </c>
      <c r="C67" s="617">
        <f>+Tabla2[[#This Row],[31/3/2022]]/$B$3</f>
        <v>2.316005539150008E-4</v>
      </c>
      <c r="D67" s="402"/>
      <c r="F67" t="s">
        <v>644</v>
      </c>
      <c r="G67" s="404">
        <v>1122506</v>
      </c>
    </row>
    <row r="68" spans="1:7">
      <c r="A68" s="402" t="str">
        <f t="shared" si="5"/>
        <v>Gastos De Escribania</v>
      </c>
      <c r="B68" s="403">
        <f t="shared" si="6"/>
        <v>4489001</v>
      </c>
      <c r="C68" s="617">
        <f>+Tabla2[[#This Row],[31/3/2022]]/$B$3</f>
        <v>9.2619114563752215E-4</v>
      </c>
      <c r="D68" s="402"/>
      <c r="F68" t="s">
        <v>692</v>
      </c>
      <c r="G68" s="404">
        <v>4489001</v>
      </c>
    </row>
    <row r="69" spans="1:7">
      <c r="A69" s="402" t="str">
        <f t="shared" si="5"/>
        <v>Gastos Informaticos</v>
      </c>
      <c r="B69" s="403">
        <f t="shared" si="6"/>
        <v>96156</v>
      </c>
      <c r="C69" s="617">
        <f>+Tabla2[[#This Row],[31/3/2022]]/$B$3</f>
        <v>1.9839344165867102E-5</v>
      </c>
      <c r="D69" s="402"/>
      <c r="F69" t="s">
        <v>861</v>
      </c>
      <c r="G69" s="404">
        <v>96156</v>
      </c>
    </row>
    <row r="70" spans="1:7">
      <c r="A70" s="402" t="str">
        <f t="shared" si="5"/>
        <v>Gastos De Impuestos</v>
      </c>
      <c r="B70" s="403">
        <f t="shared" si="6"/>
        <v>1622568</v>
      </c>
      <c r="C70" s="617">
        <f>+Tabla2[[#This Row],[31/3/2022]]/$B$3</f>
        <v>3.3477562486503861E-4</v>
      </c>
      <c r="D70" s="402"/>
      <c r="F70" t="s">
        <v>693</v>
      </c>
      <c r="G70" s="404">
        <v>1622568</v>
      </c>
    </row>
    <row r="71" spans="1:7">
      <c r="A71" s="402" t="str">
        <f t="shared" si="5"/>
        <v>Multas Y Sanciones</v>
      </c>
      <c r="B71" s="403">
        <f t="shared" si="6"/>
        <v>22568</v>
      </c>
      <c r="C71" s="617">
        <f>+Tabla2[[#This Row],[31/3/2022]]/$B$3</f>
        <v>4.6563326171563791E-6</v>
      </c>
      <c r="D71" s="402"/>
      <c r="F71" t="s">
        <v>862</v>
      </c>
      <c r="G71" s="404">
        <v>22568</v>
      </c>
    </row>
    <row r="72" spans="1:7">
      <c r="A72" s="402" t="str">
        <f t="shared" si="5"/>
        <v>Impuestos, Patentes, Tasas Y Otras Contr</v>
      </c>
      <c r="B72" s="403">
        <f t="shared" si="6"/>
        <v>1600000</v>
      </c>
      <c r="C72" s="617">
        <f>+Tabla2[[#This Row],[31/3/2022]]/$B$3</f>
        <v>3.3011929224788223E-4</v>
      </c>
      <c r="D72" s="402"/>
      <c r="F72" t="s">
        <v>694</v>
      </c>
      <c r="G72" s="404">
        <v>1600000</v>
      </c>
    </row>
    <row r="73" spans="1:7">
      <c r="A73" s="402" t="str">
        <f t="shared" ref="A73:A85" si="7">+F73</f>
        <v>Gastos Bancarios Y Financieros</v>
      </c>
      <c r="B73" s="403">
        <f t="shared" ref="B73:B85" si="8">+G73</f>
        <v>146034573</v>
      </c>
      <c r="C73" s="617">
        <f>+Tabla2[[#This Row],[31/3/2022]]/$B$3</f>
        <v>3.0130518676551057E-2</v>
      </c>
      <c r="D73" s="402"/>
      <c r="F73" t="s">
        <v>813</v>
      </c>
      <c r="G73" s="404">
        <v>146034573</v>
      </c>
    </row>
    <row r="74" spans="1:7">
      <c r="A74" s="402" t="str">
        <f t="shared" si="7"/>
        <v>Intereses Pagados A Entidades Bancarias</v>
      </c>
      <c r="B74" s="403">
        <f t="shared" si="8"/>
        <v>4684366</v>
      </c>
      <c r="C74" s="617">
        <f>+Tabla2[[#This Row],[31/3/2022]]/$B$3</f>
        <v>9.6649974284377684E-4</v>
      </c>
      <c r="D74" s="402"/>
      <c r="F74" t="s">
        <v>814</v>
      </c>
      <c r="G74" s="404">
        <v>4684366</v>
      </c>
    </row>
    <row r="75" spans="1:7">
      <c r="A75" s="402" t="str">
        <f t="shared" si="7"/>
        <v>Gastos Bancarios Y Financieros</v>
      </c>
      <c r="B75" s="403">
        <f t="shared" si="8"/>
        <v>4684366</v>
      </c>
      <c r="C75" s="617">
        <f>+Tabla2[[#This Row],[31/3/2022]]/$B$3</f>
        <v>9.6649974284377684E-4</v>
      </c>
      <c r="D75" s="402"/>
      <c r="F75" t="s">
        <v>813</v>
      </c>
      <c r="G75" s="404">
        <v>4684366</v>
      </c>
    </row>
    <row r="76" spans="1:7">
      <c r="A76" s="402" t="str">
        <f t="shared" si="7"/>
        <v>Intereses Devengados - Otros</v>
      </c>
      <c r="B76" s="403">
        <f t="shared" si="8"/>
        <v>141350207</v>
      </c>
      <c r="C76" s="617">
        <f>+Tabla2[[#This Row],[31/3/2022]]/$B$3</f>
        <v>2.9164018933707278E-2</v>
      </c>
      <c r="D76" s="402"/>
      <c r="F76" t="s">
        <v>812</v>
      </c>
      <c r="G76" s="404">
        <v>141350207</v>
      </c>
    </row>
    <row r="77" spans="1:7">
      <c r="A77" s="402" t="str">
        <f t="shared" si="7"/>
        <v>Intereses Devengados - Otros</v>
      </c>
      <c r="B77" s="403">
        <f t="shared" si="8"/>
        <v>141350207</v>
      </c>
      <c r="C77" s="617">
        <f>+Tabla2[[#This Row],[31/3/2022]]/$B$3</f>
        <v>2.9164018933707278E-2</v>
      </c>
      <c r="D77" s="402"/>
      <c r="F77" t="s">
        <v>812</v>
      </c>
      <c r="G77" s="404">
        <v>141350207</v>
      </c>
    </row>
    <row r="78" spans="1:7" s="408" customFormat="1">
      <c r="A78" s="635" t="str">
        <f t="shared" si="7"/>
        <v>Diferencia De Cambio</v>
      </c>
      <c r="B78" s="636">
        <f t="shared" si="8"/>
        <v>2535587</v>
      </c>
      <c r="C78" s="637">
        <f>+Tabla2[[#This Row],[31/3/2022]]/$B$3</f>
        <v>5.2315386617058182E-4</v>
      </c>
      <c r="D78" s="635"/>
      <c r="F78" s="408" t="s">
        <v>811</v>
      </c>
      <c r="G78" s="620">
        <v>2535587</v>
      </c>
    </row>
    <row r="79" spans="1:7">
      <c r="A79" s="402" t="str">
        <f t="shared" si="7"/>
        <v>Diferencia De Cambio</v>
      </c>
      <c r="B79" s="403">
        <f t="shared" si="8"/>
        <v>2535587</v>
      </c>
      <c r="C79" s="617">
        <f>+Tabla2[[#This Row],[31/3/2022]]/$B$3</f>
        <v>5.2315386617058182E-4</v>
      </c>
      <c r="D79" s="402"/>
      <c r="F79" t="s">
        <v>811</v>
      </c>
      <c r="G79" s="404">
        <v>2535587</v>
      </c>
    </row>
    <row r="80" spans="1:7">
      <c r="A80" s="402" t="str">
        <f t="shared" si="7"/>
        <v>Utilidad Por Diferencia De Cambio</v>
      </c>
      <c r="B80" s="403">
        <f t="shared" si="8"/>
        <v>-28413172</v>
      </c>
      <c r="C80" s="617">
        <f>+Tabla2[[#This Row],[31/3/2022]]/$B$3</f>
        <v>-5.8623351444733402E-3</v>
      </c>
      <c r="D80" s="402"/>
      <c r="F80" t="s">
        <v>810</v>
      </c>
      <c r="G80" s="404">
        <v>-28413172</v>
      </c>
    </row>
    <row r="81" spans="1:7">
      <c r="A81" s="402" t="str">
        <f t="shared" si="7"/>
        <v>Perdida Por Diferencia De Cambio</v>
      </c>
      <c r="B81" s="403">
        <f t="shared" si="8"/>
        <v>30948759</v>
      </c>
      <c r="C81" s="617">
        <f>+Tabla2[[#This Row],[31/3/2022]]/$B$3</f>
        <v>6.3854890106439218E-3</v>
      </c>
      <c r="D81" s="402"/>
      <c r="F81" t="s">
        <v>809</v>
      </c>
      <c r="G81" s="404">
        <v>30948759</v>
      </c>
    </row>
    <row r="82" spans="1:7">
      <c r="A82" s="402" t="str">
        <f t="shared" si="7"/>
        <v>Depreciaciones Y Amortizaciones De Activ</v>
      </c>
      <c r="B82" s="403">
        <f t="shared" si="8"/>
        <v>20196280</v>
      </c>
      <c r="C82" s="617">
        <f>+Tabla2[[#This Row],[31/3/2022]]/$B$3</f>
        <v>4.1669885372750369E-3</v>
      </c>
      <c r="D82" s="402"/>
      <c r="F82" t="s">
        <v>1020</v>
      </c>
      <c r="G82" s="404">
        <v>20196280</v>
      </c>
    </row>
    <row r="83" spans="1:7">
      <c r="A83" s="402" t="str">
        <f t="shared" si="7"/>
        <v>Depreciaciones Y Amortizaciones De Activ</v>
      </c>
      <c r="B83" s="403">
        <f t="shared" si="8"/>
        <v>20196280</v>
      </c>
      <c r="C83" s="617">
        <f>+Tabla2[[#This Row],[31/3/2022]]/$B$3</f>
        <v>4.1669885372750369E-3</v>
      </c>
      <c r="D83" s="402"/>
      <c r="F83" t="s">
        <v>1020</v>
      </c>
      <c r="G83" s="404">
        <v>20196280</v>
      </c>
    </row>
    <row r="84" spans="1:7">
      <c r="A84" s="402" t="str">
        <f t="shared" si="7"/>
        <v>Depreciaciones Del Ejercicio</v>
      </c>
      <c r="B84" s="403">
        <f t="shared" si="8"/>
        <v>949819</v>
      </c>
      <c r="C84" s="617">
        <f>+Tabla2[[#This Row],[31/3/2022]]/$B$3</f>
        <v>1.9597098502724451E-4</v>
      </c>
      <c r="D84" s="402"/>
      <c r="F84" t="s">
        <v>1021</v>
      </c>
      <c r="G84" s="404">
        <v>949819</v>
      </c>
    </row>
    <row r="85" spans="1:7">
      <c r="A85" s="402" t="str">
        <f t="shared" si="7"/>
        <v>Amortizaciones Del Ejercicio</v>
      </c>
      <c r="B85" s="403">
        <f t="shared" si="8"/>
        <v>19246461</v>
      </c>
      <c r="C85" s="617">
        <f>+Tabla2[[#This Row],[31/3/2022]]/$B$3</f>
        <v>3.9710175522477921E-3</v>
      </c>
      <c r="D85" s="402"/>
      <c r="F85" t="s">
        <v>1022</v>
      </c>
      <c r="G85" s="404">
        <v>19246461</v>
      </c>
    </row>
    <row r="87" spans="1:7">
      <c r="A87" s="423" t="s">
        <v>808</v>
      </c>
      <c r="B87" s="424">
        <f>+B3-B28</f>
        <v>-169147451</v>
      </c>
      <c r="C87" s="418">
        <f>+B87/B3</f>
        <v>-3.4899273006033335E-2</v>
      </c>
    </row>
    <row r="89" spans="1:7">
      <c r="B89" s="417">
        <f>+B87-'Balance Gral 2022'!B102</f>
        <v>-0.30000001192092896</v>
      </c>
    </row>
  </sheetData>
  <pageMargins left="0.7" right="0.7" top="0.75" bottom="0.75" header="0.3" footer="0.3"/>
  <pageSetup paperSize="9" scale="95" fitToHeight="0" orientation="portrait" r:id="rId1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>
    <tabColor rgb="FF002060"/>
  </sheetPr>
  <dimension ref="B3:I24"/>
  <sheetViews>
    <sheetView showGridLines="0" zoomScale="98" zoomScaleNormal="98" workbookViewId="0">
      <selection activeCell="K27" sqref="K27"/>
    </sheetView>
  </sheetViews>
  <sheetFormatPr baseColWidth="10" defaultColWidth="11.44140625" defaultRowHeight="12"/>
  <cols>
    <col min="1" max="1" width="3.44140625" style="27" customWidth="1"/>
    <col min="2" max="2" width="2.44140625" style="27" hidden="1" customWidth="1"/>
    <col min="3" max="3" width="28" style="27" bestFit="1" customWidth="1"/>
    <col min="4" max="4" width="15.109375" style="27" customWidth="1"/>
    <col min="5" max="5" width="15" style="99" customWidth="1"/>
    <col min="6" max="6" width="13.44140625" style="27" customWidth="1"/>
    <col min="7" max="7" width="14" style="41" customWidth="1"/>
    <col min="8" max="8" width="23.33203125" style="41" hidden="1" customWidth="1"/>
    <col min="9" max="10" width="14.33203125" style="27" customWidth="1"/>
    <col min="11" max="16384" width="11.44140625" style="27"/>
  </cols>
  <sheetData>
    <row r="3" spans="3:9" ht="14.4">
      <c r="C3" s="366" t="s">
        <v>645</v>
      </c>
      <c r="D3" s="176"/>
    </row>
    <row r="4" spans="3:9">
      <c r="C4" s="97"/>
    </row>
    <row r="5" spans="3:9">
      <c r="C5" s="756" t="s">
        <v>627</v>
      </c>
      <c r="D5" s="756"/>
      <c r="E5" s="756"/>
    </row>
    <row r="7" spans="3:9" ht="34.5" customHeight="1">
      <c r="C7" s="31" t="s">
        <v>351</v>
      </c>
      <c r="D7" s="114" t="s">
        <v>432</v>
      </c>
      <c r="E7" s="114" t="s">
        <v>433</v>
      </c>
    </row>
    <row r="8" spans="3:9">
      <c r="C8" s="35" t="s">
        <v>644</v>
      </c>
      <c r="D8" s="55">
        <f>+'[7]Estado de Cuenta Proveedores'!$F$9+'[7]Estado de Cuenta Proveedores'!$F$15+'[7]Estado de Cuenta Proveedores'!$F$23+'[7]Estado de Cuenta Proveedores'!$F$25+'[7]Estado de Cuenta Proveedores'!$F$27+'[7]Estado de Cuenta Proveedores'!$F$31+'[7]Balance Gral'!$B$76-0.6</f>
        <v>796923.4</v>
      </c>
      <c r="E8" s="55"/>
      <c r="H8" s="41">
        <v>473152</v>
      </c>
      <c r="I8" s="115"/>
    </row>
    <row r="9" spans="3:9">
      <c r="C9" s="35" t="s">
        <v>1055</v>
      </c>
      <c r="D9" s="55">
        <f>+'[7]Estado de Cuenta Proveedores'!$F$33+'[7]Estado de Cuenta Proveedores'!$F$34</f>
        <v>7144920</v>
      </c>
      <c r="E9" s="55"/>
      <c r="H9" s="41">
        <v>9545000</v>
      </c>
      <c r="I9" s="115"/>
    </row>
    <row r="10" spans="3:9">
      <c r="C10" s="35" t="s">
        <v>614</v>
      </c>
      <c r="D10" s="55">
        <f>+'[7]Estado de Cuenta Proveedores'!$E$36*'[7]Estado de Cuenta Proveedores'!$E$40</f>
        <v>1786599.6</v>
      </c>
      <c r="E10" s="55"/>
      <c r="H10" s="41">
        <v>1320000</v>
      </c>
      <c r="I10" s="115"/>
    </row>
    <row r="11" spans="3:9">
      <c r="C11" s="35" t="s">
        <v>218</v>
      </c>
      <c r="D11" s="55"/>
      <c r="E11" s="55"/>
      <c r="H11" s="41">
        <v>30640000</v>
      </c>
      <c r="I11" s="115"/>
    </row>
    <row r="12" spans="3:9">
      <c r="C12" s="35" t="s">
        <v>683</v>
      </c>
      <c r="D12" s="55"/>
      <c r="E12" s="55"/>
      <c r="I12" s="115"/>
    </row>
    <row r="13" spans="3:9">
      <c r="C13" s="35" t="s">
        <v>682</v>
      </c>
      <c r="D13" s="55">
        <f>'[7]Estado de Cuenta Proveedores'!$F$5+'[7]Estado de Cuenta Proveedores'!$F$6+'[7]Estado de Cuenta Proveedores'!$F$7</f>
        <v>4347520</v>
      </c>
      <c r="E13" s="55"/>
      <c r="I13" s="115"/>
    </row>
    <row r="14" spans="3:9">
      <c r="C14" s="35" t="s">
        <v>1054</v>
      </c>
      <c r="D14" s="55"/>
      <c r="E14" s="55"/>
      <c r="H14" s="41">
        <v>41978152</v>
      </c>
      <c r="I14" s="115"/>
    </row>
    <row r="15" spans="3:9">
      <c r="C15" s="107" t="str">
        <f>+'NOTA K PRESTAMOS'!C12</f>
        <v>Total al  30/06/2023</v>
      </c>
      <c r="D15" s="104">
        <f>SUM(D8:D14)</f>
        <v>14075963</v>
      </c>
      <c r="E15" s="55">
        <v>0</v>
      </c>
      <c r="F15" s="41"/>
    </row>
    <row r="16" spans="3:9">
      <c r="C16" s="107" t="str">
        <f>+'NOTA K PRESTAMOS'!C13</f>
        <v>Total al  30/12/2022</v>
      </c>
      <c r="D16" s="104">
        <f>'BALANCE GRAL'!H11</f>
        <v>18508742</v>
      </c>
      <c r="E16" s="104">
        <v>0</v>
      </c>
      <c r="F16" s="41"/>
    </row>
    <row r="17" spans="4:4">
      <c r="D17" s="99"/>
    </row>
    <row r="18" spans="4:4">
      <c r="D18" s="41">
        <f>+D15-'BALANCE GRAL'!G11</f>
        <v>0</v>
      </c>
    </row>
    <row r="19" spans="4:4">
      <c r="D19" s="57"/>
    </row>
    <row r="21" spans="4:4">
      <c r="D21" s="41"/>
    </row>
    <row r="22" spans="4:4">
      <c r="D22" s="41"/>
    </row>
    <row r="23" spans="4:4">
      <c r="D23" s="57"/>
    </row>
    <row r="24" spans="4:4">
      <c r="D24" s="57"/>
    </row>
  </sheetData>
  <mergeCells count="1">
    <mergeCell ref="C5:E5"/>
  </mergeCells>
  <hyperlinks>
    <hyperlink ref="C3" location="'BALANCE GRAL 30_09_22'!A1" display="l)       Acreedores Varios (Corto y largo plazo)" xr:uid="{5E737BCA-950D-435D-924B-0EC48E0CE7FE}"/>
  </hyperlink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>
    <tabColor rgb="FF002060"/>
  </sheetPr>
  <dimension ref="B2:H46"/>
  <sheetViews>
    <sheetView showGridLines="0" topLeftCell="A19" zoomScaleNormal="100" workbookViewId="0">
      <selection activeCell="G31" sqref="G31:G32"/>
    </sheetView>
  </sheetViews>
  <sheetFormatPr baseColWidth="10" defaultColWidth="11.44140625" defaultRowHeight="12"/>
  <cols>
    <col min="1" max="1" width="5" style="116" customWidth="1"/>
    <col min="2" max="2" width="47.109375" style="116" customWidth="1"/>
    <col min="3" max="3" width="21.44140625" style="116" bestFit="1" customWidth="1"/>
    <col min="4" max="4" width="19.44140625" style="116" customWidth="1"/>
    <col min="5" max="5" width="11.44140625" style="116"/>
    <col min="6" max="6" width="13.44140625" style="116" customWidth="1"/>
    <col min="7" max="8" width="11.44140625" style="116"/>
    <col min="9" max="9" width="24.88671875" style="116" customWidth="1"/>
    <col min="10" max="16384" width="11.44140625" style="116"/>
  </cols>
  <sheetData>
    <row r="2" spans="2:4" ht="14.4">
      <c r="C2" s="176"/>
    </row>
    <row r="3" spans="2:4" ht="14.4">
      <c r="B3" s="366" t="s">
        <v>665</v>
      </c>
    </row>
    <row r="4" spans="2:4">
      <c r="B4" s="117"/>
    </row>
    <row r="5" spans="2:4">
      <c r="B5" s="756" t="s">
        <v>627</v>
      </c>
      <c r="C5" s="756"/>
      <c r="D5" s="756"/>
    </row>
    <row r="7" spans="2:4">
      <c r="B7" s="109" t="s">
        <v>351</v>
      </c>
      <c r="C7" s="109" t="s">
        <v>434</v>
      </c>
      <c r="D7" s="109" t="s">
        <v>435</v>
      </c>
    </row>
    <row r="8" spans="2:4">
      <c r="B8" s="118" t="s">
        <v>969</v>
      </c>
      <c r="C8" s="119">
        <f>+'BALANCE GRAL'!G10</f>
        <v>587104398</v>
      </c>
      <c r="D8" s="120">
        <v>0</v>
      </c>
    </row>
    <row r="9" spans="2:4">
      <c r="B9" s="121" t="str">
        <f>+'NOTA L ACREED VARIOS'!C15</f>
        <v>Total al  30/06/2023</v>
      </c>
      <c r="C9" s="123">
        <f>SUM(C8:C8)</f>
        <v>587104398</v>
      </c>
      <c r="D9" s="120">
        <v>0</v>
      </c>
    </row>
    <row r="10" spans="2:4">
      <c r="B10" s="121" t="str">
        <f>+'NOTA L ACREED VARIOS'!C16</f>
        <v>Total al  30/12/2022</v>
      </c>
      <c r="C10" s="123">
        <f>'BALANCE GRAL'!H10</f>
        <v>317004338</v>
      </c>
      <c r="D10" s="120">
        <v>0</v>
      </c>
    </row>
    <row r="11" spans="2:4">
      <c r="C11" s="385">
        <f>+C9-'BALANCE GRAL'!G10</f>
        <v>0</v>
      </c>
    </row>
    <row r="12" spans="2:4">
      <c r="B12" s="117" t="s">
        <v>512</v>
      </c>
    </row>
    <row r="13" spans="2:4" ht="24" customHeight="1">
      <c r="B13" s="756" t="s">
        <v>436</v>
      </c>
      <c r="C13" s="756"/>
      <c r="D13" s="756"/>
    </row>
    <row r="14" spans="2:4">
      <c r="B14" s="124"/>
    </row>
    <row r="15" spans="2:4" ht="24" customHeight="1">
      <c r="B15" s="764" t="s">
        <v>974</v>
      </c>
      <c r="C15" s="764"/>
      <c r="D15" s="764"/>
    </row>
    <row r="16" spans="2:4">
      <c r="B16" s="117"/>
    </row>
    <row r="17" spans="2:8">
      <c r="B17" s="756" t="s">
        <v>627</v>
      </c>
      <c r="C17" s="756"/>
      <c r="D17" s="756"/>
    </row>
    <row r="18" spans="2:8">
      <c r="B18" s="117"/>
    </row>
    <row r="19" spans="2:8" ht="24">
      <c r="B19" s="109" t="s">
        <v>441</v>
      </c>
      <c r="C19" s="109" t="s">
        <v>442</v>
      </c>
      <c r="D19" s="109" t="s">
        <v>443</v>
      </c>
      <c r="E19" s="109" t="s">
        <v>444</v>
      </c>
      <c r="F19" s="109" t="s">
        <v>434</v>
      </c>
      <c r="G19" s="109" t="s">
        <v>435</v>
      </c>
    </row>
    <row r="20" spans="2:8">
      <c r="B20" s="118" t="s">
        <v>715</v>
      </c>
      <c r="C20" s="118" t="s">
        <v>716</v>
      </c>
      <c r="D20" s="118" t="s">
        <v>614</v>
      </c>
      <c r="E20" s="53">
        <v>43</v>
      </c>
      <c r="F20" s="119">
        <v>880000</v>
      </c>
      <c r="G20" s="120">
        <v>0</v>
      </c>
    </row>
    <row r="21" spans="2:8">
      <c r="B21" s="118" t="s">
        <v>846</v>
      </c>
      <c r="C21" s="118" t="s">
        <v>844</v>
      </c>
      <c r="D21" s="118" t="s">
        <v>845</v>
      </c>
      <c r="E21" s="53">
        <v>148</v>
      </c>
      <c r="F21" s="119">
        <v>2640000</v>
      </c>
      <c r="G21" s="120"/>
    </row>
    <row r="22" spans="2:8">
      <c r="B22" s="118" t="s">
        <v>1100</v>
      </c>
      <c r="C22" s="118" t="s">
        <v>1027</v>
      </c>
      <c r="D22" s="118" t="s">
        <v>970</v>
      </c>
      <c r="E22" s="53">
        <v>29</v>
      </c>
      <c r="F22" s="119">
        <v>5500000</v>
      </c>
      <c r="G22" s="120"/>
    </row>
    <row r="23" spans="2:8">
      <c r="B23" s="118" t="s">
        <v>560</v>
      </c>
      <c r="C23" s="118" t="s">
        <v>559</v>
      </c>
      <c r="D23" s="118" t="s">
        <v>989</v>
      </c>
      <c r="E23" s="53"/>
      <c r="F23" s="119">
        <v>0</v>
      </c>
      <c r="G23" s="120"/>
      <c r="H23" s="385"/>
    </row>
    <row r="24" spans="2:8">
      <c r="B24" s="118" t="s">
        <v>1026</v>
      </c>
      <c r="C24" s="118" t="s">
        <v>1027</v>
      </c>
      <c r="D24" s="118" t="s">
        <v>1030</v>
      </c>
      <c r="E24" s="53">
        <v>269</v>
      </c>
      <c r="F24" s="119">
        <f>+'[7]Estado de Cuenta Proveedores'!$E$13*'[7]Estado de Cuenta Proveedores'!$E$40</f>
        <v>3631300</v>
      </c>
      <c r="G24" s="120"/>
    </row>
    <row r="25" spans="2:8" ht="24">
      <c r="B25" s="118" t="s">
        <v>1028</v>
      </c>
      <c r="C25" s="118" t="s">
        <v>1027</v>
      </c>
      <c r="D25" s="118" t="s">
        <v>1029</v>
      </c>
      <c r="E25" s="53">
        <v>28</v>
      </c>
      <c r="F25" s="119">
        <v>2000000</v>
      </c>
      <c r="G25" s="120"/>
    </row>
    <row r="26" spans="2:8">
      <c r="B26" s="118" t="s">
        <v>1033</v>
      </c>
      <c r="C26" s="118" t="s">
        <v>1027</v>
      </c>
      <c r="D26" s="118" t="s">
        <v>1056</v>
      </c>
      <c r="E26" s="53">
        <v>28</v>
      </c>
      <c r="F26" s="119">
        <v>612580</v>
      </c>
      <c r="G26" s="120"/>
    </row>
    <row r="27" spans="2:8">
      <c r="B27" s="121" t="str">
        <f>+B9</f>
        <v>Total al  30/06/2023</v>
      </c>
      <c r="C27" s="121"/>
      <c r="D27" s="121"/>
      <c r="E27" s="121"/>
      <c r="F27" s="313">
        <f>SUM(F20:F26)</f>
        <v>15263880</v>
      </c>
      <c r="G27" s="120">
        <v>0</v>
      </c>
    </row>
    <row r="28" spans="2:8">
      <c r="B28" s="121" t="str">
        <f>+B10</f>
        <v>Total al  30/12/2022</v>
      </c>
      <c r="C28" s="121"/>
      <c r="D28" s="121"/>
      <c r="E28" s="121"/>
      <c r="F28" s="123">
        <v>41978152</v>
      </c>
      <c r="G28" s="120">
        <v>0</v>
      </c>
    </row>
    <row r="29" spans="2:8">
      <c r="B29" s="125"/>
      <c r="C29" s="126"/>
      <c r="D29" s="127"/>
      <c r="F29" s="385"/>
    </row>
    <row r="30" spans="2:8" ht="24" customHeight="1">
      <c r="B30" s="763" t="s">
        <v>513</v>
      </c>
      <c r="C30" s="763"/>
      <c r="D30" s="763"/>
      <c r="E30" s="133"/>
    </row>
    <row r="31" spans="2:8">
      <c r="B31" s="756" t="s">
        <v>627</v>
      </c>
      <c r="C31" s="756"/>
      <c r="D31" s="756"/>
    </row>
    <row r="32" spans="2:8">
      <c r="B32" s="117"/>
      <c r="C32" s="117"/>
      <c r="D32" s="117"/>
    </row>
    <row r="33" spans="2:6" ht="24" customHeight="1">
      <c r="B33" s="109" t="s">
        <v>372</v>
      </c>
      <c r="C33" s="109" t="s">
        <v>443</v>
      </c>
      <c r="D33" s="109" t="s">
        <v>638</v>
      </c>
      <c r="E33" s="109" t="s">
        <v>434</v>
      </c>
      <c r="F33" s="109" t="s">
        <v>435</v>
      </c>
    </row>
    <row r="34" spans="2:6">
      <c r="B34" s="118"/>
      <c r="C34" s="760" t="s">
        <v>639</v>
      </c>
      <c r="D34" s="761"/>
      <c r="E34" s="761"/>
      <c r="F34" s="762"/>
    </row>
    <row r="35" spans="2:6">
      <c r="B35" s="121" t="str">
        <f>+B27</f>
        <v>Total al  30/06/2023</v>
      </c>
      <c r="C35" s="121"/>
      <c r="D35" s="121"/>
      <c r="E35" s="313">
        <f>SUM(E34:E34)</f>
        <v>0</v>
      </c>
      <c r="F35" s="120">
        <v>0</v>
      </c>
    </row>
    <row r="36" spans="2:6">
      <c r="B36" s="121" t="str">
        <f>+B28</f>
        <v>Total al  30/12/2022</v>
      </c>
      <c r="C36" s="121"/>
      <c r="D36" s="121"/>
      <c r="E36" s="123">
        <v>0</v>
      </c>
      <c r="F36" s="120">
        <v>0</v>
      </c>
    </row>
    <row r="38" spans="2:6" ht="14.4">
      <c r="B38" s="612" t="s">
        <v>975</v>
      </c>
    </row>
    <row r="39" spans="2:6">
      <c r="B39" s="117"/>
    </row>
    <row r="40" spans="2:6">
      <c r="B40" s="756" t="s">
        <v>627</v>
      </c>
      <c r="C40" s="756"/>
      <c r="D40" s="756"/>
    </row>
    <row r="42" spans="2:6">
      <c r="B42" s="37" t="s">
        <v>351</v>
      </c>
      <c r="C42" s="114" t="s">
        <v>437</v>
      </c>
      <c r="D42" s="114" t="s">
        <v>438</v>
      </c>
    </row>
    <row r="43" spans="2:6">
      <c r="B43" s="128" t="s">
        <v>1094</v>
      </c>
      <c r="C43" s="130">
        <f>+'BALANCE GRAL'!G34</f>
        <v>4884822</v>
      </c>
      <c r="D43" s="129">
        <v>0</v>
      </c>
    </row>
    <row r="44" spans="2:6">
      <c r="B44" s="121" t="str">
        <f>+B27</f>
        <v>Total al  30/06/2023</v>
      </c>
      <c r="C44" s="122">
        <f>SUM(C43:C43)</f>
        <v>4884822</v>
      </c>
      <c r="D44" s="129">
        <v>0</v>
      </c>
    </row>
    <row r="45" spans="2:6">
      <c r="B45" s="121" t="str">
        <f>+B28</f>
        <v>Total al  30/12/2022</v>
      </c>
      <c r="C45" s="131">
        <v>454881917</v>
      </c>
      <c r="D45" s="129">
        <v>0</v>
      </c>
    </row>
    <row r="46" spans="2:6">
      <c r="C46" s="133">
        <f>+C44-'BALANCE GRAL'!G34</f>
        <v>0</v>
      </c>
    </row>
  </sheetData>
  <mergeCells count="8">
    <mergeCell ref="B40:D40"/>
    <mergeCell ref="C34:F34"/>
    <mergeCell ref="B31:D31"/>
    <mergeCell ref="B13:D13"/>
    <mergeCell ref="B5:D5"/>
    <mergeCell ref="B17:D17"/>
    <mergeCell ref="B30:D30"/>
    <mergeCell ref="B15:D15"/>
  </mergeCells>
  <phoneticPr fontId="56" type="noConversion"/>
  <hyperlinks>
    <hyperlink ref="B3" location="'BALANCE GRAL 30_09_22'!A1" display="m)       Acreedores por Intermediación. Corto y Largo Plazo. " xr:uid="{198D39C7-CD71-421C-A0C6-BAD954F3461D}"/>
    <hyperlink ref="B15:D15" location="'BALANCE GRAL 30_06_22'!A1" display="o)       Cuentas a Pagar a personas y empresas relacionadas (Corto y Largo plazo)" xr:uid="{29F1541F-B515-46A8-948B-CA95EA333B24}"/>
    <hyperlink ref="B38" location="'BALANCE GRAL 30_09_22'!A1" display="q)       Otros Pasivos Corrientes y No Corrientes" xr:uid="{8DB6AFE3-B713-47DB-AA12-4930F1951995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>
    <tabColor rgb="FF002060"/>
  </sheetPr>
  <dimension ref="B1:I26"/>
  <sheetViews>
    <sheetView showGridLines="0" zoomScale="98" zoomScaleNormal="98" workbookViewId="0">
      <selection activeCell="K27" sqref="K27"/>
    </sheetView>
  </sheetViews>
  <sheetFormatPr baseColWidth="10" defaultColWidth="11.44140625" defaultRowHeight="12"/>
  <cols>
    <col min="1" max="1" width="2.44140625" style="116" customWidth="1"/>
    <col min="2" max="2" width="37.6640625" style="116" customWidth="1"/>
    <col min="3" max="3" width="27" style="116" bestFit="1" customWidth="1"/>
    <col min="4" max="4" width="23.33203125" style="116" bestFit="1" customWidth="1"/>
    <col min="5" max="5" width="21.6640625" style="132" customWidth="1"/>
    <col min="6" max="6" width="20.44140625" style="132" customWidth="1"/>
    <col min="7" max="7" width="14.33203125" style="116" bestFit="1" customWidth="1"/>
    <col min="8" max="8" width="14" style="133" bestFit="1" customWidth="1"/>
    <col min="9" max="16384" width="11.44140625" style="116"/>
  </cols>
  <sheetData>
    <row r="1" spans="2:6" ht="14.4">
      <c r="C1" s="176"/>
    </row>
    <row r="3" spans="2:6">
      <c r="B3" s="767" t="s">
        <v>439</v>
      </c>
      <c r="C3" s="767"/>
      <c r="D3" s="767"/>
      <c r="E3" s="767"/>
      <c r="F3" s="767"/>
    </row>
    <row r="4" spans="2:6">
      <c r="B4" s="348"/>
      <c r="C4" s="348"/>
      <c r="D4" s="348"/>
      <c r="E4" s="348"/>
      <c r="F4" s="348"/>
    </row>
    <row r="5" spans="2:6" ht="12" customHeight="1">
      <c r="B5" s="756" t="s">
        <v>627</v>
      </c>
      <c r="C5" s="756"/>
      <c r="D5" s="756"/>
      <c r="E5" s="756"/>
      <c r="F5" s="756"/>
    </row>
    <row r="6" spans="2:6" ht="12.6" thickBot="1"/>
    <row r="7" spans="2:6" ht="35.25" customHeight="1" thickBot="1">
      <c r="B7" s="326" t="s">
        <v>615</v>
      </c>
      <c r="C7" s="134"/>
      <c r="D7" s="135"/>
      <c r="E7" s="765" t="s">
        <v>440</v>
      </c>
      <c r="F7" s="766"/>
    </row>
    <row r="8" spans="2:6">
      <c r="B8" s="136" t="s">
        <v>441</v>
      </c>
      <c r="C8" s="136" t="s">
        <v>442</v>
      </c>
      <c r="D8" s="136" t="s">
        <v>443</v>
      </c>
      <c r="E8" s="137" t="str">
        <f>+'NOTAS M-Q ACREED y CTAS A PAG'!B9</f>
        <v>Total al  30/06/2023</v>
      </c>
      <c r="F8" s="137" t="str">
        <f>+'NOTAS M-Q ACREED y CTAS A PAG'!B10</f>
        <v>Total al  30/12/2022</v>
      </c>
    </row>
    <row r="9" spans="2:6">
      <c r="B9" s="138" t="s">
        <v>617</v>
      </c>
      <c r="C9" s="138" t="s">
        <v>973</v>
      </c>
      <c r="D9" s="138" t="s">
        <v>847</v>
      </c>
      <c r="E9" s="139">
        <v>28520000</v>
      </c>
      <c r="F9" s="139">
        <v>28520000</v>
      </c>
    </row>
    <row r="10" spans="2:6" ht="24">
      <c r="B10" s="138" t="s">
        <v>971</v>
      </c>
      <c r="C10" s="138" t="s">
        <v>972</v>
      </c>
      <c r="D10" s="138" t="s">
        <v>1031</v>
      </c>
      <c r="E10" s="139">
        <v>167631100</v>
      </c>
      <c r="F10" s="139">
        <v>111400000</v>
      </c>
    </row>
    <row r="11" spans="2:6">
      <c r="B11" s="398" t="str">
        <f>+'NOTAS M-Q ACREED y CTAS A PAG'!B20</f>
        <v>Ysaias López Gómez</v>
      </c>
      <c r="C11" s="398" t="str">
        <f>+'NOTAS M-Q ACREED y CTAS A PAG'!C20</f>
        <v>Sindico</v>
      </c>
      <c r="D11" s="398" t="str">
        <f>+'NOTAS M-Q ACREED y CTAS A PAG'!D20</f>
        <v>Honorarios Profesionales</v>
      </c>
      <c r="E11" s="139">
        <f>+'NOTAS M-Q ACREED y CTAS A PAG'!F20</f>
        <v>880000</v>
      </c>
      <c r="F11" s="139">
        <v>1320000</v>
      </c>
    </row>
    <row r="12" spans="2:6">
      <c r="B12" s="398" t="str">
        <f>+'NOTAS M-Q ACREED y CTAS A PAG'!B21</f>
        <v>Hp Auditores &amp; Contadores</v>
      </c>
      <c r="C12" s="398" t="str">
        <f>+'NOTAS M-Q ACREED y CTAS A PAG'!C21</f>
        <v>Auditores</v>
      </c>
      <c r="D12" s="398" t="str">
        <f>+'NOTAS M-Q ACREED y CTAS A PAG'!D21</f>
        <v>Servicios de Auditoria</v>
      </c>
      <c r="E12" s="139">
        <f>+'NOTAS M-Q ACREED y CTAS A PAG'!F21</f>
        <v>2640000</v>
      </c>
      <c r="F12" s="139">
        <v>2640000</v>
      </c>
    </row>
    <row r="13" spans="2:6">
      <c r="B13" s="398" t="str">
        <f>+'NOTAS M-Q ACREED y CTAS A PAG'!B22</f>
        <v>In Positiva Sa</v>
      </c>
      <c r="C13" s="398" t="str">
        <f>+'NOTAS M-Q ACREED y CTAS A PAG'!C22</f>
        <v>Empresa Vinculada</v>
      </c>
      <c r="D13" s="398" t="str">
        <f>+'NOTAS M-Q ACREED y CTAS A PAG'!D22</f>
        <v>Servicios de Contabilidad</v>
      </c>
      <c r="E13" s="139">
        <f>+'NOTAS M-Q ACREED y CTAS A PAG'!F22</f>
        <v>5500000</v>
      </c>
      <c r="F13" s="139">
        <v>22000000</v>
      </c>
    </row>
    <row r="14" spans="2:6">
      <c r="B14" s="398" t="str">
        <f>+'NOTAS M-Q ACREED y CTAS A PAG'!B23</f>
        <v>Giuseppe Antonio Saurini Buey</v>
      </c>
      <c r="C14" s="398" t="str">
        <f>+'NOTAS M-Q ACREED y CTAS A PAG'!C23</f>
        <v>Presidente</v>
      </c>
      <c r="D14" s="398" t="str">
        <f>+'NOTAS M-Q ACREED y CTAS A PAG'!D23</f>
        <v>Recupero de Gastos</v>
      </c>
      <c r="E14" s="139">
        <f>+'NOTAS M-Q ACREED y CTAS A PAG'!F23</f>
        <v>0</v>
      </c>
      <c r="F14" s="139">
        <v>473152</v>
      </c>
    </row>
    <row r="15" spans="2:6">
      <c r="B15" s="398" t="str">
        <f>+'NOTAS M-Q ACREED y CTAS A PAG'!B24</f>
        <v>Market Data</v>
      </c>
      <c r="C15" s="398" t="str">
        <f>+'NOTAS M-Q ACREED y CTAS A PAG'!C24</f>
        <v>Empresa Vinculada</v>
      </c>
      <c r="D15" s="398" t="str">
        <f>+'NOTAS M-Q ACREED y CTAS A PAG'!D24</f>
        <v>Capacitación al Personal</v>
      </c>
      <c r="E15" s="139">
        <f>+'NOTAS M-Q ACREED y CTAS A PAG'!F24</f>
        <v>3631300</v>
      </c>
      <c r="F15" s="139">
        <v>9545000</v>
      </c>
    </row>
    <row r="16" spans="2:6">
      <c r="B16" s="398" t="str">
        <f>+'NOTAS M-Q ACREED y CTAS A PAG'!B25</f>
        <v>Metis</v>
      </c>
      <c r="C16" s="398" t="str">
        <f>+'NOTAS M-Q ACREED y CTAS A PAG'!C25</f>
        <v>Empresa Vinculada</v>
      </c>
      <c r="D16" s="398" t="str">
        <f>+'NOTAS M-Q ACREED y CTAS A PAG'!D25</f>
        <v>Servicios de Marketing Digital</v>
      </c>
      <c r="E16" s="139">
        <f>+'NOTAS M-Q ACREED y CTAS A PAG'!F25</f>
        <v>2000000</v>
      </c>
      <c r="F16" s="139">
        <v>6000000</v>
      </c>
    </row>
    <row r="17" spans="2:9">
      <c r="B17" s="398" t="str">
        <f>+'NOTAS M-Q ACREED y CTAS A PAG'!B26</f>
        <v>Edge</v>
      </c>
      <c r="C17" s="398" t="str">
        <f>+'NOTAS M-Q ACREED y CTAS A PAG'!C26</f>
        <v>Empresa Vinculada</v>
      </c>
      <c r="D17" s="398" t="str">
        <f>+'NOTAS M-Q ACREED y CTAS A PAG'!D26</f>
        <v>Servicios Informaticos</v>
      </c>
      <c r="E17" s="139">
        <f>+'NOTAS M-Q ACREED y CTAS A PAG'!F26</f>
        <v>612580</v>
      </c>
      <c r="F17" s="139"/>
    </row>
    <row r="18" spans="2:9">
      <c r="B18" s="121" t="str">
        <f>+'NOTAS M-Q ACREED y CTAS A PAG'!B44</f>
        <v>Total al  30/06/2023</v>
      </c>
      <c r="C18" s="53"/>
      <c r="D18" s="138"/>
      <c r="E18" s="140">
        <f>SUM(E9:E17)</f>
        <v>211414980</v>
      </c>
      <c r="F18" s="141">
        <v>0</v>
      </c>
      <c r="G18" s="142">
        <f>(E18-E10-E9)-'NOTAS M-Q ACREED y CTAS A PAG'!F27</f>
        <v>0</v>
      </c>
      <c r="I18" s="142"/>
    </row>
    <row r="19" spans="2:9">
      <c r="B19" s="121" t="str">
        <f>+'NOTAS M-Q ACREED y CTAS A PAG'!B28</f>
        <v>Total al  30/12/2022</v>
      </c>
      <c r="C19" s="328">
        <v>0</v>
      </c>
      <c r="D19" s="328">
        <v>0</v>
      </c>
      <c r="E19" s="140">
        <v>0</v>
      </c>
      <c r="F19" s="140">
        <f>SUM(F9:F18)</f>
        <v>181898152</v>
      </c>
      <c r="I19" s="142"/>
    </row>
    <row r="20" spans="2:9">
      <c r="B20" s="125"/>
      <c r="E20" s="327"/>
      <c r="F20" s="327"/>
      <c r="I20" s="142"/>
    </row>
    <row r="21" spans="2:9" ht="12.6" thickBot="1"/>
    <row r="22" spans="2:9" ht="12.6" thickBot="1">
      <c r="B22" s="326" t="s">
        <v>616</v>
      </c>
      <c r="C22" s="326"/>
      <c r="D22" s="135"/>
      <c r="E22" s="765"/>
      <c r="F22" s="766"/>
      <c r="G22" s="601"/>
    </row>
    <row r="23" spans="2:9" ht="24">
      <c r="B23" s="37" t="s">
        <v>441</v>
      </c>
      <c r="C23" s="114" t="s">
        <v>442</v>
      </c>
      <c r="D23" s="114" t="s">
        <v>443</v>
      </c>
      <c r="E23" s="114" t="s">
        <v>444</v>
      </c>
      <c r="F23" s="114" t="s">
        <v>396</v>
      </c>
      <c r="G23" s="114" t="s">
        <v>445</v>
      </c>
    </row>
    <row r="24" spans="2:9">
      <c r="B24" s="396">
        <v>0</v>
      </c>
      <c r="C24" s="397">
        <v>0</v>
      </c>
      <c r="D24" s="397">
        <v>0</v>
      </c>
      <c r="E24" s="130">
        <v>0</v>
      </c>
      <c r="F24" s="130">
        <v>0</v>
      </c>
      <c r="G24" s="130">
        <v>0</v>
      </c>
    </row>
    <row r="25" spans="2:9">
      <c r="B25" s="121" t="str">
        <f>+B18</f>
        <v>Total al  30/06/2023</v>
      </c>
      <c r="C25" s="120">
        <v>0</v>
      </c>
      <c r="D25" s="120">
        <v>0</v>
      </c>
      <c r="E25" s="120">
        <v>0</v>
      </c>
      <c r="F25" s="120">
        <v>0</v>
      </c>
      <c r="G25" s="313">
        <v>0</v>
      </c>
    </row>
    <row r="26" spans="2:9">
      <c r="B26" s="121" t="str">
        <f>+B19</f>
        <v>Total al  30/12/2022</v>
      </c>
      <c r="C26" s="120">
        <v>0</v>
      </c>
      <c r="D26" s="120">
        <v>0</v>
      </c>
      <c r="E26" s="120">
        <v>0</v>
      </c>
      <c r="F26" s="120">
        <v>0</v>
      </c>
      <c r="G26" s="313">
        <v>0</v>
      </c>
      <c r="H26" s="133">
        <v>0</v>
      </c>
    </row>
  </sheetData>
  <autoFilter ref="B8:F19" xr:uid="{00000000-0009-0000-0000-000011000000}"/>
  <mergeCells count="4">
    <mergeCell ref="E7:F7"/>
    <mergeCell ref="B3:F3"/>
    <mergeCell ref="E22:F22"/>
    <mergeCell ref="B5:F5"/>
  </mergeCells>
  <pageMargins left="0.7" right="0.7" top="0.75" bottom="0.75" header="0.3" footer="0.3"/>
  <pageSetup paperSize="9" orientation="portrait" horizontalDpi="300" verticalDpi="300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>
    <tabColor rgb="FF002060"/>
  </sheetPr>
  <dimension ref="B1:O31"/>
  <sheetViews>
    <sheetView showGridLines="0" topLeftCell="B1" zoomScale="98" zoomScaleNormal="98" workbookViewId="0">
      <selection activeCell="K27" sqref="K27"/>
    </sheetView>
  </sheetViews>
  <sheetFormatPr baseColWidth="10" defaultColWidth="11.44140625" defaultRowHeight="12"/>
  <cols>
    <col min="1" max="1" width="6.88671875" style="27" customWidth="1"/>
    <col min="2" max="2" width="41.44140625" style="27" customWidth="1"/>
    <col min="3" max="3" width="13" style="41" bestFit="1" customWidth="1"/>
    <col min="4" max="4" width="13" style="27" bestFit="1" customWidth="1"/>
    <col min="5" max="5" width="11.44140625" style="27"/>
    <col min="6" max="6" width="12" style="27" bestFit="1" customWidth="1"/>
    <col min="7" max="8" width="11.44140625" style="27"/>
    <col min="9" max="9" width="12.44140625" style="27" bestFit="1" customWidth="1"/>
    <col min="10" max="16384" width="11.44140625" style="27"/>
  </cols>
  <sheetData>
    <row r="1" spans="2:8" ht="14.4">
      <c r="B1" s="176"/>
    </row>
    <row r="2" spans="2:8" ht="14.4">
      <c r="B2" s="176"/>
    </row>
    <row r="3" spans="2:8">
      <c r="B3" s="97" t="s">
        <v>514</v>
      </c>
    </row>
    <row r="4" spans="2:8">
      <c r="B4" s="97"/>
    </row>
    <row r="5" spans="2:8" ht="12" customHeight="1">
      <c r="B5" s="756" t="s">
        <v>627</v>
      </c>
      <c r="C5" s="756"/>
      <c r="D5" s="756"/>
      <c r="E5" s="360"/>
      <c r="F5" s="360"/>
    </row>
    <row r="6" spans="2:8">
      <c r="B6" s="97"/>
    </row>
    <row r="7" spans="2:8">
      <c r="B7" s="88" t="s">
        <v>446</v>
      </c>
      <c r="C7" s="143" t="s">
        <v>447</v>
      </c>
      <c r="D7" s="88" t="s">
        <v>448</v>
      </c>
    </row>
    <row r="8" spans="2:8">
      <c r="B8" s="144" t="s">
        <v>717</v>
      </c>
      <c r="C8" s="145">
        <v>57527271</v>
      </c>
      <c r="D8" s="146">
        <v>0</v>
      </c>
      <c r="F8" s="41"/>
      <c r="G8" s="41"/>
    </row>
    <row r="9" spans="2:8">
      <c r="B9" s="144" t="s">
        <v>560</v>
      </c>
      <c r="C9" s="145">
        <v>833219</v>
      </c>
      <c r="D9" s="91">
        <v>95673731</v>
      </c>
      <c r="F9" s="41"/>
      <c r="G9" s="41"/>
    </row>
    <row r="10" spans="2:8">
      <c r="B10" s="144" t="s">
        <v>561</v>
      </c>
      <c r="C10" s="146">
        <v>0</v>
      </c>
      <c r="D10" s="91">
        <v>0</v>
      </c>
      <c r="F10" s="41"/>
      <c r="G10" s="41"/>
    </row>
    <row r="11" spans="2:8">
      <c r="B11" s="144" t="s">
        <v>563</v>
      </c>
      <c r="C11" s="146">
        <v>0</v>
      </c>
      <c r="D11" s="91">
        <v>70909091</v>
      </c>
      <c r="F11" s="41"/>
      <c r="G11" s="41"/>
      <c r="H11" s="57"/>
    </row>
    <row r="12" spans="2:8">
      <c r="B12" s="144" t="s">
        <v>564</v>
      </c>
      <c r="C12" s="146">
        <v>17897500</v>
      </c>
      <c r="D12" s="91">
        <v>103636364</v>
      </c>
      <c r="F12" s="41"/>
      <c r="G12" s="41"/>
    </row>
    <row r="13" spans="2:8">
      <c r="B13" s="144" t="s">
        <v>849</v>
      </c>
      <c r="C13" s="146">
        <v>0</v>
      </c>
      <c r="D13" s="91">
        <f>2640000/1.1</f>
        <v>2400000</v>
      </c>
      <c r="F13" s="41"/>
      <c r="G13" s="41"/>
    </row>
    <row r="14" spans="2:8">
      <c r="B14" s="144" t="s">
        <v>715</v>
      </c>
      <c r="C14" s="146">
        <v>0</v>
      </c>
      <c r="D14" s="91">
        <v>2400000</v>
      </c>
      <c r="F14" s="41"/>
      <c r="G14" s="41"/>
    </row>
    <row r="15" spans="2:8">
      <c r="B15" s="144" t="s">
        <v>990</v>
      </c>
      <c r="C15" s="146">
        <v>2426727</v>
      </c>
      <c r="D15" s="91">
        <v>0</v>
      </c>
      <c r="F15" s="41"/>
      <c r="G15" s="41"/>
    </row>
    <row r="16" spans="2:8">
      <c r="B16" s="144" t="s">
        <v>1032</v>
      </c>
      <c r="C16" s="146">
        <v>0</v>
      </c>
      <c r="D16" s="91">
        <v>0</v>
      </c>
      <c r="F16" s="41"/>
      <c r="G16" s="41"/>
    </row>
    <row r="17" spans="2:15">
      <c r="B17" s="144" t="s">
        <v>1033</v>
      </c>
      <c r="C17" s="146">
        <v>0</v>
      </c>
      <c r="D17" s="91">
        <v>3927345</v>
      </c>
      <c r="F17" s="41"/>
      <c r="G17" s="41"/>
    </row>
    <row r="18" spans="2:15">
      <c r="B18" s="144" t="s">
        <v>1028</v>
      </c>
      <c r="C18" s="146">
        <v>0</v>
      </c>
      <c r="D18" s="91">
        <v>10909091</v>
      </c>
      <c r="F18" s="41"/>
      <c r="G18" s="41"/>
    </row>
    <row r="19" spans="2:15">
      <c r="B19" s="144" t="s">
        <v>1034</v>
      </c>
      <c r="C19" s="146">
        <v>0</v>
      </c>
      <c r="D19" s="91">
        <v>30000000</v>
      </c>
      <c r="F19" s="41"/>
      <c r="G19" s="41"/>
    </row>
    <row r="20" spans="2:15">
      <c r="B20" s="107" t="str">
        <f>+'NOTA R SALDOS Y TRANSACC'!B25</f>
        <v>Total al  30/06/2023</v>
      </c>
      <c r="C20" s="147">
        <f>SUM(C8:C19)</f>
        <v>78684717</v>
      </c>
      <c r="D20" s="147">
        <f>SUM(D8:D19)</f>
        <v>319855622</v>
      </c>
    </row>
    <row r="21" spans="2:15">
      <c r="B21" s="703" t="str">
        <f>INDICE!J3</f>
        <v>Al 30/06/2022</v>
      </c>
      <c r="C21" s="148">
        <v>9664643.1000000015</v>
      </c>
      <c r="D21" s="147">
        <v>151075998.84</v>
      </c>
    </row>
    <row r="24" spans="2:15">
      <c r="K24" s="149"/>
      <c r="M24" s="150"/>
      <c r="O24" s="150"/>
    </row>
    <row r="25" spans="2:15">
      <c r="K25" s="149"/>
      <c r="M25" s="150"/>
      <c r="O25" s="150"/>
    </row>
    <row r="26" spans="2:15" ht="16.8">
      <c r="B26" s="704"/>
      <c r="K26" s="149"/>
      <c r="M26" s="150"/>
      <c r="O26" s="151"/>
    </row>
    <row r="27" spans="2:15" ht="16.8">
      <c r="B27" s="704"/>
    </row>
    <row r="28" spans="2:15">
      <c r="B28" s="41"/>
    </row>
    <row r="29" spans="2:15">
      <c r="B29" s="41"/>
    </row>
    <row r="31" spans="2:15">
      <c r="G31" s="150"/>
    </row>
  </sheetData>
  <mergeCells count="1">
    <mergeCell ref="B5:D5"/>
  </mergeCell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tabColor rgb="FF002060"/>
  </sheetPr>
  <dimension ref="B1:H26"/>
  <sheetViews>
    <sheetView showGridLines="0" zoomScale="98" zoomScaleNormal="98" workbookViewId="0">
      <selection activeCell="E17" sqref="E17"/>
    </sheetView>
  </sheetViews>
  <sheetFormatPr baseColWidth="10" defaultColWidth="11.44140625" defaultRowHeight="12"/>
  <cols>
    <col min="1" max="1" width="7" style="84" customWidth="1"/>
    <col min="2" max="2" width="32.44140625" style="84" customWidth="1"/>
    <col min="3" max="3" width="22.109375" style="84" bestFit="1" customWidth="1"/>
    <col min="4" max="4" width="14.44140625" style="84" bestFit="1" customWidth="1"/>
    <col min="5" max="5" width="17.33203125" style="84" customWidth="1"/>
    <col min="6" max="6" width="14.44140625" style="84" bestFit="1" customWidth="1"/>
    <col min="7" max="7" width="13.33203125" style="84" customWidth="1"/>
    <col min="8" max="9" width="12.109375" style="84" bestFit="1" customWidth="1"/>
    <col min="10" max="16384" width="11.44140625" style="84"/>
  </cols>
  <sheetData>
    <row r="1" spans="2:8" ht="14.4">
      <c r="C1" s="176"/>
    </row>
    <row r="2" spans="2:8" ht="14.4">
      <c r="C2" s="176"/>
    </row>
    <row r="3" spans="2:8" ht="14.4">
      <c r="B3" s="366" t="s">
        <v>449</v>
      </c>
    </row>
    <row r="4" spans="2:8">
      <c r="B4" s="152"/>
    </row>
    <row r="5" spans="2:8" ht="12" customHeight="1">
      <c r="B5" s="756" t="s">
        <v>627</v>
      </c>
      <c r="C5" s="756"/>
      <c r="D5" s="756"/>
      <c r="E5" s="756"/>
      <c r="F5" s="756"/>
    </row>
    <row r="7" spans="2:8" ht="24">
      <c r="B7" s="37" t="s">
        <v>351</v>
      </c>
      <c r="C7" s="37" t="s">
        <v>450</v>
      </c>
      <c r="D7" s="37" t="s">
        <v>421</v>
      </c>
      <c r="E7" s="37" t="s">
        <v>451</v>
      </c>
      <c r="F7" s="647" t="str">
        <f>INDICE!I2</f>
        <v>Total al  30/06/2023</v>
      </c>
      <c r="G7" s="647" t="str">
        <f>INDICE!J2</f>
        <v>Total al  30/12/2022</v>
      </c>
    </row>
    <row r="8" spans="2:8">
      <c r="B8" s="89" t="s">
        <v>452</v>
      </c>
      <c r="C8" s="447">
        <f>G8</f>
        <v>3805000000</v>
      </c>
      <c r="D8" s="154">
        <f>+F8-C8</f>
        <v>0</v>
      </c>
      <c r="E8" s="154">
        <v>0</v>
      </c>
      <c r="F8" s="153">
        <f>+'BALANCE GRAL'!$G$63</f>
        <v>3805000000</v>
      </c>
      <c r="G8" s="447">
        <v>3805000000</v>
      </c>
      <c r="H8" s="157"/>
    </row>
    <row r="9" spans="2:8">
      <c r="B9" s="89" t="s">
        <v>453</v>
      </c>
      <c r="C9" s="153">
        <v>0</v>
      </c>
      <c r="D9" s="154">
        <v>0</v>
      </c>
      <c r="E9" s="154">
        <f>+C9</f>
        <v>0</v>
      </c>
      <c r="F9" s="153">
        <v>0</v>
      </c>
      <c r="G9" s="153">
        <v>0</v>
      </c>
      <c r="H9" s="157"/>
    </row>
    <row r="10" spans="2:8">
      <c r="B10" s="89" t="s">
        <v>133</v>
      </c>
      <c r="C10" s="153">
        <v>0</v>
      </c>
      <c r="D10" s="156">
        <v>0</v>
      </c>
      <c r="E10" s="154">
        <v>0</v>
      </c>
      <c r="F10" s="153">
        <f>+'BALANCE GRAL'!$G$69</f>
        <v>103000000</v>
      </c>
      <c r="G10" s="153">
        <v>102000000</v>
      </c>
      <c r="H10" s="157"/>
    </row>
    <row r="11" spans="2:8">
      <c r="B11" s="89" t="s">
        <v>144</v>
      </c>
      <c r="C11" s="154">
        <v>0</v>
      </c>
      <c r="D11" s="154">
        <v>0</v>
      </c>
      <c r="E11" s="154">
        <f>+C11-F11</f>
        <v>178677351</v>
      </c>
      <c r="F11" s="154">
        <f>+'BALANCE GRAL'!$G$72</f>
        <v>-178677351</v>
      </c>
      <c r="G11" s="154">
        <f>-9529900</f>
        <v>-9529900</v>
      </c>
      <c r="H11" s="157"/>
    </row>
    <row r="12" spans="2:8">
      <c r="B12" s="89" t="s">
        <v>146</v>
      </c>
      <c r="C12" s="153">
        <f>G12</f>
        <v>-169147450</v>
      </c>
      <c r="D12" s="154">
        <f>+'BALANCE GRAL'!$G$73</f>
        <v>-193898242.38999999</v>
      </c>
      <c r="E12" s="154">
        <f>+C12+0.27</f>
        <v>-169147449.72999999</v>
      </c>
      <c r="F12" s="153">
        <f>+'BALANCE GRAL'!$G$73</f>
        <v>-193898242.38999999</v>
      </c>
      <c r="G12" s="153">
        <v>-169147450</v>
      </c>
      <c r="H12" s="157"/>
    </row>
    <row r="13" spans="2:8">
      <c r="B13" s="107" t="str">
        <f>+'NOTA S RESULTADOS CON PERS'!B20</f>
        <v>Total al  30/06/2023</v>
      </c>
      <c r="C13" s="158">
        <f>SUM(C8:C12)</f>
        <v>3635852550</v>
      </c>
      <c r="D13" s="158">
        <f>SUM(D8:D12)</f>
        <v>-193898242.38999999</v>
      </c>
      <c r="E13" s="158">
        <f>SUM(E8:E12)</f>
        <v>9529901.2700000107</v>
      </c>
      <c r="F13" s="668">
        <f>SUM(F8:F12)</f>
        <v>3535424406.6100001</v>
      </c>
      <c r="G13" s="158">
        <v>3728322648</v>
      </c>
      <c r="H13" s="157"/>
    </row>
    <row r="14" spans="2:8">
      <c r="B14" s="107" t="str">
        <f>+'NOTA S RESULTADOS CON PERS'!B21</f>
        <v>Al 30/06/2022</v>
      </c>
      <c r="C14" s="158">
        <v>3376681638.27</v>
      </c>
      <c r="D14" s="158">
        <v>431385250.72000003</v>
      </c>
      <c r="E14" s="159">
        <v>211539.26999999955</v>
      </c>
      <c r="F14" s="158">
        <v>3807855349.7199998</v>
      </c>
      <c r="G14" s="158">
        <v>0</v>
      </c>
    </row>
    <row r="15" spans="2:8">
      <c r="D15" s="157"/>
      <c r="F15" s="155"/>
    </row>
    <row r="16" spans="2:8">
      <c r="D16" s="157"/>
      <c r="E16" s="85"/>
      <c r="F16" s="669">
        <f>F13-'BALANCE GRAL'!G75</f>
        <v>0</v>
      </c>
      <c r="G16" s="670">
        <f>G13-'BALANCE GRAL'!H75</f>
        <v>0.42999982833862305</v>
      </c>
    </row>
    <row r="17" spans="2:7">
      <c r="B17" s="97" t="s">
        <v>515</v>
      </c>
      <c r="D17" s="155"/>
      <c r="E17" s="157"/>
      <c r="F17" s="155"/>
    </row>
    <row r="18" spans="2:7">
      <c r="B18" s="731" t="s">
        <v>454</v>
      </c>
      <c r="C18" s="731"/>
      <c r="D18" s="731"/>
      <c r="E18" s="731"/>
      <c r="F18" s="731"/>
    </row>
    <row r="20" spans="2:7" ht="24">
      <c r="B20" s="37" t="s">
        <v>267</v>
      </c>
      <c r="C20" s="37" t="s">
        <v>450</v>
      </c>
      <c r="D20" s="37" t="s">
        <v>421</v>
      </c>
      <c r="E20" s="37" t="s">
        <v>451</v>
      </c>
      <c r="F20" s="37" t="str">
        <f>+F7</f>
        <v>Total al  30/06/2023</v>
      </c>
      <c r="G20" s="37" t="str">
        <f>+G7</f>
        <v>Total al  30/12/2022</v>
      </c>
    </row>
    <row r="21" spans="2:7">
      <c r="B21" s="89" t="s">
        <v>640</v>
      </c>
      <c r="C21" s="153">
        <v>0</v>
      </c>
      <c r="D21" s="154">
        <v>0</v>
      </c>
      <c r="E21" s="154">
        <v>0</v>
      </c>
      <c r="F21" s="153">
        <v>0</v>
      </c>
      <c r="G21" s="153">
        <v>0</v>
      </c>
    </row>
    <row r="22" spans="2:7">
      <c r="B22" s="89" t="s">
        <v>641</v>
      </c>
      <c r="C22" s="154">
        <v>0</v>
      </c>
      <c r="D22" s="154">
        <v>0</v>
      </c>
      <c r="E22" s="154">
        <f>+C22</f>
        <v>0</v>
      </c>
      <c r="F22" s="153">
        <v>0</v>
      </c>
      <c r="G22" s="153">
        <v>0</v>
      </c>
    </row>
    <row r="23" spans="2:7">
      <c r="B23" s="107" t="s">
        <v>459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</row>
    <row r="24" spans="2:7">
      <c r="B24" s="89" t="s">
        <v>642</v>
      </c>
      <c r="C24" s="154">
        <v>0</v>
      </c>
      <c r="D24" s="154">
        <v>0</v>
      </c>
      <c r="E24" s="154">
        <f>+C24-F24</f>
        <v>0</v>
      </c>
      <c r="F24" s="154">
        <v>0</v>
      </c>
      <c r="G24" s="154">
        <v>0</v>
      </c>
    </row>
    <row r="25" spans="2:7">
      <c r="B25" s="89" t="s">
        <v>643</v>
      </c>
      <c r="C25" s="153">
        <v>0</v>
      </c>
      <c r="D25" s="154">
        <v>0</v>
      </c>
      <c r="E25" s="154">
        <f>+C25</f>
        <v>0</v>
      </c>
      <c r="F25" s="153">
        <v>0</v>
      </c>
      <c r="G25" s="153">
        <v>0</v>
      </c>
    </row>
    <row r="26" spans="2:7">
      <c r="B26" s="107" t="s">
        <v>459</v>
      </c>
      <c r="C26" s="158">
        <f>SUM(C21:C25)</f>
        <v>0</v>
      </c>
      <c r="D26" s="158">
        <f>SUM(D21:D25)</f>
        <v>0</v>
      </c>
      <c r="E26" s="158">
        <f>SUM(E21:E25)</f>
        <v>0</v>
      </c>
      <c r="F26" s="158">
        <f>SUM(F21:F25)</f>
        <v>0</v>
      </c>
      <c r="G26" s="158">
        <f>SUM(G21:G25)</f>
        <v>0</v>
      </c>
    </row>
  </sheetData>
  <mergeCells count="2">
    <mergeCell ref="B5:F5"/>
    <mergeCell ref="B18:F18"/>
  </mergeCells>
  <hyperlinks>
    <hyperlink ref="B3" location="'BALANCE GRAL 30_09_22'!A1" display="t) Patrimonio" xr:uid="{846CFCA4-DD99-44C0-B931-2AF3198920E9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2">
    <tabColor rgb="FF002060"/>
  </sheetPr>
  <dimension ref="B1:I30"/>
  <sheetViews>
    <sheetView showGridLines="0" zoomScale="98" zoomScaleNormal="98" workbookViewId="0">
      <selection activeCell="K27" sqref="K27"/>
    </sheetView>
  </sheetViews>
  <sheetFormatPr baseColWidth="10" defaultColWidth="20.33203125" defaultRowHeight="12"/>
  <cols>
    <col min="1" max="1" width="6.88671875" style="27" customWidth="1"/>
    <col min="2" max="2" width="35" style="27" bestFit="1" customWidth="1"/>
    <col min="3" max="4" width="20.6640625" style="27" customWidth="1"/>
    <col min="5" max="5" width="20.33203125" style="27"/>
    <col min="6" max="6" width="0" style="27" hidden="1" customWidth="1"/>
    <col min="7" max="8" width="0" style="41" hidden="1" customWidth="1"/>
    <col min="9" max="9" width="0" style="27" hidden="1" customWidth="1"/>
    <col min="10" max="16384" width="20.33203125" style="27"/>
  </cols>
  <sheetData>
    <row r="1" spans="2:8" ht="14.4">
      <c r="B1" s="176"/>
    </row>
    <row r="3" spans="2:8" ht="14.4">
      <c r="B3" s="366" t="s">
        <v>675</v>
      </c>
    </row>
    <row r="4" spans="2:8">
      <c r="B4" s="97"/>
    </row>
    <row r="5" spans="2:8" ht="12" customHeight="1">
      <c r="B5" s="756" t="s">
        <v>627</v>
      </c>
      <c r="C5" s="756"/>
      <c r="D5" s="756"/>
      <c r="E5" s="360"/>
      <c r="F5" s="360"/>
    </row>
    <row r="7" spans="2:8">
      <c r="B7" s="160" t="s">
        <v>455</v>
      </c>
    </row>
    <row r="8" spans="2:8">
      <c r="B8" s="105" t="s">
        <v>351</v>
      </c>
      <c r="C8" s="604" t="str">
        <f>+INDICE!I3</f>
        <v>Al 30/06/2023</v>
      </c>
      <c r="D8" s="604" t="str">
        <f>+INDICE!J3</f>
        <v>Al 30/06/2022</v>
      </c>
    </row>
    <row r="9" spans="2:8">
      <c r="B9" s="51" t="str">
        <f t="shared" ref="B9:D15" si="0">F9</f>
        <v>Ingresos Por Intermediacion</v>
      </c>
      <c r="C9" s="386">
        <f t="shared" si="0"/>
        <v>132713550</v>
      </c>
      <c r="D9" s="386">
        <f t="shared" si="0"/>
        <v>23332954</v>
      </c>
      <c r="F9" s="27" t="s">
        <v>718</v>
      </c>
      <c r="G9" s="41">
        <v>132713550</v>
      </c>
      <c r="H9" s="41">
        <v>23332954</v>
      </c>
    </row>
    <row r="10" spans="2:8">
      <c r="B10" s="602" t="str">
        <f t="shared" si="0"/>
        <v>Comisiones Por Intermediacion</v>
      </c>
      <c r="C10" s="603">
        <f t="shared" si="0"/>
        <v>132713550</v>
      </c>
      <c r="D10" s="603">
        <f t="shared" si="0"/>
        <v>23332954</v>
      </c>
      <c r="F10" s="27" t="s">
        <v>719</v>
      </c>
      <c r="G10" s="41">
        <v>132713550</v>
      </c>
      <c r="H10" s="41">
        <v>23332954</v>
      </c>
    </row>
    <row r="11" spans="2:8">
      <c r="B11" s="35" t="str">
        <f t="shared" si="0"/>
        <v>Bursatiles</v>
      </c>
      <c r="C11" s="111">
        <f t="shared" si="0"/>
        <v>105476539</v>
      </c>
      <c r="D11" s="111">
        <f t="shared" si="0"/>
        <v>8850857</v>
      </c>
      <c r="F11" s="27" t="s">
        <v>720</v>
      </c>
      <c r="G11" s="41">
        <v>105476539</v>
      </c>
      <c r="H11" s="41">
        <v>8850857</v>
      </c>
    </row>
    <row r="12" spans="2:8">
      <c r="B12" s="35" t="str">
        <f t="shared" si="0"/>
        <v>Extrabursatiles</v>
      </c>
      <c r="C12" s="111">
        <f t="shared" si="0"/>
        <v>27120470</v>
      </c>
      <c r="D12" s="111">
        <f t="shared" si="0"/>
        <v>11801753</v>
      </c>
      <c r="F12" s="27" t="s">
        <v>721</v>
      </c>
      <c r="G12" s="41">
        <v>27120470</v>
      </c>
      <c r="H12" s="41">
        <v>11801753</v>
      </c>
    </row>
    <row r="13" spans="2:8">
      <c r="B13" s="35" t="str">
        <f t="shared" si="0"/>
        <v>Aranceles Cobrados BVPASA</v>
      </c>
      <c r="C13" s="111">
        <f t="shared" si="0"/>
        <v>116542</v>
      </c>
      <c r="D13" s="111">
        <f t="shared" si="0"/>
        <v>2680344</v>
      </c>
      <c r="F13" s="27" t="s">
        <v>855</v>
      </c>
      <c r="G13" s="41">
        <v>116542</v>
      </c>
      <c r="H13" s="41">
        <v>2680344</v>
      </c>
    </row>
    <row r="14" spans="2:8" s="160" customFormat="1">
      <c r="B14" s="706" t="str">
        <f t="shared" si="0"/>
        <v>Ingresos Por Servicios</v>
      </c>
      <c r="C14" s="707">
        <f t="shared" si="0"/>
        <v>16403189</v>
      </c>
      <c r="D14" s="707">
        <f t="shared" si="0"/>
        <v>0</v>
      </c>
      <c r="F14" s="160" t="s">
        <v>1057</v>
      </c>
      <c r="G14" s="708">
        <v>16403189</v>
      </c>
      <c r="H14" s="708">
        <v>0</v>
      </c>
    </row>
    <row r="15" spans="2:8">
      <c r="B15" s="35" t="str">
        <f t="shared" si="0"/>
        <v>Asesoria Económica- Corporate-</v>
      </c>
      <c r="C15" s="111">
        <f t="shared" si="0"/>
        <v>16403189</v>
      </c>
      <c r="D15" s="111">
        <f t="shared" si="0"/>
        <v>0</v>
      </c>
      <c r="F15" s="27" t="s">
        <v>1058</v>
      </c>
      <c r="G15" s="41">
        <v>16403189</v>
      </c>
      <c r="H15" s="41">
        <v>0</v>
      </c>
    </row>
    <row r="16" spans="2:8" s="152" customFormat="1">
      <c r="B16" s="709" t="str">
        <f>F16</f>
        <v>Utilidad Por Venta De Inversiones/Cartera Propia</v>
      </c>
      <c r="C16" s="705">
        <f>C17</f>
        <v>16254454</v>
      </c>
      <c r="D16" s="705">
        <f>H16</f>
        <v>2371416119</v>
      </c>
      <c r="F16" s="152" t="s">
        <v>722</v>
      </c>
      <c r="G16" s="698">
        <v>1632552200</v>
      </c>
      <c r="H16" s="698">
        <v>2371416119</v>
      </c>
    </row>
    <row r="17" spans="2:9">
      <c r="B17" s="710" t="str">
        <f>F17</f>
        <v>Instrumentos Financieros</v>
      </c>
      <c r="C17" s="711">
        <f>C18+C19</f>
        <v>16254454</v>
      </c>
      <c r="D17" s="711">
        <f>H17</f>
        <v>2371416119</v>
      </c>
      <c r="F17" s="27" t="s">
        <v>723</v>
      </c>
      <c r="G17" s="41">
        <v>1632552200</v>
      </c>
      <c r="H17" s="41">
        <v>2371416119</v>
      </c>
    </row>
    <row r="18" spans="2:9">
      <c r="B18" s="53" t="str">
        <f>F18</f>
        <v>Titulos De Deuda Bonos</v>
      </c>
      <c r="C18" s="161">
        <f>G18-[7]EERR!$B$34</f>
        <v>11309454</v>
      </c>
      <c r="D18" s="161">
        <f>H18</f>
        <v>2371416119</v>
      </c>
      <c r="F18" s="27" t="s">
        <v>724</v>
      </c>
      <c r="G18" s="41">
        <v>1540752200</v>
      </c>
      <c r="H18" s="41">
        <v>2371416119</v>
      </c>
    </row>
    <row r="19" spans="2:9">
      <c r="B19" s="53" t="str">
        <f>F19</f>
        <v>Titulos De Participacion Acciones</v>
      </c>
      <c r="C19" s="161">
        <f>G19-[7]EERR!$B$35</f>
        <v>4945000</v>
      </c>
      <c r="D19" s="161">
        <f>H19</f>
        <v>0</v>
      </c>
      <c r="F19" s="27" t="s">
        <v>1095</v>
      </c>
      <c r="G19" s="41">
        <v>91800000</v>
      </c>
      <c r="H19" s="41">
        <v>0</v>
      </c>
    </row>
    <row r="20" spans="2:9">
      <c r="B20" s="51" t="s">
        <v>456</v>
      </c>
      <c r="C20" s="705">
        <f>+C9+C14+C16</f>
        <v>165371193</v>
      </c>
      <c r="D20" s="112">
        <f>+D9+D14+D16</f>
        <v>2394749073</v>
      </c>
    </row>
    <row r="22" spans="2:9">
      <c r="B22" s="160" t="s">
        <v>208</v>
      </c>
    </row>
    <row r="23" spans="2:9">
      <c r="B23" s="105" t="s">
        <v>351</v>
      </c>
      <c r="C23" s="105" t="str">
        <f>+C8</f>
        <v>Al 30/06/2023</v>
      </c>
      <c r="D23" s="105" t="str">
        <f>+D8</f>
        <v>Al 30/06/2022</v>
      </c>
    </row>
    <row r="24" spans="2:9">
      <c r="B24" s="35" t="s">
        <v>457</v>
      </c>
      <c r="C24" s="91">
        <f>+'ESTADOS DE RESULTADOS '!E33</f>
        <v>0</v>
      </c>
      <c r="D24" s="55">
        <v>0</v>
      </c>
      <c r="F24" s="27" t="s">
        <v>208</v>
      </c>
      <c r="G24" s="41">
        <v>22969775</v>
      </c>
      <c r="H24" s="41">
        <v>8.1252418583111757E-3</v>
      </c>
      <c r="I24" s="27">
        <v>5895</v>
      </c>
    </row>
    <row r="25" spans="2:9">
      <c r="B25" s="35" t="s">
        <v>458</v>
      </c>
      <c r="C25" s="91">
        <f>+'ESTADOS DE RESULTADOS '!E34</f>
        <v>0</v>
      </c>
      <c r="D25" s="91">
        <v>0</v>
      </c>
      <c r="F25" s="27" t="s">
        <v>1015</v>
      </c>
      <c r="G25" s="41">
        <v>15460590</v>
      </c>
      <c r="H25" s="41">
        <v>5.4689709856621223E-3</v>
      </c>
      <c r="I25" s="27">
        <v>0</v>
      </c>
    </row>
    <row r="26" spans="2:9">
      <c r="B26" s="35" t="s">
        <v>1059</v>
      </c>
      <c r="C26" s="91">
        <f>+'ESTADOS DE RESULTADOS '!E35</f>
        <v>22969775</v>
      </c>
      <c r="D26" s="91">
        <v>0</v>
      </c>
      <c r="F26" s="27" t="s">
        <v>856</v>
      </c>
      <c r="G26" s="41">
        <v>2650094</v>
      </c>
      <c r="H26" s="41">
        <v>9.3743428907158623E-4</v>
      </c>
      <c r="I26" s="27">
        <v>5895</v>
      </c>
    </row>
    <row r="27" spans="2:9">
      <c r="B27" s="51" t="s">
        <v>459</v>
      </c>
      <c r="C27" s="104">
        <f>SUM(C24:C26)</f>
        <v>22969775</v>
      </c>
      <c r="D27" s="104">
        <v>0</v>
      </c>
      <c r="F27" s="27" t="s">
        <v>208</v>
      </c>
      <c r="G27" s="41">
        <v>4859091</v>
      </c>
      <c r="H27" s="41">
        <v>1.7188365835774668E-3</v>
      </c>
      <c r="I27" s="27">
        <v>0</v>
      </c>
    </row>
    <row r="29" spans="2:9">
      <c r="C29" s="101"/>
      <c r="D29" s="101"/>
    </row>
    <row r="30" spans="2:9">
      <c r="C30" s="101"/>
    </row>
  </sheetData>
  <mergeCells count="1">
    <mergeCell ref="B5:D5"/>
  </mergeCells>
  <hyperlinks>
    <hyperlink ref="B3" location="'ESTADOS DE RESULTADOS 30_09_22'!A1" display="v)       Ingresos Operativos" xr:uid="{FF0641DC-28F1-4815-855B-55C2C2D61CFD}"/>
  </hyperlink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3">
    <tabColor rgb="FF002060"/>
  </sheetPr>
  <dimension ref="B1:H45"/>
  <sheetViews>
    <sheetView showGridLines="0" topLeftCell="A18" zoomScale="98" zoomScaleNormal="98" workbookViewId="0">
      <selection activeCell="K27" sqref="K27"/>
    </sheetView>
  </sheetViews>
  <sheetFormatPr baseColWidth="10" defaultColWidth="11.44140625" defaultRowHeight="12"/>
  <cols>
    <col min="1" max="1" width="7" style="27" customWidth="1"/>
    <col min="2" max="2" width="40.33203125" style="27" customWidth="1"/>
    <col min="3" max="4" width="20.6640625" style="27" customWidth="1"/>
    <col min="5" max="5" width="15.109375" style="27" bestFit="1" customWidth="1"/>
    <col min="6" max="6" width="21.88671875" style="27" hidden="1" customWidth="1"/>
    <col min="7" max="8" width="0" style="41" hidden="1" customWidth="1"/>
    <col min="9" max="16384" width="11.44140625" style="27"/>
  </cols>
  <sheetData>
    <row r="1" spans="2:8">
      <c r="B1" s="768"/>
      <c r="C1" s="769"/>
      <c r="D1" s="769"/>
    </row>
    <row r="2" spans="2:8">
      <c r="B2" s="653"/>
      <c r="C2" s="162"/>
      <c r="D2" s="162"/>
    </row>
    <row r="3" spans="2:8" ht="14.4">
      <c r="B3" s="654" t="s">
        <v>460</v>
      </c>
      <c r="C3" s="162"/>
      <c r="D3" s="162"/>
    </row>
    <row r="4" spans="2:8">
      <c r="C4" s="162"/>
      <c r="D4" s="162"/>
    </row>
    <row r="5" spans="2:8">
      <c r="B5" s="756" t="s">
        <v>627</v>
      </c>
      <c r="C5" s="756"/>
      <c r="D5" s="756"/>
    </row>
    <row r="6" spans="2:8">
      <c r="B6" s="655"/>
      <c r="C6" s="163"/>
      <c r="D6" s="163"/>
    </row>
    <row r="7" spans="2:8">
      <c r="B7" s="337" t="s">
        <v>351</v>
      </c>
      <c r="C7" s="105" t="str">
        <f>+'NOTA V INGRESOS OPERATIVOS'!C8</f>
        <v>Al 30/06/2023</v>
      </c>
      <c r="D7" s="105" t="str">
        <f>+'NOTA V INGRESOS OPERATIVOS'!D8</f>
        <v>Al 30/06/2022</v>
      </c>
    </row>
    <row r="8" spans="2:8">
      <c r="B8" s="105" t="str">
        <f>F8</f>
        <v>Gastos De Gestión De Operaciones</v>
      </c>
      <c r="C8" s="667">
        <f>C9+C12</f>
        <v>104315679</v>
      </c>
      <c r="D8" s="667">
        <f>D9+D12</f>
        <v>140588714</v>
      </c>
      <c r="F8" s="152" t="s">
        <v>828</v>
      </c>
      <c r="G8" s="41">
        <v>1720613425</v>
      </c>
      <c r="H8" s="41">
        <v>2510714546</v>
      </c>
    </row>
    <row r="9" spans="2:8" s="651" customFormat="1">
      <c r="B9" s="652" t="str">
        <f t="shared" ref="B9:B18" si="0">F9</f>
        <v>Costo de Venta de Valores</v>
      </c>
      <c r="C9" s="665">
        <f>SUM(C10:C11)</f>
        <v>88840754</v>
      </c>
      <c r="D9" s="665">
        <f>SUM(D10:D11)</f>
        <v>83655098</v>
      </c>
      <c r="E9" s="718"/>
      <c r="F9" s="651" t="s">
        <v>827</v>
      </c>
      <c r="G9" s="713">
        <v>1705138500</v>
      </c>
      <c r="H9" s="713">
        <v>2453780930</v>
      </c>
    </row>
    <row r="10" spans="2:8">
      <c r="B10" s="35" t="str">
        <f t="shared" si="0"/>
        <v>Fondo De Garantia Bvpasa</v>
      </c>
      <c r="C10" s="311">
        <f t="shared" ref="C10:C18" si="1">G10</f>
        <v>328754</v>
      </c>
      <c r="D10" s="164">
        <f t="shared" ref="D10:D18" si="2">H10</f>
        <v>1095098</v>
      </c>
      <c r="F10" s="27" t="s">
        <v>826</v>
      </c>
      <c r="G10" s="41">
        <v>328754</v>
      </c>
      <c r="H10" s="41">
        <v>1095098</v>
      </c>
    </row>
    <row r="11" spans="2:8">
      <c r="B11" s="165" t="str">
        <f t="shared" si="0"/>
        <v>Aranceles Pagados Bvpasa</v>
      </c>
      <c r="C11" s="311">
        <f t="shared" si="1"/>
        <v>88512000</v>
      </c>
      <c r="D11" s="164">
        <f t="shared" si="2"/>
        <v>82560000</v>
      </c>
      <c r="F11" s="27" t="s">
        <v>825</v>
      </c>
      <c r="G11" s="41">
        <v>88512000</v>
      </c>
      <c r="H11" s="41">
        <v>82560000</v>
      </c>
    </row>
    <row r="12" spans="2:8" s="651" customFormat="1">
      <c r="B12" s="652" t="str">
        <f t="shared" si="0"/>
        <v>Otros Gastos De Operaciones</v>
      </c>
      <c r="C12" s="648">
        <f t="shared" si="1"/>
        <v>15474925</v>
      </c>
      <c r="D12" s="648">
        <f t="shared" si="2"/>
        <v>56933616</v>
      </c>
      <c r="F12" s="651" t="s">
        <v>823</v>
      </c>
      <c r="G12" s="713">
        <v>15474925</v>
      </c>
      <c r="H12" s="713">
        <v>56933616</v>
      </c>
    </row>
    <row r="13" spans="2:8">
      <c r="B13" s="35" t="str">
        <f t="shared" si="0"/>
        <v>Perdida Por Venta De Valores</v>
      </c>
      <c r="C13" s="164">
        <f t="shared" si="1"/>
        <v>335907</v>
      </c>
      <c r="D13" s="164">
        <f t="shared" si="2"/>
        <v>0</v>
      </c>
      <c r="F13" s="27" t="s">
        <v>1096</v>
      </c>
      <c r="G13" s="41">
        <v>335907</v>
      </c>
      <c r="H13" s="41">
        <v>0</v>
      </c>
    </row>
    <row r="14" spans="2:8">
      <c r="B14" s="35" t="str">
        <f t="shared" si="0"/>
        <v>Perdida Por Diferencia De Cambio - Divisas</v>
      </c>
      <c r="C14" s="164">
        <f t="shared" si="1"/>
        <v>96725</v>
      </c>
      <c r="D14" s="164">
        <f t="shared" si="2"/>
        <v>0</v>
      </c>
      <c r="F14" s="27" t="s">
        <v>1097</v>
      </c>
      <c r="G14" s="41">
        <v>96725</v>
      </c>
      <c r="H14" s="41">
        <v>0</v>
      </c>
    </row>
    <row r="15" spans="2:8" s="152" customFormat="1">
      <c r="B15" s="35" t="str">
        <f t="shared" si="0"/>
        <v>Perdidas Varias Operaciones</v>
      </c>
      <c r="C15" s="164">
        <f t="shared" si="1"/>
        <v>448958</v>
      </c>
      <c r="D15" s="164">
        <f t="shared" si="2"/>
        <v>0</v>
      </c>
      <c r="F15" s="152" t="s">
        <v>984</v>
      </c>
      <c r="G15" s="698">
        <v>448958</v>
      </c>
      <c r="H15" s="698">
        <v>0</v>
      </c>
    </row>
    <row r="16" spans="2:8" s="649" customFormat="1">
      <c r="B16" s="35" t="str">
        <f t="shared" si="0"/>
        <v>Aranceles pagados a CNV</v>
      </c>
      <c r="C16" s="164">
        <f t="shared" si="1"/>
        <v>2942670</v>
      </c>
      <c r="D16" s="164">
        <f t="shared" si="2"/>
        <v>2641530</v>
      </c>
      <c r="F16" s="649" t="s">
        <v>821</v>
      </c>
      <c r="G16" s="712">
        <v>2942670</v>
      </c>
      <c r="H16" s="712">
        <v>2641530</v>
      </c>
    </row>
    <row r="17" spans="2:8">
      <c r="B17" s="35" t="str">
        <f t="shared" si="0"/>
        <v xml:space="preserve">Comisiones Pagadas Asesores Independientes </v>
      </c>
      <c r="C17" s="164">
        <f t="shared" si="1"/>
        <v>7713976</v>
      </c>
      <c r="D17" s="164">
        <f t="shared" si="2"/>
        <v>1443993</v>
      </c>
      <c r="F17" s="27" t="s">
        <v>820</v>
      </c>
      <c r="G17" s="41">
        <v>7713976</v>
      </c>
      <c r="H17" s="41">
        <v>1443993</v>
      </c>
    </row>
    <row r="18" spans="2:8">
      <c r="B18" s="35" t="str">
        <f t="shared" si="0"/>
        <v>Aranceles Pagados SEPRELAD</v>
      </c>
      <c r="C18" s="164">
        <f t="shared" si="1"/>
        <v>3936689</v>
      </c>
      <c r="D18" s="164">
        <f t="shared" si="2"/>
        <v>7563027</v>
      </c>
      <c r="F18" s="27" t="s">
        <v>857</v>
      </c>
      <c r="G18" s="41">
        <v>3936689</v>
      </c>
      <c r="H18" s="41">
        <v>7563027</v>
      </c>
    </row>
    <row r="19" spans="2:8">
      <c r="B19" s="35"/>
      <c r="C19" s="164"/>
      <c r="D19" s="164"/>
    </row>
    <row r="20" spans="2:8">
      <c r="B20" s="105" t="str">
        <f>F20</f>
        <v>Gastos De Administración</v>
      </c>
      <c r="C20" s="667">
        <f>G20</f>
        <v>643284307</v>
      </c>
      <c r="D20" s="667">
        <f>H20</f>
        <v>405499682</v>
      </c>
      <c r="F20" s="27" t="s">
        <v>818</v>
      </c>
      <c r="G20" s="41">
        <v>643284307</v>
      </c>
      <c r="H20" s="41">
        <v>405499682</v>
      </c>
    </row>
    <row r="21" spans="2:8">
      <c r="B21" s="652" t="str">
        <f t="shared" ref="B21:B45" si="3">F21</f>
        <v>Sueldos Y Otras Remuneraciones Al Personal</v>
      </c>
      <c r="C21" s="648">
        <f t="shared" ref="C21:C45" si="4">G21</f>
        <v>123726359</v>
      </c>
      <c r="D21" s="665">
        <f t="shared" ref="D21:D45" si="5">H21</f>
        <v>33848471</v>
      </c>
      <c r="F21" s="27" t="s">
        <v>817</v>
      </c>
      <c r="G21" s="41">
        <v>123726359</v>
      </c>
      <c r="H21" s="41">
        <v>33848471</v>
      </c>
    </row>
    <row r="22" spans="2:8">
      <c r="B22" s="35" t="str">
        <f t="shared" si="3"/>
        <v>Sueldos Y Jornales</v>
      </c>
      <c r="C22" s="164">
        <f t="shared" si="4"/>
        <v>102968508</v>
      </c>
      <c r="D22" s="311">
        <f t="shared" si="5"/>
        <v>24250000</v>
      </c>
      <c r="F22" s="27" t="s">
        <v>684</v>
      </c>
      <c r="G22" s="41">
        <v>102968508</v>
      </c>
      <c r="H22" s="41">
        <v>24250000</v>
      </c>
    </row>
    <row r="23" spans="2:8">
      <c r="B23" s="35" t="str">
        <f t="shared" si="3"/>
        <v>Aporte Patronal</v>
      </c>
      <c r="C23" s="164">
        <f t="shared" si="4"/>
        <v>16989806</v>
      </c>
      <c r="D23" s="311">
        <f t="shared" si="5"/>
        <v>4001250</v>
      </c>
      <c r="F23" s="27" t="s">
        <v>217</v>
      </c>
      <c r="G23" s="41">
        <v>16989806</v>
      </c>
      <c r="H23" s="41">
        <v>4001250</v>
      </c>
    </row>
    <row r="24" spans="2:8">
      <c r="B24" s="35" t="str">
        <f t="shared" si="3"/>
        <v>Otros Beneficios Al Personal</v>
      </c>
      <c r="C24" s="164">
        <f t="shared" si="4"/>
        <v>3768045</v>
      </c>
      <c r="D24" s="164">
        <f t="shared" si="5"/>
        <v>5597221</v>
      </c>
      <c r="F24" s="27" t="s">
        <v>685</v>
      </c>
      <c r="G24" s="41">
        <v>3768045</v>
      </c>
      <c r="H24" s="41">
        <v>5597221</v>
      </c>
    </row>
    <row r="25" spans="2:8" s="649" customFormat="1">
      <c r="B25" s="652" t="str">
        <f t="shared" si="3"/>
        <v>Remuneración Personal Superior</v>
      </c>
      <c r="C25" s="665">
        <f t="shared" si="4"/>
        <v>270000002</v>
      </c>
      <c r="D25" s="665">
        <f t="shared" si="5"/>
        <v>315454548</v>
      </c>
      <c r="F25" s="649" t="s">
        <v>858</v>
      </c>
      <c r="G25" s="712">
        <v>270000002</v>
      </c>
      <c r="H25" s="712">
        <v>315454548</v>
      </c>
    </row>
    <row r="26" spans="2:8">
      <c r="B26" s="387" t="str">
        <f t="shared" si="3"/>
        <v xml:space="preserve">Servicios Personales Independientes </v>
      </c>
      <c r="C26" s="164">
        <f t="shared" si="4"/>
        <v>270000002</v>
      </c>
      <c r="D26" s="164">
        <f t="shared" si="5"/>
        <v>315454548</v>
      </c>
      <c r="F26" s="27" t="s">
        <v>859</v>
      </c>
      <c r="G26" s="41">
        <v>270000002</v>
      </c>
      <c r="H26" s="41">
        <v>315454548</v>
      </c>
    </row>
    <row r="27" spans="2:8" s="649" customFormat="1">
      <c r="B27" s="650" t="str">
        <f t="shared" si="3"/>
        <v>Servicios Prestados Por Terceros</v>
      </c>
      <c r="C27" s="648">
        <f t="shared" si="4"/>
        <v>249557946</v>
      </c>
      <c r="D27" s="648">
        <f t="shared" si="5"/>
        <v>56196663</v>
      </c>
      <c r="F27" s="649" t="s">
        <v>686</v>
      </c>
      <c r="G27" s="712">
        <v>249557946</v>
      </c>
      <c r="H27" s="712">
        <v>56196663</v>
      </c>
    </row>
    <row r="28" spans="2:8">
      <c r="B28" s="387" t="str">
        <f t="shared" si="3"/>
        <v>Honorarios Profesionales</v>
      </c>
      <c r="C28" s="164">
        <f t="shared" si="4"/>
        <v>2619185</v>
      </c>
      <c r="D28" s="164">
        <f t="shared" si="5"/>
        <v>3863729</v>
      </c>
      <c r="F28" s="27" t="s">
        <v>614</v>
      </c>
      <c r="G28" s="41">
        <v>2619185</v>
      </c>
      <c r="H28" s="41">
        <v>3863729</v>
      </c>
    </row>
    <row r="29" spans="2:8">
      <c r="B29" s="387" t="str">
        <f t="shared" si="3"/>
        <v>Servicios Contratados Ire</v>
      </c>
      <c r="C29" s="164">
        <f t="shared" si="4"/>
        <v>52415649</v>
      </c>
      <c r="D29" s="164">
        <f t="shared" si="5"/>
        <v>41991933</v>
      </c>
      <c r="F29" s="27" t="s">
        <v>687</v>
      </c>
      <c r="G29" s="41">
        <v>52415649</v>
      </c>
      <c r="H29" s="41">
        <v>41991933</v>
      </c>
    </row>
    <row r="30" spans="2:8">
      <c r="B30" s="387" t="str">
        <f t="shared" si="3"/>
        <v>Servicios Personales Irp</v>
      </c>
      <c r="C30" s="656">
        <f t="shared" si="4"/>
        <v>4740908</v>
      </c>
      <c r="D30" s="164">
        <f t="shared" si="5"/>
        <v>245455</v>
      </c>
      <c r="F30" s="27" t="s">
        <v>688</v>
      </c>
      <c r="G30" s="41">
        <v>4740908</v>
      </c>
      <c r="H30" s="41">
        <v>245455</v>
      </c>
    </row>
    <row r="31" spans="2:8">
      <c r="B31" s="387" t="str">
        <f t="shared" si="3"/>
        <v>Agua, Luz, Teléfono E Internet</v>
      </c>
      <c r="C31" s="164">
        <f t="shared" si="4"/>
        <v>6477847</v>
      </c>
      <c r="D31" s="164">
        <f t="shared" si="5"/>
        <v>2821334</v>
      </c>
      <c r="F31" s="27" t="s">
        <v>689</v>
      </c>
      <c r="G31" s="41">
        <v>6477847</v>
      </c>
      <c r="H31" s="41">
        <v>2821334</v>
      </c>
    </row>
    <row r="32" spans="2:8">
      <c r="B32" s="387" t="str">
        <f t="shared" si="3"/>
        <v>Movilidad Y Viaticos</v>
      </c>
      <c r="C32" s="656">
        <f t="shared" si="4"/>
        <v>4621393</v>
      </c>
      <c r="D32" s="164">
        <f t="shared" si="5"/>
        <v>0</v>
      </c>
      <c r="F32" s="27" t="s">
        <v>976</v>
      </c>
      <c r="G32" s="41">
        <v>4621393</v>
      </c>
      <c r="H32" s="41">
        <v>0</v>
      </c>
    </row>
    <row r="33" spans="2:8">
      <c r="B33" s="387" t="str">
        <f t="shared" si="3"/>
        <v>Refrigerio Y Cafeteria</v>
      </c>
      <c r="C33" s="164">
        <f t="shared" si="4"/>
        <v>2605125</v>
      </c>
      <c r="D33" s="164">
        <f t="shared" si="5"/>
        <v>69864</v>
      </c>
      <c r="F33" s="27" t="s">
        <v>816</v>
      </c>
      <c r="G33" s="41">
        <v>2605125</v>
      </c>
      <c r="H33" s="41">
        <v>69864</v>
      </c>
    </row>
    <row r="34" spans="2:8">
      <c r="B34" s="387" t="str">
        <f t="shared" si="3"/>
        <v>Comunicaciones Y Progagandas</v>
      </c>
      <c r="C34" s="164">
        <f t="shared" si="4"/>
        <v>352727</v>
      </c>
      <c r="D34" s="666">
        <f t="shared" si="5"/>
        <v>1090909</v>
      </c>
      <c r="F34" s="27" t="s">
        <v>690</v>
      </c>
      <c r="G34" s="41">
        <v>352727</v>
      </c>
      <c r="H34" s="41">
        <v>1090909</v>
      </c>
    </row>
    <row r="35" spans="2:8">
      <c r="B35" s="387" t="str">
        <f t="shared" si="3"/>
        <v>Papeleria E Impresos</v>
      </c>
      <c r="C35" s="164">
        <f t="shared" si="4"/>
        <v>748637</v>
      </c>
      <c r="D35" s="164">
        <f t="shared" si="5"/>
        <v>458364</v>
      </c>
      <c r="F35" s="27" t="s">
        <v>691</v>
      </c>
      <c r="G35" s="41">
        <v>748637</v>
      </c>
      <c r="H35" s="41">
        <v>458364</v>
      </c>
    </row>
    <row r="36" spans="2:8">
      <c r="B36" s="387" t="str">
        <f t="shared" si="3"/>
        <v>Gastos No Deducibles</v>
      </c>
      <c r="C36" s="164">
        <f t="shared" si="4"/>
        <v>156821078</v>
      </c>
      <c r="D36" s="164">
        <f t="shared" si="5"/>
        <v>136685</v>
      </c>
      <c r="F36" s="27" t="s">
        <v>815</v>
      </c>
      <c r="G36" s="41">
        <v>156821078</v>
      </c>
      <c r="H36" s="41">
        <v>136685</v>
      </c>
    </row>
    <row r="37" spans="2:8">
      <c r="B37" s="387" t="str">
        <f t="shared" si="3"/>
        <v>Dominios Y Suscripciones</v>
      </c>
      <c r="C37" s="164">
        <f t="shared" si="4"/>
        <v>220930</v>
      </c>
      <c r="D37" s="164">
        <f t="shared" si="5"/>
        <v>160000</v>
      </c>
      <c r="F37" s="27" t="s">
        <v>860</v>
      </c>
      <c r="G37" s="41">
        <v>220930</v>
      </c>
      <c r="H37" s="41">
        <v>160000</v>
      </c>
    </row>
    <row r="38" spans="2:8">
      <c r="B38" s="387" t="str">
        <f t="shared" si="3"/>
        <v>Gastos administrativos</v>
      </c>
      <c r="C38" s="164">
        <f t="shared" si="4"/>
        <v>400000</v>
      </c>
      <c r="D38" s="164">
        <f t="shared" si="5"/>
        <v>229779</v>
      </c>
      <c r="F38" s="27" t="s">
        <v>644</v>
      </c>
      <c r="G38" s="41">
        <v>400000</v>
      </c>
      <c r="H38" s="41">
        <v>229779</v>
      </c>
    </row>
    <row r="39" spans="2:8">
      <c r="B39" s="387" t="str">
        <f t="shared" si="3"/>
        <v>Gastos de encomiendas y envíos</v>
      </c>
      <c r="C39" s="164">
        <f t="shared" si="4"/>
        <v>102136</v>
      </c>
      <c r="D39" s="164">
        <f t="shared" si="5"/>
        <v>0</v>
      </c>
      <c r="F39" s="27" t="s">
        <v>1069</v>
      </c>
      <c r="G39" s="41">
        <v>102136</v>
      </c>
      <c r="H39" s="41">
        <v>0</v>
      </c>
    </row>
    <row r="40" spans="2:8">
      <c r="B40" s="387" t="str">
        <f t="shared" si="3"/>
        <v>Gastos De Escribania</v>
      </c>
      <c r="C40" s="164">
        <f t="shared" si="4"/>
        <v>3423637</v>
      </c>
      <c r="D40" s="164">
        <f t="shared" si="5"/>
        <v>3422637</v>
      </c>
      <c r="F40" s="27" t="s">
        <v>692</v>
      </c>
      <c r="G40" s="41">
        <v>3423637</v>
      </c>
      <c r="H40" s="41">
        <v>3422637</v>
      </c>
    </row>
    <row r="41" spans="2:8">
      <c r="B41" s="387" t="str">
        <f t="shared" si="3"/>
        <v>Gastos Informaticos</v>
      </c>
      <c r="C41" s="164">
        <f t="shared" si="4"/>
        <v>51191</v>
      </c>
      <c r="D41" s="164">
        <f t="shared" si="5"/>
        <v>96156</v>
      </c>
      <c r="F41" s="27" t="s">
        <v>861</v>
      </c>
      <c r="G41" s="41">
        <v>51191</v>
      </c>
      <c r="H41" s="41">
        <v>96156</v>
      </c>
    </row>
    <row r="42" spans="2:8" s="716" customFormat="1">
      <c r="B42" s="714" t="str">
        <f t="shared" si="3"/>
        <v>Gastos De Impuestos</v>
      </c>
      <c r="C42" s="715">
        <f t="shared" si="4"/>
        <v>13957503</v>
      </c>
      <c r="D42" s="715">
        <f t="shared" si="5"/>
        <v>1609818</v>
      </c>
      <c r="F42" s="716" t="s">
        <v>693</v>
      </c>
      <c r="G42" s="717">
        <v>13957503</v>
      </c>
      <c r="H42" s="717">
        <v>1609818</v>
      </c>
    </row>
    <row r="43" spans="2:8">
      <c r="B43" s="387" t="str">
        <f t="shared" si="3"/>
        <v>Multas Y Sanciones</v>
      </c>
      <c r="C43" s="164">
        <f t="shared" si="4"/>
        <v>4562492</v>
      </c>
      <c r="D43" s="164">
        <f t="shared" si="5"/>
        <v>9818</v>
      </c>
      <c r="F43" s="27" t="s">
        <v>862</v>
      </c>
      <c r="G43" s="41">
        <v>4562492</v>
      </c>
      <c r="H43" s="41">
        <v>9818</v>
      </c>
    </row>
    <row r="44" spans="2:8">
      <c r="B44" s="387" t="str">
        <f t="shared" si="3"/>
        <v>Impuestos, Patentes, Tasas Y Otras Contr</v>
      </c>
      <c r="C44" s="164">
        <f t="shared" si="4"/>
        <v>7932300</v>
      </c>
      <c r="D44" s="164">
        <f t="shared" si="5"/>
        <v>1600000</v>
      </c>
      <c r="F44" s="27" t="s">
        <v>694</v>
      </c>
      <c r="G44" s="41">
        <v>7932300</v>
      </c>
      <c r="H44" s="41">
        <v>1600000</v>
      </c>
    </row>
    <row r="45" spans="2:8">
      <c r="B45" s="387" t="str">
        <f t="shared" si="3"/>
        <v>IVA Gastos</v>
      </c>
      <c r="C45" s="164">
        <f t="shared" si="4"/>
        <v>1462711</v>
      </c>
      <c r="D45" s="164">
        <f t="shared" si="5"/>
        <v>0</v>
      </c>
      <c r="F45" s="27" t="s">
        <v>1070</v>
      </c>
      <c r="G45" s="41">
        <v>1462711</v>
      </c>
      <c r="H45" s="41">
        <v>0</v>
      </c>
    </row>
  </sheetData>
  <mergeCells count="2">
    <mergeCell ref="B1:D1"/>
    <mergeCell ref="B5:D5"/>
  </mergeCells>
  <hyperlinks>
    <hyperlink ref="B3" location="'ESTADOS DE RESULTADOS 30_09_22'!A1" display="w) Otros Gastos Operativos, de comercialización y de administración" xr:uid="{442B7E06-4CFF-4B10-A54A-78022907AB1C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4">
    <tabColor rgb="FF002060"/>
  </sheetPr>
  <dimension ref="B1:D12"/>
  <sheetViews>
    <sheetView showGridLines="0" zoomScale="98" zoomScaleNormal="98" workbookViewId="0">
      <selection activeCell="K27" sqref="K27"/>
    </sheetView>
  </sheetViews>
  <sheetFormatPr baseColWidth="10" defaultColWidth="11.44140625" defaultRowHeight="12"/>
  <cols>
    <col min="1" max="1" width="7.33203125" style="27" customWidth="1"/>
    <col min="2" max="2" width="37.6640625" style="27" bestFit="1" customWidth="1"/>
    <col min="3" max="3" width="13.6640625" style="27" bestFit="1" customWidth="1"/>
    <col min="4" max="4" width="13.33203125" style="27" bestFit="1" customWidth="1"/>
    <col min="5" max="16384" width="11.44140625" style="27"/>
  </cols>
  <sheetData>
    <row r="1" spans="2:4" ht="14.4">
      <c r="B1" s="176"/>
    </row>
    <row r="2" spans="2:4" ht="14.4">
      <c r="B2" s="176"/>
    </row>
    <row r="3" spans="2:4" ht="14.4">
      <c r="B3" s="366" t="s">
        <v>676</v>
      </c>
    </row>
    <row r="4" spans="2:4">
      <c r="B4" s="97"/>
    </row>
    <row r="5" spans="2:4">
      <c r="B5" s="756" t="s">
        <v>627</v>
      </c>
      <c r="C5" s="756"/>
      <c r="D5" s="756"/>
    </row>
    <row r="7" spans="2:4">
      <c r="B7" s="105" t="s">
        <v>351</v>
      </c>
      <c r="C7" s="105" t="str">
        <f>+'NOTA W OTROS GASTOS OPER'!C7</f>
        <v>Al 30/06/2023</v>
      </c>
      <c r="D7" s="105" t="str">
        <f>+'NOTA W OTROS GASTOS OPER'!D7</f>
        <v>Al 30/06/2022</v>
      </c>
    </row>
    <row r="8" spans="2:4">
      <c r="B8" s="51" t="s">
        <v>221</v>
      </c>
      <c r="C8" s="167">
        <f>+C9</f>
        <v>0</v>
      </c>
      <c r="D8" s="104">
        <v>0</v>
      </c>
    </row>
    <row r="9" spans="2:4">
      <c r="B9" s="35" t="s">
        <v>221</v>
      </c>
      <c r="C9" s="168">
        <f>+'ESTADOS DE RESULTADOS '!E80</f>
        <v>0</v>
      </c>
      <c r="D9" s="55">
        <v>0</v>
      </c>
    </row>
    <row r="10" spans="2:4">
      <c r="B10" s="51" t="s">
        <v>220</v>
      </c>
      <c r="C10" s="167">
        <f>+C11</f>
        <v>156267430</v>
      </c>
      <c r="D10" s="167">
        <f>+D11</f>
        <v>196454547</v>
      </c>
    </row>
    <row r="11" spans="2:4">
      <c r="B11" s="35" t="s">
        <v>1060</v>
      </c>
      <c r="C11" s="168">
        <f>+'ESTADOS DE RESULTADOS '!E79</f>
        <v>156267430</v>
      </c>
      <c r="D11" s="55">
        <f>+'ESTADOS DE RESULTADOS '!F79</f>
        <v>196454547</v>
      </c>
    </row>
    <row r="12" spans="2:4">
      <c r="B12" s="51" t="s">
        <v>459</v>
      </c>
      <c r="C12" s="167">
        <f>C10-C8</f>
        <v>156267430</v>
      </c>
      <c r="D12" s="167">
        <f>D10-D8</f>
        <v>196454547</v>
      </c>
    </row>
  </sheetData>
  <mergeCells count="1">
    <mergeCell ref="B5:D5"/>
  </mergeCells>
  <hyperlinks>
    <hyperlink ref="B3" location="'ESTADOS DE RESULTADOS 30_09_22'!A1" display="x)       Otros Ingresos y Egresos" xr:uid="{1D63381C-A472-4830-ABBB-9AF62F31765E}"/>
  </hyperlinks>
  <pageMargins left="0.7" right="0.7" top="0.75" bottom="0.75" header="0.3" footer="0.3"/>
  <pageSetup paperSize="9" orientation="portrait"/>
  <ignoredErrors>
    <ignoredError sqref="C9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5">
    <tabColor rgb="FF002060"/>
  </sheetPr>
  <dimension ref="B1:D18"/>
  <sheetViews>
    <sheetView showGridLines="0" zoomScale="98" zoomScaleNormal="98" workbookViewId="0">
      <selection activeCell="K27" sqref="K27"/>
    </sheetView>
  </sheetViews>
  <sheetFormatPr baseColWidth="10" defaultColWidth="11.44140625" defaultRowHeight="12"/>
  <cols>
    <col min="1" max="1" width="17.6640625" style="27" customWidth="1"/>
    <col min="2" max="2" width="37.6640625" style="27" bestFit="1" customWidth="1"/>
    <col min="3" max="4" width="14.33203125" style="27" bestFit="1" customWidth="1"/>
    <col min="5" max="16384" width="11.44140625" style="27"/>
  </cols>
  <sheetData>
    <row r="1" spans="2:4" ht="14.4">
      <c r="B1" s="176"/>
    </row>
    <row r="3" spans="2:4" ht="14.4">
      <c r="B3" s="366" t="s">
        <v>677</v>
      </c>
    </row>
    <row r="4" spans="2:4">
      <c r="B4" s="97"/>
    </row>
    <row r="5" spans="2:4">
      <c r="B5" s="756" t="s">
        <v>627</v>
      </c>
      <c r="C5" s="756"/>
      <c r="D5" s="756"/>
    </row>
    <row r="7" spans="2:4">
      <c r="B7" s="105" t="s">
        <v>351</v>
      </c>
      <c r="C7" s="105" t="str">
        <f>+'NOTA W OTROS GASTOS OPER'!C7</f>
        <v>Al 30/06/2023</v>
      </c>
      <c r="D7" s="105" t="str">
        <f>+'NOTA W OTROS GASTOS OPER'!D7</f>
        <v>Al 30/06/2022</v>
      </c>
    </row>
    <row r="8" spans="2:4">
      <c r="B8" s="51" t="s">
        <v>461</v>
      </c>
      <c r="C8" s="55"/>
      <c r="D8" s="55"/>
    </row>
    <row r="9" spans="2:4">
      <c r="B9" s="35" t="s">
        <v>462</v>
      </c>
      <c r="C9" s="55">
        <f>+'ESTADOS DE RESULTADOS '!E85</f>
        <v>866058936</v>
      </c>
      <c r="D9" s="55">
        <f>+'ESTADOS DE RESULTADOS '!F85</f>
        <v>341343383</v>
      </c>
    </row>
    <row r="10" spans="2:4">
      <c r="B10" s="35" t="s">
        <v>224</v>
      </c>
      <c r="C10" s="55">
        <f>+'ESTADOS DE RESULTADOS '!E86</f>
        <v>45402324</v>
      </c>
      <c r="D10" s="55">
        <f>+'ESTADOS DE RESULTADOS '!F86</f>
        <v>1371296</v>
      </c>
    </row>
    <row r="11" spans="2:4">
      <c r="B11" s="51" t="s">
        <v>459</v>
      </c>
      <c r="C11" s="104">
        <f>SUM(C9:C10)</f>
        <v>911461260</v>
      </c>
      <c r="D11" s="104">
        <f>SUM(D9:D10)</f>
        <v>342714679</v>
      </c>
    </row>
    <row r="12" spans="2:4">
      <c r="B12" s="51" t="s">
        <v>463</v>
      </c>
      <c r="C12" s="55"/>
      <c r="D12" s="55"/>
    </row>
    <row r="13" spans="2:4">
      <c r="B13" s="35" t="s">
        <v>464</v>
      </c>
      <c r="C13" s="91">
        <f>-'ESTADOS DE RESULTADOS '!E88</f>
        <v>-659527094</v>
      </c>
      <c r="D13" s="55">
        <f>-'ESTADOS DE RESULTADOS '!F88</f>
        <v>-4105655</v>
      </c>
    </row>
    <row r="14" spans="2:4">
      <c r="B14" s="35" t="s">
        <v>224</v>
      </c>
      <c r="C14" s="91">
        <f>-'ESTADOS DE RESULTADOS '!E89</f>
        <v>-42840820</v>
      </c>
      <c r="D14" s="55">
        <f>-'ESTADOS DE RESULTADOS '!F89</f>
        <v>-1219060</v>
      </c>
    </row>
    <row r="15" spans="2:4">
      <c r="B15" s="51" t="s">
        <v>459</v>
      </c>
      <c r="C15" s="166">
        <f>SUM(C13:C14)</f>
        <v>-702367914</v>
      </c>
      <c r="D15" s="166">
        <f>SUM(D13:D14)</f>
        <v>-5324715</v>
      </c>
    </row>
    <row r="18" spans="3:3">
      <c r="C18" s="57">
        <f>+C11+C15-'ESTADOS DE RESULTADOS '!E82</f>
        <v>0</v>
      </c>
    </row>
  </sheetData>
  <mergeCells count="1">
    <mergeCell ref="B5:D5"/>
  </mergeCells>
  <hyperlinks>
    <hyperlink ref="B3" location="'ESTADOS DE RESULTADOS 30_09_22'!A1" display="y)       Resultados Financieros" xr:uid="{F06DB941-09F5-4CCD-9096-F6969776BCE9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6">
    <tabColor rgb="FF002060"/>
  </sheetPr>
  <dimension ref="B1:D17"/>
  <sheetViews>
    <sheetView showGridLines="0" zoomScale="98" zoomScaleNormal="98" workbookViewId="0">
      <selection activeCell="K27" sqref="K27"/>
    </sheetView>
  </sheetViews>
  <sheetFormatPr baseColWidth="10" defaultColWidth="11.44140625" defaultRowHeight="12"/>
  <cols>
    <col min="1" max="1" width="23.88671875" style="27" customWidth="1"/>
    <col min="2" max="2" width="37.6640625" style="27" bestFit="1" customWidth="1"/>
    <col min="3" max="3" width="13.6640625" style="27" bestFit="1" customWidth="1"/>
    <col min="4" max="4" width="13.33203125" style="27" bestFit="1" customWidth="1"/>
    <col min="5" max="16384" width="11.44140625" style="27"/>
  </cols>
  <sheetData>
    <row r="1" spans="2:4" ht="14.4">
      <c r="B1" s="176"/>
    </row>
    <row r="3" spans="2:4" ht="14.4">
      <c r="B3" s="366" t="s">
        <v>678</v>
      </c>
    </row>
    <row r="5" spans="2:4">
      <c r="B5" s="756" t="s">
        <v>627</v>
      </c>
      <c r="C5" s="756"/>
      <c r="D5" s="756"/>
    </row>
    <row r="7" spans="2:4">
      <c r="B7" s="105" t="s">
        <v>351</v>
      </c>
      <c r="C7" s="105" t="str">
        <f>+'NOTA Y RESULTADOS FINANC'!C7</f>
        <v>Al 30/06/2023</v>
      </c>
      <c r="D7" s="105" t="str">
        <f>+'NOTA W OTROS GASTOS OPER'!D7</f>
        <v>Al 30/06/2022</v>
      </c>
    </row>
    <row r="8" spans="2:4">
      <c r="B8" s="51" t="s">
        <v>465</v>
      </c>
      <c r="C8" s="170">
        <f>C9+C10</f>
        <v>0</v>
      </c>
      <c r="D8" s="51"/>
    </row>
    <row r="9" spans="2:4">
      <c r="B9" s="35" t="s">
        <v>466</v>
      </c>
      <c r="C9" s="169">
        <v>0</v>
      </c>
      <c r="D9" s="168">
        <v>0</v>
      </c>
    </row>
    <row r="10" spans="2:4">
      <c r="B10" s="51" t="s">
        <v>459</v>
      </c>
      <c r="C10" s="170">
        <f>SUM(C9)</f>
        <v>0</v>
      </c>
      <c r="D10" s="170">
        <f>SUM(D9)</f>
        <v>0</v>
      </c>
    </row>
    <row r="11" spans="2:4">
      <c r="B11" s="51" t="s">
        <v>467</v>
      </c>
      <c r="C11" s="170">
        <f>+C12+C13</f>
        <v>0</v>
      </c>
      <c r="D11" s="51"/>
    </row>
    <row r="12" spans="2:4">
      <c r="B12" s="35" t="s">
        <v>468</v>
      </c>
      <c r="C12" s="169">
        <v>0</v>
      </c>
      <c r="D12" s="169">
        <v>0</v>
      </c>
    </row>
    <row r="13" spans="2:4">
      <c r="B13" s="35" t="s">
        <v>1035</v>
      </c>
      <c r="C13" s="169">
        <f>'ESTADOS DE RESULTADOS '!E93</f>
        <v>0</v>
      </c>
      <c r="D13" s="169"/>
    </row>
    <row r="14" spans="2:4">
      <c r="B14" s="51" t="s">
        <v>459</v>
      </c>
      <c r="C14" s="170">
        <f>+C8-C11</f>
        <v>0</v>
      </c>
      <c r="D14" s="170">
        <f>SUM(D12)</f>
        <v>0</v>
      </c>
    </row>
    <row r="17" spans="3:3">
      <c r="C17" s="57">
        <f>+C14-'ESTADOS DE RESULTADOS '!E91</f>
        <v>0</v>
      </c>
    </row>
  </sheetData>
  <mergeCells count="1">
    <mergeCell ref="B5:D5"/>
  </mergeCells>
  <hyperlinks>
    <hyperlink ref="B3" location="'ESTADOS DE RESULTADOS 30_09_22'!A1" display="z)  Resultados Extraordinarios " xr:uid="{DC8EE314-95F9-4287-9659-3ED24EF51C04}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68"/>
  <sheetViews>
    <sheetView showGridLines="0" topLeftCell="A2" zoomScale="98" zoomScaleNormal="98" workbookViewId="0">
      <selection activeCell="K27" sqref="K27"/>
    </sheetView>
  </sheetViews>
  <sheetFormatPr baseColWidth="10" defaultColWidth="11.33203125" defaultRowHeight="13.8"/>
  <cols>
    <col min="1" max="1" width="21.33203125" style="4" bestFit="1" customWidth="1"/>
    <col min="2" max="2" width="10.109375" style="4" bestFit="1" customWidth="1"/>
    <col min="3" max="3" width="42" style="4" bestFit="1" customWidth="1"/>
    <col min="4" max="4" width="39.33203125" style="6" bestFit="1" customWidth="1"/>
    <col min="5" max="5" width="49.88671875" style="4" bestFit="1" customWidth="1"/>
    <col min="6" max="6" width="9.109375" style="4" customWidth="1"/>
    <col min="7" max="7" width="11.109375" style="4" hidden="1" customWidth="1"/>
    <col min="8" max="8" width="9.88671875" style="4" hidden="1" customWidth="1"/>
    <col min="9" max="9" width="12.6640625" style="4" hidden="1" customWidth="1"/>
    <col min="10" max="10" width="16.109375" style="4" hidden="1" customWidth="1"/>
    <col min="11" max="11" width="4.109375" style="4" customWidth="1"/>
    <col min="12" max="16384" width="11.33203125" style="4"/>
  </cols>
  <sheetData>
    <row r="1" spans="1:10" ht="55.35" customHeight="1">
      <c r="G1" s="458" t="s">
        <v>1062</v>
      </c>
      <c r="H1" s="458" t="s">
        <v>1039</v>
      </c>
    </row>
    <row r="2" spans="1:10" ht="14.4" customHeight="1">
      <c r="B2" s="722" t="s">
        <v>537</v>
      </c>
      <c r="C2" s="722"/>
      <c r="D2" s="722"/>
      <c r="G2" s="4" t="s">
        <v>954</v>
      </c>
      <c r="I2" s="586" t="s">
        <v>1063</v>
      </c>
      <c r="J2" s="586" t="s">
        <v>1040</v>
      </c>
    </row>
    <row r="3" spans="1:10" ht="14.4" customHeight="1">
      <c r="B3" s="722" t="s">
        <v>991</v>
      </c>
      <c r="C3" s="722"/>
      <c r="D3" s="722"/>
      <c r="G3" s="4" t="s">
        <v>955</v>
      </c>
      <c r="I3" s="586" t="s">
        <v>1064</v>
      </c>
      <c r="J3" s="586" t="s">
        <v>1065</v>
      </c>
    </row>
    <row r="6" spans="1:10" ht="41.1" customHeight="1">
      <c r="A6" s="5" t="s">
        <v>0</v>
      </c>
      <c r="B6" s="721" t="str">
        <f>I3</f>
        <v>Al 30/06/2023</v>
      </c>
      <c r="C6" s="721"/>
      <c r="D6" s="721"/>
      <c r="G6" s="4" t="s">
        <v>1073</v>
      </c>
    </row>
    <row r="7" spans="1:10" ht="12.75" hidden="1" customHeight="1">
      <c r="A7" s="7"/>
      <c r="B7" s="7"/>
      <c r="C7" s="7"/>
      <c r="D7" s="8"/>
    </row>
    <row r="8" spans="1:10">
      <c r="A8" s="9"/>
      <c r="G8" s="4" t="s">
        <v>1074</v>
      </c>
    </row>
    <row r="9" spans="1:10" ht="26.25" customHeight="1">
      <c r="B9" s="10"/>
      <c r="C9" s="11" t="s">
        <v>1</v>
      </c>
      <c r="D9" s="12" t="s">
        <v>2</v>
      </c>
    </row>
    <row r="10" spans="1:10" ht="26.25" customHeight="1">
      <c r="B10" s="13" t="s">
        <v>3</v>
      </c>
      <c r="C10" s="14"/>
      <c r="D10" s="3"/>
    </row>
    <row r="11" spans="1:10" ht="26.25" customHeight="1">
      <c r="B11" s="15"/>
      <c r="C11" s="14"/>
      <c r="D11" s="16"/>
    </row>
    <row r="12" spans="1:10" ht="26.25" customHeight="1">
      <c r="B12" s="13" t="s">
        <v>4</v>
      </c>
      <c r="C12" s="17"/>
      <c r="D12" s="16"/>
    </row>
    <row r="13" spans="1:10">
      <c r="A13" s="6"/>
      <c r="B13" s="15"/>
      <c r="C13" s="4" t="s">
        <v>5</v>
      </c>
      <c r="D13" s="1" t="s">
        <v>480</v>
      </c>
    </row>
    <row r="14" spans="1:10">
      <c r="A14" s="6"/>
      <c r="B14" s="15"/>
      <c r="C14" s="4" t="s">
        <v>6</v>
      </c>
      <c r="D14" s="1" t="s">
        <v>481</v>
      </c>
    </row>
    <row r="15" spans="1:10">
      <c r="A15" s="6"/>
      <c r="B15" s="15"/>
      <c r="C15" s="4" t="s">
        <v>7</v>
      </c>
      <c r="D15" s="1" t="s">
        <v>482</v>
      </c>
    </row>
    <row r="16" spans="1:10">
      <c r="A16" s="6"/>
      <c r="B16" s="15"/>
      <c r="C16" s="4" t="s">
        <v>8</v>
      </c>
      <c r="D16" s="1" t="s">
        <v>483</v>
      </c>
    </row>
    <row r="17" spans="1:4">
      <c r="A17" s="6"/>
      <c r="B17" s="15"/>
      <c r="C17" s="4" t="s">
        <v>9</v>
      </c>
      <c r="D17" s="1" t="s">
        <v>484</v>
      </c>
    </row>
    <row r="18" spans="1:4">
      <c r="A18" s="6"/>
      <c r="B18" s="15"/>
      <c r="C18" s="4" t="s">
        <v>10</v>
      </c>
      <c r="D18" s="1" t="s">
        <v>485</v>
      </c>
    </row>
    <row r="19" spans="1:4" ht="14.4">
      <c r="A19" s="6"/>
      <c r="B19" s="15"/>
      <c r="C19" s="4" t="s">
        <v>11</v>
      </c>
      <c r="D19" s="18" t="s">
        <v>851</v>
      </c>
    </row>
    <row r="20" spans="1:4" ht="14.4">
      <c r="A20" s="6"/>
      <c r="B20" s="15"/>
      <c r="C20" s="4" t="s">
        <v>12</v>
      </c>
      <c r="D20" s="18" t="s">
        <v>851</v>
      </c>
    </row>
    <row r="21" spans="1:4" ht="14.4">
      <c r="A21" s="6"/>
      <c r="B21" s="15"/>
      <c r="C21" s="4" t="s">
        <v>13</v>
      </c>
      <c r="D21" s="18" t="s">
        <v>851</v>
      </c>
    </row>
    <row r="22" spans="1:4" ht="14.4">
      <c r="A22" s="6"/>
      <c r="B22" s="15"/>
      <c r="D22" s="18"/>
    </row>
    <row r="23" spans="1:4" ht="14.4">
      <c r="A23" s="6"/>
      <c r="B23" s="13" t="s">
        <v>14</v>
      </c>
      <c r="D23" s="19"/>
    </row>
    <row r="24" spans="1:4">
      <c r="A24" s="6"/>
      <c r="B24" s="15"/>
      <c r="D24" s="3"/>
    </row>
    <row r="25" spans="1:4">
      <c r="A25" s="6"/>
      <c r="B25" s="15"/>
      <c r="C25" s="20" t="s">
        <v>15</v>
      </c>
      <c r="D25" s="1" t="s">
        <v>487</v>
      </c>
    </row>
    <row r="26" spans="1:4">
      <c r="A26" s="6"/>
      <c r="B26" s="15"/>
      <c r="C26" s="20" t="s">
        <v>16</v>
      </c>
      <c r="D26" s="1" t="s">
        <v>488</v>
      </c>
    </row>
    <row r="27" spans="1:4">
      <c r="A27" s="6"/>
      <c r="B27" s="15"/>
      <c r="C27" s="20" t="s">
        <v>17</v>
      </c>
      <c r="D27" s="1" t="s">
        <v>486</v>
      </c>
    </row>
    <row r="28" spans="1:4">
      <c r="A28" s="6"/>
      <c r="B28" s="15"/>
      <c r="C28" s="20" t="s">
        <v>18</v>
      </c>
      <c r="D28" s="1" t="s">
        <v>486</v>
      </c>
    </row>
    <row r="29" spans="1:4">
      <c r="A29" s="6"/>
      <c r="B29" s="15"/>
      <c r="C29" s="20" t="s">
        <v>19</v>
      </c>
      <c r="D29" s="2"/>
    </row>
    <row r="30" spans="1:4">
      <c r="A30" s="6"/>
      <c r="B30" s="15"/>
      <c r="C30" s="4" t="s">
        <v>20</v>
      </c>
      <c r="D30" s="1" t="s">
        <v>489</v>
      </c>
    </row>
    <row r="31" spans="1:4">
      <c r="A31" s="6"/>
      <c r="B31" s="15"/>
      <c r="C31" s="4" t="s">
        <v>21</v>
      </c>
      <c r="D31" s="1" t="s">
        <v>489</v>
      </c>
    </row>
    <row r="32" spans="1:4">
      <c r="A32" s="6"/>
      <c r="B32" s="15"/>
      <c r="C32" s="4" t="s">
        <v>22</v>
      </c>
      <c r="D32" s="1" t="s">
        <v>489</v>
      </c>
    </row>
    <row r="33" spans="1:4">
      <c r="A33" s="6"/>
      <c r="B33" s="15"/>
      <c r="C33" s="4" t="s">
        <v>23</v>
      </c>
      <c r="D33" s="1" t="s">
        <v>490</v>
      </c>
    </row>
    <row r="34" spans="1:4">
      <c r="A34" s="6"/>
      <c r="B34" s="15"/>
      <c r="C34" s="4" t="s">
        <v>24</v>
      </c>
      <c r="D34" s="1" t="s">
        <v>491</v>
      </c>
    </row>
    <row r="35" spans="1:4">
      <c r="A35" s="6"/>
      <c r="B35" s="15"/>
      <c r="C35" s="4" t="s">
        <v>25</v>
      </c>
      <c r="D35" s="1" t="s">
        <v>492</v>
      </c>
    </row>
    <row r="36" spans="1:4">
      <c r="A36" s="6"/>
      <c r="B36" s="15"/>
      <c r="C36" s="4" t="s">
        <v>26</v>
      </c>
      <c r="D36" s="1" t="s">
        <v>493</v>
      </c>
    </row>
    <row r="37" spans="1:4">
      <c r="A37" s="6"/>
      <c r="B37" s="15"/>
      <c r="C37" s="4" t="s">
        <v>27</v>
      </c>
      <c r="D37" s="1" t="s">
        <v>494</v>
      </c>
    </row>
    <row r="38" spans="1:4">
      <c r="A38" s="6"/>
      <c r="B38" s="15"/>
      <c r="C38" s="4" t="s">
        <v>28</v>
      </c>
      <c r="D38" s="1" t="s">
        <v>495</v>
      </c>
    </row>
    <row r="39" spans="1:4">
      <c r="A39" s="6"/>
      <c r="B39" s="15"/>
      <c r="C39" s="4" t="s">
        <v>29</v>
      </c>
      <c r="D39" s="1" t="s">
        <v>496</v>
      </c>
    </row>
    <row r="40" spans="1:4">
      <c r="A40" s="6"/>
      <c r="B40" s="15"/>
      <c r="C40" s="4" t="s">
        <v>30</v>
      </c>
      <c r="D40" s="1" t="s">
        <v>497</v>
      </c>
    </row>
    <row r="41" spans="1:4">
      <c r="A41" s="6"/>
      <c r="B41" s="15"/>
      <c r="C41" s="4" t="s">
        <v>31</v>
      </c>
      <c r="D41" s="1" t="s">
        <v>498</v>
      </c>
    </row>
    <row r="42" spans="1:4">
      <c r="A42" s="6"/>
      <c r="B42" s="15"/>
      <c r="C42" s="4" t="s">
        <v>32</v>
      </c>
      <c r="D42" s="1" t="s">
        <v>499</v>
      </c>
    </row>
    <row r="43" spans="1:4">
      <c r="A43" s="6"/>
      <c r="B43" s="15"/>
      <c r="C43" s="4" t="s">
        <v>33</v>
      </c>
      <c r="D43" s="1" t="s">
        <v>499</v>
      </c>
    </row>
    <row r="44" spans="1:4">
      <c r="A44" s="6"/>
      <c r="B44" s="15"/>
      <c r="C44" s="4" t="s">
        <v>34</v>
      </c>
      <c r="D44" s="1" t="s">
        <v>499</v>
      </c>
    </row>
    <row r="45" spans="1:4">
      <c r="A45" s="6"/>
      <c r="B45" s="15"/>
      <c r="C45" s="4" t="s">
        <v>35</v>
      </c>
      <c r="D45" s="1" t="s">
        <v>499</v>
      </c>
    </row>
    <row r="46" spans="1:4">
      <c r="A46" s="6"/>
      <c r="B46" s="15"/>
      <c r="C46" s="4" t="s">
        <v>36</v>
      </c>
      <c r="D46" s="1" t="s">
        <v>499</v>
      </c>
    </row>
    <row r="47" spans="1:4">
      <c r="A47" s="6"/>
      <c r="B47" s="15"/>
      <c r="C47" s="4" t="s">
        <v>37</v>
      </c>
      <c r="D47" s="1" t="s">
        <v>500</v>
      </c>
    </row>
    <row r="48" spans="1:4">
      <c r="A48" s="6"/>
      <c r="B48" s="15"/>
      <c r="C48" s="4" t="s">
        <v>38</v>
      </c>
      <c r="D48" s="1" t="s">
        <v>501</v>
      </c>
    </row>
    <row r="49" spans="1:4">
      <c r="A49" s="6"/>
      <c r="B49" s="15"/>
      <c r="C49" s="4" t="s">
        <v>39</v>
      </c>
      <c r="D49" s="1" t="s">
        <v>502</v>
      </c>
    </row>
    <row r="50" spans="1:4">
      <c r="A50" s="6"/>
      <c r="B50" s="15"/>
      <c r="C50" s="4" t="s">
        <v>40</v>
      </c>
      <c r="D50" s="1" t="s">
        <v>502</v>
      </c>
    </row>
    <row r="51" spans="1:4">
      <c r="A51" s="6"/>
      <c r="B51" s="15"/>
      <c r="C51" s="4" t="s">
        <v>41</v>
      </c>
      <c r="D51" s="1" t="s">
        <v>503</v>
      </c>
    </row>
    <row r="52" spans="1:4">
      <c r="A52" s="6"/>
      <c r="B52" s="13"/>
      <c r="C52" s="4" t="s">
        <v>42</v>
      </c>
      <c r="D52" s="1" t="s">
        <v>504</v>
      </c>
    </row>
    <row r="53" spans="1:4">
      <c r="A53" s="6"/>
      <c r="B53" s="15"/>
      <c r="C53" s="4" t="s">
        <v>43</v>
      </c>
      <c r="D53" s="1" t="s">
        <v>505</v>
      </c>
    </row>
    <row r="54" spans="1:4">
      <c r="A54" s="6"/>
      <c r="B54" s="15"/>
      <c r="C54" s="4" t="s">
        <v>44</v>
      </c>
      <c r="D54" s="1" t="s">
        <v>506</v>
      </c>
    </row>
    <row r="55" spans="1:4">
      <c r="A55" s="6"/>
      <c r="B55" s="15"/>
      <c r="C55" s="4" t="s">
        <v>45</v>
      </c>
      <c r="D55" s="1" t="s">
        <v>507</v>
      </c>
    </row>
    <row r="56" spans="1:4">
      <c r="A56" s="6"/>
      <c r="B56" s="15"/>
      <c r="D56" s="2"/>
    </row>
    <row r="57" spans="1:4">
      <c r="A57" s="6"/>
      <c r="B57" s="15"/>
      <c r="C57" s="20" t="s">
        <v>46</v>
      </c>
      <c r="D57" s="1" t="s">
        <v>508</v>
      </c>
    </row>
    <row r="58" spans="1:4">
      <c r="A58" s="6"/>
      <c r="B58" s="15"/>
      <c r="C58" s="4" t="s">
        <v>47</v>
      </c>
      <c r="D58" s="2"/>
    </row>
    <row r="59" spans="1:4">
      <c r="A59" s="6"/>
      <c r="B59" s="15"/>
      <c r="C59" s="4" t="s">
        <v>48</v>
      </c>
      <c r="D59" s="2"/>
    </row>
    <row r="60" spans="1:4" ht="14.4">
      <c r="A60" s="6"/>
      <c r="B60" s="15"/>
      <c r="C60" s="4" t="s">
        <v>49</v>
      </c>
      <c r="D60" s="18"/>
    </row>
    <row r="61" spans="1:4" ht="14.4">
      <c r="A61" s="6"/>
      <c r="B61" s="15"/>
      <c r="C61" s="4" t="s">
        <v>50</v>
      </c>
      <c r="D61" s="18"/>
    </row>
    <row r="62" spans="1:4" ht="14.4">
      <c r="A62" s="6"/>
      <c r="B62" s="15"/>
      <c r="C62" s="4" t="s">
        <v>51</v>
      </c>
      <c r="D62" s="18"/>
    </row>
    <row r="63" spans="1:4" ht="14.4">
      <c r="A63" s="6"/>
      <c r="B63" s="15"/>
      <c r="C63" s="4" t="s">
        <v>52</v>
      </c>
      <c r="D63" s="18"/>
    </row>
    <row r="64" spans="1:4" ht="14.4">
      <c r="A64" s="6"/>
      <c r="B64" s="15"/>
      <c r="C64" s="4" t="s">
        <v>53</v>
      </c>
      <c r="D64" s="18"/>
    </row>
    <row r="65" spans="1:4" ht="14.4">
      <c r="A65" s="6"/>
      <c r="B65" s="15"/>
      <c r="C65" s="4" t="s">
        <v>54</v>
      </c>
      <c r="D65" s="18"/>
    </row>
    <row r="66" spans="1:4" ht="14.4">
      <c r="A66" s="6"/>
      <c r="B66" s="15"/>
      <c r="D66" s="18"/>
    </row>
    <row r="67" spans="1:4" ht="14.4">
      <c r="A67" s="6"/>
      <c r="B67" s="21"/>
      <c r="C67" s="22"/>
      <c r="D67" s="23"/>
    </row>
    <row r="68" spans="1:4" ht="21" customHeight="1">
      <c r="A68" s="24"/>
      <c r="D68" s="25"/>
    </row>
  </sheetData>
  <mergeCells count="3">
    <mergeCell ref="B6:D6"/>
    <mergeCell ref="B2:D2"/>
    <mergeCell ref="B3:D3"/>
  </mergeCells>
  <pageMargins left="0.7" right="0.7" top="0.75" bottom="0.75" header="0.3" footer="0.3"/>
  <pageSetup orientation="portrait" verticalDpi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7">
    <tabColor rgb="FF002060"/>
  </sheetPr>
  <dimension ref="B1:B31"/>
  <sheetViews>
    <sheetView showGridLines="0" topLeftCell="A2" zoomScale="98" zoomScaleNormal="98" workbookViewId="0">
      <selection activeCell="K27" sqref="K27"/>
    </sheetView>
  </sheetViews>
  <sheetFormatPr baseColWidth="10" defaultColWidth="9.109375" defaultRowHeight="12"/>
  <cols>
    <col min="1" max="1" width="7" style="27" customWidth="1"/>
    <col min="2" max="2" width="93.109375" style="27" customWidth="1"/>
    <col min="3" max="255" width="11.44140625" style="27" customWidth="1"/>
    <col min="256" max="16384" width="9.109375" style="27"/>
  </cols>
  <sheetData>
    <row r="1" spans="2:2" ht="14.4">
      <c r="B1" s="176"/>
    </row>
    <row r="3" spans="2:2">
      <c r="B3" s="28" t="s">
        <v>469</v>
      </c>
    </row>
    <row r="4" spans="2:2">
      <c r="B4" s="28" t="s">
        <v>525</v>
      </c>
    </row>
    <row r="5" spans="2:2">
      <c r="B5" s="84" t="s">
        <v>470</v>
      </c>
    </row>
    <row r="6" spans="2:2">
      <c r="B6" s="28" t="s">
        <v>526</v>
      </c>
    </row>
    <row r="7" spans="2:2">
      <c r="B7" s="84" t="s">
        <v>470</v>
      </c>
    </row>
    <row r="8" spans="2:2">
      <c r="B8" s="84"/>
    </row>
    <row r="9" spans="2:2">
      <c r="B9" s="28" t="s">
        <v>527</v>
      </c>
    </row>
    <row r="10" spans="2:2" ht="60">
      <c r="B10" s="360" t="s">
        <v>1098</v>
      </c>
    </row>
    <row r="11" spans="2:2">
      <c r="B11" s="360"/>
    </row>
    <row r="12" spans="2:2">
      <c r="B12" s="28" t="s">
        <v>471</v>
      </c>
    </row>
    <row r="13" spans="2:2">
      <c r="B13" s="84" t="s">
        <v>472</v>
      </c>
    </row>
    <row r="14" spans="2:2">
      <c r="B14" s="84"/>
    </row>
    <row r="15" spans="2:2" ht="28.35" customHeight="1">
      <c r="B15" s="305" t="s">
        <v>528</v>
      </c>
    </row>
    <row r="16" spans="2:2">
      <c r="B16" s="84" t="s">
        <v>472</v>
      </c>
    </row>
    <row r="17" spans="2:2">
      <c r="B17" s="84"/>
    </row>
    <row r="18" spans="2:2">
      <c r="B18" s="28" t="s">
        <v>473</v>
      </c>
    </row>
    <row r="19" spans="2:2">
      <c r="B19" s="84" t="s">
        <v>472</v>
      </c>
    </row>
    <row r="20" spans="2:2">
      <c r="B20" s="84"/>
    </row>
    <row r="21" spans="2:2">
      <c r="B21" s="28" t="s">
        <v>474</v>
      </c>
    </row>
    <row r="22" spans="2:2">
      <c r="B22" s="84" t="s">
        <v>472</v>
      </c>
    </row>
    <row r="23" spans="2:2">
      <c r="B23" s="84"/>
    </row>
    <row r="24" spans="2:2">
      <c r="B24" s="28" t="s">
        <v>475</v>
      </c>
    </row>
    <row r="25" spans="2:2">
      <c r="B25" s="84" t="s">
        <v>476</v>
      </c>
    </row>
    <row r="31" spans="2:2" ht="9.6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69AA4-58F1-4C01-A983-9E8C86C1A922}">
  <sheetPr>
    <tabColor rgb="FF002060"/>
  </sheetPr>
  <dimension ref="A1:K274"/>
  <sheetViews>
    <sheetView showGridLines="0" topLeftCell="A54" zoomScale="98" zoomScaleNormal="98" workbookViewId="0">
      <selection activeCell="D70" sqref="D70"/>
    </sheetView>
  </sheetViews>
  <sheetFormatPr baseColWidth="10" defaultColWidth="11.44140625" defaultRowHeight="12"/>
  <cols>
    <col min="1" max="1" width="4" style="96" customWidth="1"/>
    <col min="2" max="2" width="40.88671875" style="96" bestFit="1" customWidth="1"/>
    <col min="3" max="3" width="19.33203125" style="96" customWidth="1"/>
    <col min="4" max="4" width="20" style="96" bestFit="1" customWidth="1"/>
    <col min="5" max="5" width="35.33203125" style="96" customWidth="1"/>
    <col min="6" max="6" width="11.44140625" style="27"/>
    <col min="7" max="7" width="22.109375" style="27" customWidth="1"/>
    <col min="8" max="8" width="11.44140625" style="27"/>
    <col min="9" max="9" width="14.44140625" style="329" bestFit="1" customWidth="1"/>
    <col min="10" max="10" width="12" style="27" bestFit="1" customWidth="1"/>
    <col min="11" max="16384" width="11.44140625" style="27"/>
  </cols>
  <sheetData>
    <row r="1" spans="1:11" ht="55.35" customHeight="1">
      <c r="A1" s="306"/>
    </row>
    <row r="2" spans="1:11">
      <c r="A2" s="306"/>
    </row>
    <row r="3" spans="1:11">
      <c r="A3" s="330"/>
      <c r="B3" s="331" t="s">
        <v>538</v>
      </c>
      <c r="C3" s="330"/>
      <c r="D3" s="330"/>
      <c r="E3" s="330"/>
      <c r="F3" s="330"/>
      <c r="G3" s="330"/>
      <c r="H3" s="330"/>
      <c r="I3" s="330"/>
      <c r="J3" s="330"/>
      <c r="K3" s="330"/>
    </row>
    <row r="4" spans="1:1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</row>
    <row r="5" spans="1:11" ht="20.399999999999999" customHeight="1">
      <c r="A5" s="330"/>
      <c r="B5" s="332" t="s">
        <v>539</v>
      </c>
      <c r="C5" s="330"/>
      <c r="D5" s="330"/>
      <c r="E5" s="330"/>
      <c r="F5" s="330"/>
      <c r="G5" s="330"/>
      <c r="H5" s="330"/>
      <c r="I5" s="330"/>
      <c r="J5" s="330"/>
      <c r="K5" s="330"/>
    </row>
    <row r="6" spans="1:11" ht="20.399999999999999" customHeight="1">
      <c r="A6" s="330"/>
      <c r="B6" s="330"/>
      <c r="C6" s="333" t="s">
        <v>540</v>
      </c>
      <c r="D6" s="330" t="s">
        <v>541</v>
      </c>
      <c r="E6" s="330"/>
      <c r="F6" s="330"/>
      <c r="G6" s="330"/>
      <c r="H6" s="330"/>
      <c r="I6" s="330"/>
      <c r="J6" s="330"/>
      <c r="K6" s="330"/>
    </row>
    <row r="7" spans="1:11" ht="20.399999999999999" customHeight="1">
      <c r="A7" s="330"/>
      <c r="B7" s="334"/>
      <c r="C7" s="330" t="s">
        <v>542</v>
      </c>
      <c r="D7" s="330" t="s">
        <v>543</v>
      </c>
      <c r="E7" s="334"/>
      <c r="F7" s="330"/>
      <c r="G7" s="330"/>
      <c r="H7" s="330"/>
      <c r="I7" s="330"/>
      <c r="J7" s="330"/>
      <c r="K7" s="330"/>
    </row>
    <row r="8" spans="1:11" ht="20.399999999999999" customHeight="1">
      <c r="A8" s="330"/>
      <c r="B8" s="334"/>
      <c r="C8" s="330" t="s">
        <v>544</v>
      </c>
      <c r="D8" s="344">
        <v>14822</v>
      </c>
      <c r="E8" s="334"/>
      <c r="F8" s="330"/>
      <c r="G8" s="330"/>
      <c r="H8" s="330"/>
      <c r="I8" s="330"/>
      <c r="J8" s="330"/>
      <c r="K8" s="330"/>
    </row>
    <row r="9" spans="1:11" ht="20.399999999999999" customHeight="1">
      <c r="A9" s="330"/>
      <c r="B9" s="334"/>
      <c r="C9" s="333" t="s">
        <v>545</v>
      </c>
      <c r="D9" s="330" t="s">
        <v>546</v>
      </c>
      <c r="E9" s="330"/>
      <c r="F9" s="330"/>
      <c r="G9" s="330"/>
      <c r="H9" s="330"/>
      <c r="I9" s="330"/>
      <c r="J9" s="330"/>
      <c r="K9" s="330"/>
    </row>
    <row r="10" spans="1:11">
      <c r="A10" s="330"/>
      <c r="B10" s="334"/>
      <c r="C10" s="330" t="s">
        <v>547</v>
      </c>
      <c r="D10" s="333" t="s">
        <v>848</v>
      </c>
      <c r="E10" s="330"/>
      <c r="F10" s="330"/>
      <c r="G10" s="330"/>
      <c r="H10" s="330"/>
      <c r="I10" s="330"/>
      <c r="J10" s="330"/>
      <c r="K10" s="330"/>
    </row>
    <row r="11" spans="1:11" ht="14.4" customHeight="1">
      <c r="A11" s="330"/>
      <c r="B11" s="334"/>
      <c r="C11" s="330" t="s">
        <v>548</v>
      </c>
      <c r="D11" s="335" t="s">
        <v>549</v>
      </c>
      <c r="E11" s="330"/>
      <c r="F11" s="330"/>
      <c r="G11" s="330"/>
      <c r="H11" s="330"/>
      <c r="I11" s="330"/>
      <c r="J11" s="330"/>
      <c r="K11" s="330"/>
    </row>
    <row r="12" spans="1:11">
      <c r="A12" s="330"/>
      <c r="B12" s="334"/>
      <c r="C12" s="330" t="s">
        <v>550</v>
      </c>
      <c r="D12" s="335" t="s">
        <v>551</v>
      </c>
      <c r="E12" s="330"/>
      <c r="F12" s="330"/>
      <c r="G12" s="330"/>
      <c r="H12" s="330"/>
      <c r="I12" s="330"/>
      <c r="J12" s="330"/>
      <c r="K12" s="330"/>
    </row>
    <row r="13" spans="1:11">
      <c r="A13" s="330"/>
      <c r="B13" s="334"/>
      <c r="C13" s="330" t="s">
        <v>552</v>
      </c>
      <c r="D13" s="330" t="s">
        <v>546</v>
      </c>
      <c r="E13" s="330"/>
      <c r="F13" s="330"/>
      <c r="G13" s="330"/>
      <c r="H13" s="330"/>
      <c r="I13" s="330"/>
      <c r="J13" s="330"/>
      <c r="K13" s="330"/>
    </row>
    <row r="14" spans="1:11" ht="20.399999999999999" customHeight="1">
      <c r="A14" s="330"/>
      <c r="B14" s="330"/>
      <c r="C14" s="330"/>
      <c r="D14" s="330"/>
      <c r="E14" s="330"/>
      <c r="F14" s="330"/>
      <c r="G14" s="330"/>
      <c r="H14" s="330"/>
      <c r="I14" s="330"/>
      <c r="J14" s="330"/>
      <c r="K14" s="330"/>
    </row>
    <row r="15" spans="1:11" ht="20.399999999999999" customHeight="1">
      <c r="A15" s="330"/>
      <c r="B15" s="336" t="s">
        <v>553</v>
      </c>
      <c r="C15" s="330"/>
      <c r="D15" s="330"/>
      <c r="E15" s="330"/>
      <c r="F15" s="330"/>
      <c r="G15" s="330"/>
      <c r="H15" s="330"/>
      <c r="I15" s="330"/>
      <c r="J15" s="330"/>
      <c r="K15" s="330"/>
    </row>
    <row r="16" spans="1:11">
      <c r="A16" s="330"/>
      <c r="B16" s="330"/>
      <c r="C16" s="330" t="s">
        <v>554</v>
      </c>
      <c r="D16" s="330"/>
      <c r="E16" s="330"/>
      <c r="F16" s="330"/>
      <c r="G16" s="330"/>
      <c r="H16" s="330"/>
      <c r="I16" s="330"/>
      <c r="J16" s="330"/>
      <c r="K16" s="330"/>
    </row>
    <row r="17" spans="1:11">
      <c r="A17" s="330"/>
      <c r="B17" s="330"/>
      <c r="C17" s="330" t="s">
        <v>555</v>
      </c>
      <c r="D17" s="330"/>
      <c r="E17" s="330"/>
      <c r="F17" s="330"/>
      <c r="G17" s="330"/>
      <c r="H17" s="330"/>
      <c r="I17" s="330"/>
      <c r="J17" s="330"/>
      <c r="K17" s="330"/>
    </row>
    <row r="18" spans="1:11">
      <c r="A18" s="330"/>
      <c r="B18" s="330"/>
      <c r="C18" s="330"/>
      <c r="D18" s="330"/>
      <c r="E18" s="330"/>
      <c r="F18" s="330"/>
      <c r="G18" s="330"/>
      <c r="H18" s="330"/>
      <c r="I18" s="330"/>
      <c r="J18" s="330"/>
      <c r="K18" s="330"/>
    </row>
    <row r="19" spans="1:11">
      <c r="A19" s="330"/>
      <c r="B19" s="336" t="s">
        <v>556</v>
      </c>
      <c r="C19" s="330"/>
      <c r="D19" s="330"/>
      <c r="E19" s="330"/>
      <c r="F19" s="330"/>
      <c r="G19" s="330"/>
      <c r="H19" s="330"/>
      <c r="I19" s="330"/>
      <c r="J19" s="330"/>
      <c r="K19" s="330"/>
    </row>
    <row r="20" spans="1:11">
      <c r="A20" s="330"/>
      <c r="B20" s="330"/>
      <c r="C20" s="330"/>
      <c r="D20" s="330"/>
      <c r="E20" s="330"/>
      <c r="F20" s="330"/>
      <c r="G20" s="330"/>
      <c r="H20" s="330"/>
      <c r="I20" s="330"/>
      <c r="J20" s="330"/>
      <c r="K20" s="330"/>
    </row>
    <row r="21" spans="1:11">
      <c r="A21" s="330"/>
      <c r="B21" s="330"/>
      <c r="C21" s="399" t="s">
        <v>557</v>
      </c>
      <c r="D21" s="723" t="s">
        <v>558</v>
      </c>
      <c r="E21" s="723"/>
      <c r="F21" s="723"/>
      <c r="G21" s="330"/>
      <c r="H21" s="330"/>
      <c r="I21" s="330"/>
      <c r="J21" s="330"/>
      <c r="K21" s="330"/>
    </row>
    <row r="22" spans="1:11">
      <c r="A22" s="330"/>
      <c r="B22" s="330"/>
      <c r="C22" s="337" t="s">
        <v>559</v>
      </c>
      <c r="D22" s="724" t="s">
        <v>560</v>
      </c>
      <c r="E22" s="724"/>
      <c r="F22" s="724"/>
      <c r="G22" s="330"/>
      <c r="H22" s="330"/>
      <c r="I22" s="330"/>
      <c r="J22" s="330"/>
      <c r="K22" s="330"/>
    </row>
    <row r="23" spans="1:11">
      <c r="A23" s="330"/>
      <c r="B23" s="330"/>
      <c r="C23" s="337" t="s">
        <v>562</v>
      </c>
      <c r="D23" s="724" t="s">
        <v>563</v>
      </c>
      <c r="E23" s="724"/>
      <c r="F23" s="724"/>
      <c r="G23" s="330"/>
      <c r="H23" s="330"/>
      <c r="I23" s="330"/>
      <c r="J23" s="330"/>
      <c r="K23" s="330"/>
    </row>
    <row r="24" spans="1:11">
      <c r="A24" s="330"/>
      <c r="B24" s="330"/>
      <c r="C24" s="337" t="s">
        <v>562</v>
      </c>
      <c r="D24" s="724" t="s">
        <v>1038</v>
      </c>
      <c r="E24" s="724"/>
      <c r="F24" s="724"/>
      <c r="G24" s="330"/>
      <c r="H24" s="330"/>
      <c r="I24" s="330"/>
      <c r="J24" s="330"/>
      <c r="K24" s="330"/>
    </row>
    <row r="25" spans="1:11">
      <c r="A25" s="330"/>
      <c r="B25" s="330"/>
      <c r="C25" s="337" t="s">
        <v>566</v>
      </c>
      <c r="D25" s="724" t="s">
        <v>567</v>
      </c>
      <c r="E25" s="724"/>
      <c r="F25" s="724"/>
      <c r="G25" s="330"/>
      <c r="H25" s="330"/>
      <c r="I25" s="330"/>
      <c r="J25" s="330"/>
      <c r="K25" s="330"/>
    </row>
    <row r="26" spans="1:11">
      <c r="A26" s="330"/>
      <c r="B26" s="330"/>
      <c r="C26" s="330"/>
      <c r="D26" s="330"/>
      <c r="E26" s="330"/>
      <c r="F26" s="330"/>
      <c r="G26" s="330"/>
      <c r="H26" s="330"/>
      <c r="I26" s="330"/>
      <c r="J26" s="330"/>
      <c r="K26" s="330"/>
    </row>
    <row r="27" spans="1:11">
      <c r="A27" s="330"/>
      <c r="B27" s="336" t="s">
        <v>568</v>
      </c>
      <c r="C27" s="330"/>
      <c r="D27" s="330"/>
      <c r="E27" s="330"/>
      <c r="F27" s="330"/>
      <c r="G27" s="330"/>
      <c r="H27" s="330"/>
      <c r="I27" s="330"/>
      <c r="J27" s="330"/>
      <c r="K27" s="330"/>
    </row>
    <row r="28" spans="1:11">
      <c r="A28" s="330"/>
      <c r="B28" s="330"/>
      <c r="C28" s="330" t="s">
        <v>569</v>
      </c>
      <c r="D28" s="330"/>
      <c r="E28" s="330"/>
      <c r="F28" s="330"/>
      <c r="G28" s="330"/>
      <c r="H28" s="330"/>
      <c r="I28" s="330"/>
      <c r="J28" s="330"/>
      <c r="K28" s="330"/>
    </row>
    <row r="29" spans="1:11">
      <c r="A29" s="330"/>
      <c r="B29" s="330"/>
      <c r="C29" s="330" t="s">
        <v>570</v>
      </c>
      <c r="D29" s="330"/>
      <c r="E29" s="330"/>
      <c r="F29" s="330"/>
      <c r="G29" s="330"/>
      <c r="H29" s="330"/>
      <c r="I29" s="330"/>
      <c r="J29" s="330"/>
      <c r="K29" s="330"/>
    </row>
    <row r="30" spans="1:11">
      <c r="A30" s="330"/>
      <c r="B30" s="330"/>
      <c r="C30" s="330" t="s">
        <v>571</v>
      </c>
      <c r="D30" s="330"/>
      <c r="E30" s="330"/>
      <c r="F30" s="330"/>
      <c r="G30" s="330"/>
      <c r="H30" s="330"/>
      <c r="I30" s="330"/>
      <c r="J30" s="330"/>
      <c r="K30" s="330"/>
    </row>
    <row r="31" spans="1:11">
      <c r="A31" s="330"/>
      <c r="B31" s="330"/>
      <c r="C31" s="330" t="s">
        <v>572</v>
      </c>
      <c r="D31" s="330"/>
      <c r="E31" s="330"/>
      <c r="F31" s="330"/>
      <c r="G31" s="330"/>
      <c r="H31" s="330"/>
      <c r="I31" s="330"/>
      <c r="J31" s="330"/>
      <c r="K31" s="330"/>
    </row>
    <row r="32" spans="1:11">
      <c r="A32" s="330"/>
      <c r="B32" s="330"/>
      <c r="C32" s="330" t="s">
        <v>959</v>
      </c>
      <c r="D32" s="330"/>
      <c r="E32" s="330"/>
      <c r="F32" s="330"/>
      <c r="G32" s="330"/>
      <c r="H32" s="330"/>
      <c r="I32" s="330"/>
      <c r="J32" s="330"/>
      <c r="K32" s="330"/>
    </row>
    <row r="33" spans="1:11">
      <c r="A33" s="330"/>
      <c r="B33" s="330"/>
      <c r="C33" s="330" t="s">
        <v>573</v>
      </c>
      <c r="D33" s="330"/>
      <c r="E33" s="330"/>
      <c r="F33" s="330"/>
      <c r="G33" s="330"/>
      <c r="H33" s="330"/>
      <c r="I33" s="330"/>
      <c r="J33" s="330"/>
      <c r="K33" s="330"/>
    </row>
    <row r="34" spans="1:11">
      <c r="A34" s="330"/>
      <c r="B34" s="330"/>
      <c r="C34" s="330"/>
      <c r="D34" s="330"/>
      <c r="E34" s="330"/>
      <c r="F34" s="330"/>
      <c r="G34" s="330"/>
      <c r="H34" s="330"/>
      <c r="I34" s="330"/>
      <c r="J34" s="330"/>
      <c r="K34" s="330"/>
    </row>
    <row r="35" spans="1:11">
      <c r="A35" s="330"/>
      <c r="B35" s="330"/>
      <c r="C35" s="725" t="s">
        <v>574</v>
      </c>
      <c r="D35" s="725"/>
      <c r="E35" s="725"/>
      <c r="F35" s="330"/>
      <c r="G35" s="330"/>
      <c r="H35" s="330"/>
      <c r="I35" s="330"/>
      <c r="J35" s="330"/>
      <c r="K35" s="330"/>
    </row>
    <row r="36" spans="1:11" ht="48">
      <c r="A36" s="338" t="s">
        <v>575</v>
      </c>
      <c r="B36" s="338" t="s">
        <v>576</v>
      </c>
      <c r="C36" s="338" t="s">
        <v>577</v>
      </c>
      <c r="D36" s="338" t="s">
        <v>578</v>
      </c>
      <c r="E36" s="338" t="s">
        <v>579</v>
      </c>
      <c r="F36" s="339" t="s">
        <v>580</v>
      </c>
      <c r="G36" s="339" t="s">
        <v>581</v>
      </c>
      <c r="H36" s="339" t="s">
        <v>582</v>
      </c>
      <c r="I36" s="340" t="s">
        <v>583</v>
      </c>
      <c r="J36" s="330"/>
      <c r="K36" s="330"/>
    </row>
    <row r="37" spans="1:11">
      <c r="A37" s="35">
        <v>1</v>
      </c>
      <c r="B37" s="35" t="s">
        <v>584</v>
      </c>
      <c r="C37" s="341" t="s">
        <v>585</v>
      </c>
      <c r="D37" s="316" t="s">
        <v>1036</v>
      </c>
      <c r="E37" s="342">
        <v>3305</v>
      </c>
      <c r="F37" s="342" t="s">
        <v>586</v>
      </c>
      <c r="G37" s="342" t="s">
        <v>587</v>
      </c>
      <c r="H37" s="169">
        <v>3305000000</v>
      </c>
      <c r="I37" s="446">
        <v>0.86660000000000004</v>
      </c>
      <c r="J37" s="330"/>
      <c r="K37" s="330"/>
    </row>
    <row r="38" spans="1:11">
      <c r="A38" s="99">
        <v>2</v>
      </c>
      <c r="B38" s="35" t="s">
        <v>560</v>
      </c>
      <c r="C38" s="341" t="s">
        <v>585</v>
      </c>
      <c r="D38" s="316" t="s">
        <v>598</v>
      </c>
      <c r="E38" s="342">
        <v>200</v>
      </c>
      <c r="F38" s="342" t="s">
        <v>586</v>
      </c>
      <c r="G38" s="342" t="s">
        <v>587</v>
      </c>
      <c r="H38" s="169">
        <v>200000000</v>
      </c>
      <c r="I38" s="446">
        <v>5.2600000000000001E-2</v>
      </c>
      <c r="J38" s="330"/>
      <c r="K38" s="330"/>
    </row>
    <row r="39" spans="1:11">
      <c r="A39" s="35">
        <v>4</v>
      </c>
      <c r="B39" s="35" t="s">
        <v>563</v>
      </c>
      <c r="C39" s="341" t="s">
        <v>585</v>
      </c>
      <c r="D39" s="316" t="s">
        <v>588</v>
      </c>
      <c r="E39" s="342">
        <v>50</v>
      </c>
      <c r="F39" s="342" t="s">
        <v>586</v>
      </c>
      <c r="G39" s="342" t="s">
        <v>587</v>
      </c>
      <c r="H39" s="169">
        <v>50000000</v>
      </c>
      <c r="I39" s="446">
        <v>1.3100000000000001E-2</v>
      </c>
      <c r="J39" s="330"/>
      <c r="K39" s="330"/>
    </row>
    <row r="40" spans="1:11">
      <c r="A40" s="35">
        <v>5</v>
      </c>
      <c r="B40" s="35" t="s">
        <v>529</v>
      </c>
      <c r="C40" s="341" t="s">
        <v>585</v>
      </c>
      <c r="D40" s="316" t="s">
        <v>589</v>
      </c>
      <c r="E40" s="342">
        <v>50</v>
      </c>
      <c r="F40" s="342" t="s">
        <v>586</v>
      </c>
      <c r="G40" s="342" t="s">
        <v>587</v>
      </c>
      <c r="H40" s="169">
        <v>50000000</v>
      </c>
      <c r="I40" s="446">
        <v>1.3100000000000001E-2</v>
      </c>
      <c r="J40" s="330"/>
      <c r="K40" s="330"/>
    </row>
    <row r="41" spans="1:11">
      <c r="A41" s="35">
        <v>6</v>
      </c>
      <c r="B41" s="35" t="s">
        <v>590</v>
      </c>
      <c r="C41" s="341" t="s">
        <v>585</v>
      </c>
      <c r="D41" s="316" t="s">
        <v>591</v>
      </c>
      <c r="E41" s="342">
        <v>50</v>
      </c>
      <c r="F41" s="342" t="s">
        <v>586</v>
      </c>
      <c r="G41" s="342" t="s">
        <v>587</v>
      </c>
      <c r="H41" s="169">
        <v>50000000</v>
      </c>
      <c r="I41" s="446">
        <v>1.3100000000000001E-2</v>
      </c>
      <c r="J41" s="330"/>
      <c r="K41" s="330"/>
    </row>
    <row r="42" spans="1:11">
      <c r="A42" s="35">
        <v>7</v>
      </c>
      <c r="B42" s="35" t="s">
        <v>592</v>
      </c>
      <c r="C42" s="341" t="s">
        <v>585</v>
      </c>
      <c r="D42" s="316" t="s">
        <v>593</v>
      </c>
      <c r="E42" s="342">
        <v>50</v>
      </c>
      <c r="F42" s="342" t="s">
        <v>586</v>
      </c>
      <c r="G42" s="342" t="s">
        <v>587</v>
      </c>
      <c r="H42" s="169">
        <v>50000000</v>
      </c>
      <c r="I42" s="446">
        <v>1.3100000000000001E-2</v>
      </c>
      <c r="J42" s="330"/>
      <c r="K42" s="330"/>
    </row>
    <row r="43" spans="1:11">
      <c r="A43" s="35">
        <v>8</v>
      </c>
      <c r="B43" s="35" t="s">
        <v>594</v>
      </c>
      <c r="C43" s="341" t="s">
        <v>585</v>
      </c>
      <c r="D43" s="316" t="s">
        <v>595</v>
      </c>
      <c r="E43" s="342">
        <v>50</v>
      </c>
      <c r="F43" s="342" t="s">
        <v>586</v>
      </c>
      <c r="G43" s="342" t="s">
        <v>587</v>
      </c>
      <c r="H43" s="169">
        <v>50000000</v>
      </c>
      <c r="I43" s="446">
        <v>1.3100000000000001E-2</v>
      </c>
      <c r="J43" s="330"/>
      <c r="K43" s="330"/>
    </row>
    <row r="44" spans="1:11">
      <c r="A44" s="35">
        <v>9</v>
      </c>
      <c r="B44" s="35" t="s">
        <v>564</v>
      </c>
      <c r="C44" s="341" t="s">
        <v>585</v>
      </c>
      <c r="D44" s="316" t="s">
        <v>681</v>
      </c>
      <c r="E44" s="342">
        <v>50</v>
      </c>
      <c r="F44" s="342" t="s">
        <v>586</v>
      </c>
      <c r="G44" s="342" t="s">
        <v>587</v>
      </c>
      <c r="H44" s="169">
        <v>50000000</v>
      </c>
      <c r="I44" s="446">
        <v>1.3100000000000001E-2</v>
      </c>
      <c r="J44" s="330"/>
      <c r="K44" s="330"/>
    </row>
    <row r="45" spans="1:11">
      <c r="A45" s="330"/>
      <c r="B45" s="330"/>
      <c r="C45" s="330"/>
      <c r="D45" s="330"/>
      <c r="E45" s="330"/>
      <c r="F45" s="330"/>
      <c r="G45" s="330"/>
      <c r="H45" s="657">
        <f>SUM(H37:H44)</f>
        <v>3805000000</v>
      </c>
      <c r="I45" s="330"/>
      <c r="J45" s="330"/>
      <c r="K45" s="330"/>
    </row>
    <row r="46" spans="1:11">
      <c r="A46" s="330"/>
      <c r="B46" s="330"/>
      <c r="C46" s="725" t="s">
        <v>596</v>
      </c>
      <c r="D46" s="725"/>
      <c r="E46" s="725"/>
      <c r="F46" s="330"/>
      <c r="G46" s="330"/>
      <c r="H46" s="330"/>
      <c r="I46" s="330"/>
      <c r="J46" s="330"/>
      <c r="K46" s="330"/>
    </row>
    <row r="47" spans="1:11" ht="26.4" customHeight="1">
      <c r="A47" s="338" t="s">
        <v>575</v>
      </c>
      <c r="B47" s="726" t="s">
        <v>576</v>
      </c>
      <c r="C47" s="727"/>
      <c r="D47" s="338" t="s">
        <v>577</v>
      </c>
      <c r="E47" s="338" t="s">
        <v>578</v>
      </c>
      <c r="F47" s="338" t="s">
        <v>579</v>
      </c>
      <c r="G47" s="339" t="s">
        <v>580</v>
      </c>
      <c r="H47" s="339" t="s">
        <v>581</v>
      </c>
      <c r="I47" s="339" t="s">
        <v>582</v>
      </c>
      <c r="J47" s="340" t="s">
        <v>597</v>
      </c>
      <c r="K47" s="330"/>
    </row>
    <row r="48" spans="1:11">
      <c r="A48" s="35">
        <v>1</v>
      </c>
      <c r="B48" s="728" t="s">
        <v>584</v>
      </c>
      <c r="C48" s="729"/>
      <c r="D48" s="341" t="s">
        <v>585</v>
      </c>
      <c r="E48" s="316" t="s">
        <v>1037</v>
      </c>
      <c r="F48" s="342">
        <v>4500</v>
      </c>
      <c r="G48" s="342" t="s">
        <v>586</v>
      </c>
      <c r="H48" s="342" t="s">
        <v>587</v>
      </c>
      <c r="I48" s="169">
        <v>4500000000</v>
      </c>
      <c r="J48" s="343">
        <v>0.9</v>
      </c>
      <c r="K48" s="330"/>
    </row>
    <row r="49" spans="1:11">
      <c r="A49" s="35">
        <v>2</v>
      </c>
      <c r="B49" s="728" t="s">
        <v>560</v>
      </c>
      <c r="C49" s="729"/>
      <c r="D49" s="341" t="s">
        <v>585</v>
      </c>
      <c r="E49" s="316" t="s">
        <v>598</v>
      </c>
      <c r="F49" s="342">
        <v>200</v>
      </c>
      <c r="G49" s="342" t="s">
        <v>586</v>
      </c>
      <c r="H49" s="342" t="s">
        <v>587</v>
      </c>
      <c r="I49" s="169">
        <v>200000000</v>
      </c>
      <c r="J49" s="343">
        <v>0.04</v>
      </c>
      <c r="K49" s="330"/>
    </row>
    <row r="50" spans="1:11">
      <c r="A50" s="35">
        <v>3</v>
      </c>
      <c r="B50" s="728" t="s">
        <v>563</v>
      </c>
      <c r="C50" s="729"/>
      <c r="D50" s="341" t="s">
        <v>585</v>
      </c>
      <c r="E50" s="316" t="s">
        <v>588</v>
      </c>
      <c r="F50" s="342">
        <v>50</v>
      </c>
      <c r="G50" s="342" t="s">
        <v>586</v>
      </c>
      <c r="H50" s="342" t="s">
        <v>587</v>
      </c>
      <c r="I50" s="169">
        <v>50000000</v>
      </c>
      <c r="J50" s="343">
        <v>0.01</v>
      </c>
      <c r="K50" s="330"/>
    </row>
    <row r="51" spans="1:11">
      <c r="A51" s="35">
        <v>4</v>
      </c>
      <c r="B51" s="728" t="s">
        <v>529</v>
      </c>
      <c r="C51" s="729"/>
      <c r="D51" s="341" t="s">
        <v>585</v>
      </c>
      <c r="E51" s="316" t="s">
        <v>589</v>
      </c>
      <c r="F51" s="342">
        <v>50</v>
      </c>
      <c r="G51" s="342" t="s">
        <v>586</v>
      </c>
      <c r="H51" s="342" t="s">
        <v>587</v>
      </c>
      <c r="I51" s="169">
        <v>50000000</v>
      </c>
      <c r="J51" s="343">
        <v>0.01</v>
      </c>
      <c r="K51" s="330"/>
    </row>
    <row r="52" spans="1:11">
      <c r="A52" s="35">
        <v>5</v>
      </c>
      <c r="B52" s="728" t="s">
        <v>590</v>
      </c>
      <c r="C52" s="729"/>
      <c r="D52" s="341" t="s">
        <v>585</v>
      </c>
      <c r="E52" s="316" t="s">
        <v>591</v>
      </c>
      <c r="F52" s="342">
        <v>50</v>
      </c>
      <c r="G52" s="342" t="s">
        <v>586</v>
      </c>
      <c r="H52" s="342" t="s">
        <v>587</v>
      </c>
      <c r="I52" s="169">
        <v>50000000</v>
      </c>
      <c r="J52" s="343">
        <v>0.01</v>
      </c>
      <c r="K52" s="330"/>
    </row>
    <row r="53" spans="1:11">
      <c r="A53" s="35">
        <v>6</v>
      </c>
      <c r="B53" s="728" t="s">
        <v>592</v>
      </c>
      <c r="C53" s="729"/>
      <c r="D53" s="341" t="s">
        <v>585</v>
      </c>
      <c r="E53" s="316" t="s">
        <v>593</v>
      </c>
      <c r="F53" s="342">
        <v>50</v>
      </c>
      <c r="G53" s="342" t="s">
        <v>586</v>
      </c>
      <c r="H53" s="342" t="s">
        <v>587</v>
      </c>
      <c r="I53" s="169">
        <v>50000000</v>
      </c>
      <c r="J53" s="343">
        <v>0.01</v>
      </c>
      <c r="K53" s="330"/>
    </row>
    <row r="54" spans="1:11">
      <c r="A54" s="35">
        <v>7</v>
      </c>
      <c r="B54" s="728" t="s">
        <v>594</v>
      </c>
      <c r="C54" s="729"/>
      <c r="D54" s="341" t="s">
        <v>585</v>
      </c>
      <c r="E54" s="316" t="s">
        <v>595</v>
      </c>
      <c r="F54" s="342">
        <v>50</v>
      </c>
      <c r="G54" s="342" t="s">
        <v>586</v>
      </c>
      <c r="H54" s="342" t="s">
        <v>587</v>
      </c>
      <c r="I54" s="169">
        <v>50000000</v>
      </c>
      <c r="J54" s="343">
        <v>0.01</v>
      </c>
      <c r="K54" s="330"/>
    </row>
    <row r="55" spans="1:11">
      <c r="A55" s="35">
        <v>8</v>
      </c>
      <c r="B55" s="724" t="s">
        <v>564</v>
      </c>
      <c r="C55" s="724"/>
      <c r="D55" s="341" t="s">
        <v>585</v>
      </c>
      <c r="E55" s="316" t="s">
        <v>681</v>
      </c>
      <c r="F55" s="342">
        <v>50</v>
      </c>
      <c r="G55" s="342" t="s">
        <v>586</v>
      </c>
      <c r="H55" s="342" t="s">
        <v>587</v>
      </c>
      <c r="I55" s="169">
        <v>50000000</v>
      </c>
      <c r="J55" s="343">
        <v>0.01</v>
      </c>
      <c r="K55" s="330"/>
    </row>
    <row r="56" spans="1:11">
      <c r="A56" s="330"/>
      <c r="B56" s="330"/>
      <c r="C56" s="330"/>
      <c r="D56" s="330"/>
      <c r="E56" s="330"/>
      <c r="F56" s="330"/>
      <c r="G56" s="330"/>
      <c r="H56" s="330"/>
      <c r="I56" s="638">
        <f>SUM(I48:I55)</f>
        <v>5000000000</v>
      </c>
      <c r="J56" s="330"/>
      <c r="K56" s="330"/>
    </row>
    <row r="57" spans="1:11">
      <c r="A57" s="330"/>
      <c r="B57" s="336" t="s">
        <v>599</v>
      </c>
      <c r="C57" s="330"/>
      <c r="D57" s="330"/>
      <c r="E57" s="330"/>
      <c r="F57" s="330"/>
      <c r="G57" s="330"/>
      <c r="H57" s="330"/>
      <c r="I57" s="330"/>
      <c r="J57" s="330"/>
      <c r="K57" s="330"/>
    </row>
    <row r="58" spans="1:11">
      <c r="A58" s="330"/>
      <c r="B58" s="330"/>
      <c r="C58" s="330" t="s">
        <v>600</v>
      </c>
      <c r="D58" s="330"/>
      <c r="E58" s="330"/>
      <c r="F58" s="330"/>
      <c r="G58" s="330"/>
      <c r="H58" s="330"/>
      <c r="I58" s="330"/>
      <c r="J58" s="330"/>
      <c r="K58" s="330"/>
    </row>
    <row r="59" spans="1:11">
      <c r="A59" s="330"/>
      <c r="B59" s="330"/>
      <c r="C59" s="330" t="s">
        <v>601</v>
      </c>
      <c r="D59" s="330"/>
      <c r="E59" s="330"/>
      <c r="F59" s="330"/>
      <c r="G59" s="330"/>
      <c r="H59" s="330"/>
      <c r="I59" s="330"/>
      <c r="J59" s="330"/>
      <c r="K59" s="330"/>
    </row>
    <row r="60" spans="1:11">
      <c r="A60" s="330"/>
      <c r="B60" s="330"/>
      <c r="C60" s="330"/>
      <c r="D60" s="330"/>
      <c r="E60" s="330"/>
      <c r="F60" s="330"/>
      <c r="G60" s="330"/>
      <c r="H60" s="330"/>
      <c r="I60" s="330"/>
      <c r="J60" s="330"/>
      <c r="K60" s="330"/>
    </row>
    <row r="61" spans="1:11">
      <c r="A61" s="330"/>
      <c r="B61" s="336" t="s">
        <v>1061</v>
      </c>
      <c r="C61" s="330"/>
      <c r="D61" s="330"/>
      <c r="E61" s="330"/>
      <c r="F61" s="330"/>
      <c r="G61" s="330"/>
      <c r="H61" s="330"/>
      <c r="I61" s="330"/>
      <c r="J61" s="330"/>
      <c r="K61" s="330"/>
    </row>
    <row r="62" spans="1:11">
      <c r="A62" s="330"/>
      <c r="B62" s="330" t="s">
        <v>602</v>
      </c>
      <c r="C62" s="330"/>
      <c r="D62" s="330"/>
      <c r="E62" s="330"/>
      <c r="F62" s="330"/>
      <c r="G62" s="330"/>
      <c r="H62" s="330"/>
      <c r="I62" s="330"/>
      <c r="J62" s="330"/>
      <c r="K62" s="330"/>
    </row>
    <row r="63" spans="1:11">
      <c r="A63" s="330"/>
      <c r="B63" s="330"/>
      <c r="C63" s="330" t="s">
        <v>559</v>
      </c>
      <c r="D63" s="344" t="s">
        <v>560</v>
      </c>
      <c r="E63" s="344"/>
      <c r="F63" s="344"/>
      <c r="G63" s="330"/>
      <c r="H63" s="330"/>
      <c r="I63" s="330"/>
      <c r="J63" s="330"/>
      <c r="K63" s="330"/>
    </row>
    <row r="64" spans="1:11">
      <c r="A64" s="330"/>
      <c r="B64" s="330"/>
      <c r="C64" s="330" t="s">
        <v>562</v>
      </c>
      <c r="D64" s="344" t="s">
        <v>563</v>
      </c>
      <c r="E64" s="344"/>
      <c r="F64" s="344"/>
      <c r="G64" s="330"/>
      <c r="H64" s="330"/>
      <c r="I64" s="330"/>
      <c r="J64" s="330"/>
      <c r="K64" s="330"/>
    </row>
    <row r="65" spans="1:11">
      <c r="A65" s="330"/>
      <c r="B65" s="330"/>
      <c r="C65" s="330" t="s">
        <v>562</v>
      </c>
      <c r="D65" s="344" t="s">
        <v>565</v>
      </c>
      <c r="E65" s="344"/>
      <c r="F65" s="344"/>
      <c r="G65" s="330"/>
      <c r="H65" s="330"/>
      <c r="I65" s="330"/>
      <c r="J65" s="330"/>
      <c r="K65" s="330"/>
    </row>
    <row r="66" spans="1:11">
      <c r="A66" s="330"/>
      <c r="B66" s="330"/>
      <c r="C66" s="330" t="s">
        <v>603</v>
      </c>
      <c r="D66" s="344" t="s">
        <v>567</v>
      </c>
      <c r="E66" s="344"/>
      <c r="F66" s="344"/>
      <c r="G66" s="330"/>
      <c r="H66" s="330"/>
      <c r="I66" s="330"/>
      <c r="J66" s="330"/>
      <c r="K66" s="330"/>
    </row>
    <row r="67" spans="1:11">
      <c r="A67" s="330"/>
      <c r="B67" s="330"/>
      <c r="C67" s="330" t="s">
        <v>604</v>
      </c>
      <c r="D67" s="344" t="s">
        <v>605</v>
      </c>
      <c r="E67" s="344"/>
      <c r="F67" s="344"/>
      <c r="G67" s="330"/>
      <c r="H67" s="330"/>
      <c r="I67" s="330"/>
      <c r="J67" s="330"/>
      <c r="K67" s="330"/>
    </row>
    <row r="68" spans="1:11">
      <c r="A68" s="330"/>
      <c r="B68" s="330"/>
      <c r="C68" s="330"/>
      <c r="D68" s="330"/>
      <c r="E68" s="330"/>
      <c r="F68" s="330"/>
      <c r="G68" s="330"/>
      <c r="H68" s="330"/>
      <c r="I68" s="330"/>
      <c r="J68" s="330"/>
      <c r="K68" s="330"/>
    </row>
    <row r="69" spans="1:11">
      <c r="A69" s="330"/>
      <c r="B69" s="330" t="s">
        <v>606</v>
      </c>
      <c r="C69" s="330"/>
      <c r="D69" s="330"/>
      <c r="E69" s="330"/>
      <c r="F69" s="330"/>
      <c r="G69" s="330"/>
      <c r="H69" s="330"/>
      <c r="I69" s="330"/>
      <c r="J69" s="330"/>
      <c r="K69" s="330"/>
    </row>
    <row r="70" spans="1:11">
      <c r="A70" s="330"/>
      <c r="B70" s="330"/>
      <c r="C70" s="330" t="s">
        <v>607</v>
      </c>
      <c r="D70" s="336" t="s">
        <v>584</v>
      </c>
      <c r="E70" s="330"/>
      <c r="F70" s="330"/>
      <c r="G70" s="330"/>
      <c r="H70" s="330"/>
      <c r="I70" s="330"/>
      <c r="J70" s="330"/>
      <c r="K70" s="330"/>
    </row>
    <row r="71" spans="1:11">
      <c r="A71" s="330"/>
      <c r="B71" s="330"/>
      <c r="C71" s="330" t="s">
        <v>608</v>
      </c>
      <c r="D71" s="330" t="s">
        <v>609</v>
      </c>
      <c r="E71" s="330"/>
      <c r="F71" s="330"/>
      <c r="G71" s="330"/>
      <c r="H71" s="330"/>
      <c r="I71" s="330"/>
      <c r="J71" s="330"/>
      <c r="K71" s="330"/>
    </row>
    <row r="72" spans="1:11">
      <c r="A72" s="330"/>
      <c r="B72" s="330"/>
      <c r="C72" s="330" t="s">
        <v>610</v>
      </c>
      <c r="D72" s="330" t="s">
        <v>611</v>
      </c>
      <c r="E72" s="330"/>
      <c r="F72" s="330"/>
      <c r="G72" s="330"/>
      <c r="H72" s="330"/>
      <c r="I72" s="330"/>
      <c r="J72" s="330"/>
      <c r="K72" s="330"/>
    </row>
    <row r="73" spans="1:11">
      <c r="A73" s="330"/>
      <c r="B73" s="330"/>
      <c r="C73" s="330" t="s">
        <v>612</v>
      </c>
      <c r="D73" s="671">
        <v>0.86660000000000004</v>
      </c>
      <c r="E73" s="330"/>
      <c r="F73" s="330"/>
      <c r="G73" s="330"/>
      <c r="H73" s="330"/>
      <c r="I73" s="330"/>
      <c r="J73" s="330"/>
      <c r="K73" s="330"/>
    </row>
    <row r="74" spans="1:11">
      <c r="A74" s="330"/>
      <c r="B74" s="330"/>
      <c r="C74" s="330" t="s">
        <v>613</v>
      </c>
      <c r="D74" s="671">
        <v>0.86660000000000004</v>
      </c>
      <c r="E74" s="330"/>
      <c r="F74" s="330"/>
      <c r="G74" s="330"/>
      <c r="H74" s="330"/>
      <c r="I74" s="330"/>
      <c r="J74" s="330"/>
      <c r="K74" s="330"/>
    </row>
    <row r="75" spans="1:11">
      <c r="A75" s="330"/>
      <c r="B75" s="330"/>
      <c r="C75" s="330"/>
      <c r="D75" s="330"/>
      <c r="E75" s="330"/>
      <c r="F75" s="330"/>
      <c r="G75" s="330"/>
      <c r="H75" s="330"/>
      <c r="I75" s="330"/>
      <c r="J75" s="330"/>
      <c r="K75" s="330"/>
    </row>
    <row r="76" spans="1:11">
      <c r="A76" s="330"/>
      <c r="B76" s="330"/>
      <c r="C76" s="330"/>
      <c r="D76" s="330"/>
      <c r="E76" s="330"/>
      <c r="F76" s="330"/>
      <c r="G76" s="330"/>
      <c r="H76" s="330"/>
      <c r="I76" s="330"/>
      <c r="J76" s="330"/>
      <c r="K76" s="330"/>
    </row>
    <row r="77" spans="1:11">
      <c r="A77" s="330"/>
      <c r="B77" s="330"/>
      <c r="C77" s="330"/>
      <c r="D77" s="330"/>
      <c r="E77" s="330"/>
      <c r="F77" s="330"/>
      <c r="G77" s="330"/>
      <c r="H77" s="330"/>
      <c r="I77" s="330"/>
      <c r="J77" s="330"/>
      <c r="K77" s="330"/>
    </row>
    <row r="78" spans="1:11">
      <c r="A78" s="330"/>
      <c r="B78" s="330"/>
      <c r="C78" s="330"/>
      <c r="D78" s="330"/>
      <c r="E78" s="330"/>
      <c r="F78" s="330"/>
      <c r="G78" s="330"/>
      <c r="H78" s="330"/>
      <c r="I78" s="330"/>
      <c r="J78" s="330"/>
      <c r="K78" s="330"/>
    </row>
    <row r="79" spans="1:11">
      <c r="A79" s="330"/>
      <c r="B79" s="330"/>
      <c r="C79" s="330"/>
      <c r="D79" s="330"/>
      <c r="E79" s="330"/>
      <c r="F79" s="330"/>
      <c r="G79" s="330"/>
      <c r="H79" s="330"/>
      <c r="I79" s="330"/>
      <c r="J79" s="330"/>
      <c r="K79" s="330"/>
    </row>
    <row r="80" spans="1:11">
      <c r="A80" s="330"/>
      <c r="B80" s="330"/>
      <c r="C80" s="330"/>
      <c r="D80" s="330"/>
      <c r="E80" s="330"/>
      <c r="F80" s="330"/>
      <c r="G80" s="330"/>
      <c r="H80" s="330"/>
      <c r="I80" s="330"/>
      <c r="J80" s="330"/>
      <c r="K80" s="330"/>
    </row>
    <row r="81" spans="1:11">
      <c r="A81" s="330"/>
      <c r="B81" s="330"/>
      <c r="C81" s="330"/>
      <c r="D81" s="330"/>
      <c r="E81" s="330"/>
      <c r="F81" s="330"/>
      <c r="G81" s="330"/>
      <c r="H81" s="330"/>
      <c r="I81" s="330"/>
      <c r="J81" s="330"/>
      <c r="K81" s="330"/>
    </row>
    <row r="82" spans="1:11">
      <c r="A82" s="330"/>
      <c r="B82" s="330"/>
      <c r="C82" s="330"/>
      <c r="D82" s="330"/>
      <c r="E82" s="330"/>
      <c r="F82" s="330"/>
      <c r="G82" s="330"/>
      <c r="H82" s="330"/>
      <c r="I82" s="330"/>
      <c r="J82" s="330"/>
      <c r="K82" s="330"/>
    </row>
    <row r="83" spans="1:11">
      <c r="A83" s="330"/>
      <c r="B83" s="330"/>
      <c r="C83" s="330"/>
      <c r="D83" s="330"/>
      <c r="E83" s="330"/>
      <c r="F83" s="330"/>
      <c r="G83" s="330"/>
      <c r="H83" s="330"/>
      <c r="I83" s="330"/>
      <c r="J83" s="330"/>
      <c r="K83" s="330"/>
    </row>
    <row r="84" spans="1:11">
      <c r="A84" s="330"/>
      <c r="B84" s="330"/>
      <c r="C84" s="330"/>
      <c r="D84" s="330"/>
      <c r="E84" s="330"/>
      <c r="F84" s="330"/>
      <c r="G84" s="330"/>
      <c r="H84" s="330"/>
      <c r="I84" s="330"/>
      <c r="J84" s="330"/>
      <c r="K84" s="330"/>
    </row>
    <row r="85" spans="1:11">
      <c r="A85" s="330"/>
      <c r="B85" s="330"/>
      <c r="C85" s="330"/>
      <c r="D85" s="330"/>
      <c r="E85" s="330"/>
      <c r="F85" s="330"/>
      <c r="G85" s="330"/>
      <c r="H85" s="330"/>
      <c r="I85" s="330"/>
      <c r="J85" s="330"/>
      <c r="K85" s="330"/>
    </row>
    <row r="86" spans="1:11">
      <c r="A86" s="330"/>
      <c r="B86" s="330"/>
      <c r="C86" s="330"/>
      <c r="D86" s="330"/>
      <c r="E86" s="330"/>
      <c r="F86" s="330"/>
      <c r="G86" s="330"/>
      <c r="H86" s="330"/>
      <c r="I86" s="330"/>
      <c r="J86" s="330"/>
      <c r="K86" s="330"/>
    </row>
    <row r="87" spans="1:11">
      <c r="A87" s="330"/>
      <c r="B87" s="330"/>
      <c r="C87" s="330"/>
      <c r="D87" s="330"/>
      <c r="E87" s="330"/>
      <c r="F87" s="330"/>
      <c r="G87" s="330"/>
      <c r="H87" s="330"/>
      <c r="I87" s="330"/>
      <c r="J87" s="330"/>
      <c r="K87" s="330"/>
    </row>
    <row r="88" spans="1:11">
      <c r="A88" s="330"/>
      <c r="B88" s="330"/>
      <c r="C88" s="330"/>
      <c r="D88" s="330"/>
      <c r="E88" s="330"/>
      <c r="F88" s="330"/>
      <c r="G88" s="330"/>
      <c r="H88" s="330"/>
      <c r="I88" s="330"/>
      <c r="J88" s="330"/>
      <c r="K88" s="330"/>
    </row>
    <row r="89" spans="1:11">
      <c r="A89" s="330"/>
      <c r="B89" s="330"/>
      <c r="C89" s="330"/>
      <c r="D89" s="330"/>
      <c r="E89" s="330"/>
      <c r="F89" s="330"/>
      <c r="G89" s="330"/>
      <c r="H89" s="330"/>
      <c r="I89" s="330"/>
      <c r="J89" s="330"/>
      <c r="K89" s="330"/>
    </row>
    <row r="90" spans="1:11">
      <c r="A90" s="330"/>
      <c r="B90" s="330"/>
      <c r="C90" s="330"/>
      <c r="D90" s="330"/>
      <c r="E90" s="330"/>
      <c r="F90" s="330"/>
      <c r="G90" s="330"/>
      <c r="H90" s="330"/>
      <c r="I90" s="330"/>
      <c r="J90" s="330"/>
      <c r="K90" s="330"/>
    </row>
    <row r="91" spans="1:11">
      <c r="A91" s="330"/>
      <c r="B91" s="330"/>
      <c r="C91" s="330"/>
      <c r="D91" s="330"/>
      <c r="E91" s="330"/>
      <c r="F91" s="330"/>
      <c r="G91" s="330"/>
      <c r="H91" s="330"/>
      <c r="I91" s="330"/>
      <c r="J91" s="330"/>
      <c r="K91" s="330"/>
    </row>
    <row r="92" spans="1:11">
      <c r="A92" s="330"/>
      <c r="B92" s="330"/>
      <c r="C92" s="330"/>
      <c r="D92" s="330"/>
      <c r="E92" s="330"/>
      <c r="F92" s="330"/>
      <c r="G92" s="330"/>
      <c r="H92" s="330"/>
      <c r="I92" s="330"/>
      <c r="J92" s="330"/>
      <c r="K92" s="330"/>
    </row>
    <row r="93" spans="1:11">
      <c r="A93" s="330"/>
      <c r="B93" s="330"/>
      <c r="C93" s="330"/>
      <c r="D93" s="330"/>
      <c r="E93" s="330"/>
      <c r="F93" s="330"/>
      <c r="G93" s="330"/>
      <c r="H93" s="330"/>
      <c r="I93" s="330"/>
      <c r="J93" s="330"/>
      <c r="K93" s="330"/>
    </row>
    <row r="94" spans="1:11">
      <c r="A94" s="330"/>
      <c r="B94" s="330"/>
      <c r="C94" s="330"/>
      <c r="D94" s="330"/>
      <c r="E94" s="330"/>
      <c r="F94" s="330"/>
      <c r="G94" s="330"/>
      <c r="H94" s="330"/>
      <c r="I94" s="330"/>
      <c r="J94" s="330"/>
      <c r="K94" s="330"/>
    </row>
    <row r="95" spans="1:11">
      <c r="A95" s="330"/>
      <c r="B95" s="330"/>
      <c r="C95" s="330"/>
      <c r="D95" s="330"/>
      <c r="E95" s="330"/>
      <c r="F95" s="330"/>
      <c r="G95" s="330"/>
      <c r="H95" s="330"/>
      <c r="I95" s="330"/>
      <c r="J95" s="330"/>
      <c r="K95" s="330"/>
    </row>
    <row r="96" spans="1:11">
      <c r="A96" s="330"/>
      <c r="B96" s="330"/>
      <c r="C96" s="330"/>
      <c r="D96" s="330"/>
      <c r="E96" s="330"/>
      <c r="F96" s="330"/>
      <c r="G96" s="330"/>
      <c r="H96" s="330"/>
      <c r="I96" s="330"/>
      <c r="J96" s="330"/>
      <c r="K96" s="330"/>
    </row>
    <row r="97" spans="1:11">
      <c r="A97" s="330"/>
      <c r="B97" s="330"/>
      <c r="C97" s="330"/>
      <c r="D97" s="330"/>
      <c r="E97" s="330"/>
      <c r="F97" s="330"/>
      <c r="G97" s="330"/>
      <c r="H97" s="330"/>
      <c r="I97" s="330"/>
      <c r="J97" s="330"/>
      <c r="K97" s="330"/>
    </row>
    <row r="98" spans="1:11">
      <c r="A98" s="330"/>
      <c r="B98" s="330"/>
      <c r="C98" s="330"/>
      <c r="D98" s="330"/>
      <c r="E98" s="330"/>
      <c r="F98" s="330"/>
      <c r="G98" s="330"/>
      <c r="H98" s="330"/>
      <c r="I98" s="330"/>
      <c r="J98" s="330"/>
      <c r="K98" s="330"/>
    </row>
    <row r="99" spans="1:11">
      <c r="A99" s="330"/>
      <c r="B99" s="330"/>
      <c r="C99" s="330"/>
      <c r="D99" s="330"/>
      <c r="E99" s="330"/>
      <c r="F99" s="330"/>
      <c r="G99" s="330"/>
      <c r="H99" s="330"/>
      <c r="I99" s="330"/>
      <c r="J99" s="330"/>
      <c r="K99" s="330"/>
    </row>
    <row r="100" spans="1:11">
      <c r="A100" s="330"/>
      <c r="B100" s="330"/>
      <c r="C100" s="330"/>
      <c r="D100" s="330"/>
      <c r="E100" s="330"/>
      <c r="F100" s="330"/>
      <c r="G100" s="330"/>
      <c r="H100" s="330"/>
      <c r="I100" s="330"/>
      <c r="J100" s="330"/>
      <c r="K100" s="330"/>
    </row>
    <row r="101" spans="1:11">
      <c r="A101" s="330"/>
      <c r="B101" s="330"/>
      <c r="C101" s="330"/>
      <c r="D101" s="330"/>
      <c r="E101" s="330"/>
      <c r="F101" s="330"/>
      <c r="G101" s="330"/>
      <c r="H101" s="330"/>
      <c r="I101" s="330"/>
      <c r="J101" s="330"/>
      <c r="K101" s="330"/>
    </row>
    <row r="102" spans="1:11">
      <c r="A102" s="330"/>
      <c r="B102" s="330"/>
      <c r="C102" s="330"/>
      <c r="D102" s="330"/>
      <c r="E102" s="330"/>
      <c r="F102" s="330"/>
      <c r="G102" s="330"/>
      <c r="H102" s="330"/>
      <c r="I102" s="330"/>
      <c r="J102" s="330"/>
      <c r="K102" s="330"/>
    </row>
    <row r="103" spans="1:11">
      <c r="A103" s="330"/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</row>
    <row r="104" spans="1:11">
      <c r="A104" s="330"/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</row>
    <row r="105" spans="1:11">
      <c r="A105" s="330"/>
      <c r="B105" s="330"/>
      <c r="C105" s="330"/>
      <c r="D105" s="330"/>
      <c r="E105" s="330"/>
      <c r="F105" s="330"/>
      <c r="G105" s="330"/>
      <c r="H105" s="330"/>
      <c r="I105" s="330"/>
      <c r="J105" s="330"/>
      <c r="K105" s="330"/>
    </row>
    <row r="106" spans="1:11">
      <c r="I106" s="345"/>
    </row>
    <row r="107" spans="1:11">
      <c r="I107" s="345"/>
    </row>
    <row r="108" spans="1:11">
      <c r="I108" s="345"/>
    </row>
    <row r="109" spans="1:11">
      <c r="I109" s="345"/>
    </row>
    <row r="110" spans="1:11">
      <c r="I110" s="345"/>
    </row>
    <row r="111" spans="1:11">
      <c r="I111" s="345"/>
    </row>
    <row r="112" spans="1:11">
      <c r="I112" s="345"/>
    </row>
    <row r="113" spans="9:9">
      <c r="I113" s="345"/>
    </row>
    <row r="114" spans="9:9">
      <c r="I114" s="345"/>
    </row>
    <row r="115" spans="9:9">
      <c r="I115" s="345"/>
    </row>
    <row r="116" spans="9:9">
      <c r="I116" s="345"/>
    </row>
    <row r="117" spans="9:9">
      <c r="I117" s="345"/>
    </row>
    <row r="118" spans="9:9">
      <c r="I118" s="345"/>
    </row>
    <row r="119" spans="9:9">
      <c r="I119" s="345"/>
    </row>
    <row r="120" spans="9:9">
      <c r="I120" s="345"/>
    </row>
    <row r="121" spans="9:9">
      <c r="I121" s="345"/>
    </row>
    <row r="122" spans="9:9">
      <c r="I122" s="345"/>
    </row>
    <row r="123" spans="9:9">
      <c r="I123" s="345"/>
    </row>
    <row r="124" spans="9:9">
      <c r="I124" s="345"/>
    </row>
    <row r="125" spans="9:9">
      <c r="I125" s="345"/>
    </row>
    <row r="126" spans="9:9">
      <c r="I126" s="345"/>
    </row>
    <row r="127" spans="9:9">
      <c r="I127" s="345"/>
    </row>
    <row r="128" spans="9:9">
      <c r="I128" s="345"/>
    </row>
    <row r="129" spans="1:9">
      <c r="I129" s="345"/>
    </row>
    <row r="130" spans="1:9">
      <c r="I130" s="345"/>
    </row>
    <row r="131" spans="1:9">
      <c r="I131" s="345"/>
    </row>
    <row r="132" spans="1:9">
      <c r="I132" s="345"/>
    </row>
    <row r="133" spans="1:9">
      <c r="I133" s="345"/>
    </row>
    <row r="134" spans="1:9">
      <c r="I134" s="345"/>
    </row>
    <row r="135" spans="1:9">
      <c r="I135" s="345"/>
    </row>
    <row r="136" spans="1:9" s="152" customFormat="1">
      <c r="A136" s="369"/>
      <c r="B136" s="369"/>
      <c r="C136" s="369"/>
      <c r="D136" s="369"/>
      <c r="E136" s="369"/>
      <c r="I136" s="346"/>
    </row>
    <row r="137" spans="1:9">
      <c r="I137" s="345"/>
    </row>
    <row r="138" spans="1:9">
      <c r="I138" s="345"/>
    </row>
    <row r="139" spans="1:9">
      <c r="A139" s="369"/>
      <c r="I139" s="345"/>
    </row>
    <row r="140" spans="1:9">
      <c r="A140" s="371"/>
      <c r="B140" s="371"/>
      <c r="C140" s="371"/>
      <c r="D140" s="371"/>
      <c r="E140" s="371"/>
      <c r="F140" s="370"/>
      <c r="G140" s="370"/>
      <c r="H140" s="370"/>
      <c r="I140" s="345"/>
    </row>
    <row r="141" spans="1:9">
      <c r="G141" s="345"/>
      <c r="I141" s="345"/>
    </row>
    <row r="142" spans="1:9">
      <c r="G142" s="345"/>
      <c r="I142" s="345"/>
    </row>
    <row r="143" spans="1:9">
      <c r="G143" s="345"/>
      <c r="I143" s="345"/>
    </row>
    <row r="144" spans="1:9">
      <c r="G144" s="345"/>
      <c r="I144" s="345"/>
    </row>
    <row r="145" spans="1:9">
      <c r="G145" s="345"/>
      <c r="I145" s="345"/>
    </row>
    <row r="146" spans="1:9" s="152" customFormat="1">
      <c r="A146" s="369"/>
      <c r="B146" s="369"/>
      <c r="C146" s="369"/>
      <c r="D146" s="369"/>
      <c r="E146" s="369"/>
      <c r="G146" s="346"/>
      <c r="I146" s="346"/>
    </row>
    <row r="147" spans="1:9">
      <c r="I147" s="345"/>
    </row>
    <row r="148" spans="1:9">
      <c r="I148" s="345"/>
    </row>
    <row r="149" spans="1:9">
      <c r="I149" s="345"/>
    </row>
    <row r="150" spans="1:9">
      <c r="I150" s="345"/>
    </row>
    <row r="151" spans="1:9">
      <c r="I151" s="345"/>
    </row>
    <row r="152" spans="1:9">
      <c r="I152" s="345"/>
    </row>
    <row r="153" spans="1:9">
      <c r="I153" s="345"/>
    </row>
    <row r="154" spans="1:9">
      <c r="I154" s="345"/>
    </row>
    <row r="155" spans="1:9">
      <c r="I155" s="345"/>
    </row>
    <row r="156" spans="1:9">
      <c r="I156" s="345"/>
    </row>
    <row r="157" spans="1:9">
      <c r="I157" s="345"/>
    </row>
    <row r="158" spans="1:9">
      <c r="I158" s="345"/>
    </row>
    <row r="159" spans="1:9">
      <c r="I159" s="345"/>
    </row>
    <row r="160" spans="1:9">
      <c r="I160" s="345"/>
    </row>
    <row r="161" spans="9:9">
      <c r="I161" s="345"/>
    </row>
    <row r="162" spans="9:9">
      <c r="I162" s="345"/>
    </row>
    <row r="163" spans="9:9">
      <c r="I163" s="345"/>
    </row>
    <row r="164" spans="9:9">
      <c r="I164" s="345"/>
    </row>
    <row r="165" spans="9:9">
      <c r="I165" s="345"/>
    </row>
    <row r="166" spans="9:9">
      <c r="I166" s="345"/>
    </row>
    <row r="167" spans="9:9">
      <c r="I167" s="345"/>
    </row>
    <row r="168" spans="9:9">
      <c r="I168" s="345"/>
    </row>
    <row r="169" spans="9:9">
      <c r="I169" s="345"/>
    </row>
    <row r="170" spans="9:9">
      <c r="I170" s="345"/>
    </row>
    <row r="171" spans="9:9">
      <c r="I171" s="345"/>
    </row>
    <row r="172" spans="9:9">
      <c r="I172" s="345"/>
    </row>
    <row r="173" spans="9:9">
      <c r="I173" s="345"/>
    </row>
    <row r="174" spans="9:9">
      <c r="I174" s="345"/>
    </row>
    <row r="175" spans="9:9">
      <c r="I175" s="345"/>
    </row>
    <row r="176" spans="9:9">
      <c r="I176" s="345"/>
    </row>
    <row r="177" spans="9:9">
      <c r="I177" s="345"/>
    </row>
    <row r="178" spans="9:9">
      <c r="I178" s="345"/>
    </row>
    <row r="179" spans="9:9">
      <c r="I179" s="345"/>
    </row>
    <row r="180" spans="9:9">
      <c r="I180" s="345"/>
    </row>
    <row r="181" spans="9:9">
      <c r="I181" s="345"/>
    </row>
    <row r="182" spans="9:9">
      <c r="I182" s="345"/>
    </row>
    <row r="183" spans="9:9">
      <c r="I183" s="345"/>
    </row>
    <row r="184" spans="9:9">
      <c r="I184" s="345"/>
    </row>
    <row r="185" spans="9:9">
      <c r="I185" s="345"/>
    </row>
    <row r="186" spans="9:9">
      <c r="I186" s="345"/>
    </row>
    <row r="187" spans="9:9">
      <c r="I187" s="345"/>
    </row>
    <row r="188" spans="9:9">
      <c r="I188" s="345"/>
    </row>
    <row r="189" spans="9:9">
      <c r="I189" s="345"/>
    </row>
    <row r="190" spans="9:9">
      <c r="I190" s="345"/>
    </row>
    <row r="191" spans="9:9">
      <c r="I191" s="345"/>
    </row>
    <row r="192" spans="9:9">
      <c r="I192" s="345"/>
    </row>
    <row r="193" spans="9:9">
      <c r="I193" s="345"/>
    </row>
    <row r="194" spans="9:9">
      <c r="I194" s="345"/>
    </row>
    <row r="195" spans="9:9">
      <c r="I195" s="345"/>
    </row>
    <row r="196" spans="9:9">
      <c r="I196" s="345"/>
    </row>
    <row r="197" spans="9:9">
      <c r="I197" s="345"/>
    </row>
    <row r="198" spans="9:9">
      <c r="I198" s="345"/>
    </row>
    <row r="199" spans="9:9">
      <c r="I199" s="345"/>
    </row>
    <row r="200" spans="9:9">
      <c r="I200" s="345"/>
    </row>
    <row r="201" spans="9:9">
      <c r="I201" s="345"/>
    </row>
    <row r="202" spans="9:9">
      <c r="I202" s="345"/>
    </row>
    <row r="203" spans="9:9">
      <c r="I203" s="345"/>
    </row>
    <row r="204" spans="9:9">
      <c r="I204" s="345"/>
    </row>
    <row r="205" spans="9:9">
      <c r="I205" s="345"/>
    </row>
    <row r="206" spans="9:9">
      <c r="I206" s="345"/>
    </row>
    <row r="207" spans="9:9">
      <c r="I207" s="345"/>
    </row>
    <row r="208" spans="9:9">
      <c r="I208" s="345"/>
    </row>
    <row r="209" spans="9:9">
      <c r="I209" s="345"/>
    </row>
    <row r="210" spans="9:9">
      <c r="I210" s="345"/>
    </row>
    <row r="211" spans="9:9">
      <c r="I211" s="345"/>
    </row>
    <row r="212" spans="9:9">
      <c r="I212" s="345"/>
    </row>
    <row r="213" spans="9:9">
      <c r="I213" s="345"/>
    </row>
    <row r="214" spans="9:9">
      <c r="I214" s="345"/>
    </row>
    <row r="215" spans="9:9">
      <c r="I215" s="345"/>
    </row>
    <row r="216" spans="9:9">
      <c r="I216" s="345"/>
    </row>
    <row r="217" spans="9:9">
      <c r="I217" s="345"/>
    </row>
    <row r="218" spans="9:9">
      <c r="I218" s="345"/>
    </row>
    <row r="219" spans="9:9">
      <c r="I219" s="345"/>
    </row>
    <row r="220" spans="9:9">
      <c r="I220" s="345"/>
    </row>
    <row r="221" spans="9:9">
      <c r="I221" s="345"/>
    </row>
    <row r="222" spans="9:9">
      <c r="I222" s="345"/>
    </row>
    <row r="223" spans="9:9">
      <c r="I223" s="345"/>
    </row>
    <row r="224" spans="9:9">
      <c r="I224" s="345"/>
    </row>
    <row r="225" spans="9:9">
      <c r="I225" s="345"/>
    </row>
    <row r="226" spans="9:9">
      <c r="I226" s="345"/>
    </row>
    <row r="227" spans="9:9">
      <c r="I227" s="345"/>
    </row>
    <row r="228" spans="9:9">
      <c r="I228" s="345"/>
    </row>
    <row r="229" spans="9:9">
      <c r="I229" s="345"/>
    </row>
    <row r="230" spans="9:9">
      <c r="I230" s="345"/>
    </row>
    <row r="231" spans="9:9">
      <c r="I231" s="345"/>
    </row>
    <row r="232" spans="9:9">
      <c r="I232" s="345"/>
    </row>
    <row r="233" spans="9:9">
      <c r="I233" s="345"/>
    </row>
    <row r="234" spans="9:9">
      <c r="I234" s="345"/>
    </row>
    <row r="235" spans="9:9">
      <c r="I235" s="345"/>
    </row>
    <row r="236" spans="9:9">
      <c r="I236" s="345"/>
    </row>
    <row r="237" spans="9:9">
      <c r="I237" s="345"/>
    </row>
    <row r="238" spans="9:9">
      <c r="I238" s="345"/>
    </row>
    <row r="239" spans="9:9">
      <c r="I239" s="345"/>
    </row>
    <row r="240" spans="9:9">
      <c r="I240" s="345"/>
    </row>
    <row r="241" spans="9:9">
      <c r="I241" s="345"/>
    </row>
    <row r="242" spans="9:9">
      <c r="I242" s="345"/>
    </row>
    <row r="243" spans="9:9">
      <c r="I243" s="345"/>
    </row>
    <row r="244" spans="9:9">
      <c r="I244" s="345"/>
    </row>
    <row r="245" spans="9:9">
      <c r="I245" s="345"/>
    </row>
    <row r="246" spans="9:9">
      <c r="I246" s="345"/>
    </row>
    <row r="247" spans="9:9">
      <c r="I247" s="345"/>
    </row>
    <row r="248" spans="9:9">
      <c r="I248" s="345"/>
    </row>
    <row r="249" spans="9:9">
      <c r="I249" s="345"/>
    </row>
    <row r="250" spans="9:9">
      <c r="I250" s="345"/>
    </row>
    <row r="251" spans="9:9">
      <c r="I251" s="345"/>
    </row>
    <row r="252" spans="9:9">
      <c r="I252" s="345"/>
    </row>
    <row r="253" spans="9:9">
      <c r="I253" s="345"/>
    </row>
    <row r="254" spans="9:9">
      <c r="I254" s="345"/>
    </row>
    <row r="255" spans="9:9">
      <c r="I255" s="345"/>
    </row>
    <row r="256" spans="9:9">
      <c r="I256" s="345"/>
    </row>
    <row r="257" spans="9:9">
      <c r="I257" s="345"/>
    </row>
    <row r="258" spans="9:9">
      <c r="I258" s="345"/>
    </row>
    <row r="259" spans="9:9">
      <c r="I259" s="345"/>
    </row>
    <row r="260" spans="9:9">
      <c r="I260" s="345"/>
    </row>
    <row r="261" spans="9:9">
      <c r="I261" s="345"/>
    </row>
    <row r="262" spans="9:9">
      <c r="I262" s="345"/>
    </row>
    <row r="263" spans="9:9">
      <c r="I263" s="345"/>
    </row>
    <row r="264" spans="9:9">
      <c r="I264" s="345"/>
    </row>
    <row r="265" spans="9:9">
      <c r="I265" s="345"/>
    </row>
    <row r="266" spans="9:9">
      <c r="I266" s="345"/>
    </row>
    <row r="267" spans="9:9">
      <c r="I267" s="345"/>
    </row>
    <row r="268" spans="9:9">
      <c r="I268" s="345"/>
    </row>
    <row r="269" spans="9:9">
      <c r="I269" s="345"/>
    </row>
    <row r="270" spans="9:9">
      <c r="I270" s="345"/>
    </row>
    <row r="271" spans="9:9">
      <c r="I271" s="345"/>
    </row>
    <row r="272" spans="9:9">
      <c r="I272" s="345"/>
    </row>
    <row r="273" spans="9:9">
      <c r="I273" s="345"/>
    </row>
    <row r="274" spans="9:9">
      <c r="I274" s="345"/>
    </row>
  </sheetData>
  <mergeCells count="16">
    <mergeCell ref="D21:F21"/>
    <mergeCell ref="D22:F22"/>
    <mergeCell ref="D23:F23"/>
    <mergeCell ref="D24:F24"/>
    <mergeCell ref="B55:C55"/>
    <mergeCell ref="D25:F25"/>
    <mergeCell ref="C35:E35"/>
    <mergeCell ref="C46:E46"/>
    <mergeCell ref="B47:C47"/>
    <mergeCell ref="B48:C48"/>
    <mergeCell ref="B49:C49"/>
    <mergeCell ref="B50:C50"/>
    <mergeCell ref="B51:C51"/>
    <mergeCell ref="B52:C52"/>
    <mergeCell ref="B53:C53"/>
    <mergeCell ref="B54:C54"/>
  </mergeCells>
  <hyperlinks>
    <hyperlink ref="D11" r:id="rId1" xr:uid="{8CEBC740-C89C-432B-BF1A-E436F096F945}"/>
    <hyperlink ref="D12" r:id="rId2" xr:uid="{79855358-4049-4A41-9D1C-777CDDC5C6D5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  <pageSetUpPr fitToPage="1"/>
  </sheetPr>
  <dimension ref="B1:L145"/>
  <sheetViews>
    <sheetView showGridLines="0" tabSelected="1" topLeftCell="A70" zoomScaleNormal="100" workbookViewId="0">
      <selection activeCell="F93" sqref="F93"/>
    </sheetView>
  </sheetViews>
  <sheetFormatPr baseColWidth="10" defaultColWidth="11.44140625" defaultRowHeight="12"/>
  <cols>
    <col min="1" max="1" width="3.88671875" style="177" customWidth="1"/>
    <col min="2" max="2" width="20.88671875" style="177" hidden="1" customWidth="1"/>
    <col min="3" max="3" width="48.6640625" style="177" customWidth="1"/>
    <col min="4" max="4" width="15.33203125" style="177" customWidth="1"/>
    <col min="5" max="5" width="13.6640625" style="177" customWidth="1"/>
    <col min="6" max="6" width="48.6640625" style="177" customWidth="1"/>
    <col min="7" max="7" width="14.44140625" style="177" bestFit="1" customWidth="1"/>
    <col min="8" max="8" width="13.6640625" style="177" customWidth="1"/>
    <col min="9" max="9" width="11.44140625" style="177"/>
    <col min="10" max="10" width="11.88671875" style="177" bestFit="1" customWidth="1"/>
    <col min="11" max="16384" width="11.44140625" style="177"/>
  </cols>
  <sheetData>
    <row r="1" spans="2:8" ht="55.35" customHeight="1"/>
    <row r="2" spans="2:8">
      <c r="E2" s="172"/>
    </row>
    <row r="3" spans="2:8" s="179" customFormat="1">
      <c r="B3" s="178">
        <v>1</v>
      </c>
      <c r="C3" s="722" t="str">
        <f>+INDICE!B2</f>
        <v>TRADERS PRO CASA DE BOLSA S.A.</v>
      </c>
      <c r="D3" s="722"/>
      <c r="E3" s="722"/>
      <c r="F3" s="722"/>
      <c r="G3" s="722"/>
      <c r="H3" s="722"/>
    </row>
    <row r="4" spans="2:8" s="179" customFormat="1" ht="11.25" customHeight="1">
      <c r="C4" s="722" t="s">
        <v>478</v>
      </c>
      <c r="D4" s="722"/>
      <c r="E4" s="722"/>
      <c r="F4" s="722"/>
      <c r="G4" s="722"/>
      <c r="H4" s="722"/>
    </row>
    <row r="5" spans="2:8" s="179" customFormat="1" ht="27" customHeight="1">
      <c r="B5" s="180" t="s">
        <v>55</v>
      </c>
      <c r="C5" s="730" t="s">
        <v>1066</v>
      </c>
      <c r="D5" s="730"/>
      <c r="E5" s="730"/>
      <c r="F5" s="730"/>
      <c r="G5" s="730"/>
      <c r="H5" s="730"/>
    </row>
    <row r="6" spans="2:8" s="179" customFormat="1" ht="12" customHeight="1">
      <c r="B6" s="181" t="s">
        <v>56</v>
      </c>
      <c r="C6" s="731" t="s">
        <v>57</v>
      </c>
      <c r="D6" s="731"/>
      <c r="E6" s="731"/>
      <c r="F6" s="731"/>
      <c r="G6" s="731"/>
      <c r="H6" s="731"/>
    </row>
    <row r="7" spans="2:8" s="179" customFormat="1" ht="32.4" customHeight="1">
      <c r="B7" s="181"/>
      <c r="C7" s="182" t="s">
        <v>58</v>
      </c>
      <c r="D7" s="183" t="str">
        <f>+INDICE!G1</f>
        <v>PERIODO ACTUAL 30/06/ 2023</v>
      </c>
      <c r="E7" s="184" t="str">
        <f>INDICE!H1</f>
        <v>PERIODO ANTERIOR 31/12/2022</v>
      </c>
      <c r="F7" s="182" t="s">
        <v>59</v>
      </c>
      <c r="G7" s="183" t="str">
        <f>+D7</f>
        <v>PERIODO ACTUAL 30/06/ 2023</v>
      </c>
      <c r="H7" s="183" t="str">
        <f>E7</f>
        <v>PERIODO ANTERIOR 31/12/2022</v>
      </c>
    </row>
    <row r="8" spans="2:8" s="179" customFormat="1" ht="11.25" customHeight="1">
      <c r="B8" s="181" t="s">
        <v>60</v>
      </c>
      <c r="C8" s="185" t="s">
        <v>661</v>
      </c>
      <c r="D8" s="186"/>
      <c r="E8" s="187"/>
      <c r="F8" s="188" t="s">
        <v>61</v>
      </c>
      <c r="G8" s="189"/>
      <c r="H8" s="190"/>
    </row>
    <row r="9" spans="2:8" s="179" customFormat="1" ht="11.25" customHeight="1">
      <c r="B9" s="181" t="s">
        <v>62</v>
      </c>
      <c r="C9" s="362" t="s">
        <v>63</v>
      </c>
      <c r="D9" s="191"/>
      <c r="E9" s="190"/>
      <c r="F9" s="188" t="s">
        <v>628</v>
      </c>
      <c r="G9" s="189"/>
      <c r="H9" s="190"/>
    </row>
    <row r="10" spans="2:8" s="179" customFormat="1" ht="11.25" customHeight="1">
      <c r="B10" s="181"/>
      <c r="C10" s="192" t="s">
        <v>64</v>
      </c>
      <c r="D10" s="191">
        <v>0</v>
      </c>
      <c r="E10" s="190">
        <v>0</v>
      </c>
      <c r="F10" s="366" t="s">
        <v>523</v>
      </c>
      <c r="G10" s="189">
        <f>'[7]Balance Gral'!$B$59</f>
        <v>587104398</v>
      </c>
      <c r="H10" s="190">
        <v>317004338</v>
      </c>
    </row>
    <row r="11" spans="2:8" s="179" customFormat="1" ht="11.25" customHeight="1">
      <c r="B11" s="181"/>
      <c r="C11" s="192" t="s">
        <v>65</v>
      </c>
      <c r="D11" s="191">
        <v>0</v>
      </c>
      <c r="E11" s="190">
        <v>0</v>
      </c>
      <c r="F11" s="363" t="s">
        <v>66</v>
      </c>
      <c r="G11" s="189">
        <f>'[7]Balance Gral'!$B$69+'[7]Balance Gral'!$B$76-G12</f>
        <v>14075963</v>
      </c>
      <c r="H11" s="190">
        <v>18508742</v>
      </c>
    </row>
    <row r="12" spans="2:8" s="179" customFormat="1" ht="11.25" customHeight="1">
      <c r="B12" s="181"/>
      <c r="C12" s="192" t="s">
        <v>67</v>
      </c>
      <c r="D12" s="191">
        <f>'[7]Balance Gral'!$B$5</f>
        <v>657160536</v>
      </c>
      <c r="E12" s="190">
        <v>396498174</v>
      </c>
      <c r="F12" s="363" t="s">
        <v>524</v>
      </c>
      <c r="G12" s="190">
        <v>15263880</v>
      </c>
      <c r="H12" s="194">
        <v>41978152</v>
      </c>
    </row>
    <row r="13" spans="2:8" s="179" customFormat="1" ht="11.25" customHeight="1">
      <c r="B13" s="181"/>
      <c r="C13" s="195"/>
      <c r="D13" s="196">
        <f>+D12+D11+D10</f>
        <v>657160536</v>
      </c>
      <c r="E13" s="196">
        <v>396498174</v>
      </c>
      <c r="F13" s="363" t="s">
        <v>669</v>
      </c>
      <c r="G13" s="189">
        <v>0</v>
      </c>
      <c r="H13" s="190">
        <v>0</v>
      </c>
    </row>
    <row r="14" spans="2:8" s="179" customFormat="1" ht="11.25" customHeight="1">
      <c r="B14" s="181"/>
      <c r="C14" s="195"/>
      <c r="D14" s="191"/>
      <c r="E14" s="190"/>
      <c r="F14" s="363" t="s">
        <v>670</v>
      </c>
      <c r="G14" s="189">
        <v>0</v>
      </c>
      <c r="H14" s="190">
        <v>0</v>
      </c>
    </row>
    <row r="15" spans="2:8" s="179" customFormat="1" ht="11.25" customHeight="1">
      <c r="B15" s="181"/>
      <c r="C15" s="195"/>
      <c r="D15" s="191"/>
      <c r="E15" s="190"/>
      <c r="F15" s="188"/>
      <c r="G15" s="196">
        <f>SUM(G10:G14)</f>
        <v>616444241</v>
      </c>
      <c r="H15" s="196">
        <v>377491232</v>
      </c>
    </row>
    <row r="16" spans="2:8" s="179" customFormat="1" ht="11.25" customHeight="1">
      <c r="B16" s="181" t="s">
        <v>68</v>
      </c>
      <c r="C16" s="362" t="s">
        <v>646</v>
      </c>
      <c r="D16" s="191">
        <v>0</v>
      </c>
      <c r="E16" s="190">
        <v>0</v>
      </c>
      <c r="F16" s="364" t="s">
        <v>69</v>
      </c>
      <c r="G16" s="189"/>
      <c r="H16" s="190"/>
    </row>
    <row r="17" spans="2:12" s="179" customFormat="1" ht="11.25" customHeight="1">
      <c r="B17" s="181" t="s">
        <v>70</v>
      </c>
      <c r="C17" s="195" t="s">
        <v>71</v>
      </c>
      <c r="D17" s="191">
        <f>'[7]Balance Gral'!$B$23</f>
        <v>45240000</v>
      </c>
      <c r="E17" s="190">
        <v>0</v>
      </c>
      <c r="F17" s="193" t="s">
        <v>72</v>
      </c>
      <c r="G17" s="189">
        <v>0</v>
      </c>
      <c r="H17" s="190">
        <v>0</v>
      </c>
    </row>
    <row r="18" spans="2:12" s="179" customFormat="1" ht="11.25" customHeight="1">
      <c r="B18" s="181"/>
      <c r="C18" s="195" t="s">
        <v>73</v>
      </c>
      <c r="D18" s="191">
        <f>'[7]Balance Gral'!$B$19+'[7]Balance Gral'!$B$24+'[7]Balance Gral'!$B$26+'[7]Balance Gral'!$B$28</f>
        <v>8848685808</v>
      </c>
      <c r="E18" s="190">
        <v>8400633163</v>
      </c>
      <c r="F18" s="193" t="s">
        <v>74</v>
      </c>
      <c r="G18" s="189">
        <f>'[7]Balance Gral'!$B$68</f>
        <v>6614384067</v>
      </c>
      <c r="H18" s="190">
        <v>6754407535</v>
      </c>
    </row>
    <row r="19" spans="2:12" s="179" customFormat="1" ht="11.25" customHeight="1">
      <c r="B19" s="181"/>
      <c r="C19" s="197" t="s">
        <v>75</v>
      </c>
      <c r="D19" s="191">
        <v>0</v>
      </c>
      <c r="E19" s="190">
        <v>0</v>
      </c>
      <c r="F19" s="193" t="s">
        <v>76</v>
      </c>
      <c r="G19" s="198">
        <f>'[7]Balance Gral'!$B$65</f>
        <v>147741101</v>
      </c>
      <c r="H19" s="199">
        <v>416085000</v>
      </c>
    </row>
    <row r="20" spans="2:12" s="179" customFormat="1" ht="11.25" customHeight="1">
      <c r="B20" s="181"/>
      <c r="C20" s="195"/>
      <c r="D20" s="200">
        <f>+D18+D17</f>
        <v>8893925808</v>
      </c>
      <c r="E20" s="200">
        <v>8400633163</v>
      </c>
      <c r="F20" s="201"/>
      <c r="G20" s="202">
        <f>SUM(G17:G19)</f>
        <v>6762125168</v>
      </c>
      <c r="H20" s="202">
        <v>7170492535</v>
      </c>
    </row>
    <row r="21" spans="2:12" s="179" customFormat="1" ht="11.25" customHeight="1">
      <c r="B21" s="181"/>
      <c r="C21" s="362" t="s">
        <v>77</v>
      </c>
      <c r="D21" s="191"/>
      <c r="E21" s="190"/>
      <c r="F21" t="s">
        <v>667</v>
      </c>
      <c r="G21" s="189"/>
      <c r="H21" s="190"/>
    </row>
    <row r="22" spans="2:12" s="179" customFormat="1" ht="11.25" customHeight="1">
      <c r="B22" s="181"/>
      <c r="C22" s="192" t="s">
        <v>79</v>
      </c>
      <c r="D22" s="191">
        <f>'[7]Balance Gral'!$B$31</f>
        <v>25483201</v>
      </c>
      <c r="E22" s="194">
        <v>16642719</v>
      </c>
      <c r="F22" s="193" t="s">
        <v>80</v>
      </c>
      <c r="G22" s="189">
        <v>0</v>
      </c>
      <c r="H22" s="190">
        <v>0</v>
      </c>
    </row>
    <row r="23" spans="2:12" s="179" customFormat="1" ht="11.25" customHeight="1">
      <c r="B23" s="181"/>
      <c r="C23" s="192" t="s">
        <v>81</v>
      </c>
      <c r="D23" s="191">
        <f>'[7]Balance Gral'!$B$34</f>
        <v>83696766</v>
      </c>
      <c r="E23" s="190">
        <v>80175613</v>
      </c>
      <c r="F23" s="193" t="s">
        <v>82</v>
      </c>
      <c r="G23" s="189">
        <v>0</v>
      </c>
      <c r="H23" s="190">
        <v>0</v>
      </c>
    </row>
    <row r="24" spans="2:12" s="179" customFormat="1" ht="14.1" customHeight="1">
      <c r="B24" s="181"/>
      <c r="C24" s="192" t="s">
        <v>83</v>
      </c>
      <c r="D24" s="191">
        <v>0</v>
      </c>
      <c r="E24" s="190">
        <v>0</v>
      </c>
      <c r="F24" s="193" t="s">
        <v>84</v>
      </c>
      <c r="G24" s="189">
        <v>0</v>
      </c>
      <c r="H24" s="190">
        <v>0</v>
      </c>
    </row>
    <row r="25" spans="2:12" s="179" customFormat="1" ht="11.25" customHeight="1">
      <c r="B25" s="181"/>
      <c r="C25" s="197" t="s">
        <v>85</v>
      </c>
      <c r="D25" s="191">
        <v>0</v>
      </c>
      <c r="E25" s="190">
        <v>0</v>
      </c>
      <c r="F25" s="193" t="s">
        <v>86</v>
      </c>
      <c r="G25" s="189">
        <f>'[7]Balance Gral'!$B$74</f>
        <v>5240329</v>
      </c>
      <c r="H25" s="190">
        <v>6400658</v>
      </c>
    </row>
    <row r="26" spans="2:12" s="179" customFormat="1" ht="11.25" customHeight="1">
      <c r="B26" s="181"/>
      <c r="C26" s="192" t="s">
        <v>87</v>
      </c>
      <c r="D26" s="422">
        <f>'[7]Balance Gral'!$B$41</f>
        <v>203200000</v>
      </c>
      <c r="E26" s="190">
        <v>139920000</v>
      </c>
      <c r="F26" s="193" t="s">
        <v>88</v>
      </c>
      <c r="G26" s="198">
        <v>0</v>
      </c>
      <c r="H26" s="199">
        <v>0</v>
      </c>
    </row>
    <row r="27" spans="2:12" s="179" customFormat="1" ht="11.25" customHeight="1">
      <c r="B27" s="181" t="s">
        <v>89</v>
      </c>
      <c r="C27" s="197" t="s">
        <v>90</v>
      </c>
      <c r="D27" s="191">
        <v>0</v>
      </c>
      <c r="E27" s="190">
        <v>0</v>
      </c>
      <c r="F27" s="193"/>
      <c r="G27" s="202">
        <f>SUM(G23:G26)</f>
        <v>5240329</v>
      </c>
      <c r="H27" s="202">
        <v>6400658</v>
      </c>
    </row>
    <row r="28" spans="2:12" s="179" customFormat="1" ht="11.25" customHeight="1">
      <c r="B28" s="181" t="s">
        <v>91</v>
      </c>
      <c r="C28" s="192" t="s">
        <v>92</v>
      </c>
      <c r="D28" s="191">
        <v>0</v>
      </c>
      <c r="E28" s="190">
        <v>0</v>
      </c>
      <c r="F28" s="193"/>
      <c r="G28" s="189"/>
      <c r="H28" s="190"/>
      <c r="J28" s="203"/>
      <c r="K28" s="203"/>
      <c r="L28" s="203"/>
    </row>
    <row r="29" spans="2:12" s="179" customFormat="1" ht="11.25" customHeight="1">
      <c r="B29" s="181" t="s">
        <v>93</v>
      </c>
      <c r="C29" s="192"/>
      <c r="D29" s="196">
        <f>SUM(D22:D28)</f>
        <v>312379967</v>
      </c>
      <c r="E29" s="196">
        <v>236738332</v>
      </c>
      <c r="F29" s="193"/>
      <c r="G29" s="189"/>
      <c r="H29" s="190"/>
      <c r="I29" s="203"/>
      <c r="J29" s="203"/>
      <c r="K29" s="203"/>
      <c r="L29" s="203"/>
    </row>
    <row r="30" spans="2:12" s="179" customFormat="1" ht="11.25" customHeight="1">
      <c r="B30" s="181"/>
      <c r="C30" s="185" t="s">
        <v>94</v>
      </c>
      <c r="D30" s="191"/>
      <c r="E30" s="190"/>
      <c r="F30" s="366" t="s">
        <v>668</v>
      </c>
      <c r="G30" s="189"/>
      <c r="H30" s="190"/>
      <c r="I30" s="204"/>
      <c r="J30" s="204"/>
    </row>
    <row r="31" spans="2:12" s="179" customFormat="1" ht="11.25" customHeight="1">
      <c r="B31" s="181" t="s">
        <v>96</v>
      </c>
      <c r="C31" s="19" t="s">
        <v>657</v>
      </c>
      <c r="D31" s="186"/>
      <c r="E31" s="187"/>
      <c r="F31" s="205"/>
      <c r="G31" s="206"/>
      <c r="H31" s="187"/>
    </row>
    <row r="32" spans="2:12" s="179" customFormat="1" ht="11.25" customHeight="1">
      <c r="B32" s="181" t="s">
        <v>97</v>
      </c>
      <c r="C32" s="192" t="s">
        <v>655</v>
      </c>
      <c r="D32" s="191">
        <v>0</v>
      </c>
      <c r="E32" s="190">
        <v>998105547</v>
      </c>
      <c r="F32" s="193" t="s">
        <v>98</v>
      </c>
      <c r="G32" s="189">
        <v>0</v>
      </c>
      <c r="H32" s="190">
        <v>0</v>
      </c>
    </row>
    <row r="33" spans="2:9" s="179" customFormat="1" ht="11.25" customHeight="1">
      <c r="B33" s="181" t="s">
        <v>99</v>
      </c>
      <c r="C33" s="192" t="s">
        <v>656</v>
      </c>
      <c r="D33" s="191">
        <f>'[7]Balance Gral'!$B$45</f>
        <v>4023223</v>
      </c>
      <c r="E33" s="190">
        <v>0</v>
      </c>
      <c r="F33" s="193" t="s">
        <v>100</v>
      </c>
      <c r="G33" s="189">
        <v>0</v>
      </c>
      <c r="H33" s="190">
        <v>0</v>
      </c>
      <c r="I33" s="204">
        <v>0</v>
      </c>
    </row>
    <row r="34" spans="2:9" s="179" customFormat="1" ht="11.25" customHeight="1">
      <c r="B34" s="181" t="s">
        <v>101</v>
      </c>
      <c r="C34" s="192" t="s">
        <v>530</v>
      </c>
      <c r="D34" s="191">
        <v>0</v>
      </c>
      <c r="E34" s="190">
        <v>0</v>
      </c>
      <c r="F34" s="193" t="s">
        <v>102</v>
      </c>
      <c r="G34" s="189">
        <f>'[7]Balance Gral'!$B$78</f>
        <v>4884822</v>
      </c>
      <c r="H34" s="190">
        <v>454881917</v>
      </c>
    </row>
    <row r="35" spans="2:9" s="179" customFormat="1" ht="11.25" customHeight="1">
      <c r="B35" s="181"/>
      <c r="C35" s="192"/>
      <c r="D35" s="191"/>
      <c r="E35" s="190"/>
      <c r="F35" s="193"/>
      <c r="G35" s="189"/>
      <c r="H35" s="199"/>
    </row>
    <row r="36" spans="2:9" s="179" customFormat="1" ht="11.25" customHeight="1">
      <c r="B36" s="181"/>
      <c r="C36" s="185"/>
      <c r="D36" s="196">
        <f>SUM(D32:D35)</f>
        <v>4023223</v>
      </c>
      <c r="E36" s="196">
        <v>998105547</v>
      </c>
      <c r="F36" s="193"/>
      <c r="G36" s="207">
        <f>SUM(G32:G35)</f>
        <v>4884822</v>
      </c>
      <c r="H36" s="202">
        <v>454881917</v>
      </c>
    </row>
    <row r="37" spans="2:9" s="179" customFormat="1" ht="11.25" customHeight="1" thickBot="1">
      <c r="B37" s="181" t="s">
        <v>103</v>
      </c>
      <c r="C37" s="208" t="s">
        <v>654</v>
      </c>
      <c r="D37" s="209">
        <f>+D36+D29+D20+D13</f>
        <v>9867489534</v>
      </c>
      <c r="E37" s="209">
        <v>10031975216</v>
      </c>
      <c r="F37" s="210" t="s">
        <v>653</v>
      </c>
      <c r="G37" s="211">
        <f>+G36+G27+G20+G15</f>
        <v>7388694560</v>
      </c>
      <c r="H37" s="212">
        <v>8009266342</v>
      </c>
    </row>
    <row r="38" spans="2:9" s="179" customFormat="1" ht="11.25" customHeight="1" thickTop="1">
      <c r="B38" s="181"/>
      <c r="C38" s="192"/>
      <c r="D38" s="213"/>
      <c r="E38" s="190"/>
      <c r="F38" s="201"/>
      <c r="G38" s="189"/>
      <c r="H38" s="190"/>
    </row>
    <row r="39" spans="2:9" s="179" customFormat="1" ht="11.25" customHeight="1">
      <c r="B39" s="181" t="s">
        <v>104</v>
      </c>
      <c r="C39" s="185" t="s">
        <v>105</v>
      </c>
      <c r="D39" s="191"/>
      <c r="E39" s="190"/>
      <c r="F39" s="188" t="s">
        <v>106</v>
      </c>
      <c r="G39" s="189"/>
      <c r="H39" s="190"/>
    </row>
    <row r="40" spans="2:9" s="179" customFormat="1" ht="11.25" customHeight="1">
      <c r="B40" s="181" t="s">
        <v>107</v>
      </c>
      <c r="C40" s="362" t="s">
        <v>108</v>
      </c>
      <c r="D40" s="191"/>
      <c r="E40" s="190"/>
      <c r="F40" s="188" t="s">
        <v>628</v>
      </c>
      <c r="G40" s="189"/>
      <c r="H40" s="190"/>
    </row>
    <row r="41" spans="2:9" s="179" customFormat="1" ht="11.25" customHeight="1">
      <c r="B41" s="181"/>
      <c r="C41" s="192" t="s">
        <v>71</v>
      </c>
      <c r="D41" s="191">
        <v>0</v>
      </c>
      <c r="E41" s="190">
        <v>0</v>
      </c>
      <c r="F41" s="363" t="s">
        <v>523</v>
      </c>
      <c r="G41" s="189">
        <v>0</v>
      </c>
      <c r="H41" s="190">
        <v>0</v>
      </c>
    </row>
    <row r="42" spans="2:9" s="179" customFormat="1" ht="11.25" customHeight="1">
      <c r="B42" s="181"/>
      <c r="C42" s="192" t="s">
        <v>111</v>
      </c>
      <c r="D42" s="191">
        <v>0</v>
      </c>
      <c r="E42" s="190">
        <v>652838241</v>
      </c>
      <c r="F42" s="363" t="s">
        <v>66</v>
      </c>
      <c r="G42" s="189">
        <v>0</v>
      </c>
      <c r="H42" s="190">
        <v>0</v>
      </c>
    </row>
    <row r="43" spans="2:9" s="179" customFormat="1" ht="11.25" customHeight="1">
      <c r="B43" s="181"/>
      <c r="C43" s="192" t="s">
        <v>112</v>
      </c>
      <c r="D43" s="191">
        <f>'[8]Balance Gral 2022'!$B$40</f>
        <v>1003000000</v>
      </c>
      <c r="E43" s="190">
        <v>1002000000</v>
      </c>
      <c r="F43" s="363" t="s">
        <v>524</v>
      </c>
      <c r="G43" s="189">
        <v>0</v>
      </c>
      <c r="H43" s="190">
        <v>0</v>
      </c>
    </row>
    <row r="44" spans="2:9" s="179" customFormat="1" ht="11.25" customHeight="1">
      <c r="B44" s="181"/>
      <c r="C44" s="192" t="s">
        <v>113</v>
      </c>
      <c r="D44" s="191">
        <v>0</v>
      </c>
      <c r="E44" s="190">
        <v>0</v>
      </c>
      <c r="F44" s="363" t="s">
        <v>669</v>
      </c>
      <c r="G44" s="189">
        <v>0</v>
      </c>
      <c r="H44" s="190">
        <v>0</v>
      </c>
    </row>
    <row r="45" spans="2:9" s="179" customFormat="1" ht="11.25" customHeight="1">
      <c r="B45" s="215" t="s">
        <v>115</v>
      </c>
      <c r="C45" s="192" t="s">
        <v>116</v>
      </c>
      <c r="D45" s="191">
        <v>0</v>
      </c>
      <c r="E45" s="190">
        <v>0</v>
      </c>
      <c r="F45" s="363" t="s">
        <v>670</v>
      </c>
      <c r="G45" s="189">
        <v>0</v>
      </c>
      <c r="H45" s="190">
        <v>0</v>
      </c>
    </row>
    <row r="46" spans="2:9" s="179" customFormat="1" ht="11.25" customHeight="1">
      <c r="B46" s="181" t="s">
        <v>117</v>
      </c>
      <c r="C46" s="197" t="s">
        <v>75</v>
      </c>
      <c r="D46" s="191">
        <v>0</v>
      </c>
      <c r="E46" s="190">
        <v>0</v>
      </c>
      <c r="F46" s="188"/>
      <c r="G46" s="189"/>
      <c r="H46" s="190"/>
    </row>
    <row r="47" spans="2:9" s="179" customFormat="1" ht="11.25" customHeight="1">
      <c r="B47" s="181" t="s">
        <v>119</v>
      </c>
      <c r="C47" s="195"/>
      <c r="D47" s="196">
        <f>+D41+D43+D42</f>
        <v>1003000000</v>
      </c>
      <c r="E47" s="196">
        <v>1654838241</v>
      </c>
      <c r="F47" s="364" t="s">
        <v>69</v>
      </c>
      <c r="G47" s="189"/>
      <c r="H47" s="190"/>
    </row>
    <row r="48" spans="2:9" s="179" customFormat="1" ht="11.25" customHeight="1">
      <c r="B48" s="181"/>
      <c r="C48" s="362" t="s">
        <v>77</v>
      </c>
      <c r="D48" s="191"/>
      <c r="E48" s="190"/>
      <c r="F48" s="193" t="s">
        <v>110</v>
      </c>
      <c r="G48" s="189">
        <v>0</v>
      </c>
      <c r="H48" s="190">
        <v>0</v>
      </c>
    </row>
    <row r="49" spans="2:8" s="179" customFormat="1" ht="11.25" customHeight="1">
      <c r="B49" s="181"/>
      <c r="C49" s="192" t="s">
        <v>79</v>
      </c>
      <c r="D49" s="191">
        <v>0</v>
      </c>
      <c r="E49" s="191">
        <v>0</v>
      </c>
      <c r="F49" s="193" t="s">
        <v>76</v>
      </c>
      <c r="G49" s="189">
        <v>0</v>
      </c>
      <c r="H49" s="190">
        <v>0</v>
      </c>
    </row>
    <row r="50" spans="2:8" s="179" customFormat="1" ht="11.25" customHeight="1">
      <c r="B50" s="181" t="s">
        <v>123</v>
      </c>
      <c r="C50" s="192" t="s">
        <v>83</v>
      </c>
      <c r="D50" s="191">
        <v>0</v>
      </c>
      <c r="E50" s="191">
        <v>0</v>
      </c>
      <c r="F50" s="214"/>
      <c r="G50" s="196">
        <v>0</v>
      </c>
      <c r="H50" s="200">
        <v>0</v>
      </c>
    </row>
    <row r="51" spans="2:8" s="179" customFormat="1" ht="11.25" customHeight="1">
      <c r="B51" s="181" t="s">
        <v>124</v>
      </c>
      <c r="C51" s="192" t="s">
        <v>125</v>
      </c>
      <c r="D51" s="191">
        <v>0</v>
      </c>
      <c r="E51" s="191">
        <v>0</v>
      </c>
      <c r="F51" s="188" t="s">
        <v>114</v>
      </c>
      <c r="G51" s="189"/>
      <c r="H51" s="190"/>
    </row>
    <row r="52" spans="2:8" s="179" customFormat="1" ht="11.25" customHeight="1">
      <c r="B52" s="181" t="s">
        <v>126</v>
      </c>
      <c r="C52" s="197" t="s">
        <v>85</v>
      </c>
      <c r="D52" s="191">
        <v>0</v>
      </c>
      <c r="E52" s="191">
        <v>0</v>
      </c>
      <c r="F52" s="193" t="s">
        <v>118</v>
      </c>
      <c r="G52" s="189">
        <v>0</v>
      </c>
      <c r="H52" s="190">
        <v>0</v>
      </c>
    </row>
    <row r="53" spans="2:8" s="179" customFormat="1" ht="11.25" customHeight="1">
      <c r="B53" s="181" t="s">
        <v>127</v>
      </c>
      <c r="C53" s="192" t="s">
        <v>87</v>
      </c>
      <c r="D53" s="191">
        <v>0</v>
      </c>
      <c r="E53" s="191">
        <v>0</v>
      </c>
      <c r="F53" s="193" t="s">
        <v>120</v>
      </c>
      <c r="G53" s="189">
        <v>0</v>
      </c>
      <c r="H53" s="190">
        <v>0</v>
      </c>
    </row>
    <row r="54" spans="2:8" s="179" customFormat="1" ht="11.25" customHeight="1">
      <c r="B54" s="181"/>
      <c r="C54" s="197" t="s">
        <v>90</v>
      </c>
      <c r="D54" s="191">
        <v>0</v>
      </c>
      <c r="E54" s="191">
        <v>0</v>
      </c>
      <c r="F54" s="193" t="s">
        <v>122</v>
      </c>
      <c r="G54" s="189">
        <v>0</v>
      </c>
      <c r="H54" s="190">
        <v>0</v>
      </c>
    </row>
    <row r="55" spans="2:8" s="179" customFormat="1" ht="11.25" customHeight="1">
      <c r="B55" s="181"/>
      <c r="C55" s="192" t="s">
        <v>92</v>
      </c>
      <c r="D55" s="191">
        <v>0</v>
      </c>
      <c r="E55" s="191">
        <v>0</v>
      </c>
      <c r="F55" s="201"/>
      <c r="G55" s="189">
        <v>0</v>
      </c>
      <c r="H55" s="190">
        <v>0</v>
      </c>
    </row>
    <row r="56" spans="2:8" s="179" customFormat="1" ht="11.25" customHeight="1">
      <c r="B56" s="181"/>
      <c r="C56" s="192"/>
      <c r="D56" s="191"/>
      <c r="E56" s="190"/>
      <c r="F56" s="201"/>
      <c r="G56" s="206"/>
      <c r="H56" s="187"/>
    </row>
    <row r="57" spans="2:8" s="179" customFormat="1" ht="11.25" customHeight="1" thickBot="1">
      <c r="B57" s="181" t="s">
        <v>131</v>
      </c>
      <c r="C57" s="195"/>
      <c r="D57" s="196">
        <f>+D49+D50</f>
        <v>0</v>
      </c>
      <c r="E57" s="196">
        <v>0</v>
      </c>
      <c r="F57" s="210" t="s">
        <v>652</v>
      </c>
      <c r="G57" s="209">
        <v>0</v>
      </c>
      <c r="H57" s="209">
        <v>0</v>
      </c>
    </row>
    <row r="58" spans="2:8" s="179" customFormat="1" ht="11.25" customHeight="1" thickTop="1">
      <c r="B58" s="181"/>
      <c r="C58" s="362" t="s">
        <v>132</v>
      </c>
      <c r="D58" s="191"/>
      <c r="E58" s="190"/>
      <c r="F58" s="216" t="s">
        <v>651</v>
      </c>
      <c r="G58" s="217">
        <f>+G37</f>
        <v>7388694560</v>
      </c>
      <c r="H58" s="217">
        <v>8009266342</v>
      </c>
    </row>
    <row r="59" spans="2:8" s="179" customFormat="1" ht="11.25" customHeight="1">
      <c r="B59" s="181"/>
      <c r="C59" s="192" t="s">
        <v>134</v>
      </c>
      <c r="D59" s="191">
        <f>'[8]Balance Gral 2022'!$B$43</f>
        <v>16086331</v>
      </c>
      <c r="E59" s="190">
        <v>13232431</v>
      </c>
      <c r="F59" s="364" t="s">
        <v>128</v>
      </c>
      <c r="G59" s="189"/>
      <c r="H59" s="190"/>
    </row>
    <row r="60" spans="2:8" s="179" customFormat="1" ht="11.25" customHeight="1">
      <c r="B60" s="181"/>
      <c r="C60" s="192" t="s">
        <v>136</v>
      </c>
      <c r="D60" s="191">
        <f>'[8]Balance Gral 2022'!$B$44</f>
        <v>-949819</v>
      </c>
      <c r="E60" s="190">
        <v>-949819</v>
      </c>
      <c r="F60" s="188" t="s">
        <v>263</v>
      </c>
      <c r="G60" s="189"/>
      <c r="H60" s="190"/>
    </row>
    <row r="61" spans="2:8" s="179" customFormat="1" ht="11.25" customHeight="1">
      <c r="B61" s="181"/>
      <c r="C61" s="192"/>
      <c r="D61" s="196">
        <f>+D59+D60</f>
        <v>15136512</v>
      </c>
      <c r="E61" s="196">
        <v>12282612</v>
      </c>
      <c r="F61" s="193" t="s">
        <v>129</v>
      </c>
      <c r="G61" s="189">
        <f>'[8]Balance Gral 2022'!$B$76</f>
        <v>3805000000</v>
      </c>
      <c r="H61" s="190">
        <v>3805000000</v>
      </c>
    </row>
    <row r="62" spans="2:8" s="179" customFormat="1" ht="11.25" customHeight="1">
      <c r="B62" s="181"/>
      <c r="C62" s="362" t="s">
        <v>139</v>
      </c>
      <c r="D62" s="191"/>
      <c r="E62" s="190"/>
      <c r="F62" s="193" t="s">
        <v>130</v>
      </c>
      <c r="G62" s="198">
        <v>0</v>
      </c>
      <c r="H62" s="199">
        <v>0</v>
      </c>
    </row>
    <row r="63" spans="2:8" s="179" customFormat="1" ht="11.25" customHeight="1">
      <c r="B63" s="181"/>
      <c r="C63" s="192" t="s">
        <v>140</v>
      </c>
      <c r="D63" s="191">
        <v>0</v>
      </c>
      <c r="E63" s="190">
        <v>0</v>
      </c>
      <c r="F63" s="201"/>
      <c r="G63" s="196">
        <f>SUM(G61:G62)</f>
        <v>3805000000</v>
      </c>
      <c r="H63" s="196">
        <v>3805000000</v>
      </c>
    </row>
    <row r="64" spans="2:8" s="179" customFormat="1" ht="11.25" customHeight="1">
      <c r="B64" s="181"/>
      <c r="C64" s="192" t="s">
        <v>141</v>
      </c>
      <c r="D64" s="191">
        <v>0</v>
      </c>
      <c r="E64" s="190">
        <v>0</v>
      </c>
      <c r="F64" s="188" t="s">
        <v>264</v>
      </c>
      <c r="G64" s="189"/>
      <c r="H64" s="190"/>
    </row>
    <row r="65" spans="2:10" s="179" customFormat="1" ht="11.25" customHeight="1">
      <c r="B65" s="181"/>
      <c r="C65" s="192" t="s">
        <v>142</v>
      </c>
      <c r="D65" s="191">
        <v>0</v>
      </c>
      <c r="E65" s="190">
        <v>0</v>
      </c>
      <c r="F65" s="193" t="s">
        <v>135</v>
      </c>
      <c r="G65" s="189">
        <v>0</v>
      </c>
      <c r="H65" s="190">
        <v>0</v>
      </c>
    </row>
    <row r="66" spans="2:10" s="179" customFormat="1" ht="11.25" customHeight="1">
      <c r="B66" s="181"/>
      <c r="C66" s="192" t="s">
        <v>143</v>
      </c>
      <c r="D66" s="191">
        <v>0</v>
      </c>
      <c r="E66" s="190">
        <v>0</v>
      </c>
      <c r="F66" s="193" t="s">
        <v>137</v>
      </c>
      <c r="G66" s="189">
        <v>0</v>
      </c>
      <c r="H66" s="191">
        <v>0</v>
      </c>
    </row>
    <row r="67" spans="2:10" s="179" customFormat="1" ht="11.25" customHeight="1">
      <c r="B67" s="181"/>
      <c r="C67" s="361" t="s">
        <v>629</v>
      </c>
      <c r="D67" s="218">
        <v>0</v>
      </c>
      <c r="E67" s="199">
        <v>0</v>
      </c>
      <c r="F67" s="193" t="s">
        <v>138</v>
      </c>
      <c r="G67" s="189">
        <f>'[8]Balance Gral 2022'!$B$81</f>
        <v>103000000</v>
      </c>
      <c r="H67" s="190">
        <v>102000000</v>
      </c>
    </row>
    <row r="68" spans="2:10" s="179" customFormat="1" ht="11.25" customHeight="1">
      <c r="B68" s="181"/>
      <c r="C68" s="195"/>
      <c r="D68" s="196">
        <f>SUM(D63:D67)</f>
        <v>0</v>
      </c>
      <c r="E68" s="196">
        <v>0</v>
      </c>
      <c r="F68" s="193"/>
      <c r="G68" s="189"/>
      <c r="H68" s="190"/>
    </row>
    <row r="69" spans="2:10" s="179" customFormat="1" ht="11.25" customHeight="1">
      <c r="B69" s="181" t="s">
        <v>147</v>
      </c>
      <c r="C69" s="185" t="s">
        <v>94</v>
      </c>
      <c r="D69" s="191"/>
      <c r="E69" s="190"/>
      <c r="F69" s="193"/>
      <c r="G69" s="196">
        <f>SUM(G65:G68)</f>
        <v>103000000</v>
      </c>
      <c r="H69" s="196">
        <v>102000000</v>
      </c>
    </row>
    <row r="70" spans="2:10" s="179" customFormat="1" ht="11.25" customHeight="1">
      <c r="B70" s="181" t="s">
        <v>148</v>
      </c>
      <c r="C70" s="362" t="s">
        <v>659</v>
      </c>
      <c r="D70" s="191"/>
      <c r="E70" s="190"/>
      <c r="F70" s="188"/>
      <c r="G70" s="206"/>
      <c r="H70" s="187"/>
    </row>
    <row r="71" spans="2:10" s="179" customFormat="1" ht="11.25" customHeight="1">
      <c r="B71" s="181"/>
      <c r="C71" s="192" t="s">
        <v>658</v>
      </c>
      <c r="D71" s="191">
        <v>0</v>
      </c>
      <c r="E71" s="190">
        <v>0</v>
      </c>
      <c r="F71" s="188" t="s">
        <v>144</v>
      </c>
      <c r="G71" s="206"/>
      <c r="H71" s="187"/>
    </row>
    <row r="72" spans="2:10" s="179" customFormat="1" ht="11.25" customHeight="1">
      <c r="B72" s="181" t="s">
        <v>149</v>
      </c>
      <c r="C72" s="192" t="s">
        <v>150</v>
      </c>
      <c r="D72" s="191">
        <f>'[8]Balance Gral 2022'!$B$45</f>
        <v>38492921</v>
      </c>
      <c r="E72" s="190">
        <v>38492921</v>
      </c>
      <c r="F72" s="201" t="s">
        <v>144</v>
      </c>
      <c r="G72" s="189">
        <f>'[8]Balance Gral 2022'!$B$83</f>
        <v>-178677351</v>
      </c>
      <c r="H72" s="190">
        <v>-9529901.7300000004</v>
      </c>
    </row>
    <row r="73" spans="2:10" ht="11.25" customHeight="1">
      <c r="B73" s="224" t="s">
        <v>151</v>
      </c>
      <c r="C73" s="192" t="s">
        <v>152</v>
      </c>
      <c r="D73" s="191">
        <v>0</v>
      </c>
      <c r="E73" s="190">
        <v>0</v>
      </c>
      <c r="F73" s="201" t="s">
        <v>146</v>
      </c>
      <c r="G73" s="219">
        <f>'[7]Balance Gral'!$B$92</f>
        <v>-193898242.38999999</v>
      </c>
      <c r="H73" s="219">
        <v>-169147450.69999999</v>
      </c>
    </row>
    <row r="74" spans="2:10" ht="11.25" customHeight="1">
      <c r="B74" s="224" t="s">
        <v>153</v>
      </c>
      <c r="C74" s="195"/>
      <c r="D74" s="225">
        <f>SUM(D71:D73)</f>
        <v>38492921</v>
      </c>
      <c r="E74" s="225">
        <v>38492921</v>
      </c>
      <c r="F74" s="201"/>
      <c r="G74" s="220">
        <f>SUM(G72:G73)</f>
        <v>-372575593.38999999</v>
      </c>
      <c r="H74" s="220">
        <v>-178677352.42999998</v>
      </c>
      <c r="J74" s="228"/>
    </row>
    <row r="75" spans="2:10" ht="11.25" customHeight="1">
      <c r="B75" s="224" t="s">
        <v>154</v>
      </c>
      <c r="C75" s="226" t="s">
        <v>647</v>
      </c>
      <c r="D75" s="222">
        <f>+D68+D74+D61+D57+D47</f>
        <v>1056629433</v>
      </c>
      <c r="E75" s="222">
        <v>1705613774</v>
      </c>
      <c r="F75" s="221" t="s">
        <v>650</v>
      </c>
      <c r="G75" s="222">
        <f>+G63+G69+G74</f>
        <v>3535424406.6100001</v>
      </c>
      <c r="H75" s="222">
        <v>3728322647.5700002</v>
      </c>
    </row>
    <row r="76" spans="2:10" ht="11.25" customHeight="1">
      <c r="B76" s="224"/>
      <c r="C76" s="226" t="s">
        <v>648</v>
      </c>
      <c r="D76" s="223">
        <f>+D37+D75</f>
        <v>10924118967</v>
      </c>
      <c r="E76" s="223">
        <v>11737588990</v>
      </c>
      <c r="F76" s="221" t="s">
        <v>649</v>
      </c>
      <c r="G76" s="223">
        <f>+G58+G75</f>
        <v>10924118966.610001</v>
      </c>
      <c r="H76" s="223">
        <v>11737588989.57</v>
      </c>
    </row>
    <row r="77" spans="2:10" s="631" customFormat="1">
      <c r="B77" s="631" t="s">
        <v>155</v>
      </c>
      <c r="D77" s="658">
        <f>D76-G76</f>
        <v>0.3899993896484375</v>
      </c>
      <c r="E77" s="658">
        <f>E76-H76</f>
        <v>0.43000030517578125</v>
      </c>
      <c r="F77" s="659"/>
      <c r="G77" s="660"/>
      <c r="H77" s="660"/>
    </row>
    <row r="78" spans="2:10" s="607" customFormat="1" ht="11.25" customHeight="1">
      <c r="B78" s="607" t="s">
        <v>156</v>
      </c>
      <c r="D78" s="605">
        <f>+D76-G76</f>
        <v>0.3899993896484375</v>
      </c>
      <c r="E78" s="606">
        <f>+E76-H76</f>
        <v>0.43000030517578125</v>
      </c>
      <c r="G78" s="608"/>
      <c r="H78" s="609"/>
    </row>
    <row r="79" spans="2:10" ht="11.25" customHeight="1">
      <c r="B79" s="224" t="s">
        <v>157</v>
      </c>
      <c r="C79" s="732" t="s">
        <v>727</v>
      </c>
      <c r="D79" s="732"/>
      <c r="E79" s="732"/>
      <c r="F79" s="732"/>
      <c r="G79" s="732"/>
      <c r="H79" s="732"/>
    </row>
    <row r="80" spans="2:10" ht="11.25" customHeight="1">
      <c r="B80" s="224"/>
      <c r="D80" s="228"/>
      <c r="G80" s="367"/>
      <c r="H80" s="367"/>
    </row>
    <row r="81" spans="2:8" ht="11.25" customHeight="1">
      <c r="B81" s="224" t="s">
        <v>158</v>
      </c>
      <c r="G81" s="367"/>
      <c r="H81" s="367"/>
    </row>
    <row r="82" spans="2:8" ht="11.25" customHeight="1">
      <c r="B82" s="224"/>
      <c r="G82" s="367"/>
      <c r="H82" s="367"/>
    </row>
    <row r="83" spans="2:8" ht="11.25" customHeight="1">
      <c r="B83" s="224"/>
      <c r="F83" s="27"/>
      <c r="G83" s="27"/>
      <c r="H83" s="27"/>
    </row>
    <row r="84" spans="2:8" ht="11.25" customHeight="1">
      <c r="B84" s="224"/>
    </row>
    <row r="85" spans="2:8" ht="11.25" customHeight="1">
      <c r="B85" s="224"/>
    </row>
    <row r="86" spans="2:8" ht="11.25" customHeight="1">
      <c r="B86" s="229">
        <v>2</v>
      </c>
    </row>
    <row r="87" spans="2:8" ht="11.25" customHeight="1">
      <c r="B87" s="230" t="s">
        <v>159</v>
      </c>
    </row>
    <row r="88" spans="2:8" ht="11.25" customHeight="1">
      <c r="B88" s="224" t="s">
        <v>160</v>
      </c>
      <c r="C88" s="231"/>
      <c r="D88" s="232"/>
      <c r="E88" s="232"/>
    </row>
    <row r="89" spans="2:8" ht="11.25" customHeight="1">
      <c r="B89" s="224" t="s">
        <v>161</v>
      </c>
    </row>
    <row r="90" spans="2:8" ht="11.25" customHeight="1">
      <c r="B90" s="224" t="s">
        <v>162</v>
      </c>
    </row>
    <row r="91" spans="2:8" ht="11.25" customHeight="1">
      <c r="B91" s="224"/>
    </row>
    <row r="92" spans="2:8" ht="11.25" customHeight="1">
      <c r="B92" s="224" t="s">
        <v>163</v>
      </c>
    </row>
    <row r="93" spans="2:8" ht="11.25" customHeight="1">
      <c r="B93" s="224" t="s">
        <v>164</v>
      </c>
    </row>
    <row r="94" spans="2:8" ht="11.25" customHeight="1">
      <c r="B94" s="224" t="s">
        <v>165</v>
      </c>
      <c r="G94" s="233"/>
    </row>
    <row r="95" spans="2:8" ht="11.25" customHeight="1">
      <c r="B95" s="224" t="s">
        <v>166</v>
      </c>
    </row>
    <row r="96" spans="2:8" ht="11.25" customHeight="1">
      <c r="B96" s="224"/>
    </row>
    <row r="97" spans="2:2" ht="11.25" customHeight="1">
      <c r="B97" s="224" t="s">
        <v>167</v>
      </c>
    </row>
    <row r="98" spans="2:2" ht="11.25" customHeight="1">
      <c r="B98" s="224" t="s">
        <v>168</v>
      </c>
    </row>
    <row r="99" spans="2:2" ht="11.25" customHeight="1">
      <c r="B99" s="224" t="s">
        <v>169</v>
      </c>
    </row>
    <row r="100" spans="2:2" ht="11.25" customHeight="1">
      <c r="B100" s="224" t="s">
        <v>170</v>
      </c>
    </row>
    <row r="101" spans="2:2" ht="11.25" customHeight="1">
      <c r="B101" s="224"/>
    </row>
    <row r="102" spans="2:2" ht="11.25" customHeight="1">
      <c r="B102" s="224" t="s">
        <v>171</v>
      </c>
    </row>
    <row r="103" spans="2:2" ht="11.25" customHeight="1">
      <c r="B103" s="224" t="s">
        <v>172</v>
      </c>
    </row>
    <row r="104" spans="2:2" ht="11.25" customHeight="1">
      <c r="B104" s="224"/>
    </row>
    <row r="105" spans="2:2" ht="11.25" customHeight="1">
      <c r="B105" s="224"/>
    </row>
    <row r="106" spans="2:2" ht="11.25" customHeight="1">
      <c r="B106" s="224"/>
    </row>
    <row r="107" spans="2:2" ht="11.25" customHeight="1">
      <c r="B107" s="224" t="s">
        <v>173</v>
      </c>
    </row>
    <row r="108" spans="2:2" ht="11.25" customHeight="1">
      <c r="B108" s="224"/>
    </row>
    <row r="109" spans="2:2" ht="11.25" customHeight="1">
      <c r="B109" s="224" t="s">
        <v>174</v>
      </c>
    </row>
    <row r="110" spans="2:2" ht="11.25" customHeight="1">
      <c r="B110" s="224" t="s">
        <v>175</v>
      </c>
    </row>
    <row r="111" spans="2:2" ht="11.25" customHeight="1">
      <c r="B111" s="224" t="s">
        <v>176</v>
      </c>
    </row>
    <row r="112" spans="2:2" ht="11.25" customHeight="1">
      <c r="B112" s="224"/>
    </row>
    <row r="113" spans="2:2" ht="11.25" customHeight="1">
      <c r="B113" s="224" t="s">
        <v>177</v>
      </c>
    </row>
    <row r="114" spans="2:2" ht="11.25" customHeight="1">
      <c r="B114" s="224" t="s">
        <v>178</v>
      </c>
    </row>
    <row r="115" spans="2:2" ht="11.25" customHeight="1">
      <c r="B115" s="224" t="s">
        <v>179</v>
      </c>
    </row>
    <row r="116" spans="2:2" ht="11.25" customHeight="1">
      <c r="B116" s="224"/>
    </row>
    <row r="117" spans="2:2" ht="11.25" customHeight="1">
      <c r="B117" s="224"/>
    </row>
    <row r="118" spans="2:2" ht="11.25" customHeight="1">
      <c r="B118" s="224"/>
    </row>
    <row r="119" spans="2:2" ht="11.25" customHeight="1">
      <c r="B119" s="224"/>
    </row>
    <row r="120" spans="2:2" ht="11.25" customHeight="1">
      <c r="B120" s="224"/>
    </row>
    <row r="121" spans="2:2" ht="11.25" customHeight="1">
      <c r="B121" s="224" t="s">
        <v>180</v>
      </c>
    </row>
    <row r="122" spans="2:2" ht="11.25" customHeight="1">
      <c r="B122" s="224" t="s">
        <v>181</v>
      </c>
    </row>
    <row r="123" spans="2:2" ht="11.25" customHeight="1">
      <c r="B123" s="224" t="s">
        <v>182</v>
      </c>
    </row>
    <row r="124" spans="2:2" ht="11.25" customHeight="1">
      <c r="B124" s="224" t="s">
        <v>183</v>
      </c>
    </row>
    <row r="125" spans="2:2" ht="11.25" customHeight="1">
      <c r="B125" s="224"/>
    </row>
    <row r="126" spans="2:2" ht="11.25" customHeight="1">
      <c r="B126" s="224" t="s">
        <v>184</v>
      </c>
    </row>
    <row r="127" spans="2:2" ht="11.25" customHeight="1">
      <c r="B127" s="224" t="s">
        <v>185</v>
      </c>
    </row>
    <row r="128" spans="2:2" ht="11.25" customHeight="1">
      <c r="B128" s="224" t="s">
        <v>186</v>
      </c>
    </row>
    <row r="129" spans="2:5" ht="11.25" customHeight="1">
      <c r="B129" s="224" t="s">
        <v>187</v>
      </c>
    </row>
    <row r="130" spans="2:5" ht="11.25" customHeight="1">
      <c r="B130" s="224" t="s">
        <v>188</v>
      </c>
    </row>
    <row r="131" spans="2:5" ht="11.25" customHeight="1">
      <c r="B131" s="224"/>
    </row>
    <row r="132" spans="2:5" ht="11.25" customHeight="1">
      <c r="B132" s="224" t="s">
        <v>189</v>
      </c>
    </row>
    <row r="133" spans="2:5" ht="11.25" customHeight="1">
      <c r="B133" s="224" t="s">
        <v>190</v>
      </c>
    </row>
    <row r="134" spans="2:5" ht="11.25" customHeight="1">
      <c r="B134" s="224" t="s">
        <v>191</v>
      </c>
    </row>
    <row r="135" spans="2:5" ht="11.25" customHeight="1">
      <c r="B135" s="224"/>
    </row>
    <row r="136" spans="2:5" ht="11.25" customHeight="1">
      <c r="B136" s="224"/>
    </row>
    <row r="137" spans="2:5" ht="11.25" customHeight="1">
      <c r="B137" s="224"/>
    </row>
    <row r="140" spans="2:5" ht="11.25" customHeight="1"/>
    <row r="141" spans="2:5" ht="11.25" customHeight="1">
      <c r="D141" s="234"/>
      <c r="E141" s="234"/>
    </row>
    <row r="142" spans="2:5">
      <c r="D142" s="235">
        <v>0</v>
      </c>
      <c r="E142" s="234">
        <v>0</v>
      </c>
    </row>
    <row r="144" spans="2:5" ht="11.25" customHeight="1"/>
    <row r="145" spans="4:4">
      <c r="D145" s="236"/>
    </row>
  </sheetData>
  <mergeCells count="5">
    <mergeCell ref="C3:H3"/>
    <mergeCell ref="C4:H4"/>
    <mergeCell ref="C5:H5"/>
    <mergeCell ref="C6:H6"/>
    <mergeCell ref="C79:H79"/>
  </mergeCells>
  <hyperlinks>
    <hyperlink ref="C9" location="'NOTA D - DISPONIBILIDADES'!A1" display="DISPONIBILIDADES Nota 5 d" xr:uid="{28A90788-4383-4E09-BF1C-FC0B98607864}"/>
    <hyperlink ref="C16" location="'NOTA E - INVERSIONES'!A1" display="Inversiones Temporarias  Nota 5 e" xr:uid="{00B40298-6865-4A47-9B3F-F5D7D02048E5}"/>
    <hyperlink ref="C21" location="'NOTA F - CREDITOS'!A1" display="CREDITOS Nota 5 f" xr:uid="{694B7F0F-EDA9-440A-A3FE-5E683200C59A}"/>
    <hyperlink ref="C31" location="'NOTA H CARGOS DIFERIDOS'!A1" display="GASTOS NO DEVENGADOS - Nota 5 h" xr:uid="{107BC869-D38C-4D62-841D-3C75EB4F3185}"/>
    <hyperlink ref="C40" location="'NOTA E - INVERSIONES'!A1" display="INVERSIONES PERMANENTES Nota 5 e" xr:uid="{5C80EE75-D95B-43B1-8BF5-4D31AD19BCFC}"/>
    <hyperlink ref="C48" location="'NOTA F - CREDITOS'!A1" display="CREDITOS Nota 5 f" xr:uid="{F558B54E-1C0A-46BC-AEF7-4CDC154DC71C}"/>
    <hyperlink ref="C58" location="'NOTA G BIENES DE USO'!A1" display="BIENES DE USO Nota 5 g" xr:uid="{A9DD7D41-DDE6-44B7-8CC3-8B39D95B3E4C}"/>
    <hyperlink ref="C62" location="' NOTA I INTANGIBLES'!A1" display="ACTIVOS INTANGIBLES  Nota 5 i" xr:uid="{E052314B-39B3-4C7B-93C5-D57D3469BE53}"/>
    <hyperlink ref="C70" location="'NOTA J OTROS ACTIVOS CTES y NO '!A1" display="GASTOS NO DEVENGADOS - Nota 5 j" xr:uid="{147BFCD9-DB61-4B0E-B752-2FDF5A30E7F6}"/>
    <hyperlink ref="F11" location="'NOTA L ACREED VARIOS'!A1" display="Acreedores Varios  - Nota 5 l" xr:uid="{17455DD5-20EB-4E80-89C7-E96E71C70919}"/>
    <hyperlink ref="F16" location="'NOTA K PRESTAMOS'!A1" display="PRESTAMOS FINANCIEROS - Nota 5 k" xr:uid="{32EF0D70-99F2-4F79-BE19-7EB50F13FBB2}"/>
    <hyperlink ref="F41" location="'NOTA L ACREED VARIOS'!A1" display="Acreedores por Intermediación. Nota 5 m" xr:uid="{AA2CD520-1C3C-491B-BBD8-4F7F6C6A9689}"/>
    <hyperlink ref="F47" location="'NOTA K PRESTAMOS'!A1" display="PRESTAMOS FINANCIEROS - Nota 5 k" xr:uid="{34022F77-3EE0-444C-AE86-8387F46F12B5}"/>
    <hyperlink ref="F59" location="' NOTA T PATRIMONIO Y PREVIS'!A1" display="PATRIMONIO NETO  Nota 5 t" xr:uid="{A62031F0-643F-476A-AF65-654000B93C44}"/>
    <hyperlink ref="F10" location="'NOTAS M-Q ACREED y CTAS A PAG'!A1" display="Acreedores por Intermediación. Nota 5 m" xr:uid="{2D6AA5BA-EB0F-46AB-8189-B3B6AA64037B}"/>
    <hyperlink ref="F30" location="'NOTAS M-Q ACREED y CTAS A PAG'!A1" display="OTROS PASIVOS - Nota 5 q" xr:uid="{B839F5F7-D61D-473D-85AC-9A7666B5057D}"/>
    <hyperlink ref="F12" location="'NOTAS M-Q ACREED y CTAS A PAG'!A1" display="Cuentas por Pagar a Personas y Emp. Relacionadas. Nota o" xr:uid="{F5B9AC7D-2A22-415E-AAA0-66BB0744389E}"/>
    <hyperlink ref="F13" location="'NOTAS M-Q ACREED y CTAS A PAG'!A1" display="Obligaciones  por Contratos de Underwriting -Nota 5 p" xr:uid="{9CBDF50D-FD18-468D-B4C6-D71CA3060F75}"/>
    <hyperlink ref="F14" location="'NOTAS M-Q ACREED y CTAS A PAG'!A1" display="Obligaciones por Administracion de Carteras Nota 5 n" xr:uid="{515FE32E-9947-4436-9456-394D90325B2B}"/>
    <hyperlink ref="F42" location="'NOTA L ACREED VARIOS'!A1" display="Acreedores Varios  - Nota 5 l" xr:uid="{7E18E5D1-4E32-4A5F-BB5D-BABFA672E94D}"/>
    <hyperlink ref="F43" location="'NOTAS M-Q ACREED y CTAS A PAG'!A1" display="Cuentas por Pagar a Personas y Emp. Relacionadas. Nota o" xr:uid="{16579ACD-DC3B-4E00-B402-26F9ADBBA2F0}"/>
    <hyperlink ref="F44" location="'NOTAS M-Q ACREED y CTAS A PAG'!A1" display="Obligaciones  por Contratos de Underwriting -Nota 5 p" xr:uid="{D3A7E7C1-5002-48F0-B7D5-4FBC7D913A36}"/>
    <hyperlink ref="F45" location="'NOTAS M-Q ACREED y CTAS A PAG'!A1" display="Obligaciones por Administracion de Carteras Nota 5 n" xr:uid="{C9BDA752-BCAB-4313-90F8-DC961C834E1A}"/>
  </hyperlinks>
  <pageMargins left="1" right="1" top="1" bottom="1" header="0.5" footer="0.5"/>
  <pageSetup paperSize="9" scale="43" orientation="portrait" r:id="rId1"/>
  <headerFooter>
    <oddFooter>&amp;L&amp;"-,Cursiva"Las 25 notas que acompañan forman parte integrante de los Estados Financieros.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  <pageSetUpPr fitToPage="1"/>
  </sheetPr>
  <dimension ref="C1:K106"/>
  <sheetViews>
    <sheetView showGridLines="0" topLeftCell="A86" zoomScale="98" zoomScaleNormal="98" workbookViewId="0">
      <selection activeCell="C121" sqref="C121"/>
    </sheetView>
  </sheetViews>
  <sheetFormatPr baseColWidth="10" defaultColWidth="11.44140625" defaultRowHeight="12"/>
  <cols>
    <col min="1" max="2" width="2.33203125" style="177" customWidth="1"/>
    <col min="3" max="3" width="50.6640625" style="177" customWidth="1"/>
    <col min="4" max="4" width="0.109375" style="177" customWidth="1"/>
    <col min="5" max="5" width="20.109375" style="177" customWidth="1"/>
    <col min="6" max="6" width="21.6640625" style="177" customWidth="1"/>
    <col min="7" max="7" width="14.33203125" style="177" bestFit="1" customWidth="1"/>
    <col min="8" max="8" width="34.88671875" style="234" hidden="1" customWidth="1"/>
    <col min="9" max="9" width="13.33203125" style="227" hidden="1" customWidth="1"/>
    <col min="10" max="10" width="16" style="227" hidden="1" customWidth="1"/>
    <col min="11" max="16384" width="11.44140625" style="177"/>
  </cols>
  <sheetData>
    <row r="1" spans="3:10" ht="55.35" customHeight="1"/>
    <row r="3" spans="3:10" ht="9.75" customHeight="1">
      <c r="C3" s="722" t="str">
        <f>+INDICE!B2</f>
        <v>TRADERS PRO CASA DE BOLSA S.A.</v>
      </c>
      <c r="D3" s="722"/>
      <c r="E3" s="722"/>
      <c r="F3" s="722"/>
    </row>
    <row r="4" spans="3:10">
      <c r="C4" s="722" t="s">
        <v>192</v>
      </c>
      <c r="D4" s="722"/>
      <c r="E4" s="722"/>
      <c r="F4" s="722"/>
    </row>
    <row r="5" spans="3:10" ht="26.25" customHeight="1">
      <c r="C5" s="730" t="s">
        <v>1067</v>
      </c>
      <c r="D5" s="730"/>
      <c r="E5" s="730"/>
      <c r="F5" s="730"/>
    </row>
    <row r="6" spans="3:10">
      <c r="C6" s="731" t="s">
        <v>193</v>
      </c>
      <c r="D6" s="731"/>
      <c r="E6" s="731"/>
      <c r="F6" s="731"/>
    </row>
    <row r="7" spans="3:10" ht="12.6" thickBot="1">
      <c r="C7" s="733"/>
      <c r="D7" s="733"/>
      <c r="E7" s="733"/>
      <c r="F7" s="733"/>
    </row>
    <row r="8" spans="3:10" ht="12.6" thickBot="1">
      <c r="C8" s="275"/>
      <c r="D8" s="276"/>
      <c r="E8" s="277" t="str">
        <f>INDICE!I3</f>
        <v>Al 30/06/2023</v>
      </c>
      <c r="F8" s="277" t="str">
        <f>INDICE!J3</f>
        <v>Al 30/06/2022</v>
      </c>
    </row>
    <row r="9" spans="3:10">
      <c r="C9" s="388" t="s">
        <v>671</v>
      </c>
      <c r="D9" s="279"/>
      <c r="E9" s="322"/>
      <c r="F9" s="317"/>
    </row>
    <row r="10" spans="3:10">
      <c r="C10" s="278" t="s">
        <v>194</v>
      </c>
      <c r="D10" s="279"/>
      <c r="E10" s="280">
        <f>SUM(E11:E12)</f>
        <v>0</v>
      </c>
      <c r="F10" s="614">
        <v>0</v>
      </c>
    </row>
    <row r="11" spans="3:10">
      <c r="C11" s="281" t="s">
        <v>195</v>
      </c>
      <c r="D11" s="279"/>
      <c r="E11" s="282">
        <v>0</v>
      </c>
      <c r="F11" s="319">
        <v>0</v>
      </c>
    </row>
    <row r="12" spans="3:10">
      <c r="C12" s="281" t="s">
        <v>196</v>
      </c>
      <c r="D12" s="279"/>
      <c r="E12" s="282">
        <v>0</v>
      </c>
      <c r="F12" s="319">
        <v>0</v>
      </c>
    </row>
    <row r="13" spans="3:10">
      <c r="C13" s="281"/>
      <c r="D13" s="279"/>
      <c r="E13" s="282"/>
      <c r="F13" s="319"/>
      <c r="H13" s="234">
        <v>0</v>
      </c>
    </row>
    <row r="14" spans="3:10" s="108" customFormat="1">
      <c r="C14" s="278" t="s">
        <v>197</v>
      </c>
      <c r="D14" s="279"/>
      <c r="E14" s="280">
        <f>+E15+E16</f>
        <v>132713550</v>
      </c>
      <c r="F14" s="614">
        <v>23332954</v>
      </c>
      <c r="H14" s="375">
        <f>E14+E26+E32+E79+E85+E24+E86</f>
        <v>1256069658</v>
      </c>
      <c r="I14" s="677"/>
      <c r="J14" s="677"/>
    </row>
    <row r="15" spans="3:10">
      <c r="C15" s="281" t="s">
        <v>198</v>
      </c>
      <c r="D15" s="279"/>
      <c r="E15" s="282">
        <v>0</v>
      </c>
      <c r="F15" s="319">
        <v>0</v>
      </c>
      <c r="H15" s="234">
        <v>0</v>
      </c>
    </row>
    <row r="16" spans="3:10">
      <c r="C16" s="281" t="s">
        <v>199</v>
      </c>
      <c r="D16" s="279"/>
      <c r="E16" s="282">
        <f>[7]EERR!$B$5</f>
        <v>132713550</v>
      </c>
      <c r="F16" s="319">
        <v>23332954</v>
      </c>
    </row>
    <row r="17" spans="3:10">
      <c r="C17" s="281"/>
      <c r="D17" s="279"/>
      <c r="E17" s="282"/>
      <c r="F17" s="319"/>
    </row>
    <row r="18" spans="3:10" s="108" customFormat="1">
      <c r="C18" s="278" t="s">
        <v>200</v>
      </c>
      <c r="D18" s="279"/>
      <c r="E18" s="280">
        <f>+E19+E20</f>
        <v>0</v>
      </c>
      <c r="F18" s="318">
        <v>0</v>
      </c>
      <c r="H18" s="375"/>
      <c r="I18" s="677"/>
      <c r="J18" s="677"/>
    </row>
    <row r="19" spans="3:10">
      <c r="C19" s="281" t="s">
        <v>201</v>
      </c>
      <c r="D19" s="279"/>
      <c r="E19" s="282">
        <v>0</v>
      </c>
      <c r="F19" s="319">
        <v>0</v>
      </c>
    </row>
    <row r="20" spans="3:10">
      <c r="C20" s="281" t="s">
        <v>202</v>
      </c>
      <c r="D20" s="279"/>
      <c r="E20" s="282">
        <v>0</v>
      </c>
      <c r="F20" s="319">
        <v>0</v>
      </c>
    </row>
    <row r="21" spans="3:10">
      <c r="C21" s="281"/>
      <c r="D21" s="279"/>
      <c r="E21" s="282"/>
      <c r="F21" s="319"/>
    </row>
    <row r="22" spans="3:10">
      <c r="C22" s="278" t="s">
        <v>517</v>
      </c>
      <c r="D22" s="279"/>
      <c r="E22" s="282">
        <v>0</v>
      </c>
      <c r="F22" s="319">
        <v>0</v>
      </c>
    </row>
    <row r="23" spans="3:10">
      <c r="C23" s="278" t="s">
        <v>518</v>
      </c>
      <c r="D23" s="279"/>
      <c r="E23" s="280">
        <v>0</v>
      </c>
      <c r="F23" s="319">
        <v>0</v>
      </c>
    </row>
    <row r="24" spans="3:10">
      <c r="C24" s="278" t="s">
        <v>203</v>
      </c>
      <c r="D24" s="279"/>
      <c r="E24" s="280">
        <f>[7]EERR!$B$11</f>
        <v>16403189</v>
      </c>
      <c r="F24" s="318">
        <v>0</v>
      </c>
    </row>
    <row r="25" spans="3:10">
      <c r="C25" s="278" t="s">
        <v>204</v>
      </c>
      <c r="D25" s="279"/>
      <c r="E25" s="280">
        <v>0</v>
      </c>
      <c r="F25" s="318">
        <v>0</v>
      </c>
    </row>
    <row r="26" spans="3:10">
      <c r="C26" s="278" t="s">
        <v>205</v>
      </c>
      <c r="D26" s="279"/>
      <c r="E26" s="280">
        <f>[7]EERR!$B$12-[7]EERR!$B$34-[7]EERR!$B$35</f>
        <v>16254454</v>
      </c>
      <c r="F26" s="614">
        <v>1290287</v>
      </c>
      <c r="G26" s="233"/>
    </row>
    <row r="27" spans="3:10">
      <c r="C27" s="278" t="s">
        <v>206</v>
      </c>
      <c r="D27" s="279"/>
      <c r="E27" s="280">
        <v>0</v>
      </c>
      <c r="F27" s="319">
        <v>0</v>
      </c>
    </row>
    <row r="28" spans="3:10">
      <c r="C28" s="278" t="s">
        <v>207</v>
      </c>
      <c r="D28" s="279"/>
      <c r="E28" s="282">
        <v>0</v>
      </c>
      <c r="F28" s="319">
        <v>0</v>
      </c>
    </row>
    <row r="29" spans="3:10">
      <c r="C29" s="281"/>
      <c r="E29" s="282"/>
      <c r="F29" s="319"/>
      <c r="G29" s="234"/>
    </row>
    <row r="30" spans="3:10">
      <c r="C30" s="278" t="s">
        <v>477</v>
      </c>
      <c r="D30" s="279"/>
      <c r="E30" s="282">
        <v>0</v>
      </c>
      <c r="F30" s="319">
        <v>0</v>
      </c>
      <c r="I30" s="240"/>
    </row>
    <row r="31" spans="3:10">
      <c r="C31" s="278"/>
      <c r="D31" s="279"/>
      <c r="E31" s="322"/>
      <c r="F31" s="319"/>
      <c r="I31" s="240"/>
    </row>
    <row r="32" spans="3:10">
      <c r="C32" s="278" t="s">
        <v>208</v>
      </c>
      <c r="D32" s="279"/>
      <c r="E32" s="280">
        <f>+E33+E34+E35</f>
        <v>22969775</v>
      </c>
      <c r="F32" s="614">
        <v>5895</v>
      </c>
    </row>
    <row r="33" spans="3:10">
      <c r="C33" s="281" t="s">
        <v>209</v>
      </c>
      <c r="D33" s="279"/>
      <c r="E33" s="280">
        <v>0</v>
      </c>
      <c r="F33" s="318">
        <v>0</v>
      </c>
    </row>
    <row r="34" spans="3:10">
      <c r="C34" s="283" t="s">
        <v>630</v>
      </c>
      <c r="D34" s="236"/>
      <c r="E34" s="282">
        <v>0</v>
      </c>
      <c r="F34" s="319">
        <v>0</v>
      </c>
    </row>
    <row r="35" spans="3:10">
      <c r="C35" s="283" t="s">
        <v>220</v>
      </c>
      <c r="D35" s="236"/>
      <c r="E35" s="282">
        <f>[7]EERR!$B$21</f>
        <v>22969775</v>
      </c>
      <c r="F35" s="319">
        <v>5895</v>
      </c>
    </row>
    <row r="36" spans="3:10">
      <c r="C36" s="281"/>
      <c r="D36" s="236"/>
      <c r="E36" s="282"/>
      <c r="F36" s="319"/>
    </row>
    <row r="37" spans="3:10">
      <c r="C37" s="388" t="s">
        <v>672</v>
      </c>
      <c r="D37" s="236"/>
      <c r="E37" s="280">
        <f>SUM(E38:E40)</f>
        <v>104315679</v>
      </c>
      <c r="F37" s="614">
        <v>140588714</v>
      </c>
    </row>
    <row r="38" spans="3:10">
      <c r="C38" s="281" t="s">
        <v>210</v>
      </c>
      <c r="D38" s="236"/>
      <c r="E38" s="282">
        <v>0</v>
      </c>
      <c r="F38" s="319">
        <v>0</v>
      </c>
    </row>
    <row r="39" spans="3:10">
      <c r="C39" s="281" t="s">
        <v>211</v>
      </c>
      <c r="D39" s="236"/>
      <c r="E39" s="282">
        <v>0</v>
      </c>
      <c r="F39" s="319">
        <v>0</v>
      </c>
    </row>
    <row r="40" spans="3:10">
      <c r="C40" s="281" t="s">
        <v>531</v>
      </c>
      <c r="D40" s="236"/>
      <c r="E40" s="282">
        <f>[7]EERR!$B$32+[7]EERR!$B$33+[7]EERR!$B$36</f>
        <v>104315679</v>
      </c>
      <c r="F40" s="319">
        <v>140588714</v>
      </c>
    </row>
    <row r="41" spans="3:10">
      <c r="C41" s="284" t="s">
        <v>212</v>
      </c>
      <c r="D41" s="285"/>
      <c r="E41" s="323">
        <f>+E10+E24+E25+E32-E37+E26+E27+E14+E18</f>
        <v>84025289</v>
      </c>
      <c r="F41" s="615">
        <v>-115959578</v>
      </c>
    </row>
    <row r="42" spans="3:10">
      <c r="C42" s="281"/>
      <c r="D42" s="236"/>
      <c r="E42" s="282"/>
      <c r="F42" s="317"/>
      <c r="G42" s="236"/>
      <c r="J42" s="240"/>
    </row>
    <row r="43" spans="3:10">
      <c r="C43" s="286" t="s">
        <v>213</v>
      </c>
      <c r="D43" s="279"/>
      <c r="E43" s="280">
        <f>SUM(E44:E46)</f>
        <v>0</v>
      </c>
      <c r="F43" s="320">
        <v>0</v>
      </c>
      <c r="G43" s="233"/>
    </row>
    <row r="44" spans="3:10">
      <c r="C44" s="283" t="s">
        <v>214</v>
      </c>
      <c r="D44" s="279"/>
      <c r="E44" s="282">
        <v>0</v>
      </c>
      <c r="F44" s="317">
        <v>0</v>
      </c>
      <c r="G44" s="233"/>
    </row>
    <row r="45" spans="3:10">
      <c r="C45" s="283" t="s">
        <v>215</v>
      </c>
      <c r="D45" s="279"/>
      <c r="E45" s="282">
        <v>0</v>
      </c>
      <c r="F45" s="317">
        <v>0</v>
      </c>
      <c r="G45" s="233"/>
    </row>
    <row r="46" spans="3:10">
      <c r="C46" s="283" t="s">
        <v>216</v>
      </c>
      <c r="D46" s="279"/>
      <c r="E46" s="282">
        <v>0</v>
      </c>
      <c r="F46" s="317">
        <v>0</v>
      </c>
      <c r="G46" s="233"/>
    </row>
    <row r="47" spans="3:10">
      <c r="C47" s="283"/>
      <c r="D47" s="236"/>
      <c r="E47" s="282"/>
      <c r="F47" s="317"/>
      <c r="G47" s="233"/>
    </row>
    <row r="48" spans="3:10" ht="14.4">
      <c r="C48" s="286" t="s">
        <v>818</v>
      </c>
      <c r="D48" s="279"/>
      <c r="E48" s="280">
        <f>E49+E53+E55</f>
        <v>643284307</v>
      </c>
      <c r="F48" s="614">
        <v>405499682</v>
      </c>
      <c r="G48" s="236"/>
      <c r="H48" s="672" t="s">
        <v>818</v>
      </c>
      <c r="I48" s="673" t="s">
        <v>1071</v>
      </c>
      <c r="J48" s="673" t="s">
        <v>1072</v>
      </c>
    </row>
    <row r="49" spans="3:10" s="633" customFormat="1" ht="14.4">
      <c r="C49" s="681" t="str">
        <f>Tabla5[[#This Row],[Gastos De Administración]]</f>
        <v>Sueldos Y Otras Remuneraciones Al Personal</v>
      </c>
      <c r="D49" s="429"/>
      <c r="E49" s="428">
        <f>Tabla5[[#This Row],[ 643.284.307 ]]</f>
        <v>123726359</v>
      </c>
      <c r="F49" s="632">
        <f>Tabla5[[#This Row],[ 405.499.682 ]]</f>
        <v>33848471</v>
      </c>
      <c r="G49" s="429"/>
      <c r="H49" s="682" t="s">
        <v>817</v>
      </c>
      <c r="I49" s="683">
        <v>123726359</v>
      </c>
      <c r="J49" s="683">
        <v>33848471</v>
      </c>
    </row>
    <row r="50" spans="3:10" ht="14.4">
      <c r="C50" s="283" t="str">
        <f>Tabla5[[#This Row],[Gastos De Administración]]</f>
        <v>Sueldos Y Jornales</v>
      </c>
      <c r="D50" s="236"/>
      <c r="E50" s="282">
        <f>Tabla5[[#This Row],[ 643.284.307 ]]</f>
        <v>102968508</v>
      </c>
      <c r="F50" s="317">
        <f>Tabla5[[#This Row],[ 405.499.682 ]]</f>
        <v>24250000</v>
      </c>
      <c r="G50" s="236"/>
      <c r="H50" s="678" t="s">
        <v>684</v>
      </c>
      <c r="I50" s="676">
        <v>102968508</v>
      </c>
      <c r="J50" s="676">
        <v>24250000</v>
      </c>
    </row>
    <row r="51" spans="3:10" ht="14.4">
      <c r="C51" s="283" t="str">
        <f>Tabla5[[#This Row],[Gastos De Administración]]</f>
        <v>Aporte Patronal</v>
      </c>
      <c r="D51" s="236"/>
      <c r="E51" s="282">
        <f>Tabla5[[#This Row],[ 643.284.307 ]]</f>
        <v>16989806</v>
      </c>
      <c r="F51" s="317">
        <f>Tabla5[[#This Row],[ 405.499.682 ]]</f>
        <v>4001250</v>
      </c>
      <c r="G51" s="236"/>
      <c r="H51" s="678" t="s">
        <v>217</v>
      </c>
      <c r="I51" s="676">
        <v>16989806</v>
      </c>
      <c r="J51" s="676">
        <v>4001250</v>
      </c>
    </row>
    <row r="52" spans="3:10" ht="14.4">
      <c r="C52" s="283" t="str">
        <f>Tabla5[[#This Row],[Gastos De Administración]]</f>
        <v>Otros Beneficios Al Personal</v>
      </c>
      <c r="D52" s="279"/>
      <c r="E52" s="282">
        <f>Tabla5[[#This Row],[ 643.284.307 ]]</f>
        <v>3768045</v>
      </c>
      <c r="F52" s="317">
        <f>Tabla5[[#This Row],[ 405.499.682 ]]</f>
        <v>5597221</v>
      </c>
      <c r="G52" s="236"/>
      <c r="H52" s="674" t="s">
        <v>685</v>
      </c>
      <c r="I52" s="675">
        <v>3768045</v>
      </c>
      <c r="J52" s="675">
        <v>5597221</v>
      </c>
    </row>
    <row r="53" spans="3:10" s="633" customFormat="1" ht="14.4">
      <c r="C53" s="426" t="str">
        <f>Tabla5[[#This Row],[Gastos De Administración]]</f>
        <v>Remuneración Personal Superior</v>
      </c>
      <c r="D53" s="429"/>
      <c r="E53" s="428">
        <f>Tabla5[[#This Row],[ 643.284.307 ]]</f>
        <v>270000002</v>
      </c>
      <c r="F53" s="632">
        <f>Tabla5[[#This Row],[ 405.499.682 ]]</f>
        <v>315454548</v>
      </c>
      <c r="G53" s="429"/>
      <c r="H53" s="682" t="s">
        <v>858</v>
      </c>
      <c r="I53" s="683">
        <v>270000002</v>
      </c>
      <c r="J53" s="683">
        <v>315454548</v>
      </c>
    </row>
    <row r="54" spans="3:10" ht="14.4">
      <c r="C54" s="283" t="str">
        <f>Tabla5[[#This Row],[Gastos De Administración]]</f>
        <v xml:space="preserve">Servicios Personales Independientes </v>
      </c>
      <c r="D54" s="279"/>
      <c r="E54" s="282">
        <f>Tabla5[[#This Row],[ 643.284.307 ]]</f>
        <v>270000002</v>
      </c>
      <c r="F54" s="317">
        <f>Tabla5[[#This Row],[ 405.499.682 ]]</f>
        <v>315454548</v>
      </c>
      <c r="G54" s="236"/>
      <c r="H54" s="674" t="s">
        <v>859</v>
      </c>
      <c r="I54" s="675">
        <v>270000002</v>
      </c>
      <c r="J54" s="675">
        <v>315454548</v>
      </c>
    </row>
    <row r="55" spans="3:10" s="634" customFormat="1" ht="14.4">
      <c r="C55" s="426" t="str">
        <f>Tabla5[[#This Row],[Gastos De Administración]]</f>
        <v>Servicios Prestados Por Terceros</v>
      </c>
      <c r="D55" s="429"/>
      <c r="E55" s="428">
        <f>Tabla5[[#This Row],[ 643.284.307 ]]</f>
        <v>249557946</v>
      </c>
      <c r="F55" s="632">
        <f>Tabla5[[#This Row],[ 405.499.682 ]]</f>
        <v>56196663</v>
      </c>
      <c r="G55" s="427"/>
      <c r="H55" s="682" t="s">
        <v>686</v>
      </c>
      <c r="I55" s="683">
        <v>249557946</v>
      </c>
      <c r="J55" s="683">
        <v>56196663</v>
      </c>
    </row>
    <row r="56" spans="3:10" s="633" customFormat="1" ht="14.4">
      <c r="C56" s="283" t="str">
        <f>Tabla5[[#This Row],[Gastos De Administración]]</f>
        <v>Honorarios Profesionales</v>
      </c>
      <c r="D56" s="236"/>
      <c r="E56" s="282">
        <f>Tabla5[[#This Row],[ 643.284.307 ]]</f>
        <v>2619185</v>
      </c>
      <c r="F56" s="317">
        <f>Tabla5[[#This Row],[ 405.499.682 ]]</f>
        <v>3863729</v>
      </c>
      <c r="G56" s="429"/>
      <c r="H56" s="678" t="s">
        <v>614</v>
      </c>
      <c r="I56" s="676">
        <v>2619185</v>
      </c>
      <c r="J56" s="676">
        <v>3863729</v>
      </c>
    </row>
    <row r="57" spans="3:10" s="377" customFormat="1" ht="14.4">
      <c r="C57" s="283" t="str">
        <f>Tabla5[[#This Row],[Gastos De Administración]]</f>
        <v>Servicios Contratados Ire</v>
      </c>
      <c r="D57" s="279"/>
      <c r="E57" s="282">
        <f>Tabla5[[#This Row],[ 643.284.307 ]]</f>
        <v>52415649</v>
      </c>
      <c r="F57" s="317">
        <f>Tabla5[[#This Row],[ 405.499.682 ]]</f>
        <v>41991933</v>
      </c>
      <c r="G57" s="376"/>
      <c r="H57" s="678" t="s">
        <v>687</v>
      </c>
      <c r="I57" s="676">
        <v>52415649</v>
      </c>
      <c r="J57" s="676">
        <v>41991933</v>
      </c>
    </row>
    <row r="58" spans="3:10" s="633" customFormat="1" ht="14.4">
      <c r="C58" s="283" t="str">
        <f>Tabla5[[#This Row],[Gastos De Administración]]</f>
        <v>Servicios Personales Irp</v>
      </c>
      <c r="D58" s="236"/>
      <c r="E58" s="282">
        <f>Tabla5[[#This Row],[ 643.284.307 ]]</f>
        <v>4740908</v>
      </c>
      <c r="F58" s="317">
        <f>Tabla5[[#This Row],[ 405.499.682 ]]</f>
        <v>245455</v>
      </c>
      <c r="G58" s="429"/>
      <c r="H58" s="678" t="s">
        <v>688</v>
      </c>
      <c r="I58" s="676">
        <v>4740908</v>
      </c>
      <c r="J58" s="676">
        <v>245455</v>
      </c>
    </row>
    <row r="59" spans="3:10" ht="14.4">
      <c r="C59" s="283" t="str">
        <f>Tabla5[[#This Row],[Gastos De Administración]]</f>
        <v>Agua, Luz, Teléfono E Internet</v>
      </c>
      <c r="D59" s="236"/>
      <c r="E59" s="282">
        <f>Tabla5[[#This Row],[ 643.284.307 ]]</f>
        <v>6477847</v>
      </c>
      <c r="F59" s="317">
        <f>Tabla5[[#This Row],[ 405.499.682 ]]</f>
        <v>2821334</v>
      </c>
      <c r="G59" s="236"/>
      <c r="H59" s="678" t="s">
        <v>689</v>
      </c>
      <c r="I59" s="676">
        <v>6477847</v>
      </c>
      <c r="J59" s="676">
        <v>2821334</v>
      </c>
    </row>
    <row r="60" spans="3:10" ht="14.4">
      <c r="C60" s="283" t="str">
        <f>Tabla5[[#This Row],[Gastos De Administración]]</f>
        <v>Movilidad Y Viaticos</v>
      </c>
      <c r="D60" s="236"/>
      <c r="E60" s="282">
        <f>Tabla5[[#This Row],[ 643.284.307 ]]</f>
        <v>4621393</v>
      </c>
      <c r="F60" s="317">
        <f>Tabla5[[#This Row],[ 405.499.682 ]]</f>
        <v>0</v>
      </c>
      <c r="G60" s="236"/>
      <c r="H60" s="678" t="s">
        <v>976</v>
      </c>
      <c r="I60" s="676">
        <v>4621393</v>
      </c>
      <c r="J60" s="676">
        <v>0</v>
      </c>
    </row>
    <row r="61" spans="3:10" ht="14.4">
      <c r="C61" s="283" t="str">
        <f>Tabla5[[#This Row],[Gastos De Administración]]</f>
        <v>Refrigerio Y Cafeteria</v>
      </c>
      <c r="D61" s="236"/>
      <c r="E61" s="282">
        <f>Tabla5[[#This Row],[ 643.284.307 ]]</f>
        <v>2605125</v>
      </c>
      <c r="F61" s="317">
        <f>Tabla5[[#This Row],[ 405.499.682 ]]</f>
        <v>69864</v>
      </c>
      <c r="G61" s="236"/>
      <c r="H61" s="678" t="s">
        <v>816</v>
      </c>
      <c r="I61" s="676">
        <v>2605125</v>
      </c>
      <c r="J61" s="676">
        <v>69864</v>
      </c>
    </row>
    <row r="62" spans="3:10" ht="14.4">
      <c r="C62" s="283" t="str">
        <f>Tabla5[[#This Row],[Gastos De Administración]]</f>
        <v>Comunicaciones Y Progagandas</v>
      </c>
      <c r="D62" s="236"/>
      <c r="E62" s="282">
        <f>Tabla5[[#This Row],[ 643.284.307 ]]</f>
        <v>352727</v>
      </c>
      <c r="F62" s="317">
        <f>Tabla5[[#This Row],[ 405.499.682 ]]</f>
        <v>1090909</v>
      </c>
      <c r="G62" s="236"/>
      <c r="H62" s="678" t="s">
        <v>690</v>
      </c>
      <c r="I62" s="676">
        <v>352727</v>
      </c>
      <c r="J62" s="676">
        <v>1090909</v>
      </c>
    </row>
    <row r="63" spans="3:10" ht="14.4">
      <c r="C63" s="283" t="str">
        <f>Tabla5[[#This Row],[Gastos De Administración]]</f>
        <v>Papeleria E Impresos</v>
      </c>
      <c r="D63" s="236"/>
      <c r="E63" s="282">
        <f>Tabla5[[#This Row],[ 643.284.307 ]]</f>
        <v>748637</v>
      </c>
      <c r="F63" s="317">
        <f>Tabla5[[#This Row],[ 405.499.682 ]]</f>
        <v>458364</v>
      </c>
      <c r="G63" s="236"/>
      <c r="H63" s="678" t="s">
        <v>691</v>
      </c>
      <c r="I63" s="676">
        <v>748637</v>
      </c>
      <c r="J63" s="676">
        <v>458364</v>
      </c>
    </row>
    <row r="64" spans="3:10" ht="14.4">
      <c r="C64" s="283" t="str">
        <f>Tabla5[[#This Row],[Gastos De Administración]]</f>
        <v>Gastos No Deducibles</v>
      </c>
      <c r="D64" s="236"/>
      <c r="E64" s="282">
        <f>Tabla5[[#This Row],[ 643.284.307 ]]</f>
        <v>156821078</v>
      </c>
      <c r="F64" s="317">
        <f>Tabla5[[#This Row],[ 405.499.682 ]]</f>
        <v>136685</v>
      </c>
      <c r="G64" s="236"/>
      <c r="H64" s="678" t="s">
        <v>815</v>
      </c>
      <c r="I64" s="676">
        <v>156821078</v>
      </c>
      <c r="J64" s="676">
        <v>136685</v>
      </c>
    </row>
    <row r="65" spans="3:10" ht="14.4">
      <c r="C65" s="283" t="str">
        <f>Tabla5[[#This Row],[Gastos De Administración]]</f>
        <v>Dominios Y Suscripciones</v>
      </c>
      <c r="D65" s="236"/>
      <c r="E65" s="282">
        <f>Tabla5[[#This Row],[ 643.284.307 ]]</f>
        <v>220930</v>
      </c>
      <c r="F65" s="317">
        <f>Tabla5[[#This Row],[ 405.499.682 ]]</f>
        <v>160000</v>
      </c>
      <c r="G65" s="236"/>
      <c r="H65" s="678" t="s">
        <v>860</v>
      </c>
      <c r="I65" s="676">
        <v>220930</v>
      </c>
      <c r="J65" s="676">
        <v>160000</v>
      </c>
    </row>
    <row r="66" spans="3:10" ht="14.4">
      <c r="C66" s="283" t="str">
        <f>Tabla5[[#This Row],[Gastos De Administración]]</f>
        <v>Gastos administrativos</v>
      </c>
      <c r="D66" s="236"/>
      <c r="E66" s="282">
        <f>Tabla5[[#This Row],[ 643.284.307 ]]</f>
        <v>400000</v>
      </c>
      <c r="F66" s="317">
        <f>Tabla5[[#This Row],[ 405.499.682 ]]</f>
        <v>229779</v>
      </c>
      <c r="G66" s="236"/>
      <c r="H66" s="678" t="s">
        <v>644</v>
      </c>
      <c r="I66" s="676">
        <v>400000</v>
      </c>
      <c r="J66" s="676">
        <v>229779</v>
      </c>
    </row>
    <row r="67" spans="3:10" ht="14.4">
      <c r="C67" s="283" t="str">
        <f>Tabla5[[#This Row],[Gastos De Administración]]</f>
        <v>Gastos de encomiendas y envíos</v>
      </c>
      <c r="D67" s="279"/>
      <c r="E67" s="282">
        <f>Tabla5[[#This Row],[ 643.284.307 ]]</f>
        <v>102136</v>
      </c>
      <c r="F67" s="317">
        <f>Tabla5[[#This Row],[ 405.499.682 ]]</f>
        <v>0</v>
      </c>
      <c r="G67" s="236"/>
      <c r="H67" s="674" t="s">
        <v>1069</v>
      </c>
      <c r="I67" s="675">
        <v>102136</v>
      </c>
      <c r="J67" s="675">
        <v>0</v>
      </c>
    </row>
    <row r="68" spans="3:10" ht="14.4">
      <c r="C68" s="283" t="str">
        <f>Tabla5[[#This Row],[Gastos De Administración]]</f>
        <v>Gastos De Escribania</v>
      </c>
      <c r="D68" s="236"/>
      <c r="E68" s="282">
        <f>Tabla5[[#This Row],[ 643.284.307 ]]</f>
        <v>3423637</v>
      </c>
      <c r="F68" s="317">
        <f>Tabla5[[#This Row],[ 405.499.682 ]]</f>
        <v>3422637</v>
      </c>
      <c r="G68" s="236"/>
      <c r="H68" s="678" t="s">
        <v>692</v>
      </c>
      <c r="I68" s="676">
        <v>3423637</v>
      </c>
      <c r="J68" s="676">
        <v>3422637</v>
      </c>
    </row>
    <row r="69" spans="3:10" ht="14.4">
      <c r="C69" s="283" t="str">
        <f>Tabla5[[#This Row],[Gastos De Administración]]</f>
        <v>Gastos Informaticos</v>
      </c>
      <c r="D69" s="236"/>
      <c r="E69" s="282">
        <f>Tabla5[[#This Row],[ 643.284.307 ]]</f>
        <v>51191</v>
      </c>
      <c r="F69" s="317">
        <f>Tabla5[[#This Row],[ 405.499.682 ]]</f>
        <v>96156</v>
      </c>
      <c r="G69" s="236"/>
      <c r="H69" s="678" t="s">
        <v>861</v>
      </c>
      <c r="I69" s="676">
        <v>51191</v>
      </c>
      <c r="J69" s="676">
        <v>96156</v>
      </c>
    </row>
    <row r="70" spans="3:10" s="633" customFormat="1" ht="14.4">
      <c r="C70" s="426" t="str">
        <f>Tabla5[[#This Row],[Gastos De Administración]]</f>
        <v>Gastos De Impuestos</v>
      </c>
      <c r="D70" s="429"/>
      <c r="E70" s="428">
        <f>Tabla5[[#This Row],[ 643.284.307 ]]</f>
        <v>13957503</v>
      </c>
      <c r="F70" s="632">
        <f>Tabla5[[#This Row],[ 405.499.682 ]]</f>
        <v>1609818</v>
      </c>
      <c r="G70" s="429"/>
      <c r="H70" s="684" t="s">
        <v>693</v>
      </c>
      <c r="I70" s="685">
        <v>13957503</v>
      </c>
      <c r="J70" s="686">
        <v>1609818</v>
      </c>
    </row>
    <row r="71" spans="3:10" ht="14.4">
      <c r="C71" s="283" t="str">
        <f>Tabla5[[#This Row],[Gastos De Administración]]</f>
        <v>Multas Y Sanciones</v>
      </c>
      <c r="D71" s="236"/>
      <c r="E71" s="282">
        <f>Tabla5[[#This Row],[ 643.284.307 ]]</f>
        <v>4562492</v>
      </c>
      <c r="F71" s="317">
        <f>Tabla5[[#This Row],[ 405.499.682 ]]</f>
        <v>9818</v>
      </c>
      <c r="G71" s="236"/>
      <c r="H71" t="s">
        <v>862</v>
      </c>
      <c r="I71" s="613">
        <v>4562492</v>
      </c>
      <c r="J71" s="679">
        <v>9818</v>
      </c>
    </row>
    <row r="72" spans="3:10" ht="14.4">
      <c r="C72" s="283" t="str">
        <f>Tabla5[[#This Row],[Gastos De Administración]]</f>
        <v>Impuestos, Patentes, Tasas Y Otras Contr</v>
      </c>
      <c r="D72" s="236"/>
      <c r="E72" s="282">
        <f>Tabla5[[#This Row],[ 643.284.307 ]]</f>
        <v>7932300</v>
      </c>
      <c r="F72" s="317">
        <f>Tabla5[[#This Row],[ 405.499.682 ]]</f>
        <v>1600000</v>
      </c>
      <c r="H72" s="680" t="s">
        <v>694</v>
      </c>
      <c r="I72" s="679">
        <v>7932300</v>
      </c>
      <c r="J72" s="679">
        <v>1600000</v>
      </c>
    </row>
    <row r="73" spans="3:10" ht="14.4">
      <c r="C73" s="283" t="str">
        <f>Tabla5[[#This Row],[Gastos De Administración]]</f>
        <v>IVA Gastos</v>
      </c>
      <c r="D73" s="236"/>
      <c r="E73" s="282">
        <f>Tabla5[[#This Row],[ 643.284.307 ]]</f>
        <v>1462711</v>
      </c>
      <c r="F73" s="317">
        <f>Tabla5[[#This Row],[ 405.499.682 ]]</f>
        <v>0</v>
      </c>
      <c r="H73" s="680" t="s">
        <v>1070</v>
      </c>
      <c r="I73" s="679">
        <v>1462711</v>
      </c>
      <c r="J73" s="679">
        <v>0</v>
      </c>
    </row>
    <row r="74" spans="3:10">
      <c r="C74" s="426"/>
      <c r="D74" s="459"/>
      <c r="E74" s="460"/>
      <c r="F74" s="317"/>
    </row>
    <row r="75" spans="3:10">
      <c r="C75" s="283"/>
      <c r="D75" s="236"/>
      <c r="E75" s="282"/>
      <c r="F75" s="317"/>
    </row>
    <row r="76" spans="3:10">
      <c r="C76" s="284" t="s">
        <v>219</v>
      </c>
      <c r="D76" s="285"/>
      <c r="E76" s="323">
        <f>+E41-E43-E48</f>
        <v>-559259018</v>
      </c>
      <c r="F76" s="615">
        <f>+F41-F43-F48</f>
        <v>-521459260</v>
      </c>
    </row>
    <row r="77" spans="3:10">
      <c r="C77" s="283"/>
      <c r="D77" s="236"/>
      <c r="E77" s="282"/>
      <c r="F77" s="317"/>
      <c r="G77" s="241"/>
      <c r="H77" s="242"/>
      <c r="I77" s="240"/>
    </row>
    <row r="78" spans="3:10">
      <c r="C78" s="389" t="s">
        <v>673</v>
      </c>
      <c r="D78" s="279"/>
      <c r="E78" s="280">
        <f>+E79-E80</f>
        <v>156267430</v>
      </c>
      <c r="F78" s="614">
        <v>196454547</v>
      </c>
    </row>
    <row r="79" spans="3:10">
      <c r="C79" s="283" t="s">
        <v>220</v>
      </c>
      <c r="D79" s="279"/>
      <c r="E79" s="282">
        <f>[7]EERR!$B$25</f>
        <v>156267430</v>
      </c>
      <c r="F79" s="317">
        <v>196454547</v>
      </c>
      <c r="G79" s="233"/>
    </row>
    <row r="80" spans="3:10">
      <c r="C80" s="283" t="s">
        <v>221</v>
      </c>
      <c r="D80" s="279"/>
      <c r="E80" s="282">
        <v>0</v>
      </c>
      <c r="F80" s="320">
        <v>0</v>
      </c>
      <c r="G80" s="233"/>
    </row>
    <row r="81" spans="3:11">
      <c r="C81" s="286"/>
      <c r="D81" s="236"/>
      <c r="E81" s="282"/>
      <c r="F81" s="317"/>
      <c r="G81" s="233"/>
    </row>
    <row r="82" spans="3:11">
      <c r="C82" s="389" t="s">
        <v>674</v>
      </c>
      <c r="D82" s="236"/>
      <c r="E82" s="280">
        <f>+E84+E87</f>
        <v>209093346</v>
      </c>
      <c r="F82" s="614">
        <v>337389964</v>
      </c>
    </row>
    <row r="83" spans="3:11">
      <c r="C83" s="286"/>
      <c r="D83" s="236"/>
      <c r="E83" s="280"/>
      <c r="F83" s="320"/>
    </row>
    <row r="84" spans="3:11">
      <c r="C84" s="286" t="s">
        <v>222</v>
      </c>
      <c r="D84" s="236"/>
      <c r="E84" s="280">
        <f>SUM(E85:E86)</f>
        <v>911461260</v>
      </c>
      <c r="F84" s="614">
        <v>342714679</v>
      </c>
    </row>
    <row r="85" spans="3:11">
      <c r="C85" s="283" t="s">
        <v>223</v>
      </c>
      <c r="D85" s="236"/>
      <c r="E85" s="282">
        <f>[7]EERR!$B$16</f>
        <v>866058936</v>
      </c>
      <c r="F85" s="317">
        <v>341343383</v>
      </c>
    </row>
    <row r="86" spans="3:11">
      <c r="C86" s="283" t="s">
        <v>224</v>
      </c>
      <c r="D86" s="236"/>
      <c r="E86" s="282">
        <f>-[7]EERR!$B$77</f>
        <v>45402324</v>
      </c>
      <c r="F86" s="317">
        <v>1371296</v>
      </c>
    </row>
    <row r="87" spans="3:11">
      <c r="C87" s="286" t="s">
        <v>225</v>
      </c>
      <c r="D87" s="236"/>
      <c r="E87" s="280">
        <f>SUM(E88:E89)*-1</f>
        <v>-702367914</v>
      </c>
      <c r="F87" s="614">
        <v>-5324715</v>
      </c>
    </row>
    <row r="88" spans="3:11">
      <c r="C88" s="283" t="s">
        <v>226</v>
      </c>
      <c r="D88" s="236"/>
      <c r="E88" s="282">
        <f>[7]EERR!$B$69</f>
        <v>659527094</v>
      </c>
      <c r="F88" s="317">
        <v>4105655</v>
      </c>
      <c r="G88" s="233"/>
      <c r="K88" s="228"/>
    </row>
    <row r="89" spans="3:11">
      <c r="C89" s="283" t="s">
        <v>224</v>
      </c>
      <c r="D89" s="236"/>
      <c r="E89" s="282">
        <f>[7]EERR!$B$78</f>
        <v>42840820</v>
      </c>
      <c r="F89" s="317">
        <v>1219060</v>
      </c>
    </row>
    <row r="90" spans="3:11">
      <c r="C90" s="283"/>
      <c r="D90" s="236"/>
      <c r="E90" s="282"/>
      <c r="F90" s="317"/>
    </row>
    <row r="91" spans="3:11">
      <c r="C91" s="388" t="s">
        <v>680</v>
      </c>
      <c r="D91" s="279"/>
      <c r="E91" s="280">
        <f>+E92-E93</f>
        <v>0</v>
      </c>
      <c r="F91" s="320">
        <v>0</v>
      </c>
      <c r="G91" s="233"/>
    </row>
    <row r="92" spans="3:11">
      <c r="C92" s="281" t="s">
        <v>227</v>
      </c>
      <c r="D92" s="236"/>
      <c r="E92" s="282">
        <v>0</v>
      </c>
      <c r="F92" s="317">
        <v>0</v>
      </c>
      <c r="G92" s="236"/>
    </row>
    <row r="93" spans="3:11">
      <c r="C93" s="281" t="s">
        <v>228</v>
      </c>
      <c r="D93" s="236"/>
      <c r="E93" s="282">
        <v>0</v>
      </c>
      <c r="F93" s="317">
        <v>0</v>
      </c>
    </row>
    <row r="94" spans="3:11">
      <c r="C94" s="281"/>
      <c r="D94" s="236"/>
      <c r="E94" s="282"/>
      <c r="F94" s="317"/>
    </row>
    <row r="95" spans="3:11">
      <c r="C95" s="278" t="s">
        <v>229</v>
      </c>
      <c r="D95" s="279"/>
      <c r="E95" s="280">
        <v>0</v>
      </c>
      <c r="F95" s="320">
        <v>0</v>
      </c>
    </row>
    <row r="96" spans="3:11" ht="9.75" customHeight="1">
      <c r="C96" s="281" t="s">
        <v>230</v>
      </c>
      <c r="D96" s="236"/>
      <c r="E96" s="282">
        <v>0</v>
      </c>
      <c r="F96" s="317">
        <v>0</v>
      </c>
    </row>
    <row r="97" spans="3:8">
      <c r="C97" s="281" t="s">
        <v>231</v>
      </c>
      <c r="D97" s="236"/>
      <c r="E97" s="282">
        <v>0</v>
      </c>
      <c r="F97" s="317"/>
    </row>
    <row r="98" spans="3:8">
      <c r="C98" s="281"/>
      <c r="D98" s="236"/>
      <c r="E98" s="282"/>
      <c r="F98" s="317"/>
    </row>
    <row r="99" spans="3:8">
      <c r="C99" s="284" t="s">
        <v>232</v>
      </c>
      <c r="D99" s="285"/>
      <c r="E99" s="323">
        <f>+E76+E82+E91+E95+E78</f>
        <v>-193898242</v>
      </c>
      <c r="F99" s="615">
        <f>+F76+F82+F91+F95+F78</f>
        <v>12385251</v>
      </c>
    </row>
    <row r="100" spans="3:8">
      <c r="C100" s="281"/>
      <c r="D100" s="236"/>
      <c r="E100" s="282"/>
      <c r="F100" s="317"/>
      <c r="G100" s="391"/>
      <c r="H100" s="391"/>
    </row>
    <row r="101" spans="3:8">
      <c r="C101" s="278" t="s">
        <v>233</v>
      </c>
      <c r="D101" s="279"/>
      <c r="E101" s="282">
        <v>0</v>
      </c>
      <c r="F101" s="317">
        <v>0</v>
      </c>
    </row>
    <row r="102" spans="3:8">
      <c r="C102" s="307" t="s">
        <v>135</v>
      </c>
      <c r="D102" s="287"/>
      <c r="E102" s="282">
        <v>0</v>
      </c>
      <c r="F102" s="321">
        <v>0</v>
      </c>
    </row>
    <row r="103" spans="3:8" ht="12.6" thickBot="1">
      <c r="C103" s="308" t="s">
        <v>146</v>
      </c>
      <c r="D103" s="309"/>
      <c r="E103" s="324">
        <f>+E99-E101-E102</f>
        <v>-193898242</v>
      </c>
      <c r="F103" s="616">
        <f>+F99-F101-F102</f>
        <v>12385251</v>
      </c>
    </row>
    <row r="104" spans="3:8">
      <c r="C104" s="108"/>
      <c r="D104" s="279"/>
      <c r="E104" s="661">
        <f>+E103-'BALANCE GRAL'!G73</f>
        <v>0.38999998569488525</v>
      </c>
      <c r="F104" s="661">
        <f>F103-'[9]ESTADOS DE RESULTADOS 30_06_22'!$E$100</f>
        <v>0</v>
      </c>
    </row>
    <row r="105" spans="3:8">
      <c r="C105" s="732" t="s">
        <v>727</v>
      </c>
      <c r="D105" s="732"/>
      <c r="E105" s="732"/>
      <c r="F105" s="732"/>
    </row>
    <row r="106" spans="3:8">
      <c r="E106" s="227"/>
    </row>
  </sheetData>
  <sheetProtection algorithmName="SHA-512" hashValue="GwmxLHJkXxli33xqt4f2XdKJd08VImBy+f3QkmUaxlMz400i5WwfigN876R7rYbpz87Z20L4N7JLv02N/ZFqmg==" saltValue="lSZrZgBPhHkDT87Gr5hg5A==" spinCount="100000" sheet="1" objects="1" scenarios="1"/>
  <mergeCells count="5">
    <mergeCell ref="C105:F105"/>
    <mergeCell ref="C6:F7"/>
    <mergeCell ref="C3:F3"/>
    <mergeCell ref="C4:F4"/>
    <mergeCell ref="C5:F5"/>
  </mergeCells>
  <phoneticPr fontId="56" type="noConversion"/>
  <hyperlinks>
    <hyperlink ref="C9" location="'NOTA V INGRESOS OPERATIVOS'!A1" display="Ingresos Operativos -Nota v" xr:uid="{AEE4CBE5-BF6D-4EA7-B3A3-838CCBE0524A}"/>
    <hyperlink ref="C37" location="'NOTA W OTROS GASTOS OPER'!A1" display="Gastos Operativos -Nota w" xr:uid="{0A0B1390-C908-4825-B638-BC693BD1FE19}"/>
    <hyperlink ref="C78" location="'NOTA X OTROS INGRESOS Y EGR'!A1" display="Otros ingresos y Egresos - Nota x" xr:uid="{21591C9D-117F-4576-B1E4-1D3993B02AE3}"/>
    <hyperlink ref="C82" location="'NOTA Y RESULTADOS FINANC'!A1" display="Resultados financieros - Nota y" xr:uid="{129BFF9B-47A8-47CD-81C6-4A84D3C21EF0}"/>
    <hyperlink ref="C91" location="'NOTA Z RESULT EXTRA'!A1" display="Resultados  extraordinarias Nota Z" xr:uid="{ED5B1086-D9CC-4F3D-AAD8-59EA1E8E9E33}"/>
  </hyperlinks>
  <pageMargins left="1" right="1" top="1" bottom="1" header="0.5" footer="0.5"/>
  <pageSetup paperSize="9" scale="64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ACB2-253D-463E-99F1-4C6F1CC2B534}">
  <sheetPr>
    <tabColor rgb="FFA32794"/>
  </sheetPr>
  <dimension ref="A1:DG103"/>
  <sheetViews>
    <sheetView topLeftCell="A71" zoomScale="130" zoomScaleNormal="130" workbookViewId="0">
      <selection activeCell="D28" sqref="D28"/>
    </sheetView>
  </sheetViews>
  <sheetFormatPr baseColWidth="10" defaultColWidth="11.44140625" defaultRowHeight="13.2"/>
  <cols>
    <col min="1" max="1" width="42.88671875" style="463" customWidth="1"/>
    <col min="2" max="2" width="18.109375" style="463" customWidth="1"/>
    <col min="3" max="3" width="16" style="463" customWidth="1"/>
    <col min="4" max="4" width="13.88671875" style="463" customWidth="1"/>
    <col min="5" max="6" width="16" style="463" customWidth="1"/>
    <col min="7" max="7" width="18.44140625" style="463" bestFit="1" customWidth="1"/>
    <col min="8" max="8" width="14.44140625" style="463" bestFit="1" customWidth="1"/>
    <col min="9" max="11" width="15.33203125" style="463" customWidth="1"/>
    <col min="12" max="13" width="18.44140625" style="463" customWidth="1"/>
    <col min="14" max="14" width="20.109375" style="463" bestFit="1" customWidth="1"/>
    <col min="15" max="15" width="17.44140625" style="463" customWidth="1"/>
    <col min="16" max="16384" width="11.44140625" style="463"/>
  </cols>
  <sheetData>
    <row r="1" spans="1:15" ht="17.399999999999999">
      <c r="A1" s="461" t="s">
        <v>863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</row>
    <row r="2" spans="1:15" ht="17.399999999999999">
      <c r="A2" s="461"/>
      <c r="B2" s="462"/>
      <c r="C2" s="462"/>
      <c r="D2" s="462"/>
      <c r="E2" s="462"/>
      <c r="F2" s="462" t="s">
        <v>864</v>
      </c>
      <c r="G2" s="462" t="s">
        <v>865</v>
      </c>
      <c r="H2" s="462"/>
      <c r="I2" s="462"/>
      <c r="J2" s="462"/>
      <c r="K2" s="462"/>
      <c r="L2" s="462"/>
      <c r="M2" s="462"/>
      <c r="N2" s="462"/>
      <c r="O2" s="462"/>
    </row>
    <row r="3" spans="1:15" ht="18" thickBot="1">
      <c r="A3" s="461"/>
      <c r="B3" s="462"/>
      <c r="C3" s="462"/>
      <c r="D3" s="462"/>
      <c r="E3" s="462"/>
      <c r="F3" s="462" t="s">
        <v>866</v>
      </c>
      <c r="G3" s="462" t="s">
        <v>867</v>
      </c>
      <c r="H3" s="462"/>
      <c r="I3" s="462"/>
      <c r="J3" s="462"/>
      <c r="K3" s="462"/>
      <c r="L3" s="462"/>
      <c r="M3" s="462"/>
      <c r="N3" s="462"/>
      <c r="O3" s="462"/>
    </row>
    <row r="4" spans="1:15">
      <c r="A4" s="464"/>
      <c r="B4" s="465"/>
      <c r="C4" s="466"/>
      <c r="D4" s="467"/>
      <c r="E4" s="465"/>
      <c r="F4" s="465"/>
      <c r="G4" s="464"/>
      <c r="H4" s="468"/>
      <c r="I4" s="468"/>
      <c r="J4" s="468"/>
      <c r="K4" s="468"/>
      <c r="L4" s="468"/>
      <c r="M4" s="469" t="s">
        <v>868</v>
      </c>
      <c r="N4" s="469" t="s">
        <v>869</v>
      </c>
      <c r="O4" s="470"/>
    </row>
    <row r="5" spans="1:15" ht="13.8" thickBot="1">
      <c r="A5" s="471" t="s">
        <v>267</v>
      </c>
      <c r="B5" s="472" t="s">
        <v>870</v>
      </c>
      <c r="C5" s="473" t="s">
        <v>871</v>
      </c>
      <c r="D5" s="474"/>
      <c r="E5" s="472" t="s">
        <v>870</v>
      </c>
      <c r="F5" s="472" t="s">
        <v>872</v>
      </c>
      <c r="G5" s="475" t="s">
        <v>873</v>
      </c>
      <c r="H5" s="476"/>
      <c r="I5" s="476"/>
      <c r="J5" s="476"/>
      <c r="K5" s="476"/>
      <c r="L5" s="476"/>
      <c r="M5" s="472" t="s">
        <v>874</v>
      </c>
      <c r="N5" s="477" t="s">
        <v>875</v>
      </c>
      <c r="O5" s="478" t="s">
        <v>876</v>
      </c>
    </row>
    <row r="6" spans="1:15">
      <c r="A6" s="479"/>
      <c r="B6" s="472" t="s">
        <v>265</v>
      </c>
      <c r="C6" s="465"/>
      <c r="D6" s="480"/>
      <c r="E6" s="472" t="s">
        <v>265</v>
      </c>
      <c r="F6" s="469" t="s">
        <v>877</v>
      </c>
      <c r="G6" s="481" t="s">
        <v>878</v>
      </c>
      <c r="H6" s="469" t="s">
        <v>879</v>
      </c>
      <c r="I6" s="482" t="s">
        <v>880</v>
      </c>
      <c r="J6" s="482" t="s">
        <v>881</v>
      </c>
      <c r="K6" s="483" t="s">
        <v>882</v>
      </c>
      <c r="L6" s="484" t="s">
        <v>883</v>
      </c>
      <c r="M6" s="482" t="s">
        <v>884</v>
      </c>
      <c r="N6" s="482" t="s">
        <v>884</v>
      </c>
      <c r="O6" s="478"/>
    </row>
    <row r="7" spans="1:15" ht="14.4" thickBot="1">
      <c r="A7" s="485"/>
      <c r="B7" s="486" t="str">
        <f>INDICE!B6</f>
        <v>Al 30/06/2023</v>
      </c>
      <c r="C7" s="487" t="s">
        <v>877</v>
      </c>
      <c r="D7" s="488" t="s">
        <v>121</v>
      </c>
      <c r="E7" s="486" t="s">
        <v>1041</v>
      </c>
      <c r="F7" s="487" t="s">
        <v>885</v>
      </c>
      <c r="G7" s="489" t="s">
        <v>886</v>
      </c>
      <c r="H7" s="487" t="s">
        <v>887</v>
      </c>
      <c r="I7" s="490" t="s">
        <v>888</v>
      </c>
      <c r="J7" s="491" t="s">
        <v>889</v>
      </c>
      <c r="K7" s="491" t="s">
        <v>890</v>
      </c>
      <c r="L7" s="492" t="s">
        <v>891</v>
      </c>
      <c r="M7" s="490" t="s">
        <v>892</v>
      </c>
      <c r="N7" s="490" t="s">
        <v>892</v>
      </c>
      <c r="O7" s="493"/>
    </row>
    <row r="8" spans="1:15">
      <c r="A8" s="494" t="s">
        <v>893</v>
      </c>
      <c r="B8" s="495"/>
      <c r="C8" s="495"/>
      <c r="D8" s="496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7"/>
    </row>
    <row r="9" spans="1:15">
      <c r="A9" s="498" t="s">
        <v>316</v>
      </c>
      <c r="B9" s="499">
        <f>+'BALANCE GRAL'!D12</f>
        <v>657160536</v>
      </c>
      <c r="C9" s="499"/>
      <c r="D9" s="500"/>
      <c r="E9" s="499">
        <f>+'BALANCE GRAL'!E12</f>
        <v>396498174</v>
      </c>
      <c r="F9" s="499">
        <f t="shared" ref="F9:F22" si="0">B9-E9+C9-D9</f>
        <v>260662362</v>
      </c>
      <c r="G9" s="499"/>
      <c r="H9" s="499"/>
      <c r="I9" s="499"/>
      <c r="J9" s="499"/>
      <c r="K9" s="499"/>
      <c r="L9" s="499"/>
      <c r="M9" s="499"/>
      <c r="N9" s="499"/>
      <c r="O9" s="501">
        <f>F9</f>
        <v>260662362</v>
      </c>
    </row>
    <row r="10" spans="1:15" ht="13.8">
      <c r="A10" s="498" t="s">
        <v>894</v>
      </c>
      <c r="B10" s="502">
        <f>+'[8]Balance Gral 2022'!$B$32</f>
        <v>81102179</v>
      </c>
      <c r="C10" s="499"/>
      <c r="D10" s="500"/>
      <c r="E10" s="499">
        <v>65175613</v>
      </c>
      <c r="F10" s="499">
        <f t="shared" si="0"/>
        <v>15926566</v>
      </c>
      <c r="G10" s="499"/>
      <c r="H10" s="499"/>
      <c r="I10" s="499"/>
      <c r="J10" s="499"/>
      <c r="K10" s="499"/>
      <c r="L10" s="499">
        <f>-F10</f>
        <v>-15926566</v>
      </c>
      <c r="M10" s="499"/>
      <c r="N10" s="499"/>
      <c r="O10" s="501"/>
    </row>
    <row r="11" spans="1:15">
      <c r="A11" s="503" t="s">
        <v>895</v>
      </c>
      <c r="B11" s="504">
        <v>0</v>
      </c>
      <c r="C11" s="504"/>
      <c r="D11" s="505"/>
      <c r="E11" s="504">
        <v>0</v>
      </c>
      <c r="F11" s="504">
        <f t="shared" si="0"/>
        <v>0</v>
      </c>
      <c r="G11" s="499"/>
      <c r="H11" s="499"/>
      <c r="I11" s="499"/>
      <c r="J11" s="499">
        <f>-F11</f>
        <v>0</v>
      </c>
      <c r="K11" s="499"/>
      <c r="L11" s="499"/>
      <c r="M11" s="499"/>
      <c r="N11" s="499"/>
      <c r="O11" s="501"/>
    </row>
    <row r="12" spans="1:15">
      <c r="A12" s="506" t="s">
        <v>383</v>
      </c>
      <c r="B12" s="507">
        <f>+'BALANCE GRAL'!D22</f>
        <v>25483201</v>
      </c>
      <c r="C12" s="507"/>
      <c r="D12" s="508"/>
      <c r="E12" s="507">
        <f>+'BALANCE GRAL'!E22</f>
        <v>16642719</v>
      </c>
      <c r="F12" s="499">
        <f t="shared" si="0"/>
        <v>8840482</v>
      </c>
      <c r="G12" s="507">
        <f>-F12</f>
        <v>-8840482</v>
      </c>
      <c r="H12" s="507"/>
      <c r="I12" s="507"/>
      <c r="J12" s="507"/>
      <c r="K12" s="507"/>
      <c r="L12" s="507"/>
      <c r="M12" s="507"/>
      <c r="N12" s="507"/>
      <c r="O12" s="509"/>
    </row>
    <row r="13" spans="1:15">
      <c r="A13" s="506" t="s">
        <v>896</v>
      </c>
      <c r="B13" s="507">
        <f>'BALANCE GRAL'!D23+'BALANCE GRAL'!D26-B10</f>
        <v>205794587</v>
      </c>
      <c r="C13" s="507"/>
      <c r="D13" s="507">
        <v>0</v>
      </c>
      <c r="E13" s="507">
        <f>'BALANCE GRAL'!E23+'BALANCE GRAL'!E26-E10</f>
        <v>154920000</v>
      </c>
      <c r="F13" s="499">
        <f t="shared" si="0"/>
        <v>50874587</v>
      </c>
      <c r="H13" s="507"/>
      <c r="I13" s="507"/>
      <c r="J13" s="507"/>
      <c r="K13" s="507"/>
      <c r="L13" s="507">
        <f>-F13</f>
        <v>-50874587</v>
      </c>
      <c r="M13" s="507"/>
      <c r="N13" s="507"/>
      <c r="O13" s="509"/>
    </row>
    <row r="14" spans="1:15">
      <c r="A14" s="510" t="s">
        <v>897</v>
      </c>
      <c r="B14" s="511">
        <v>0</v>
      </c>
      <c r="C14" s="511"/>
      <c r="D14" s="511"/>
      <c r="E14" s="511">
        <v>0</v>
      </c>
      <c r="F14" s="499">
        <f t="shared" si="0"/>
        <v>0</v>
      </c>
      <c r="G14" s="512"/>
      <c r="H14" s="512"/>
      <c r="I14" s="512"/>
      <c r="J14" s="512"/>
      <c r="K14" s="512"/>
      <c r="L14" s="512"/>
      <c r="M14" s="512"/>
      <c r="N14" s="512"/>
      <c r="O14" s="513"/>
    </row>
    <row r="15" spans="1:15">
      <c r="A15" s="506" t="s">
        <v>898</v>
      </c>
      <c r="B15" s="507">
        <f>+'BALANCE GRAL'!D20</f>
        <v>8893925808</v>
      </c>
      <c r="C15" s="507"/>
      <c r="D15" s="507">
        <f>C44</f>
        <v>587215882</v>
      </c>
      <c r="E15" s="507">
        <f>+'BALANCE GRAL'!E20</f>
        <v>8400633163</v>
      </c>
      <c r="F15" s="499">
        <f t="shared" si="0"/>
        <v>-93923237</v>
      </c>
      <c r="G15" s="507"/>
      <c r="H15" s="507"/>
      <c r="I15" s="507"/>
      <c r="J15" s="507"/>
      <c r="K15" s="507"/>
      <c r="L15" s="507"/>
      <c r="M15" s="507">
        <f>-F15</f>
        <v>93923237</v>
      </c>
      <c r="N15" s="507"/>
      <c r="O15" s="509"/>
    </row>
    <row r="16" spans="1:15">
      <c r="A16" s="506" t="s">
        <v>899</v>
      </c>
      <c r="B16" s="507">
        <f>+'BALANCE GRAL'!D47</f>
        <v>1003000000</v>
      </c>
      <c r="C16" s="507"/>
      <c r="D16" s="507">
        <f>C35</f>
        <v>1000000</v>
      </c>
      <c r="E16" s="507">
        <f>+'BALANCE GRAL'!E47</f>
        <v>1654838241</v>
      </c>
      <c r="F16" s="499">
        <f t="shared" si="0"/>
        <v>-652838241</v>
      </c>
      <c r="G16" s="507"/>
      <c r="H16" s="507"/>
      <c r="I16" s="507"/>
      <c r="J16" s="507"/>
      <c r="K16" s="507"/>
      <c r="L16" s="507"/>
      <c r="M16" s="507">
        <f>-F16</f>
        <v>652838241</v>
      </c>
      <c r="N16" s="507"/>
      <c r="O16" s="509"/>
    </row>
    <row r="17" spans="1:111">
      <c r="A17" s="510" t="s">
        <v>900</v>
      </c>
      <c r="B17" s="511">
        <f>'BALANCE GRAL'!D59</f>
        <v>16086331</v>
      </c>
      <c r="C17" s="514"/>
      <c r="D17" s="511"/>
      <c r="E17" s="511">
        <f>'BALANCE GRAL'!E59</f>
        <v>13232431</v>
      </c>
      <c r="F17" s="499">
        <f t="shared" si="0"/>
        <v>2853900</v>
      </c>
      <c r="G17" s="507"/>
      <c r="H17" s="507"/>
      <c r="I17" s="507"/>
      <c r="J17" s="507"/>
      <c r="K17" s="507"/>
      <c r="L17" s="507"/>
      <c r="M17" s="507">
        <f>-F17</f>
        <v>-2853900</v>
      </c>
      <c r="N17" s="507"/>
      <c r="O17" s="509"/>
    </row>
    <row r="18" spans="1:111">
      <c r="A18" s="515" t="s">
        <v>901</v>
      </c>
      <c r="B18" s="516">
        <f>'BALANCE GRAL'!D60</f>
        <v>-949819</v>
      </c>
      <c r="C18" s="516">
        <f>D50-C20</f>
        <v>0</v>
      </c>
      <c r="D18" s="517"/>
      <c r="E18" s="516">
        <f>'BALANCE GRAL'!E60</f>
        <v>-949819</v>
      </c>
      <c r="F18" s="518">
        <f t="shared" si="0"/>
        <v>0</v>
      </c>
      <c r="G18" s="512"/>
      <c r="H18" s="512"/>
      <c r="I18" s="512"/>
      <c r="J18" s="512"/>
      <c r="K18" s="512"/>
      <c r="L18" s="512"/>
      <c r="M18" s="512"/>
      <c r="N18" s="512"/>
      <c r="O18" s="513"/>
    </row>
    <row r="19" spans="1:111">
      <c r="A19" s="510" t="s">
        <v>902</v>
      </c>
      <c r="B19" s="511">
        <f>'[8]Balance Gral 2022'!$B$46</f>
        <v>76985842</v>
      </c>
      <c r="C19" s="514"/>
      <c r="D19" s="511"/>
      <c r="E19" s="511">
        <v>76985842</v>
      </c>
      <c r="F19" s="499">
        <f t="shared" si="0"/>
        <v>0</v>
      </c>
      <c r="G19" s="507"/>
      <c r="H19" s="507"/>
      <c r="I19" s="507"/>
      <c r="J19" s="507"/>
      <c r="K19" s="507"/>
      <c r="L19" s="507"/>
      <c r="M19" s="507">
        <f>-F19</f>
        <v>0</v>
      </c>
      <c r="N19" s="507"/>
      <c r="O19" s="509"/>
    </row>
    <row r="20" spans="1:111">
      <c r="A20" s="515" t="s">
        <v>903</v>
      </c>
      <c r="B20" s="516">
        <f>'[10]Balance Gral 2022'!$B$59</f>
        <v>-38492921</v>
      </c>
      <c r="C20" s="516">
        <v>0</v>
      </c>
      <c r="D20" s="517">
        <v>0</v>
      </c>
      <c r="E20" s="516">
        <f>+'[8]Balance Gral 2022'!$B$47</f>
        <v>-38492921</v>
      </c>
      <c r="F20" s="518">
        <f>B20-E20+C20-D20</f>
        <v>0</v>
      </c>
      <c r="G20" s="512"/>
      <c r="H20" s="512"/>
      <c r="I20" s="512"/>
      <c r="J20" s="512"/>
      <c r="K20" s="512"/>
      <c r="L20" s="512"/>
      <c r="M20" s="512"/>
      <c r="N20" s="512"/>
      <c r="O20" s="513"/>
    </row>
    <row r="21" spans="1:111" s="523" customFormat="1">
      <c r="A21" s="519" t="s">
        <v>904</v>
      </c>
      <c r="B21" s="524">
        <f>+'BALANCE GRAL'!D36</f>
        <v>4023223</v>
      </c>
      <c r="C21" s="525">
        <f>D25-C28-'BALANCE GRAL'!G34+D49</f>
        <v>998105549</v>
      </c>
      <c r="D21" s="526">
        <f>4023223+2</f>
        <v>4023225</v>
      </c>
      <c r="E21" s="526">
        <f>+'BALANCE GRAL'!E36</f>
        <v>998105547</v>
      </c>
      <c r="F21" s="518">
        <f t="shared" si="0"/>
        <v>0</v>
      </c>
      <c r="G21" s="520"/>
      <c r="H21" s="520"/>
      <c r="I21" s="520"/>
      <c r="J21" s="520"/>
      <c r="K21" s="520"/>
      <c r="L21" s="520">
        <f>-F21</f>
        <v>0</v>
      </c>
      <c r="M21" s="520">
        <v>0</v>
      </c>
      <c r="N21" s="520"/>
      <c r="O21" s="521"/>
      <c r="P21" s="522">
        <v>8975342</v>
      </c>
      <c r="Q21" s="522">
        <v>105780824</v>
      </c>
      <c r="R21" s="522">
        <f>+Q21+P21</f>
        <v>114756166</v>
      </c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3"/>
      <c r="AU21" s="463"/>
      <c r="AV21" s="463"/>
      <c r="AW21" s="463"/>
      <c r="AX21" s="463"/>
      <c r="AY21" s="463"/>
      <c r="AZ21" s="463"/>
      <c r="BA21" s="463"/>
      <c r="BB21" s="463"/>
      <c r="BC21" s="463"/>
      <c r="BD21" s="463"/>
      <c r="BE21" s="463"/>
      <c r="BF21" s="463"/>
      <c r="BG21" s="463"/>
      <c r="BH21" s="463"/>
      <c r="BI21" s="463"/>
      <c r="BJ21" s="463"/>
      <c r="BK21" s="463"/>
      <c r="BL21" s="463"/>
      <c r="BM21" s="463"/>
      <c r="BN21" s="463"/>
      <c r="BO21" s="463"/>
      <c r="BP21" s="463"/>
      <c r="BQ21" s="463"/>
      <c r="BR21" s="463"/>
      <c r="BS21" s="463"/>
      <c r="BT21" s="463"/>
      <c r="BU21" s="463"/>
      <c r="BV21" s="463"/>
      <c r="BW21" s="463"/>
      <c r="BX21" s="463"/>
      <c r="BY21" s="463"/>
      <c r="BZ21" s="463"/>
      <c r="CA21" s="463"/>
      <c r="CB21" s="463"/>
      <c r="CC21" s="463"/>
      <c r="CD21" s="463"/>
      <c r="CE21" s="463"/>
      <c r="CF21" s="463"/>
      <c r="CG21" s="463"/>
      <c r="CH21" s="463"/>
      <c r="CI21" s="463"/>
      <c r="CJ21" s="463"/>
      <c r="CK21" s="463"/>
      <c r="CL21" s="463"/>
      <c r="CM21" s="463"/>
      <c r="CN21" s="463"/>
      <c r="CO21" s="463"/>
      <c r="CP21" s="463"/>
      <c r="CQ21" s="463"/>
      <c r="CR21" s="463"/>
      <c r="CS21" s="463"/>
      <c r="CT21" s="463"/>
      <c r="CU21" s="463"/>
      <c r="CV21" s="463"/>
      <c r="CW21" s="463"/>
      <c r="CX21" s="463"/>
      <c r="CY21" s="463"/>
      <c r="CZ21" s="463"/>
      <c r="DA21" s="463"/>
      <c r="DB21" s="463"/>
      <c r="DC21" s="463"/>
      <c r="DD21" s="463"/>
      <c r="DE21" s="463"/>
      <c r="DF21" s="463"/>
      <c r="DG21" s="463"/>
    </row>
    <row r="22" spans="1:111" s="523" customFormat="1">
      <c r="A22" s="519" t="s">
        <v>905</v>
      </c>
      <c r="B22" s="524">
        <f>'BALANCE GRAL'!D32</f>
        <v>0</v>
      </c>
      <c r="C22" s="525"/>
      <c r="D22" s="526"/>
      <c r="E22" s="526">
        <v>0</v>
      </c>
      <c r="F22" s="518">
        <f t="shared" si="0"/>
        <v>0</v>
      </c>
      <c r="G22" s="527"/>
      <c r="H22" s="527"/>
      <c r="I22" s="527"/>
      <c r="J22" s="527"/>
      <c r="K22" s="527"/>
      <c r="L22" s="527"/>
      <c r="M22" s="527"/>
      <c r="N22" s="527"/>
      <c r="O22" s="528"/>
      <c r="P22" s="522"/>
      <c r="Q22" s="522"/>
      <c r="R22" s="522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3"/>
      <c r="AZ22" s="463"/>
      <c r="BA22" s="463"/>
      <c r="BB22" s="463"/>
      <c r="BC22" s="463"/>
      <c r="BD22" s="463"/>
      <c r="BE22" s="463"/>
      <c r="BF22" s="463"/>
      <c r="BG22" s="463"/>
      <c r="BH22" s="463"/>
      <c r="BI22" s="463"/>
      <c r="BJ22" s="463"/>
      <c r="BK22" s="463"/>
      <c r="BL22" s="463"/>
      <c r="BM22" s="463"/>
      <c r="BN22" s="463"/>
      <c r="BO22" s="463"/>
      <c r="BP22" s="463"/>
      <c r="BQ22" s="463"/>
      <c r="BR22" s="463"/>
      <c r="BS22" s="463"/>
      <c r="BT22" s="463"/>
      <c r="BU22" s="463"/>
      <c r="BV22" s="463"/>
      <c r="BW22" s="463"/>
      <c r="BX22" s="463"/>
      <c r="BY22" s="463"/>
      <c r="BZ22" s="463"/>
      <c r="CA22" s="463"/>
      <c r="CB22" s="463"/>
      <c r="CC22" s="463"/>
      <c r="CD22" s="463"/>
      <c r="CE22" s="463"/>
      <c r="CF22" s="463"/>
      <c r="CG22" s="463"/>
      <c r="CH22" s="463"/>
      <c r="CI22" s="463"/>
      <c r="CJ22" s="463"/>
      <c r="CK22" s="463"/>
      <c r="CL22" s="463"/>
      <c r="CM22" s="463"/>
      <c r="CN22" s="463"/>
      <c r="CO22" s="463"/>
      <c r="CP22" s="463"/>
      <c r="CQ22" s="463"/>
      <c r="CR22" s="463"/>
      <c r="CS22" s="463"/>
      <c r="CT22" s="463"/>
      <c r="CU22" s="463"/>
      <c r="CV22" s="463"/>
      <c r="CW22" s="463"/>
      <c r="CX22" s="463"/>
      <c r="CY22" s="463"/>
      <c r="CZ22" s="463"/>
      <c r="DA22" s="463"/>
      <c r="DB22" s="463"/>
      <c r="DC22" s="463"/>
      <c r="DD22" s="463"/>
      <c r="DE22" s="463"/>
      <c r="DF22" s="463"/>
      <c r="DG22" s="463"/>
    </row>
    <row r="23" spans="1:111" ht="13.8" thickBot="1">
      <c r="A23" s="529" t="s">
        <v>906</v>
      </c>
      <c r="B23" s="530">
        <f>SUM(B9:B22)</f>
        <v>10924118967</v>
      </c>
      <c r="C23" s="507"/>
      <c r="D23" s="507"/>
      <c r="E23" s="530">
        <f>SUM(E9:E22)</f>
        <v>11737588990</v>
      </c>
      <c r="F23" s="499">
        <v>0</v>
      </c>
      <c r="G23" s="507"/>
      <c r="H23" s="507"/>
      <c r="I23" s="507"/>
      <c r="J23" s="507"/>
      <c r="K23" s="507"/>
      <c r="L23" s="507"/>
      <c r="M23" s="507"/>
      <c r="N23" s="507"/>
      <c r="O23" s="509"/>
      <c r="P23" s="522">
        <v>1599667</v>
      </c>
      <c r="Q23" s="522">
        <v>9474951</v>
      </c>
      <c r="R23" s="522">
        <f>+Q23+P23</f>
        <v>11074618</v>
      </c>
    </row>
    <row r="24" spans="1:111" ht="13.8" thickTop="1">
      <c r="A24" s="531" t="s">
        <v>907</v>
      </c>
      <c r="B24" s="532">
        <f>+B23-'BALANCE GRAL'!D76</f>
        <v>0</v>
      </c>
      <c r="C24" s="533"/>
      <c r="D24" s="533"/>
      <c r="E24" s="532">
        <f>E23-'BALANCE GRAL'!E76</f>
        <v>0</v>
      </c>
      <c r="F24" s="534">
        <f t="shared" ref="F24:F39" si="1">B24-E24+C24-D24</f>
        <v>0</v>
      </c>
      <c r="G24" s="507"/>
      <c r="H24" s="507"/>
      <c r="I24" s="507"/>
      <c r="J24" s="507"/>
      <c r="K24" s="507"/>
      <c r="L24" s="507"/>
      <c r="M24" s="507"/>
      <c r="N24" s="507"/>
      <c r="O24" s="509"/>
      <c r="P24" s="522">
        <v>4727013</v>
      </c>
      <c r="Q24" s="522">
        <v>30725588</v>
      </c>
      <c r="R24" s="522">
        <f>+Q24+P24</f>
        <v>35452601</v>
      </c>
    </row>
    <row r="25" spans="1:111">
      <c r="A25" s="506" t="s">
        <v>908</v>
      </c>
      <c r="B25" s="535">
        <f>-'BALANCE GRAL'!G20</f>
        <v>-6762125168</v>
      </c>
      <c r="C25" s="507">
        <f>D53</f>
        <v>416085002</v>
      </c>
      <c r="D25" s="507">
        <f>C25</f>
        <v>416085002</v>
      </c>
      <c r="E25" s="535">
        <f>-'BALANCE GRAL'!H20</f>
        <v>-7170492535</v>
      </c>
      <c r="F25" s="499">
        <f t="shared" si="1"/>
        <v>408367367</v>
      </c>
      <c r="G25" s="507"/>
      <c r="H25" s="507"/>
      <c r="I25" s="507"/>
      <c r="J25" s="507"/>
      <c r="K25" s="507"/>
      <c r="L25" s="507"/>
      <c r="M25" s="507"/>
      <c r="N25" s="507">
        <f>-F25</f>
        <v>-408367367</v>
      </c>
      <c r="O25" s="509"/>
      <c r="P25" s="522">
        <v>5522903</v>
      </c>
      <c r="Q25" s="522">
        <v>52954902</v>
      </c>
      <c r="R25" s="522">
        <f>+Q25+P25</f>
        <v>58477805</v>
      </c>
    </row>
    <row r="26" spans="1:111">
      <c r="A26" s="506" t="s">
        <v>909</v>
      </c>
      <c r="B26" s="507">
        <f>-'BALANCE GRAL'!G10</f>
        <v>-587104398</v>
      </c>
      <c r="C26" s="507">
        <f>+D33</f>
        <v>0</v>
      </c>
      <c r="D26" s="507">
        <v>0</v>
      </c>
      <c r="E26" s="507">
        <f>-'BALANCE GRAL'!H10</f>
        <v>-317004338</v>
      </c>
      <c r="F26" s="499">
        <f t="shared" si="1"/>
        <v>-270100060</v>
      </c>
      <c r="G26" s="507">
        <f>-F26</f>
        <v>270100060</v>
      </c>
      <c r="H26" s="507"/>
      <c r="J26" s="507"/>
      <c r="K26" s="507"/>
      <c r="L26" s="507"/>
      <c r="M26" s="507"/>
      <c r="N26" s="507"/>
      <c r="O26" s="509"/>
      <c r="P26" s="522">
        <v>1172931</v>
      </c>
      <c r="Q26" s="522">
        <v>51608984</v>
      </c>
      <c r="R26" s="522">
        <f>+Q26+P26</f>
        <v>52781915</v>
      </c>
    </row>
    <row r="27" spans="1:111">
      <c r="A27" s="506" t="s">
        <v>910</v>
      </c>
      <c r="B27" s="507">
        <f>-'BALANCE GRAL'!G11-'BALANCE GRAL'!G2-1-'BALANCE GRAL'!G12-'BALANCE GRAL'!G25-'BALANCE GRAL'!G34</f>
        <v>-39464995</v>
      </c>
      <c r="C27" s="507">
        <f>D21</f>
        <v>4023225</v>
      </c>
      <c r="D27" s="507">
        <v>-4884822</v>
      </c>
      <c r="E27" s="507">
        <f>-'BALANCE GRAL'!H11-'BALANCE GRAL'!H2-1-'BALANCE GRAL'!H12-'BALANCE GRAL'!H25</f>
        <v>-66887553</v>
      </c>
      <c r="F27" s="499">
        <f t="shared" si="1"/>
        <v>36330605</v>
      </c>
      <c r="G27" s="507"/>
      <c r="H27" s="507"/>
      <c r="I27" s="507"/>
      <c r="J27" s="507"/>
      <c r="K27" s="507"/>
      <c r="L27" s="507">
        <f>-F27</f>
        <v>-36330605</v>
      </c>
      <c r="M27" s="507"/>
      <c r="N27" s="507"/>
      <c r="O27" s="509"/>
      <c r="P27" s="532">
        <f>SUM(P21:P26)</f>
        <v>21997856</v>
      </c>
      <c r="Q27" s="532">
        <f>SUM(Q21:Q26)</f>
        <v>250545249</v>
      </c>
      <c r="R27" s="532">
        <f>SUM(R21:R26)</f>
        <v>272543105</v>
      </c>
    </row>
    <row r="28" spans="1:111">
      <c r="A28" s="506" t="s">
        <v>911</v>
      </c>
      <c r="B28" s="507"/>
      <c r="C28" s="507">
        <f>E28</f>
        <v>-454881917</v>
      </c>
      <c r="D28" s="507">
        <v>0</v>
      </c>
      <c r="E28" s="507">
        <f>-'BALANCE GRAL'!H34</f>
        <v>-454881917</v>
      </c>
      <c r="F28" s="499">
        <f t="shared" si="1"/>
        <v>0</v>
      </c>
      <c r="G28" s="507"/>
      <c r="H28" s="507"/>
      <c r="I28" s="507"/>
      <c r="J28" s="507"/>
      <c r="K28" s="507"/>
      <c r="L28" s="507">
        <f>-F28</f>
        <v>0</v>
      </c>
      <c r="M28" s="507"/>
      <c r="N28" s="507"/>
      <c r="O28" s="509"/>
      <c r="P28" s="532"/>
      <c r="Q28" s="532"/>
      <c r="R28" s="532"/>
    </row>
    <row r="29" spans="1:111">
      <c r="A29" s="506" t="s">
        <v>912</v>
      </c>
      <c r="B29" s="507">
        <v>0</v>
      </c>
      <c r="C29" s="507">
        <f>+D48</f>
        <v>0</v>
      </c>
      <c r="D29" s="507"/>
      <c r="E29" s="507">
        <v>0</v>
      </c>
      <c r="F29" s="499">
        <f t="shared" si="1"/>
        <v>0</v>
      </c>
      <c r="G29" s="507"/>
      <c r="H29" s="507"/>
      <c r="I29" s="507"/>
      <c r="J29" s="507"/>
      <c r="K29" s="507"/>
      <c r="L29" s="507">
        <v>0</v>
      </c>
      <c r="M29" s="507"/>
      <c r="N29" s="507">
        <f>-F29</f>
        <v>0</v>
      </c>
      <c r="O29" s="509"/>
      <c r="P29" s="522"/>
      <c r="Q29" s="522"/>
      <c r="R29" s="522"/>
    </row>
    <row r="30" spans="1:111">
      <c r="A30" s="506" t="s">
        <v>913</v>
      </c>
      <c r="B30" s="507">
        <v>0</v>
      </c>
      <c r="C30" s="507"/>
      <c r="D30" s="507"/>
      <c r="E30" s="507">
        <v>0</v>
      </c>
      <c r="F30" s="499">
        <f t="shared" si="1"/>
        <v>0</v>
      </c>
      <c r="G30" s="507"/>
      <c r="H30" s="507"/>
      <c r="I30" s="507"/>
      <c r="J30" s="507">
        <f>-F30</f>
        <v>0</v>
      </c>
      <c r="K30" s="462"/>
      <c r="M30" s="507"/>
      <c r="N30" s="507"/>
      <c r="O30" s="509"/>
      <c r="P30" s="522"/>
      <c r="Q30" s="522"/>
      <c r="R30" s="522"/>
    </row>
    <row r="31" spans="1:111">
      <c r="A31" s="506" t="s">
        <v>914</v>
      </c>
      <c r="B31" s="507">
        <v>0</v>
      </c>
      <c r="C31" s="536"/>
      <c r="D31" s="507"/>
      <c r="E31" s="507">
        <v>0</v>
      </c>
      <c r="F31" s="499">
        <f t="shared" si="1"/>
        <v>0</v>
      </c>
      <c r="G31" s="507"/>
      <c r="H31" s="507"/>
      <c r="I31" s="507"/>
      <c r="J31" s="507"/>
      <c r="K31" s="507"/>
      <c r="L31" s="507">
        <f>-F31</f>
        <v>0</v>
      </c>
      <c r="M31" s="507"/>
      <c r="N31" s="507"/>
      <c r="O31" s="509"/>
      <c r="P31" s="522"/>
      <c r="Q31" s="522"/>
      <c r="R31" s="522"/>
    </row>
    <row r="32" spans="1:111">
      <c r="A32" s="537" t="s">
        <v>915</v>
      </c>
      <c r="B32" s="538">
        <f>-'BALANCE GRAL'!G63</f>
        <v>-3805000000</v>
      </c>
      <c r="C32" s="539">
        <v>0</v>
      </c>
      <c r="D32" s="538"/>
      <c r="E32" s="538">
        <f>-'BALANCE GRAL'!H63</f>
        <v>-3805000000</v>
      </c>
      <c r="F32" s="518">
        <f t="shared" si="1"/>
        <v>0</v>
      </c>
      <c r="G32" s="507"/>
      <c r="H32" s="507"/>
      <c r="I32" s="507"/>
      <c r="J32" s="507"/>
      <c r="K32" s="507"/>
      <c r="L32" s="507"/>
      <c r="M32" s="507"/>
      <c r="N32" s="507">
        <f>-F32</f>
        <v>0</v>
      </c>
      <c r="O32" s="509"/>
      <c r="P32" s="522"/>
      <c r="Q32" s="522"/>
      <c r="R32" s="522"/>
    </row>
    <row r="33" spans="1:111">
      <c r="A33" s="506" t="s">
        <v>916</v>
      </c>
      <c r="B33" s="507">
        <v>0</v>
      </c>
      <c r="C33" s="462"/>
      <c r="D33" s="507">
        <v>0</v>
      </c>
      <c r="E33" s="507">
        <v>0</v>
      </c>
      <c r="F33" s="499">
        <f t="shared" si="1"/>
        <v>0</v>
      </c>
      <c r="G33" s="507"/>
      <c r="H33" s="507"/>
      <c r="I33" s="507"/>
      <c r="J33" s="507"/>
      <c r="K33" s="507"/>
      <c r="L33" s="507"/>
      <c r="M33" s="507"/>
      <c r="N33" s="507">
        <f>-F33</f>
        <v>0</v>
      </c>
      <c r="O33" s="509"/>
      <c r="P33" s="522"/>
      <c r="Q33" s="522"/>
      <c r="R33" s="522"/>
    </row>
    <row r="34" spans="1:111">
      <c r="A34" s="515" t="s">
        <v>917</v>
      </c>
      <c r="B34" s="516">
        <v>0</v>
      </c>
      <c r="C34" s="516">
        <v>0</v>
      </c>
      <c r="D34" s="516">
        <v>0</v>
      </c>
      <c r="E34" s="516">
        <v>0</v>
      </c>
      <c r="F34" s="518">
        <f t="shared" si="1"/>
        <v>0</v>
      </c>
      <c r="G34" s="512"/>
      <c r="H34" s="512"/>
      <c r="I34" s="512"/>
      <c r="J34" s="512"/>
      <c r="K34" s="512"/>
      <c r="L34" s="512"/>
      <c r="M34" s="512"/>
      <c r="N34" s="512"/>
      <c r="O34" s="513"/>
      <c r="P34" s="522"/>
      <c r="Q34" s="522"/>
      <c r="R34" s="522"/>
    </row>
    <row r="35" spans="1:111">
      <c r="A35" s="515" t="s">
        <v>918</v>
      </c>
      <c r="B35" s="516">
        <f>-'BALANCE GRAL'!G67</f>
        <v>-103000000</v>
      </c>
      <c r="C35" s="516">
        <v>1000000</v>
      </c>
      <c r="D35" s="516">
        <v>0</v>
      </c>
      <c r="E35" s="516">
        <f>-'BALANCE GRAL'!H67</f>
        <v>-102000000</v>
      </c>
      <c r="F35" s="518">
        <f t="shared" si="1"/>
        <v>0</v>
      </c>
      <c r="G35" s="512"/>
      <c r="H35" s="512"/>
      <c r="I35" s="512"/>
      <c r="J35" s="512"/>
      <c r="K35" s="512"/>
      <c r="L35" s="512"/>
      <c r="M35" s="512"/>
      <c r="N35" s="512"/>
      <c r="O35" s="513"/>
      <c r="P35" s="522"/>
      <c r="Q35" s="522"/>
      <c r="R35" s="522"/>
    </row>
    <row r="36" spans="1:111">
      <c r="A36" s="515" t="s">
        <v>919</v>
      </c>
      <c r="B36" s="516">
        <v>0</v>
      </c>
      <c r="C36" s="516">
        <v>0</v>
      </c>
      <c r="D36" s="516">
        <v>0</v>
      </c>
      <c r="E36" s="516">
        <v>0</v>
      </c>
      <c r="F36" s="518">
        <f t="shared" si="1"/>
        <v>0</v>
      </c>
      <c r="G36" s="512"/>
      <c r="H36" s="512"/>
      <c r="I36" s="512"/>
      <c r="J36" s="512"/>
      <c r="K36" s="512"/>
      <c r="L36" s="512"/>
      <c r="M36" s="512"/>
      <c r="N36" s="512"/>
      <c r="O36" s="513"/>
      <c r="P36" s="522"/>
      <c r="Q36" s="522"/>
      <c r="R36" s="522"/>
    </row>
    <row r="37" spans="1:111" s="523" customFormat="1">
      <c r="A37" s="515" t="s">
        <v>920</v>
      </c>
      <c r="B37" s="516">
        <f>-'BALANCE GRAL'!G72+1</f>
        <v>178677352</v>
      </c>
      <c r="C37" s="516">
        <f>D39</f>
        <v>-169147450</v>
      </c>
      <c r="D37" s="516">
        <v>-1</v>
      </c>
      <c r="E37" s="516">
        <f>-'BALANCE GRAL'!H72+1</f>
        <v>9529902.7300000004</v>
      </c>
      <c r="F37" s="518">
        <f t="shared" si="1"/>
        <v>0.27000001072883606</v>
      </c>
      <c r="G37" s="512"/>
      <c r="H37" s="512"/>
      <c r="I37" s="512"/>
      <c r="J37" s="512"/>
      <c r="K37" s="512"/>
      <c r="L37" s="512"/>
      <c r="M37" s="512"/>
      <c r="N37" s="512"/>
      <c r="O37" s="513"/>
      <c r="P37" s="522"/>
      <c r="Q37" s="522"/>
      <c r="R37" s="522"/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  <c r="AQ37" s="463"/>
      <c r="AR37" s="463"/>
      <c r="AS37" s="463"/>
      <c r="AT37" s="463"/>
      <c r="AU37" s="463"/>
      <c r="AV37" s="463"/>
      <c r="AW37" s="463"/>
      <c r="AX37" s="463"/>
      <c r="AY37" s="463"/>
      <c r="AZ37" s="463"/>
      <c r="BA37" s="463"/>
      <c r="BB37" s="463"/>
      <c r="BC37" s="463"/>
      <c r="BD37" s="463"/>
      <c r="BE37" s="463"/>
      <c r="BF37" s="463"/>
      <c r="BG37" s="463"/>
      <c r="BH37" s="463"/>
      <c r="BI37" s="463"/>
      <c r="BJ37" s="463"/>
      <c r="BK37" s="463"/>
      <c r="BL37" s="463"/>
      <c r="BM37" s="463"/>
      <c r="BN37" s="463"/>
      <c r="BO37" s="463"/>
      <c r="BP37" s="463"/>
      <c r="BQ37" s="463"/>
      <c r="BR37" s="463"/>
      <c r="BS37" s="463"/>
      <c r="BT37" s="463"/>
      <c r="BU37" s="463"/>
      <c r="BV37" s="463"/>
      <c r="BW37" s="463"/>
      <c r="BX37" s="463"/>
      <c r="BY37" s="463"/>
      <c r="BZ37" s="463"/>
      <c r="CA37" s="463"/>
      <c r="CB37" s="463"/>
      <c r="CC37" s="463"/>
      <c r="CD37" s="463"/>
      <c r="CE37" s="463"/>
      <c r="CF37" s="463"/>
      <c r="CG37" s="463"/>
      <c r="CH37" s="463"/>
      <c r="CI37" s="463"/>
      <c r="CJ37" s="463"/>
      <c r="CK37" s="463"/>
      <c r="CL37" s="463"/>
      <c r="CM37" s="463"/>
      <c r="CN37" s="463"/>
      <c r="CO37" s="463"/>
      <c r="CP37" s="463"/>
      <c r="CQ37" s="463"/>
      <c r="CR37" s="463"/>
      <c r="CS37" s="463"/>
      <c r="CT37" s="463"/>
      <c r="CU37" s="463"/>
      <c r="CV37" s="463"/>
      <c r="CW37" s="463"/>
      <c r="CX37" s="463"/>
      <c r="CY37" s="463"/>
      <c r="CZ37" s="463"/>
      <c r="DA37" s="463"/>
      <c r="DB37" s="463"/>
      <c r="DC37" s="463"/>
      <c r="DD37" s="463"/>
      <c r="DE37" s="463"/>
      <c r="DF37" s="463"/>
      <c r="DG37" s="463"/>
    </row>
    <row r="38" spans="1:111" s="523" customFormat="1">
      <c r="A38" s="515" t="s">
        <v>921</v>
      </c>
      <c r="B38" s="540">
        <v>0</v>
      </c>
      <c r="C38" s="516"/>
      <c r="D38" s="516"/>
      <c r="E38" s="540">
        <v>0</v>
      </c>
      <c r="F38" s="518">
        <f t="shared" si="1"/>
        <v>0</v>
      </c>
      <c r="G38" s="512"/>
      <c r="H38" s="512"/>
      <c r="I38" s="512"/>
      <c r="J38" s="512"/>
      <c r="K38" s="512"/>
      <c r="L38" s="541"/>
      <c r="M38" s="512"/>
      <c r="N38" s="512"/>
      <c r="O38" s="513"/>
      <c r="P38" s="522"/>
      <c r="Q38" s="522"/>
      <c r="R38" s="522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3"/>
      <c r="AS38" s="463"/>
      <c r="AT38" s="463"/>
      <c r="AU38" s="463"/>
      <c r="AV38" s="463"/>
      <c r="AW38" s="463"/>
      <c r="AX38" s="463"/>
      <c r="AY38" s="463"/>
      <c r="AZ38" s="463"/>
      <c r="BA38" s="463"/>
      <c r="BB38" s="463"/>
      <c r="BC38" s="463"/>
      <c r="BD38" s="463"/>
      <c r="BE38" s="463"/>
      <c r="BF38" s="463"/>
      <c r="BG38" s="463"/>
      <c r="BH38" s="463"/>
      <c r="BI38" s="463"/>
      <c r="BJ38" s="463"/>
      <c r="BK38" s="463"/>
      <c r="BL38" s="463"/>
      <c r="BM38" s="463"/>
      <c r="BN38" s="463"/>
      <c r="BO38" s="463"/>
      <c r="BP38" s="463"/>
      <c r="BQ38" s="463"/>
      <c r="BR38" s="463"/>
      <c r="BS38" s="463"/>
      <c r="BT38" s="463"/>
      <c r="BU38" s="463"/>
      <c r="BV38" s="463"/>
      <c r="BW38" s="463"/>
      <c r="BX38" s="463"/>
      <c r="BY38" s="463"/>
      <c r="BZ38" s="463"/>
      <c r="CA38" s="463"/>
      <c r="CB38" s="463"/>
      <c r="CC38" s="463"/>
      <c r="CD38" s="463"/>
      <c r="CE38" s="463"/>
      <c r="CF38" s="463"/>
      <c r="CG38" s="463"/>
      <c r="CH38" s="463"/>
      <c r="CI38" s="463"/>
      <c r="CJ38" s="463"/>
      <c r="CK38" s="463"/>
      <c r="CL38" s="463"/>
      <c r="CM38" s="463"/>
      <c r="CN38" s="463"/>
      <c r="CO38" s="463"/>
      <c r="CP38" s="463"/>
      <c r="CQ38" s="463"/>
      <c r="CR38" s="463"/>
      <c r="CS38" s="463"/>
      <c r="CT38" s="463"/>
      <c r="CU38" s="463"/>
      <c r="CV38" s="463"/>
      <c r="CW38" s="463"/>
      <c r="CX38" s="463"/>
      <c r="CY38" s="463"/>
      <c r="CZ38" s="463"/>
      <c r="DA38" s="463"/>
      <c r="DB38" s="463"/>
      <c r="DC38" s="463"/>
      <c r="DD38" s="463"/>
      <c r="DE38" s="463"/>
      <c r="DF38" s="463"/>
      <c r="DG38" s="463"/>
    </row>
    <row r="39" spans="1:111" s="523" customFormat="1" ht="13.8" thickBot="1">
      <c r="A39" s="515" t="s">
        <v>922</v>
      </c>
      <c r="B39" s="542">
        <f>-'BALANCE GRAL'!G73</f>
        <v>193898242.38999999</v>
      </c>
      <c r="C39" s="516">
        <f>+D58</f>
        <v>-193898242</v>
      </c>
      <c r="D39" s="543">
        <f>-169147451+1</f>
        <v>-169147450</v>
      </c>
      <c r="E39" s="542">
        <f>-'BALANCE GRAL'!H73</f>
        <v>169147450.69999999</v>
      </c>
      <c r="F39" s="518">
        <f t="shared" si="1"/>
        <v>-0.31000000238418579</v>
      </c>
      <c r="G39" s="512"/>
      <c r="H39" s="512"/>
      <c r="I39" s="512"/>
      <c r="J39" s="512"/>
      <c r="K39" s="512"/>
      <c r="L39" s="512"/>
      <c r="M39" s="512"/>
      <c r="N39" s="512"/>
      <c r="O39" s="513"/>
      <c r="P39" s="522"/>
      <c r="Q39" s="522"/>
      <c r="R39" s="522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3"/>
      <c r="BI39" s="463"/>
      <c r="BJ39" s="463"/>
      <c r="BK39" s="463"/>
      <c r="BL39" s="463"/>
      <c r="BM39" s="463"/>
      <c r="BN39" s="463"/>
      <c r="BO39" s="463"/>
      <c r="BP39" s="463"/>
      <c r="BQ39" s="463"/>
      <c r="BR39" s="463"/>
      <c r="BS39" s="463"/>
      <c r="BT39" s="463"/>
      <c r="BU39" s="463"/>
      <c r="BV39" s="463"/>
      <c r="BW39" s="463"/>
      <c r="BX39" s="463"/>
      <c r="BY39" s="463"/>
      <c r="BZ39" s="463"/>
      <c r="CA39" s="463"/>
      <c r="CB39" s="463"/>
      <c r="CC39" s="463"/>
      <c r="CD39" s="463"/>
      <c r="CE39" s="463"/>
      <c r="CF39" s="463"/>
      <c r="CG39" s="463"/>
      <c r="CH39" s="463"/>
      <c r="CI39" s="463"/>
      <c r="CJ39" s="463"/>
      <c r="CK39" s="463"/>
      <c r="CL39" s="463"/>
      <c r="CM39" s="463"/>
      <c r="CN39" s="463"/>
      <c r="CO39" s="463"/>
      <c r="CP39" s="463"/>
      <c r="CQ39" s="463"/>
      <c r="CR39" s="463"/>
      <c r="CS39" s="463"/>
      <c r="CT39" s="463"/>
      <c r="CU39" s="463"/>
      <c r="CV39" s="463"/>
      <c r="CW39" s="463"/>
      <c r="CX39" s="463"/>
      <c r="CY39" s="463"/>
      <c r="CZ39" s="463"/>
      <c r="DA39" s="463"/>
      <c r="DB39" s="463"/>
      <c r="DC39" s="463"/>
      <c r="DD39" s="463"/>
      <c r="DE39" s="463"/>
      <c r="DF39" s="463"/>
      <c r="DG39" s="463"/>
    </row>
    <row r="40" spans="1:111" ht="13.8" thickBot="1">
      <c r="A40" s="544" t="s">
        <v>649</v>
      </c>
      <c r="B40" s="530">
        <f>SUM(B25:B39)</f>
        <v>-10924118966.610001</v>
      </c>
      <c r="C40" s="507"/>
      <c r="D40" s="507"/>
      <c r="E40" s="530">
        <f>SUM(E25:E39)</f>
        <v>-11737588989.57</v>
      </c>
      <c r="F40" s="499"/>
      <c r="G40" s="507"/>
      <c r="H40" s="507"/>
      <c r="I40" s="507"/>
      <c r="J40" s="507"/>
      <c r="K40" s="507"/>
      <c r="L40" s="507"/>
      <c r="M40" s="507"/>
      <c r="N40" s="507"/>
      <c r="O40" s="509"/>
      <c r="P40" s="522"/>
      <c r="Q40" s="522"/>
      <c r="R40" s="522"/>
    </row>
    <row r="41" spans="1:111" ht="13.8" thickTop="1">
      <c r="A41" s="531" t="s">
        <v>923</v>
      </c>
      <c r="B41" s="545">
        <f>+B40+B23</f>
        <v>0.3899993896484375</v>
      </c>
      <c r="C41" s="507"/>
      <c r="D41" s="507"/>
      <c r="E41" s="545">
        <f>+E40+E23</f>
        <v>0.43000030517578125</v>
      </c>
      <c r="F41" s="499">
        <v>0</v>
      </c>
      <c r="G41" s="507"/>
      <c r="H41" s="507"/>
      <c r="I41" s="507"/>
      <c r="J41" s="507"/>
      <c r="K41" s="507"/>
      <c r="L41" s="507"/>
      <c r="M41" s="507"/>
      <c r="N41" s="507"/>
      <c r="O41" s="509"/>
      <c r="P41" s="522"/>
      <c r="Q41" s="522"/>
      <c r="R41" s="522"/>
    </row>
    <row r="42" spans="1:111">
      <c r="A42" s="506" t="s">
        <v>924</v>
      </c>
      <c r="B42" s="507">
        <f>(+'ESTADOS DE RESULTADOS '!E14+'ESTADOS DE RESULTADOS '!E26+'ESTADOS DE RESULTADOS '!E32+'ESTADOS DE RESULTADOS '!E24)*-1</f>
        <v>-188340968</v>
      </c>
      <c r="C42" s="507"/>
      <c r="D42" s="507"/>
      <c r="E42" s="507">
        <v>0</v>
      </c>
      <c r="F42" s="499">
        <f t="shared" ref="F42:F53" si="2">B42-E42+C42-D42</f>
        <v>-188340968</v>
      </c>
      <c r="G42" s="507">
        <f>-F42</f>
        <v>188340968</v>
      </c>
      <c r="H42" s="507"/>
      <c r="I42" s="507"/>
      <c r="J42" s="507"/>
      <c r="K42" s="507"/>
      <c r="L42" s="507"/>
      <c r="M42" s="507"/>
      <c r="N42" s="507"/>
      <c r="O42" s="509"/>
    </row>
    <row r="43" spans="1:111">
      <c r="A43" s="506" t="s">
        <v>925</v>
      </c>
      <c r="B43" s="507">
        <f>-'ESTADOS DE RESULTADOS '!E79-'ESTADOS DE RESULTADOS '!E84-B44</f>
        <v>-480512808</v>
      </c>
      <c r="C43" s="507">
        <v>0</v>
      </c>
      <c r="D43" s="507">
        <v>0</v>
      </c>
      <c r="E43" s="507">
        <v>0</v>
      </c>
      <c r="F43" s="499">
        <f t="shared" si="2"/>
        <v>-480512808</v>
      </c>
      <c r="G43" s="507">
        <f>-F43</f>
        <v>480512808</v>
      </c>
      <c r="H43" s="507">
        <v>0</v>
      </c>
      <c r="I43" s="507"/>
      <c r="J43" s="507"/>
      <c r="K43" s="507"/>
      <c r="L43" s="507"/>
      <c r="M43" s="507"/>
      <c r="N43" s="507"/>
      <c r="O43" s="509"/>
    </row>
    <row r="44" spans="1:111">
      <c r="A44" s="547" t="s">
        <v>926</v>
      </c>
      <c r="B44" s="548">
        <f>-[7]EERR!$B$20</f>
        <v>-587215882</v>
      </c>
      <c r="C44" s="525">
        <f>-B44</f>
        <v>587215882</v>
      </c>
      <c r="D44" s="549">
        <v>0</v>
      </c>
      <c r="E44" s="548">
        <v>0</v>
      </c>
      <c r="F44" s="504">
        <f t="shared" si="2"/>
        <v>0</v>
      </c>
      <c r="G44" s="512"/>
      <c r="H44" s="512"/>
      <c r="I44" s="512"/>
      <c r="J44" s="512"/>
      <c r="K44" s="512"/>
      <c r="L44" s="512">
        <f>-F44</f>
        <v>0</v>
      </c>
      <c r="M44" s="512">
        <v>0</v>
      </c>
      <c r="N44" s="512"/>
      <c r="O44" s="513"/>
    </row>
    <row r="45" spans="1:111">
      <c r="A45" s="506" t="s">
        <v>927</v>
      </c>
      <c r="B45" s="507">
        <v>0</v>
      </c>
      <c r="C45" s="507"/>
      <c r="D45" s="507"/>
      <c r="E45" s="507">
        <v>0</v>
      </c>
      <c r="F45" s="499">
        <f t="shared" si="2"/>
        <v>0</v>
      </c>
      <c r="G45" s="507"/>
      <c r="H45" s="507"/>
      <c r="I45" s="507"/>
      <c r="J45" s="507"/>
      <c r="K45" s="507"/>
      <c r="L45" s="507"/>
      <c r="M45" s="507">
        <f>-B45</f>
        <v>0</v>
      </c>
      <c r="N45" s="507"/>
      <c r="O45" s="509"/>
    </row>
    <row r="46" spans="1:111">
      <c r="A46" s="506" t="s">
        <v>928</v>
      </c>
      <c r="B46" s="507">
        <f>+'ESTADOS DE RESULTADOS '!E37</f>
        <v>104315679</v>
      </c>
      <c r="C46" s="507"/>
      <c r="D46" s="507"/>
      <c r="E46" s="507">
        <v>0</v>
      </c>
      <c r="F46" s="499">
        <f t="shared" si="2"/>
        <v>104315679</v>
      </c>
      <c r="G46" s="507">
        <f>-F46</f>
        <v>-104315679</v>
      </c>
      <c r="H46" s="507"/>
      <c r="I46" s="507"/>
      <c r="J46" s="507"/>
      <c r="K46" s="507"/>
      <c r="L46" s="507"/>
      <c r="M46" s="507"/>
      <c r="N46" s="507"/>
      <c r="O46" s="509"/>
    </row>
    <row r="47" spans="1:111">
      <c r="A47" s="506" t="s">
        <v>929</v>
      </c>
      <c r="B47" s="507">
        <f>[7]EERR!$B$44</f>
        <v>123726359</v>
      </c>
      <c r="C47" s="507"/>
      <c r="D47" s="507"/>
      <c r="E47" s="507">
        <v>0</v>
      </c>
      <c r="F47" s="499">
        <f t="shared" si="2"/>
        <v>123726359</v>
      </c>
      <c r="G47" s="507"/>
      <c r="H47" s="507"/>
      <c r="I47" s="507"/>
      <c r="J47" s="507"/>
      <c r="K47" s="507">
        <f>-F47</f>
        <v>-123726359</v>
      </c>
      <c r="L47" s="507"/>
      <c r="M47" s="507"/>
      <c r="N47" s="507"/>
      <c r="O47" s="509"/>
    </row>
    <row r="48" spans="1:111">
      <c r="A48" s="506" t="s">
        <v>930</v>
      </c>
      <c r="B48" s="507">
        <v>0</v>
      </c>
      <c r="C48" s="507"/>
      <c r="D48" s="507">
        <f>+B48</f>
        <v>0</v>
      </c>
      <c r="E48" s="507">
        <v>0</v>
      </c>
      <c r="F48" s="499">
        <f t="shared" si="2"/>
        <v>0</v>
      </c>
      <c r="G48" s="507"/>
      <c r="H48" s="507"/>
      <c r="I48" s="507"/>
      <c r="J48" s="507"/>
      <c r="K48" s="507"/>
      <c r="L48" s="507">
        <f>-F48</f>
        <v>0</v>
      </c>
      <c r="M48" s="507"/>
      <c r="N48" s="507"/>
      <c r="O48" s="509"/>
    </row>
    <row r="49" spans="1:15">
      <c r="A49" s="506" t="s">
        <v>931</v>
      </c>
      <c r="B49" s="535">
        <f>+'ESTADOS DE RESULTADOS '!E48-'ESTADOS DE RESULTADOS '!E49-'ESTADOS DE RESULTADOS '!E87-B53+'ESTADOS DE RESULTADOS '!E43</f>
        <v>805840860</v>
      </c>
      <c r="C49" s="507">
        <v>-1</v>
      </c>
      <c r="D49" s="546">
        <v>132023452</v>
      </c>
      <c r="E49" s="535">
        <v>0</v>
      </c>
      <c r="F49" s="499">
        <f t="shared" si="2"/>
        <v>673817407</v>
      </c>
      <c r="G49" s="507"/>
      <c r="H49" s="507"/>
      <c r="I49" s="507"/>
      <c r="J49" s="507"/>
      <c r="K49" s="507"/>
      <c r="L49" s="507">
        <f>-F49</f>
        <v>-673817407</v>
      </c>
      <c r="M49" s="507"/>
      <c r="N49" s="507"/>
      <c r="O49" s="509"/>
    </row>
    <row r="50" spans="1:15">
      <c r="A50" s="547" t="s">
        <v>932</v>
      </c>
      <c r="B50" s="548">
        <f>'ESTADOS DE RESULTADOS '!E93</f>
        <v>0</v>
      </c>
      <c r="C50" s="525"/>
      <c r="D50" s="549">
        <f>+B50</f>
        <v>0</v>
      </c>
      <c r="E50" s="548">
        <v>0</v>
      </c>
      <c r="F50" s="504">
        <f t="shared" si="2"/>
        <v>0</v>
      </c>
      <c r="G50" s="512"/>
      <c r="H50" s="512"/>
      <c r="I50" s="512"/>
      <c r="J50" s="512"/>
      <c r="K50" s="512"/>
      <c r="L50" s="512">
        <f>F50</f>
        <v>0</v>
      </c>
      <c r="M50" s="512"/>
      <c r="N50" s="512"/>
      <c r="O50" s="513"/>
    </row>
    <row r="51" spans="1:15">
      <c r="A51" s="550" t="s">
        <v>918</v>
      </c>
      <c r="B51" s="551">
        <v>0</v>
      </c>
      <c r="C51" s="525"/>
      <c r="D51" s="549"/>
      <c r="E51" s="548">
        <v>0</v>
      </c>
      <c r="F51" s="504">
        <f t="shared" si="2"/>
        <v>0</v>
      </c>
      <c r="G51" s="512"/>
      <c r="H51" s="512"/>
      <c r="I51" s="512"/>
      <c r="J51" s="512"/>
      <c r="K51" s="512"/>
      <c r="L51" s="512">
        <f>-F51</f>
        <v>0</v>
      </c>
      <c r="M51" s="512"/>
      <c r="N51" s="512"/>
      <c r="O51" s="513"/>
    </row>
    <row r="52" spans="1:15">
      <c r="A52" s="552" t="s">
        <v>933</v>
      </c>
      <c r="B52" s="548">
        <v>0</v>
      </c>
      <c r="C52" s="525"/>
      <c r="D52" s="549"/>
      <c r="E52" s="548">
        <v>0</v>
      </c>
      <c r="F52" s="504">
        <f t="shared" si="2"/>
        <v>0</v>
      </c>
      <c r="G52" s="512"/>
      <c r="H52" s="512"/>
      <c r="I52" s="512"/>
      <c r="J52" s="512"/>
      <c r="K52" s="512"/>
      <c r="L52" s="512">
        <f>-F52</f>
        <v>0</v>
      </c>
      <c r="M52" s="512"/>
      <c r="N52" s="512"/>
      <c r="O52" s="513"/>
    </row>
    <row r="53" spans="1:15">
      <c r="A53" s="547" t="s">
        <v>952</v>
      </c>
      <c r="B53" s="525">
        <f>'[8]EERR 2022'!$B$62</f>
        <v>416085002</v>
      </c>
      <c r="C53" s="525"/>
      <c r="D53" s="549">
        <f>+B53</f>
        <v>416085002</v>
      </c>
      <c r="E53" s="525">
        <v>0</v>
      </c>
      <c r="F53" s="504">
        <f t="shared" si="2"/>
        <v>0</v>
      </c>
      <c r="G53" s="507"/>
      <c r="H53" s="507"/>
      <c r="I53" s="507"/>
      <c r="J53" s="507"/>
      <c r="K53" s="507"/>
      <c r="L53" s="507"/>
      <c r="M53" s="507"/>
      <c r="N53" s="507">
        <f>+L5-F53</f>
        <v>0</v>
      </c>
      <c r="O53" s="509"/>
    </row>
    <row r="54" spans="1:15">
      <c r="A54" s="506"/>
      <c r="B54" s="553">
        <v>0</v>
      </c>
      <c r="C54" s="507"/>
      <c r="D54" s="546"/>
      <c r="E54" s="553">
        <v>0</v>
      </c>
      <c r="F54" s="499"/>
      <c r="G54" s="507"/>
      <c r="H54" s="507"/>
      <c r="I54" s="507"/>
      <c r="J54" s="507"/>
      <c r="K54" s="507"/>
      <c r="L54" s="507"/>
      <c r="M54" s="507"/>
      <c r="N54" s="507"/>
      <c r="O54" s="509"/>
    </row>
    <row r="55" spans="1:15">
      <c r="A55" s="506"/>
      <c r="B55" s="507">
        <v>0</v>
      </c>
      <c r="C55" s="507"/>
      <c r="D55" s="546"/>
      <c r="E55" s="553">
        <v>0</v>
      </c>
      <c r="F55" s="499"/>
      <c r="G55" s="507"/>
      <c r="H55" s="507"/>
      <c r="I55" s="507"/>
      <c r="J55" s="507"/>
      <c r="K55" s="507"/>
      <c r="L55" s="507"/>
      <c r="M55" s="507"/>
      <c r="N55" s="507"/>
      <c r="O55" s="509"/>
    </row>
    <row r="56" spans="1:15">
      <c r="A56" s="506"/>
      <c r="B56" s="507">
        <v>0</v>
      </c>
      <c r="C56" s="507"/>
      <c r="D56" s="546"/>
      <c r="E56" s="553">
        <v>0</v>
      </c>
      <c r="F56" s="499"/>
      <c r="G56" s="507"/>
      <c r="H56" s="507"/>
      <c r="I56" s="507"/>
      <c r="J56" s="507"/>
      <c r="K56" s="507"/>
      <c r="L56" s="507"/>
      <c r="M56" s="507"/>
      <c r="N56" s="507"/>
      <c r="O56" s="509"/>
    </row>
    <row r="57" spans="1:15" ht="13.8" thickBot="1">
      <c r="A57" s="550" t="s">
        <v>934</v>
      </c>
      <c r="B57" s="554">
        <v>0</v>
      </c>
      <c r="C57" s="555"/>
      <c r="D57" s="556"/>
      <c r="E57" s="549">
        <v>0</v>
      </c>
      <c r="F57" s="557">
        <f>B57-E57+C57-D57</f>
        <v>0</v>
      </c>
      <c r="G57" s="558"/>
      <c r="H57" s="512"/>
      <c r="I57" s="512"/>
      <c r="J57" s="512"/>
      <c r="K57" s="512"/>
      <c r="L57" s="512">
        <f>-F57</f>
        <v>0</v>
      </c>
      <c r="M57" s="512"/>
      <c r="N57" s="512"/>
      <c r="O57" s="513"/>
    </row>
    <row r="58" spans="1:15" ht="13.8" thickBot="1">
      <c r="A58" s="559" t="s">
        <v>807</v>
      </c>
      <c r="B58" s="560">
        <f>SUM(B42:B57)*-1</f>
        <v>-193898242</v>
      </c>
      <c r="C58" s="525">
        <v>0</v>
      </c>
      <c r="D58" s="549">
        <f>+B58</f>
        <v>-193898242</v>
      </c>
      <c r="E58" s="549">
        <v>0</v>
      </c>
      <c r="F58" s="557">
        <f>B58-E58+C58-D58</f>
        <v>0</v>
      </c>
      <c r="G58" s="512"/>
      <c r="H58" s="512"/>
      <c r="I58" s="512"/>
      <c r="J58" s="512"/>
      <c r="K58" s="512"/>
      <c r="L58" s="512">
        <f>-F58</f>
        <v>0</v>
      </c>
      <c r="M58" s="512"/>
      <c r="N58" s="512"/>
      <c r="O58" s="513"/>
    </row>
    <row r="59" spans="1:15" ht="13.8" thickBot="1">
      <c r="A59" s="561" t="s">
        <v>935</v>
      </c>
      <c r="B59" s="562">
        <f>+B58+B39</f>
        <v>0.38999998569488525</v>
      </c>
      <c r="C59" s="562"/>
      <c r="D59" s="562"/>
      <c r="E59" s="563">
        <v>0</v>
      </c>
      <c r="F59" s="499"/>
      <c r="G59" s="553"/>
      <c r="H59" s="553"/>
      <c r="I59" s="553"/>
      <c r="J59" s="553"/>
      <c r="K59" s="553"/>
      <c r="L59" s="507"/>
      <c r="M59" s="507"/>
      <c r="N59" s="553"/>
      <c r="O59" s="509"/>
    </row>
    <row r="60" spans="1:15" ht="14.4" thickBot="1">
      <c r="A60" s="564" t="s">
        <v>876</v>
      </c>
      <c r="B60" s="563"/>
      <c r="C60" s="563">
        <f>SUM(C9:C58)</f>
        <v>1188502048</v>
      </c>
      <c r="D60" s="563">
        <f>SUM(D9:D59)</f>
        <v>1188502048</v>
      </c>
      <c r="E60" s="563">
        <v>0</v>
      </c>
      <c r="F60" s="499">
        <f>B60-E60+C60-D60</f>
        <v>0</v>
      </c>
      <c r="G60" s="565">
        <f t="shared" ref="G60:N60" si="3">SUM(G9:G58)</f>
        <v>825797675</v>
      </c>
      <c r="H60" s="565">
        <f t="shared" si="3"/>
        <v>0</v>
      </c>
      <c r="I60" s="565">
        <f t="shared" si="3"/>
        <v>0</v>
      </c>
      <c r="J60" s="565">
        <f t="shared" si="3"/>
        <v>0</v>
      </c>
      <c r="K60" s="565">
        <f t="shared" si="3"/>
        <v>-123726359</v>
      </c>
      <c r="L60" s="565">
        <f t="shared" si="3"/>
        <v>-776949165</v>
      </c>
      <c r="M60" s="565">
        <f t="shared" si="3"/>
        <v>743907578</v>
      </c>
      <c r="N60" s="565">
        <f t="shared" si="3"/>
        <v>-408367367</v>
      </c>
      <c r="O60" s="566">
        <f>SUM(F60:N60)</f>
        <v>260662362</v>
      </c>
    </row>
    <row r="61" spans="1:15" ht="15.6">
      <c r="B61" s="567"/>
      <c r="D61" s="568">
        <f>D60-C60</f>
        <v>0</v>
      </c>
      <c r="L61" s="462"/>
      <c r="O61" s="569">
        <f>O60-O9</f>
        <v>0</v>
      </c>
    </row>
    <row r="62" spans="1:15">
      <c r="A62" s="570"/>
      <c r="B62" s="570"/>
      <c r="C62" s="570"/>
      <c r="D62" s="462">
        <f>+D53+D44</f>
        <v>416085002</v>
      </c>
    </row>
    <row r="63" spans="1:15" ht="21">
      <c r="A63" s="571" t="s">
        <v>936</v>
      </c>
      <c r="B63" s="572"/>
      <c r="C63" s="572"/>
      <c r="D63" s="573"/>
      <c r="E63" s="573"/>
    </row>
    <row r="64" spans="1:15" ht="15">
      <c r="A64" s="574"/>
      <c r="B64" s="574"/>
      <c r="C64" s="574"/>
      <c r="D64" s="575"/>
      <c r="E64" s="575"/>
    </row>
    <row r="65" spans="1:5" ht="15">
      <c r="A65" s="576" t="s">
        <v>937</v>
      </c>
      <c r="B65" s="577">
        <f>+G60</f>
        <v>825797675</v>
      </c>
      <c r="C65" s="578"/>
      <c r="D65" s="577"/>
      <c r="E65" s="575"/>
    </row>
    <row r="66" spans="1:5" ht="15">
      <c r="A66" s="576" t="s">
        <v>938</v>
      </c>
      <c r="B66" s="577">
        <f>+H60</f>
        <v>0</v>
      </c>
      <c r="C66" s="578"/>
      <c r="D66" s="577"/>
      <c r="E66" s="575"/>
    </row>
    <row r="67" spans="1:5" ht="15">
      <c r="A67" s="576" t="s">
        <v>939</v>
      </c>
      <c r="B67" s="577">
        <f>+I60</f>
        <v>0</v>
      </c>
      <c r="C67" s="578"/>
      <c r="D67" s="577"/>
      <c r="E67" s="575"/>
    </row>
    <row r="68" spans="1:5" ht="15">
      <c r="A68" s="576" t="s">
        <v>940</v>
      </c>
      <c r="B68" s="577">
        <f>+K60</f>
        <v>-123726359</v>
      </c>
      <c r="C68" s="578"/>
      <c r="D68" s="577"/>
      <c r="E68" s="575"/>
    </row>
    <row r="69" spans="1:5" ht="15">
      <c r="A69" s="576" t="s">
        <v>941</v>
      </c>
      <c r="B69" s="577">
        <f>+L60</f>
        <v>-776949165</v>
      </c>
      <c r="C69" s="578"/>
      <c r="D69" s="577"/>
      <c r="E69" s="575"/>
    </row>
    <row r="70" spans="1:5" ht="15">
      <c r="A70" s="576" t="s">
        <v>233</v>
      </c>
      <c r="B70" s="577">
        <f>+J60</f>
        <v>0</v>
      </c>
      <c r="C70" s="578"/>
      <c r="D70" s="577"/>
      <c r="E70" s="575"/>
    </row>
    <row r="71" spans="1:5" ht="15">
      <c r="A71" s="574"/>
      <c r="B71" s="577"/>
      <c r="C71" s="578"/>
      <c r="D71" s="577"/>
      <c r="E71" s="575"/>
    </row>
    <row r="72" spans="1:5" ht="15.6">
      <c r="A72" s="579" t="s">
        <v>936</v>
      </c>
      <c r="B72" s="577"/>
      <c r="C72" s="580">
        <f>SUM(B65:B70)</f>
        <v>-74877849</v>
      </c>
      <c r="D72" s="577"/>
      <c r="E72" s="575"/>
    </row>
    <row r="73" spans="1:5" ht="15">
      <c r="A73" s="574"/>
      <c r="B73" s="577"/>
      <c r="C73" s="578"/>
      <c r="D73" s="577"/>
      <c r="E73" s="575"/>
    </row>
    <row r="74" spans="1:5" ht="15">
      <c r="A74" s="576" t="s">
        <v>942</v>
      </c>
      <c r="B74" s="581">
        <f>+M16</f>
        <v>652838241</v>
      </c>
      <c r="C74" s="578"/>
      <c r="D74" s="577"/>
      <c r="E74" s="575"/>
    </row>
    <row r="75" spans="1:5" ht="15">
      <c r="A75" s="576" t="s">
        <v>943</v>
      </c>
      <c r="B75" s="581">
        <f>+M17+M19</f>
        <v>-2853900</v>
      </c>
      <c r="C75" s="578"/>
      <c r="D75" s="577"/>
      <c r="E75" s="575"/>
    </row>
    <row r="76" spans="1:5" ht="15">
      <c r="A76" s="576" t="s">
        <v>250</v>
      </c>
      <c r="B76" s="581">
        <f>+M15</f>
        <v>93923237</v>
      </c>
      <c r="C76" s="578"/>
      <c r="D76" s="577"/>
      <c r="E76" s="575"/>
    </row>
    <row r="77" spans="1:5" ht="15">
      <c r="A77" s="576" t="s">
        <v>251</v>
      </c>
      <c r="B77" s="581">
        <v>0</v>
      </c>
      <c r="C77" s="578"/>
      <c r="D77" s="577"/>
      <c r="E77" s="575"/>
    </row>
    <row r="78" spans="1:5" ht="15">
      <c r="A78" s="576" t="s">
        <v>252</v>
      </c>
      <c r="B78" s="581">
        <v>0</v>
      </c>
      <c r="C78" s="578"/>
      <c r="D78" s="577"/>
      <c r="E78" s="575"/>
    </row>
    <row r="79" spans="1:5" ht="15">
      <c r="A79" s="576"/>
      <c r="B79" s="581"/>
      <c r="C79" s="578"/>
      <c r="D79" s="577"/>
      <c r="E79" s="575"/>
    </row>
    <row r="80" spans="1:5" ht="15">
      <c r="A80" s="576"/>
      <c r="B80" s="577">
        <v>0</v>
      </c>
      <c r="C80" s="578"/>
      <c r="D80" s="577"/>
      <c r="E80" s="575"/>
    </row>
    <row r="81" spans="1:5" ht="15">
      <c r="A81" s="574"/>
      <c r="B81" s="577"/>
      <c r="C81" s="578"/>
      <c r="D81" s="577"/>
      <c r="E81" s="575"/>
    </row>
    <row r="82" spans="1:5" ht="15.6">
      <c r="A82" s="579" t="s">
        <v>944</v>
      </c>
      <c r="B82" s="577"/>
      <c r="C82" s="580">
        <f>SUM(B74:B80)</f>
        <v>743907578</v>
      </c>
      <c r="D82" s="577"/>
      <c r="E82" s="575"/>
    </row>
    <row r="83" spans="1:5" ht="15">
      <c r="A83" s="574"/>
      <c r="B83" s="577"/>
      <c r="C83" s="578"/>
      <c r="D83" s="577"/>
      <c r="E83" s="575"/>
    </row>
    <row r="84" spans="1:5" ht="15.6">
      <c r="A84" s="579" t="s">
        <v>945</v>
      </c>
      <c r="B84" s="577"/>
      <c r="C84" s="578"/>
      <c r="D84" s="577"/>
      <c r="E84" s="575"/>
    </row>
    <row r="85" spans="1:5" ht="15">
      <c r="A85" s="574"/>
      <c r="B85" s="577"/>
      <c r="C85" s="578"/>
      <c r="D85" s="577"/>
      <c r="E85" s="575"/>
    </row>
    <row r="86" spans="1:5" ht="15">
      <c r="A86" s="576" t="s">
        <v>946</v>
      </c>
      <c r="B86" s="577">
        <f>+N25</f>
        <v>-408367367</v>
      </c>
      <c r="C86" s="578"/>
      <c r="D86" s="577"/>
      <c r="E86" s="575"/>
    </row>
    <row r="87" spans="1:5" ht="15">
      <c r="A87" s="576" t="s">
        <v>256</v>
      </c>
      <c r="B87" s="581">
        <f>+N29</f>
        <v>0</v>
      </c>
      <c r="C87" s="578"/>
      <c r="D87" s="577"/>
      <c r="E87" s="575"/>
    </row>
    <row r="88" spans="1:5" ht="15">
      <c r="A88" s="576" t="s">
        <v>947</v>
      </c>
      <c r="B88" s="577">
        <f>+N32</f>
        <v>0</v>
      </c>
      <c r="C88" s="578"/>
      <c r="D88" s="577"/>
      <c r="E88" s="575"/>
    </row>
    <row r="89" spans="1:5" ht="15">
      <c r="A89" s="574"/>
      <c r="B89" s="577"/>
      <c r="C89" s="578"/>
      <c r="D89" s="577"/>
      <c r="E89" s="575"/>
    </row>
    <row r="90" spans="1:5" ht="15.6">
      <c r="A90" s="579" t="s">
        <v>948</v>
      </c>
      <c r="B90" s="577"/>
      <c r="C90" s="580">
        <f>SUM(B86:B88)</f>
        <v>-408367367</v>
      </c>
      <c r="D90" s="577"/>
      <c r="E90" s="575"/>
    </row>
    <row r="91" spans="1:5" ht="15">
      <c r="A91" s="574"/>
      <c r="B91" s="577"/>
      <c r="C91" s="578"/>
      <c r="D91" s="577"/>
      <c r="E91" s="575"/>
    </row>
    <row r="92" spans="1:5" ht="15.6">
      <c r="A92" s="576" t="s">
        <v>949</v>
      </c>
      <c r="B92" s="577"/>
      <c r="C92" s="578">
        <f>C90+C82+C72</f>
        <v>260662362</v>
      </c>
      <c r="D92" s="577">
        <f>O60</f>
        <v>260662362</v>
      </c>
      <c r="E92" s="582">
        <f>D92-C92</f>
        <v>0</v>
      </c>
    </row>
    <row r="93" spans="1:5" ht="15.6">
      <c r="A93" s="576" t="s">
        <v>950</v>
      </c>
      <c r="B93" s="577"/>
      <c r="C93" s="578">
        <f>+E9</f>
        <v>396498174</v>
      </c>
      <c r="D93" s="577"/>
      <c r="E93" s="582"/>
    </row>
    <row r="94" spans="1:5" ht="15.6">
      <c r="A94" s="579" t="s">
        <v>951</v>
      </c>
      <c r="B94" s="583"/>
      <c r="C94" s="583">
        <f>SUM(C92:C93)</f>
        <v>657160536</v>
      </c>
      <c r="D94" s="577">
        <f>+B9</f>
        <v>657160536</v>
      </c>
      <c r="E94" s="582">
        <f>D94-C94</f>
        <v>0</v>
      </c>
    </row>
    <row r="95" spans="1:5" ht="15">
      <c r="A95" s="575"/>
      <c r="B95" s="575"/>
      <c r="C95" s="575"/>
      <c r="D95" s="575"/>
      <c r="E95" s="575"/>
    </row>
    <row r="96" spans="1:5" ht="15">
      <c r="A96" s="575"/>
      <c r="B96" s="575"/>
      <c r="C96" s="575"/>
      <c r="D96" s="575"/>
      <c r="E96" s="575"/>
    </row>
    <row r="97" spans="1:5" ht="15">
      <c r="A97" s="575"/>
      <c r="B97" s="575"/>
      <c r="C97" s="584"/>
      <c r="D97" s="575"/>
      <c r="E97" s="575"/>
    </row>
    <row r="98" spans="1:5" ht="15">
      <c r="A98" s="575"/>
      <c r="B98" s="575"/>
      <c r="C98" s="575"/>
      <c r="D98" s="575"/>
      <c r="E98" s="575"/>
    </row>
    <row r="99" spans="1:5" ht="15">
      <c r="A99" s="575"/>
      <c r="B99" s="575"/>
      <c r="C99" s="575"/>
      <c r="D99" s="575"/>
      <c r="E99" s="575"/>
    </row>
    <row r="100" spans="1:5" ht="15">
      <c r="A100" s="575"/>
      <c r="B100" s="575"/>
      <c r="C100" s="575"/>
      <c r="D100" s="575"/>
      <c r="E100" s="575"/>
    </row>
    <row r="101" spans="1:5" ht="15">
      <c r="A101" s="575"/>
      <c r="B101" s="575"/>
      <c r="C101" s="575"/>
      <c r="D101" s="575"/>
      <c r="E101" s="575"/>
    </row>
    <row r="102" spans="1:5" ht="15">
      <c r="A102" s="575"/>
      <c r="B102" s="575"/>
      <c r="C102" s="575"/>
      <c r="D102" s="575"/>
      <c r="E102" s="575"/>
    </row>
    <row r="103" spans="1:5" ht="15">
      <c r="A103" s="575"/>
      <c r="B103" s="575"/>
      <c r="C103" s="575"/>
      <c r="D103" s="575"/>
      <c r="E103" s="575"/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002060"/>
  </sheetPr>
  <dimension ref="C1:F59"/>
  <sheetViews>
    <sheetView showGridLines="0" topLeftCell="A23" zoomScale="98" zoomScaleNormal="98" workbookViewId="0">
      <selection activeCell="K27" sqref="K27"/>
    </sheetView>
  </sheetViews>
  <sheetFormatPr baseColWidth="10" defaultColWidth="11.44140625" defaultRowHeight="12"/>
  <cols>
    <col min="1" max="1" width="11.44140625" style="177"/>
    <col min="2" max="2" width="5.6640625" style="177" customWidth="1"/>
    <col min="3" max="3" width="70.33203125" style="177" customWidth="1"/>
    <col min="4" max="5" width="25.6640625" style="177" customWidth="1"/>
    <col min="6" max="6" width="14.33203125" style="177" bestFit="1" customWidth="1"/>
    <col min="7" max="16384" width="11.44140625" style="177"/>
  </cols>
  <sheetData>
    <row r="1" spans="3:6" ht="55.35" customHeight="1">
      <c r="C1" s="722"/>
      <c r="D1" s="722"/>
      <c r="E1" s="722"/>
    </row>
    <row r="2" spans="3:6">
      <c r="C2" s="722"/>
      <c r="D2" s="722"/>
      <c r="E2" s="722"/>
    </row>
    <row r="3" spans="3:6">
      <c r="C3" s="722" t="str">
        <f>+INDICE!B2</f>
        <v>TRADERS PRO CASA DE BOLSA S.A.</v>
      </c>
      <c r="D3" s="722"/>
      <c r="E3" s="722"/>
    </row>
    <row r="4" spans="3:6">
      <c r="C4" s="722" t="s">
        <v>234</v>
      </c>
      <c r="D4" s="722"/>
      <c r="E4" s="722"/>
    </row>
    <row r="5" spans="3:6" ht="19.5" customHeight="1">
      <c r="C5" s="730" t="s">
        <v>1068</v>
      </c>
      <c r="D5" s="730"/>
      <c r="E5" s="730"/>
      <c r="F5" s="305"/>
    </row>
    <row r="6" spans="3:6">
      <c r="C6" s="734" t="s">
        <v>57</v>
      </c>
      <c r="D6" s="734"/>
      <c r="E6" s="734"/>
    </row>
    <row r="7" spans="3:6">
      <c r="C7" s="289"/>
      <c r="D7" s="290" t="str">
        <f>+'ESTADOS DE RESULTADOS '!E8</f>
        <v>Al 30/06/2023</v>
      </c>
      <c r="E7" s="290" t="str">
        <f>+'ESTADOS DE RESULTADOS '!F8</f>
        <v>Al 30/06/2022</v>
      </c>
    </row>
    <row r="8" spans="3:6">
      <c r="C8" s="185" t="s">
        <v>235</v>
      </c>
      <c r="D8" s="291"/>
      <c r="E8" s="292"/>
    </row>
    <row r="9" spans="3:6" ht="12" customHeight="1">
      <c r="C9" s="195"/>
      <c r="D9" s="260"/>
      <c r="E9" s="293"/>
      <c r="F9" s="236"/>
    </row>
    <row r="10" spans="3:6">
      <c r="C10" s="195" t="s">
        <v>631</v>
      </c>
      <c r="D10" s="293">
        <f>+'Flujo de TP Calculo DIC'!B65</f>
        <v>825797675</v>
      </c>
      <c r="E10" s="293">
        <v>301630052</v>
      </c>
      <c r="F10" s="236"/>
    </row>
    <row r="11" spans="3:6" ht="12.6" customHeight="1">
      <c r="C11" s="195" t="s">
        <v>236</v>
      </c>
      <c r="D11" s="293">
        <f>+'Flujo de TP Calculo DIC'!B68</f>
        <v>-123726359</v>
      </c>
      <c r="E11" s="293">
        <v>-33848471</v>
      </c>
    </row>
    <row r="12" spans="3:6">
      <c r="C12" s="195" t="s">
        <v>237</v>
      </c>
      <c r="D12" s="293">
        <f>+'Flujo de TP Calculo DIC'!B66</f>
        <v>0</v>
      </c>
      <c r="E12" s="293">
        <v>0</v>
      </c>
    </row>
    <row r="13" spans="3:6">
      <c r="C13" s="195"/>
      <c r="D13" s="293"/>
      <c r="E13" s="293"/>
    </row>
    <row r="14" spans="3:6">
      <c r="C14" s="294" t="s">
        <v>238</v>
      </c>
      <c r="D14" s="295"/>
      <c r="E14" s="295"/>
    </row>
    <row r="15" spans="3:6">
      <c r="C15" s="294" t="s">
        <v>239</v>
      </c>
      <c r="D15" s="296">
        <f>SUM(D10:D13)</f>
        <v>702071316</v>
      </c>
      <c r="E15" s="296">
        <v>267781581</v>
      </c>
    </row>
    <row r="16" spans="3:6">
      <c r="C16" s="297"/>
      <c r="D16" s="295"/>
      <c r="E16" s="295"/>
    </row>
    <row r="17" spans="3:5">
      <c r="C17" s="294" t="s">
        <v>240</v>
      </c>
      <c r="D17" s="295"/>
      <c r="E17" s="295"/>
    </row>
    <row r="18" spans="3:5">
      <c r="C18" s="297"/>
      <c r="D18" s="295"/>
      <c r="E18" s="295"/>
    </row>
    <row r="19" spans="3:5">
      <c r="C19" s="297" t="s">
        <v>241</v>
      </c>
      <c r="D19" s="295">
        <v>0</v>
      </c>
      <c r="E19" s="295">
        <v>0</v>
      </c>
    </row>
    <row r="20" spans="3:5">
      <c r="C20" s="297"/>
      <c r="D20" s="312">
        <f>SUM(D18:D19)</f>
        <v>0</v>
      </c>
      <c r="E20" s="296">
        <v>0</v>
      </c>
    </row>
    <row r="21" spans="3:5">
      <c r="C21" s="294" t="s">
        <v>242</v>
      </c>
      <c r="D21" s="295"/>
      <c r="E21" s="295"/>
    </row>
    <row r="22" spans="3:5">
      <c r="C22" s="297" t="s">
        <v>243</v>
      </c>
      <c r="D22" s="295">
        <f>+'Flujo de TP Calculo DIC'!B69</f>
        <v>-776949165</v>
      </c>
      <c r="E22" s="295">
        <v>-476669892</v>
      </c>
    </row>
    <row r="23" spans="3:5">
      <c r="C23" s="297"/>
      <c r="D23" s="295"/>
      <c r="E23" s="295"/>
    </row>
    <row r="24" spans="3:5">
      <c r="C24" s="294" t="s">
        <v>244</v>
      </c>
      <c r="D24" s="312">
        <f>D15+D20+D22</f>
        <v>-74877849</v>
      </c>
      <c r="E24" s="296">
        <v>-208888311</v>
      </c>
    </row>
    <row r="25" spans="3:5">
      <c r="C25" s="297"/>
      <c r="D25" s="295"/>
      <c r="E25" s="295"/>
    </row>
    <row r="26" spans="3:5">
      <c r="C26" s="297" t="s">
        <v>233</v>
      </c>
      <c r="D26" s="295">
        <f>+'Flujo de TP Calculo DIC'!B70</f>
        <v>0</v>
      </c>
      <c r="E26" s="295">
        <v>-211539</v>
      </c>
    </row>
    <row r="27" spans="3:5">
      <c r="C27" s="297"/>
      <c r="D27" s="295"/>
      <c r="E27" s="295"/>
    </row>
    <row r="28" spans="3:5">
      <c r="C28" s="294" t="s">
        <v>245</v>
      </c>
      <c r="D28" s="296">
        <f>+D24+D26</f>
        <v>-74877849</v>
      </c>
      <c r="E28" s="296">
        <v>-209099850</v>
      </c>
    </row>
    <row r="29" spans="3:5">
      <c r="C29" s="294"/>
      <c r="D29" s="298"/>
      <c r="E29" s="298"/>
    </row>
    <row r="30" spans="3:5">
      <c r="C30" s="294" t="s">
        <v>246</v>
      </c>
      <c r="D30" s="295"/>
      <c r="E30" s="295"/>
    </row>
    <row r="31" spans="3:5">
      <c r="C31" s="294"/>
      <c r="D31" s="295"/>
      <c r="E31" s="295"/>
    </row>
    <row r="32" spans="3:5">
      <c r="C32" s="297" t="s">
        <v>247</v>
      </c>
      <c r="D32" s="295">
        <v>0</v>
      </c>
      <c r="E32" s="295">
        <v>0</v>
      </c>
    </row>
    <row r="33" spans="3:5">
      <c r="C33" s="297" t="s">
        <v>632</v>
      </c>
      <c r="D33" s="295">
        <f>'Flujo de TP Calculo DIC'!B74+'Flujo de TP Calculo DIC'!B76</f>
        <v>746761478</v>
      </c>
      <c r="E33" s="295">
        <v>1883453360</v>
      </c>
    </row>
    <row r="34" spans="3:5">
      <c r="C34" s="297" t="s">
        <v>248</v>
      </c>
      <c r="D34" s="295" t="s">
        <v>522</v>
      </c>
      <c r="E34" s="295" t="s">
        <v>522</v>
      </c>
    </row>
    <row r="35" spans="3:5">
      <c r="C35" s="297" t="s">
        <v>249</v>
      </c>
      <c r="D35" s="295">
        <f>'Flujo de TP Calculo DIC'!B75</f>
        <v>-2853900</v>
      </c>
      <c r="E35" s="295">
        <v>0</v>
      </c>
    </row>
    <row r="36" spans="3:5">
      <c r="C36" s="297" t="s">
        <v>250</v>
      </c>
      <c r="D36" s="295">
        <v>0</v>
      </c>
      <c r="E36" s="295">
        <v>0</v>
      </c>
    </row>
    <row r="37" spans="3:5">
      <c r="C37" s="297" t="s">
        <v>251</v>
      </c>
      <c r="D37" s="295" t="s">
        <v>522</v>
      </c>
      <c r="E37" s="295" t="s">
        <v>522</v>
      </c>
    </row>
    <row r="38" spans="3:5">
      <c r="C38" s="297" t="s">
        <v>252</v>
      </c>
      <c r="D38" s="295" t="s">
        <v>522</v>
      </c>
      <c r="E38" s="295" t="s">
        <v>522</v>
      </c>
    </row>
    <row r="39" spans="3:5">
      <c r="C39" s="297"/>
      <c r="D39" s="295"/>
      <c r="E39" s="295"/>
    </row>
    <row r="40" spans="3:5">
      <c r="C40" s="294" t="s">
        <v>253</v>
      </c>
      <c r="D40" s="296">
        <f>SUM(D32:D38)</f>
        <v>743907578</v>
      </c>
      <c r="E40" s="296">
        <v>1883453360</v>
      </c>
    </row>
    <row r="41" spans="3:5">
      <c r="C41" s="294"/>
      <c r="D41" s="298"/>
      <c r="E41" s="298"/>
    </row>
    <row r="42" spans="3:5">
      <c r="C42" s="294" t="s">
        <v>254</v>
      </c>
      <c r="D42" s="295"/>
      <c r="E42" s="295"/>
    </row>
    <row r="43" spans="3:5">
      <c r="C43" s="294"/>
      <c r="D43" s="295"/>
      <c r="E43" s="295"/>
    </row>
    <row r="44" spans="3:5">
      <c r="C44" s="297" t="s">
        <v>255</v>
      </c>
      <c r="D44" s="295">
        <f>+'Flujo de TP Calculo DIC'!B88</f>
        <v>0</v>
      </c>
      <c r="E44" s="295">
        <v>419000000</v>
      </c>
    </row>
    <row r="45" spans="3:5">
      <c r="C45" s="297" t="s">
        <v>633</v>
      </c>
      <c r="D45" s="295">
        <f>+'Flujo de TP Calculo DIC'!B86</f>
        <v>-408367367</v>
      </c>
      <c r="E45" s="295">
        <v>-1978661444</v>
      </c>
    </row>
    <row r="46" spans="3:5">
      <c r="C46" s="297" t="s">
        <v>256</v>
      </c>
      <c r="D46" s="295">
        <v>0</v>
      </c>
      <c r="E46" s="295">
        <v>0</v>
      </c>
    </row>
    <row r="47" spans="3:5" ht="12.75" customHeight="1">
      <c r="C47" s="297" t="s">
        <v>226</v>
      </c>
      <c r="D47" s="295">
        <v>0</v>
      </c>
      <c r="E47" s="295">
        <v>0</v>
      </c>
    </row>
    <row r="48" spans="3:5" ht="12.75" customHeight="1">
      <c r="C48" s="297"/>
      <c r="D48" s="295"/>
      <c r="E48" s="295"/>
    </row>
    <row r="49" spans="3:6" ht="12.75" customHeight="1">
      <c r="C49" s="294" t="s">
        <v>257</v>
      </c>
      <c r="D49" s="296">
        <f>SUM(D44:D48)</f>
        <v>-408367367</v>
      </c>
      <c r="E49" s="296">
        <v>-1559661444</v>
      </c>
    </row>
    <row r="50" spans="3:6">
      <c r="C50" s="297"/>
      <c r="D50" s="295"/>
      <c r="E50" s="295"/>
    </row>
    <row r="51" spans="3:6">
      <c r="C51" s="294" t="s">
        <v>258</v>
      </c>
      <c r="D51" s="295"/>
      <c r="E51" s="295"/>
    </row>
    <row r="52" spans="3:6">
      <c r="C52" s="294"/>
      <c r="D52" s="295"/>
      <c r="E52" s="295"/>
    </row>
    <row r="53" spans="3:6" ht="16.5" customHeight="1">
      <c r="C53" s="297" t="s">
        <v>259</v>
      </c>
      <c r="D53" s="298">
        <f>+D24+D26+D40+D49</f>
        <v>260662362</v>
      </c>
      <c r="E53" s="298">
        <v>114692066</v>
      </c>
      <c r="F53" s="239"/>
    </row>
    <row r="54" spans="3:6">
      <c r="C54" s="299" t="s">
        <v>260</v>
      </c>
      <c r="D54" s="300">
        <f>+'BALANCE GRAL'!E13</f>
        <v>396498174</v>
      </c>
      <c r="E54" s="300">
        <v>112935599</v>
      </c>
    </row>
    <row r="55" spans="3:6" ht="12.6" thickBot="1">
      <c r="C55" s="301" t="s">
        <v>261</v>
      </c>
      <c r="D55" s="302">
        <f>D53+D54</f>
        <v>657160536</v>
      </c>
      <c r="E55" s="302">
        <v>227627665</v>
      </c>
    </row>
    <row r="56" spans="3:6" ht="12.6" thickTop="1">
      <c r="D56" s="228"/>
    </row>
    <row r="57" spans="3:6" hidden="1">
      <c r="D57" s="288">
        <f>+D55-'BALANCE GRAL'!D13</f>
        <v>0</v>
      </c>
    </row>
    <row r="58" spans="3:6">
      <c r="C58" s="732" t="s">
        <v>727</v>
      </c>
      <c r="D58" s="732"/>
      <c r="E58" s="732"/>
      <c r="F58" s="391"/>
    </row>
    <row r="59" spans="3:6">
      <c r="D59" s="288">
        <f>+'BALANCE GRAL'!D13-D55</f>
        <v>0</v>
      </c>
      <c r="E59" s="288">
        <f>E55-'[9]BALANCE GRAL 30_06_22'!$D$13</f>
        <v>0</v>
      </c>
    </row>
  </sheetData>
  <sheetProtection algorithmName="SHA-512" hashValue="m9ECNUQ7aksDmSKQJ8hm/B0POa3rt5oRrkZqJdjr39LinBDkunYLAZ5xnSGomjmZpFhQzrbfot6ieK4mjw5NTA==" saltValue="0DFhzLbgCQOIj+mJBvTZiA==" spinCount="100000" sheet="1" objects="1" scenarios="1"/>
  <mergeCells count="7">
    <mergeCell ref="C58:E58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rgb="FF002060"/>
  </sheetPr>
  <dimension ref="B1:M34"/>
  <sheetViews>
    <sheetView showGridLines="0" topLeftCell="C12" zoomScale="98" zoomScaleNormal="98" workbookViewId="0">
      <selection activeCell="K27" sqref="K27"/>
    </sheetView>
  </sheetViews>
  <sheetFormatPr baseColWidth="10" defaultColWidth="11.44140625" defaultRowHeight="12"/>
  <cols>
    <col min="1" max="1" width="5.33203125" style="27" customWidth="1"/>
    <col min="2" max="2" width="40.33203125" style="27" customWidth="1"/>
    <col min="3" max="8" width="15.6640625" style="41" customWidth="1"/>
    <col min="9" max="10" width="15.6640625" style="27" customWidth="1"/>
    <col min="11" max="11" width="15" style="27" bestFit="1" customWidth="1"/>
    <col min="12" max="12" width="11.6640625" style="27" bestFit="1" customWidth="1"/>
    <col min="13" max="16384" width="11.44140625" style="27"/>
  </cols>
  <sheetData>
    <row r="1" spans="2:11" ht="55.35" customHeight="1"/>
    <row r="3" spans="2:11">
      <c r="B3" s="722" t="str">
        <f>+INDICE!B2</f>
        <v>TRADERS PRO CASA DE BOLSA S.A.</v>
      </c>
      <c r="C3" s="722"/>
      <c r="D3" s="722"/>
      <c r="E3" s="722"/>
      <c r="F3" s="722"/>
      <c r="G3" s="722"/>
      <c r="H3" s="722"/>
      <c r="I3" s="722"/>
      <c r="J3" s="722"/>
      <c r="K3" s="722"/>
    </row>
    <row r="4" spans="2:11">
      <c r="B4" s="722" t="s">
        <v>262</v>
      </c>
      <c r="C4" s="722"/>
      <c r="D4" s="722"/>
      <c r="E4" s="722"/>
      <c r="F4" s="722"/>
      <c r="G4" s="722"/>
      <c r="H4" s="722"/>
      <c r="I4" s="722"/>
      <c r="J4" s="722"/>
      <c r="K4" s="722"/>
    </row>
    <row r="5" spans="2:11" ht="12" customHeight="1">
      <c r="B5" s="730" t="s">
        <v>1068</v>
      </c>
      <c r="C5" s="730"/>
      <c r="D5" s="730"/>
      <c r="E5" s="730"/>
      <c r="F5" s="730"/>
      <c r="G5" s="730"/>
      <c r="H5" s="730"/>
      <c r="I5" s="730"/>
      <c r="J5" s="730"/>
      <c r="K5" s="730"/>
    </row>
    <row r="6" spans="2:11" ht="15" customHeight="1">
      <c r="B6" s="731" t="s">
        <v>57</v>
      </c>
      <c r="C6" s="731"/>
      <c r="D6" s="731"/>
      <c r="E6" s="731"/>
      <c r="F6" s="731"/>
      <c r="G6" s="731"/>
      <c r="H6" s="731"/>
      <c r="I6" s="731"/>
      <c r="J6" s="731"/>
      <c r="K6" s="731"/>
    </row>
    <row r="7" spans="2:11" ht="15" customHeight="1" thickBot="1">
      <c r="B7" s="224"/>
      <c r="C7" s="224"/>
      <c r="D7" s="27"/>
      <c r="E7" s="27"/>
      <c r="F7" s="27"/>
      <c r="G7" s="27"/>
      <c r="H7" s="27"/>
    </row>
    <row r="8" spans="2:11" s="243" customFormat="1" ht="13.5" customHeight="1" thickBot="1">
      <c r="B8" s="224"/>
      <c r="C8" s="735" t="s">
        <v>263</v>
      </c>
      <c r="D8" s="736"/>
      <c r="E8" s="735" t="s">
        <v>264</v>
      </c>
      <c r="F8" s="736"/>
      <c r="G8" s="737"/>
      <c r="H8" s="736" t="s">
        <v>265</v>
      </c>
      <c r="I8" s="738"/>
      <c r="J8" s="739" t="s">
        <v>266</v>
      </c>
      <c r="K8" s="737"/>
    </row>
    <row r="9" spans="2:11" s="243" customFormat="1" ht="12.6" thickBot="1">
      <c r="B9" s="244" t="s">
        <v>267</v>
      </c>
      <c r="C9" s="245" t="s">
        <v>268</v>
      </c>
      <c r="D9" s="246" t="s">
        <v>269</v>
      </c>
      <c r="E9" s="247" t="s">
        <v>270</v>
      </c>
      <c r="F9" s="248" t="s">
        <v>479</v>
      </c>
      <c r="G9" s="246" t="s">
        <v>271</v>
      </c>
      <c r="H9" s="247" t="s">
        <v>272</v>
      </c>
      <c r="I9" s="249" t="s">
        <v>273</v>
      </c>
      <c r="J9" s="314" t="str">
        <f>+'ESTADOS DE RESULTADOS '!E8</f>
        <v>Al 30/06/2023</v>
      </c>
      <c r="K9" s="315" t="str">
        <f>+'ESTADOS DE RESULTADOS '!F8</f>
        <v>Al 30/06/2022</v>
      </c>
    </row>
    <row r="10" spans="2:11" s="116" customFormat="1">
      <c r="B10" s="250"/>
      <c r="C10" s="251"/>
      <c r="D10" s="252"/>
      <c r="E10" s="251"/>
      <c r="F10" s="253"/>
      <c r="G10" s="252"/>
      <c r="H10" s="251"/>
      <c r="I10" s="252"/>
      <c r="J10" s="251"/>
      <c r="K10" s="252"/>
    </row>
    <row r="11" spans="2:11" s="116" customFormat="1" ht="24" customHeight="1">
      <c r="B11" s="250" t="s">
        <v>274</v>
      </c>
      <c r="C11" s="251">
        <f>+'BALANCE GRAL'!H62</f>
        <v>0</v>
      </c>
      <c r="D11" s="252">
        <f>+'BALANCE GRAL'!H61</f>
        <v>3805000000</v>
      </c>
      <c r="E11" s="251">
        <f>+'BALANCE GRAL'!H65</f>
        <v>0</v>
      </c>
      <c r="F11" s="253">
        <f>+'BALANCE GRAL'!H67</f>
        <v>102000000</v>
      </c>
      <c r="G11" s="252">
        <f>+'BALANCE GRAL'!H66</f>
        <v>0</v>
      </c>
      <c r="H11" s="254">
        <f>+'BALANCE GRAL'!H72</f>
        <v>-9529901.7300000004</v>
      </c>
      <c r="I11" s="252">
        <f>+'BALANCE GRAL'!H73</f>
        <v>-169147450.69999999</v>
      </c>
      <c r="J11" s="255">
        <f>SUM(C11:I11)</f>
        <v>3728322647.5700002</v>
      </c>
      <c r="K11" s="256">
        <v>3376470099.27</v>
      </c>
    </row>
    <row r="12" spans="2:11" s="116" customFormat="1" ht="24" customHeight="1">
      <c r="B12" s="250"/>
      <c r="C12" s="251"/>
      <c r="D12" s="252"/>
      <c r="E12" s="251"/>
      <c r="F12" s="253"/>
      <c r="G12" s="252"/>
      <c r="H12" s="254"/>
      <c r="I12" s="252"/>
      <c r="J12" s="255">
        <f t="shared" ref="J12:J25" si="0">SUM(C12:I12)</f>
        <v>0</v>
      </c>
      <c r="K12" s="256">
        <v>0</v>
      </c>
    </row>
    <row r="13" spans="2:11" s="116" customFormat="1" ht="24" customHeight="1">
      <c r="B13" s="257" t="s">
        <v>275</v>
      </c>
      <c r="C13" s="251"/>
      <c r="D13" s="252"/>
      <c r="E13" s="251"/>
      <c r="F13" s="258"/>
      <c r="G13" s="259"/>
      <c r="H13" s="254"/>
      <c r="I13" s="252"/>
      <c r="J13" s="255">
        <f t="shared" si="0"/>
        <v>0</v>
      </c>
      <c r="K13" s="256">
        <v>0</v>
      </c>
    </row>
    <row r="14" spans="2:11" s="116" customFormat="1" ht="24" customHeight="1">
      <c r="B14" s="250"/>
      <c r="C14" s="251"/>
      <c r="D14" s="252"/>
      <c r="E14" s="251"/>
      <c r="F14" s="258"/>
      <c r="G14" s="259"/>
      <c r="H14" s="254"/>
      <c r="I14" s="252"/>
      <c r="J14" s="255">
        <f t="shared" si="0"/>
        <v>0</v>
      </c>
      <c r="K14" s="256">
        <v>0</v>
      </c>
    </row>
    <row r="15" spans="2:11" s="116" customFormat="1" ht="24" customHeight="1">
      <c r="B15" s="250" t="s">
        <v>276</v>
      </c>
      <c r="C15" s="251" t="s">
        <v>277</v>
      </c>
      <c r="D15" s="252" t="s">
        <v>277</v>
      </c>
      <c r="E15" s="254">
        <f>+E27-E11</f>
        <v>0</v>
      </c>
      <c r="F15" s="258">
        <v>0</v>
      </c>
      <c r="G15" s="259" t="s">
        <v>277</v>
      </c>
      <c r="H15" s="254" t="s">
        <v>277</v>
      </c>
      <c r="I15" s="252" t="s">
        <v>277</v>
      </c>
      <c r="J15" s="255">
        <f t="shared" si="0"/>
        <v>0</v>
      </c>
      <c r="K15" s="256">
        <v>0</v>
      </c>
    </row>
    <row r="16" spans="2:11" s="116" customFormat="1" ht="24" customHeight="1">
      <c r="B16" s="250"/>
      <c r="C16" s="251"/>
      <c r="D16" s="252"/>
      <c r="E16" s="254"/>
      <c r="F16" s="258"/>
      <c r="G16" s="259"/>
      <c r="H16" s="254"/>
      <c r="I16" s="252"/>
      <c r="J16" s="255">
        <f t="shared" si="0"/>
        <v>0</v>
      </c>
      <c r="K16" s="256">
        <v>0</v>
      </c>
    </row>
    <row r="17" spans="2:13" s="116" customFormat="1" ht="24" customHeight="1">
      <c r="B17" s="250" t="s">
        <v>278</v>
      </c>
      <c r="C17" s="251" t="s">
        <v>277</v>
      </c>
      <c r="D17" s="252" t="s">
        <v>277</v>
      </c>
      <c r="E17" s="254" t="s">
        <v>277</v>
      </c>
      <c r="F17" s="260">
        <f>+F27-F11</f>
        <v>1000000</v>
      </c>
      <c r="G17" s="259">
        <f>+G27-G11-G25</f>
        <v>0</v>
      </c>
      <c r="H17" s="254" t="s">
        <v>277</v>
      </c>
      <c r="I17" s="252" t="s">
        <v>277</v>
      </c>
      <c r="J17" s="255">
        <f t="shared" si="0"/>
        <v>1000000</v>
      </c>
      <c r="K17" s="256">
        <v>0</v>
      </c>
    </row>
    <row r="18" spans="2:13" s="116" customFormat="1" ht="24" customHeight="1">
      <c r="B18" s="250"/>
      <c r="C18" s="251"/>
      <c r="D18" s="252"/>
      <c r="E18" s="254"/>
      <c r="F18" s="258"/>
      <c r="G18" s="259"/>
      <c r="H18" s="254"/>
      <c r="I18" s="252"/>
      <c r="J18" s="255">
        <f t="shared" si="0"/>
        <v>0</v>
      </c>
      <c r="K18" s="256">
        <v>0</v>
      </c>
    </row>
    <row r="19" spans="2:13" s="116" customFormat="1" ht="24" customHeight="1">
      <c r="B19" s="250" t="s">
        <v>144</v>
      </c>
      <c r="C19" s="251" t="s">
        <v>277</v>
      </c>
      <c r="D19" s="252" t="s">
        <v>277</v>
      </c>
      <c r="E19" s="254" t="s">
        <v>277</v>
      </c>
      <c r="F19" s="260" t="s">
        <v>277</v>
      </c>
      <c r="G19" s="259" t="s">
        <v>277</v>
      </c>
      <c r="H19" s="254">
        <v>-169147450.69999999</v>
      </c>
      <c r="I19" s="252">
        <f>-H19</f>
        <v>169147450.69999999</v>
      </c>
      <c r="J19" s="255">
        <f t="shared" si="0"/>
        <v>0</v>
      </c>
      <c r="K19" s="256">
        <v>0</v>
      </c>
    </row>
    <row r="20" spans="2:13" s="116" customFormat="1" ht="24" customHeight="1">
      <c r="B20" s="250"/>
      <c r="C20" s="251"/>
      <c r="D20" s="252"/>
      <c r="E20" s="254"/>
      <c r="F20" s="260"/>
      <c r="G20" s="259"/>
      <c r="H20" s="254"/>
      <c r="I20" s="252"/>
      <c r="J20" s="255">
        <f t="shared" si="0"/>
        <v>0</v>
      </c>
      <c r="K20" s="256">
        <v>0</v>
      </c>
    </row>
    <row r="21" spans="2:13" s="116" customFormat="1" ht="24" customHeight="1">
      <c r="B21" s="250" t="s">
        <v>279</v>
      </c>
      <c r="C21" s="251">
        <v>0</v>
      </c>
      <c r="E21" s="254">
        <v>0</v>
      </c>
      <c r="F21" s="260" t="s">
        <v>277</v>
      </c>
      <c r="G21" s="259" t="s">
        <v>277</v>
      </c>
      <c r="H21" s="254" t="s">
        <v>277</v>
      </c>
      <c r="I21" s="252" t="s">
        <v>277</v>
      </c>
      <c r="J21" s="255">
        <f t="shared" si="0"/>
        <v>0</v>
      </c>
      <c r="K21" s="256">
        <v>0</v>
      </c>
    </row>
    <row r="22" spans="2:13" s="116" customFormat="1" ht="24" customHeight="1">
      <c r="B22" s="250"/>
      <c r="C22" s="251"/>
      <c r="D22" s="252"/>
      <c r="E22" s="254"/>
      <c r="F22" s="260"/>
      <c r="G22" s="259"/>
      <c r="H22" s="254"/>
      <c r="I22" s="252"/>
      <c r="J22" s="255">
        <f t="shared" si="0"/>
        <v>0</v>
      </c>
      <c r="K22" s="256">
        <v>0</v>
      </c>
    </row>
    <row r="23" spans="2:13" s="116" customFormat="1" ht="24" customHeight="1">
      <c r="B23" s="250" t="s">
        <v>280</v>
      </c>
      <c r="C23" s="251" t="s">
        <v>277</v>
      </c>
      <c r="D23" s="252">
        <v>0</v>
      </c>
      <c r="E23" s="254" t="s">
        <v>277</v>
      </c>
      <c r="F23" s="260" t="s">
        <v>277</v>
      </c>
      <c r="G23" s="259" t="s">
        <v>277</v>
      </c>
      <c r="H23" s="254" t="s">
        <v>277</v>
      </c>
      <c r="I23" s="252">
        <v>0</v>
      </c>
      <c r="J23" s="255">
        <f t="shared" si="0"/>
        <v>0</v>
      </c>
      <c r="K23" s="252">
        <v>0</v>
      </c>
    </row>
    <row r="24" spans="2:13" s="116" customFormat="1" ht="24" customHeight="1">
      <c r="B24" s="250"/>
      <c r="C24" s="251"/>
      <c r="D24" s="252"/>
      <c r="E24" s="254"/>
      <c r="F24" s="258"/>
      <c r="G24" s="259"/>
      <c r="H24" s="254"/>
      <c r="I24" s="252"/>
      <c r="J24" s="255">
        <f t="shared" si="0"/>
        <v>0</v>
      </c>
      <c r="K24" s="256">
        <v>0</v>
      </c>
    </row>
    <row r="25" spans="2:13" s="116" customFormat="1" ht="24" customHeight="1">
      <c r="B25" s="250" t="s">
        <v>281</v>
      </c>
      <c r="C25" s="251">
        <v>0</v>
      </c>
      <c r="D25" s="252">
        <f>+D27-D11</f>
        <v>0</v>
      </c>
      <c r="E25" s="254">
        <v>0</v>
      </c>
      <c r="F25" s="260">
        <f>-F28</f>
        <v>0</v>
      </c>
      <c r="G25" s="259">
        <f>+G27-G11</f>
        <v>0</v>
      </c>
      <c r="H25" s="254">
        <v>0</v>
      </c>
      <c r="I25" s="252">
        <v>0</v>
      </c>
      <c r="J25" s="255">
        <f t="shared" si="0"/>
        <v>0</v>
      </c>
      <c r="K25" s="256">
        <v>419000000</v>
      </c>
    </row>
    <row r="26" spans="2:13" s="116" customFormat="1" ht="24" customHeight="1" thickBot="1">
      <c r="B26" s="250" t="s">
        <v>146</v>
      </c>
      <c r="C26" s="261" t="s">
        <v>277</v>
      </c>
      <c r="D26" s="262" t="s">
        <v>277</v>
      </c>
      <c r="E26" s="261" t="s">
        <v>277</v>
      </c>
      <c r="F26" s="263">
        <v>0</v>
      </c>
      <c r="G26" s="262" t="s">
        <v>277</v>
      </c>
      <c r="H26" s="264"/>
      <c r="I26" s="262">
        <f>+I27</f>
        <v>-193898242.38999999</v>
      </c>
      <c r="J26" s="255">
        <f>SUM(C26:I26)</f>
        <v>-193898242.38999999</v>
      </c>
      <c r="K26" s="265">
        <v>12385250.720000001</v>
      </c>
    </row>
    <row r="27" spans="2:13" s="116" customFormat="1" ht="24" customHeight="1" thickBot="1">
      <c r="B27" s="629" t="str">
        <f>+INDICE!I2</f>
        <v>Total al  30/06/2023</v>
      </c>
      <c r="C27" s="266">
        <f>+'BALANCE GRAL'!G62</f>
        <v>0</v>
      </c>
      <c r="D27" s="267">
        <f>+'BALANCE GRAL'!G61</f>
        <v>3805000000</v>
      </c>
      <c r="E27" s="268">
        <f>+'BALANCE GRAL'!G65</f>
        <v>0</v>
      </c>
      <c r="F27" s="267">
        <f>+'BALANCE GRAL'!G67</f>
        <v>103000000</v>
      </c>
      <c r="G27" s="269">
        <f>+'BALANCE GRAL'!G66</f>
        <v>0</v>
      </c>
      <c r="H27" s="266">
        <f>+'BALANCE GRAL'!G72</f>
        <v>-178677351</v>
      </c>
      <c r="I27" s="267">
        <f>+'BALANCE GRAL'!G73</f>
        <v>-193898242.38999999</v>
      </c>
      <c r="J27" s="270">
        <f>SUM(C27:I27)</f>
        <v>3535424406.6100001</v>
      </c>
      <c r="K27" s="270">
        <f>SUM(K11:K26)</f>
        <v>3807855349.9899998</v>
      </c>
      <c r="L27" s="142"/>
      <c r="M27" s="142"/>
    </row>
    <row r="28" spans="2:13" s="116" customFormat="1" ht="24" customHeight="1" thickBot="1">
      <c r="B28" s="629" t="str">
        <f>+INDICE!J3</f>
        <v>Al 30/06/2022</v>
      </c>
      <c r="C28" s="271">
        <v>0</v>
      </c>
      <c r="D28" s="271">
        <v>3805000000</v>
      </c>
      <c r="E28" s="271">
        <v>0</v>
      </c>
      <c r="F28" s="271">
        <v>0</v>
      </c>
      <c r="G28" s="271">
        <v>0</v>
      </c>
      <c r="H28" s="271">
        <v>-9529901</v>
      </c>
      <c r="I28" s="271">
        <v>12385250.720000001</v>
      </c>
      <c r="J28" s="272"/>
      <c r="K28" s="270">
        <f>SUM(C28:J28)</f>
        <v>3807855349.7199998</v>
      </c>
    </row>
    <row r="30" spans="2:13" hidden="1">
      <c r="D30" s="41">
        <f>SUM(D11:D26)</f>
        <v>3805000000</v>
      </c>
      <c r="E30" s="41">
        <f t="shared" ref="E30:J30" si="1">SUM(E11:E26)</f>
        <v>0</v>
      </c>
      <c r="F30" s="41">
        <f t="shared" si="1"/>
        <v>103000000</v>
      </c>
      <c r="G30" s="41">
        <f t="shared" si="1"/>
        <v>0</v>
      </c>
      <c r="H30" s="41">
        <f t="shared" si="1"/>
        <v>-178677352.42999998</v>
      </c>
      <c r="I30" s="41">
        <f t="shared" si="1"/>
        <v>-193898242.38999999</v>
      </c>
      <c r="J30" s="41">
        <f t="shared" si="1"/>
        <v>3535424405.1800003</v>
      </c>
      <c r="K30" s="57">
        <f>+J27-'BALANCE GRAL'!G75</f>
        <v>0</v>
      </c>
    </row>
    <row r="31" spans="2:13" hidden="1"/>
    <row r="32" spans="2:13" hidden="1">
      <c r="C32" s="57">
        <f t="shared" ref="C32:I32" si="2">+C30-C27</f>
        <v>0</v>
      </c>
      <c r="D32" s="57">
        <f t="shared" si="2"/>
        <v>0</v>
      </c>
      <c r="E32" s="57">
        <f t="shared" si="2"/>
        <v>0</v>
      </c>
      <c r="F32" s="57">
        <f t="shared" si="2"/>
        <v>0</v>
      </c>
      <c r="G32" s="57">
        <f t="shared" si="2"/>
        <v>0</v>
      </c>
      <c r="H32" s="57">
        <f t="shared" si="2"/>
        <v>-1.429999977350235</v>
      </c>
      <c r="I32" s="57">
        <f t="shared" si="2"/>
        <v>0</v>
      </c>
      <c r="J32" s="57">
        <f>+J30-J27</f>
        <v>-1.429999828338623</v>
      </c>
    </row>
    <row r="33" spans="2:11">
      <c r="J33" s="57">
        <f>+J27-'BALANCE GRAL'!G75</f>
        <v>0</v>
      </c>
      <c r="K33" s="57">
        <f>K28-'[9]ESTADO DE VARIAC PN 30_06_22'!$J$27</f>
        <v>0</v>
      </c>
    </row>
    <row r="34" spans="2:11">
      <c r="B34" s="732" t="s">
        <v>727</v>
      </c>
      <c r="C34" s="732"/>
      <c r="D34" s="732"/>
      <c r="E34" s="732"/>
      <c r="F34" s="732"/>
      <c r="G34" s="732"/>
      <c r="H34" s="732"/>
      <c r="I34" s="732"/>
      <c r="J34" s="732"/>
      <c r="K34" s="732"/>
    </row>
  </sheetData>
  <sheetProtection algorithmName="SHA-512" hashValue="Ityojl89ajfcq0ifcYvyJPWnmQyAtT+of4G+/XlfiCILuqhfJrcfJdwG99vQQTyka454r/58NRG0RpfTaSyMLQ==" saltValue="6XXHMOeJ9kncvsS0nPpS3w==" spinCount="100000" sheet="1" objects="1" scenarios="1"/>
  <mergeCells count="9">
    <mergeCell ref="B34:K34"/>
    <mergeCell ref="B3:K3"/>
    <mergeCell ref="C8:D8"/>
    <mergeCell ref="E8:G8"/>
    <mergeCell ref="H8:I8"/>
    <mergeCell ref="J8:K8"/>
    <mergeCell ref="B4:K4"/>
    <mergeCell ref="B5:K5"/>
    <mergeCell ref="B6:K6"/>
  </mergeCells>
  <pageMargins left="0.7" right="0.7" top="0.75" bottom="0.75" header="0.3" footer="0.3"/>
  <pageSetup paperSize="9" orientation="portrait" r:id="rId1"/>
  <drawing r:id="rId2"/>
</worksheet>
</file>

<file path=_xmlsignatures/_rels/origin1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z8mHrbSkbN4y5zrASC07l+/bpvlOe9gd9XrJEmpDsAc=</DigestValue>
    </Reference>
    <Reference Type="http://www.w3.org/2000/09/xmldsig#Object" URI="#idOfficeObject">
      <DigestMethod Algorithm="http://www.w3.org/2001/04/xmlenc#sha256"/>
      <DigestValue>7wTx6zM/uyc/Zrf7OvO24YVxqLbwfi8M2zLME7lngR4=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PtaNfnEzUG5KH0+9qdcbnSK5+7EKMDbEJoTLZn5+pfI=</DigestValue>
    </Reference>
    <Reference Type="http://www.w3.org/2000/09/xmldsig#Object" URI="#idValidSigLnImg">
      <DigestMethod Algorithm="http://www.w3.org/2001/04/xmlenc#sha256"/>
      <DigestValue>QnIWRPKExWP2eV97FNGUo8pu6DVV11vvJsCxWTKyEzI=</DigestValue>
    </Reference>
    <Reference Type="http://www.w3.org/2000/09/xmldsig#Object" URI="#idInvalidSigLnImg">
      <DigestMethod Algorithm="http://www.w3.org/2001/04/xmlenc#sha256"/>
      <DigestValue>7UjXgsbqz7xg2Bd0ZxDN3Fc0jiIgoBfe0m0PwuZ+EJg=</DigestValue>
    </Reference>
  </SignedInfo>
  <SignatureValue>c6QzAidvYw9Dq47+Fc7tL4dkVtxunniq+o/0X1U/TxPQ8rFNFXEapPbqmcU4sl1mPT7OytdC2oVW
MSWMWViPoifZLkGfftk91TRu8nkck7lmihJwdAO+fzZE2UCvyoaDngtsvDGQ7ttxDn5NIWrbdNG5
2DM9BSxydWF5JuKxdpExZO1R3P9HLsRshIJdmYtdWuWdtXOY18nT7xtAOCM2fhapmAlznuI5aI3G
CR56wn07LAsn08DRatE/zRGZobARc/LXQq7/i/NGNvGE7DsCotw3CR1dSXUrqeA16veWYXv9kmyX
cWfsDSarmae5mmy1z3G5vxU/kvl8PwHIbjDU/Q==</SignatureValue>
  <KeyInfo>
    <X509Data>
      <X509Certificate>MIIIgTCCBmmgAwIBAgIITJpCPyNtlZIwDQYJKoZIhvcNAQELBQAwWjEaMBgGA1UEAwwRQ0EtRE9DVU1FTlRBIFMuQS4xFjAUBgNVBAUTDVJVQzgwMDUwMTcyLTExFzAVBgNVBAoMDkRPQ1VNRU5UQSBTLkEuMQswCQYDVQQGEwJQWTAeFw0yMzA3MjYxNzI3MDBaFw0yNTA3MjUxNzI3MDBaMIG7MSQwIgYDVQQDDBtNQVJJQSBWRVJPTklDQSBQT1JSTyBBQ09TVEExEjAQBgNVBAUTCUNJMjMwMTg1MDEXMBUGA1UEKgwOTUFSSUEgVkVST05JQ0ExFTATBgNVBAQMDFBPUlJPIEFDT1NUQTELMAkGA1UECwwCRjIxNTAzBgNVBAoMLENFUlRJRklDQURPIENVQUxJRklDQURPIERFIEZJUk1BIEVMRUNUUk9OSUNBMQswCQYDVQQGEwJQWTCCASIwDQYJKoZIhvcNAQEBBQADggEPADCCAQoCggEBAJwU//Ro9eaxoQuT+AVb1FBYuz+wto0I8XPsnKGpUQAr9iqPVe8CARqBJqiO9zq3LZpO6JccbQ0NJAd0D2IibM2GEMFx1HliZdEGdebDBzZs2hM+IIxSeXhpr3xthqe4OqF4ISSjlnxUKCdq2pPwtu1lPd/6D5L8mJ9Q1Lm/YwlnsriDerR44zWfbhieSCAGsUzAw8r06YhrwnN/Ts01CDqiQDJzwiwPTZeogw4dXF7dRAxr++mNt0M3mDTsxkjKqA5erJMiad6Om1gi1fx633gLw499z8gtm5qsfLEoWWKldE3Eq1uogeXGPjw3hsOJPRoagV4OSi1uRePgHYQ9BWkCAwEAAaOCA+cwggPjMAwGA1UdEwEB/wQCMAAwHwYDVR0jBBgwFoAUoT2FK83YLJYfOQIMn1M7WNiVC3swgZQGCCsGAQUFBwEBBIGHMIGEMFUGCCsGAQUFBzAChklodHRwczovL3d3dy5kaWdpdG8uY29tLnB5L3VwbG9hZHMvY2VydGlmaWNhZG8tZG9jdW1lbnRhLXNhLTE1MzUxMTc3NzEuY3J0MCsGCCsGAQUFBzABhh9odHRwczovL3d3dy5kaWdpdG8uY29tLnB5L29jc3AvMEoGA1UdEQRDMEGBE3Zlcm9wb3Jyb0BnbWFpbC5jb22kKjAoMSYwJAYDVQQNDB1GSVJNQSBFTEVDVFJPTklDQSBDVUFMSUZJQ0FEQTCCAfUGA1UdIASCAewwggHoMIIB5AYNKwYBBAGC+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/BCAwHgYIKwYBBQUHAwIGCCsGAQUFBwMEBggrBgEFBQcDATB7BgNVHR8EdDByMDSgMqAwhi5odHRwczovL3d3dy5kaWdpdG8uY29tLnB5L2NybC9kb2N1bWVudGFfY2EuY3JsMDqgOKA2hjRodHRwczovL3d3dy5kb2N1bWVudGEuY29tLnB5L2RpZ2l0by9kb2N1bWVudGFfY2EuY3JsMB0GA1UdDgQWBBSsh7TNIc/QDWLixtB9DfVFVII3UjAOBgNVHQ8BAf8EBAMCBeAwDQYJKoZIhvcNAQELBQADggIBABwshyQgsxyybgnuR7dxrPKm4WLIG8NquZgzpUUSlZqlDwEOqj9mgH1T7e9W+V0xoOrQYiZTtpEdV1eK66xXuKePCnQI06etKrcinyg7q2cpJom7sbIobzdVMEVueOSYMfVY+/jRb7d/wYibNLcsWyvdhRxh0lp/xHn0uWJkYxCuLI0m8ttZsfjUcigIBtG7a/OrIXiR+YeaRo/auBQBWq06XTeENVxQEyH9PdGAZUe3FxW+ivVIaJNC5X4d4XxK0PAaDmVqOIcwVHTNCNYEzs9s7+t4VbYPQ1dKWWh2lQ0GyE3qvnvKHvW2JMeg5pbD+h5c7RN7NGVXURJxpAHCUMxfo1TfGPrTFfkHAAIQq77gk0Aj39V20RhEkqYJhu4rCbydDPC0gYQF/QdLtlgslpvFRPUqGfBO4MnGlWop0fStgxu4X7t50EwRLORjdu8aXUjf17O6uXPxd4Ich3DhDr2e8T6JOBzyeHTFwehQ5/ezi3PYg0dEI+JCFB9b5EVnWeuc7Kct7DRSFb460yIKi5jIaeeBCl4M2RG8ohzYOizQ1lRKKyCrg/byRImx1j8LLkD/m9IescX/bETHacezMX4krDQi8wgLg6jVe4CRhiqY+zQU9X39Rgs20BHqHMhuviRT3fFDwBJsL/7v7+pTTjj1sjZ5wCnyaF9LuBvIQ98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8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</Transform>
          <Transform Algorithm="http://www.w3.org/TR/2001/REC-xml-c14n-20010315"/>
        </Transforms>
        <DigestMethod Algorithm="http://www.w3.org/2001/04/xmlenc#sha256"/>
        <DigestValue>9cH66gnYPDJf9IcQ56vViGMDNEgb6ElP++FyHKbSL5I=</DigestValue>
      </Reference>
      <Reference URI="/xl/calcChain.xml?ContentType=application/vnd.openxmlformats-officedocument.spreadsheetml.calcChain+xml">
        <DigestMethod Algorithm="http://www.w3.org/2001/04/xmlenc#sha256"/>
        <DigestValue>CqiCaQaSbtCjJ7NIET09ZzXaNd0yM7LOIhPsqeq8dHM=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J2BAgzEtgHZvJLT6Z8wBZSKIOSgDyh8bTQWrBE/grlI=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qjBShL+w25YLKX9StiD7B4tEjq12uZFisU2IJkRA+Bo=</DigestValue>
      </Reference>
      <Reference URI="/xl/drawings/vmlDrawing2.vml?ContentType=application/vnd.openxmlformats-officedocument.vmlDrawing">
        <DigestMethod Algorithm="http://www.w3.org/2001/04/xmlenc#sha256"/>
        <DigestValue>vg6Ju/2lz+i+qRuifMf/MqC3wp+GTBZI1xJALwaVjRI=</DigestValue>
      </Reference>
      <Reference URI="/xl/drawings/vmlDrawing3.vml?ContentType=application/vnd.openxmlformats-officedocument.vmlDrawing">
        <DigestMethod Algorithm="http://www.w3.org/2001/04/xmlenc#sha256"/>
        <DigestValue>CIpe34ATxRnmV7j6IFEkRtvin7HbiRY2/sKA5ae5aTk=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T+BDfyTpetW0qrruXw3avFkzeuURebdHQEUJACuxc/I=</DigestValue>
      </Reference>
      <Reference URI="/xl/externalLinks/_rels/externalLink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m/P1sPVumHbYYYH4Gi4tHuT7G4T0ciEqU7j0RQle7mQ=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/jUhTi6PhUZPDyfIvX9N+eGqtgSugQC4yomTlFwgBmU=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lQ82QnWwbz4cwqWmA0PvUVUEvxx4zrtn0uT8oTImCQY=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UwScaaVvJJr8sVMKke2dTwYL0T0jaSMJuw7X9zicf0M=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tnn+2bol2bXBQ+eWFjm/ny6YYB+WCJCWG7qmZ0RRm8Q=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nTCLDQNmBLD3QNG16R1ayTR/yk/TvIA8GLr+I/QKjWw=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p8NQnfT7rn5oLKK1Sy4tLSTXYmUnd6giEKUGdCW4IMc=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qBK7IMwjceOW1HdoZ7y24WnIbZ7Hm+1SopgVFPlsroI=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10.xml?ContentType=application/vnd.openxmlformats-officedocument.spreadsheetml.externalLink+xml">
        <DigestMethod Algorithm="http://www.w3.org/2001/04/xmlenc#sha256"/>
        <DigestValue>5hysn/f3cuDUn2KoabI0T5agba8Q0eZ9N97MhkkYe0Q=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vh3teiCYGpj8VAfrN+S7Aw3b7bUs9SkEtIUtjbw3a0c=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+i3Furto1eVVmhcb9qnUlQ3PrqPkRxf3tCO5VQA74J0=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ihREqtptQ/I7yKugMN8QiWLgkeGyEvfYHrE8uiytdNI=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QTG3YgyS6n6mZd/mWr9lxuA+F8ZSiwpoMAN5BMAQM+A=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10T+bRrKjdYQYP8a0kHGO9XtQSBdxZuBP0ve51KlOHw=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pbGoT91SS2SXBCvoCb4OUilI8eTUsEadHCkEI2ndObI=</DigestValue>
      </Reference>
      <Reference URI="/xl/media/image4.emf?ContentType=image/x-emf">
        <DigestMethod Algorithm="http://www.w3.org/2001/04/xmlenc#sha256"/>
        <DigestValue>2dL1qjQRhJZ63qMt49Cm9Ry/zmr3z/cHAjL8Co1nBtQ=</DigestValue>
      </Reference>
      <Reference URI="/xl/media/image5.emf?ContentType=image/x-emf">
        <DigestMethod Algorithm="http://www.w3.org/2001/04/xmlenc#sha256"/>
        <DigestValue>5HHBIQGIxQV002SdOJKjGVDZRzuVtc+H9vUWurUtMtQ=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JwtVcnTpt433HgYNzX+0SAaAGNr9BnjurA3Cvck8fbM=</DigestValue>
      </Reference>
      <Reference URI="/xl/styles.xml?ContentType=application/vnd.openxmlformats-officedocument.spreadsheetml.styles+xml">
        <DigestMethod Algorithm="http://www.w3.org/2001/04/xmlenc#sha256"/>
        <DigestValue>wk0PvX3Go/NbqdDsJPERL3oCu+H/tWmMfj3jXkOQYDA=</DigestValue>
      </Reference>
      <Reference URI="/xl/tables/table1.xml?ContentType=application/vnd.openxmlformats-officedocument.spreadsheetml.table+xml">
        <DigestMethod Algorithm="http://www.w3.org/2001/04/xmlenc#sha256"/>
        <DigestValue>3DvJRVq8L5tVG3OXknakCCGRJtdPl9uu8c6tarcFXq0=</DigestValue>
      </Reference>
      <Reference URI="/xl/tables/table2.xml?ContentType=application/vnd.openxmlformats-officedocument.spreadsheetml.table+xml">
        <DigestMethod Algorithm="http://www.w3.org/2001/04/xmlenc#sha256"/>
        <DigestValue>Iil/Rjhw0zCCp2Cpi5C8+LImDZ2BktpveQLRcpfbTn0=</DigestValue>
      </Reference>
      <Reference URI="/xl/tables/table3.xml?ContentType=application/vnd.openxmlformats-officedocument.spreadsheetml.table+xml">
        <DigestMethod Algorithm="http://www.w3.org/2001/04/xmlenc#sha256"/>
        <DigestValue>+JBk3R7VBpvvdigSAtcozFkPiajQcZIzshrw/70OtWQ=</DigestValue>
      </Reference>
      <Reference URI="/xl/tables/table4.xml?ContentType=application/vnd.openxmlformats-officedocument.spreadsheetml.table+xml">
        <DigestMethod Algorithm="http://www.w3.org/2001/04/xmlenc#sha256"/>
        <DigestValue>0LV0Y8KHoxa8spVtu4eG0SR4ejYc5XcrBQ2nZUFUpe8=</DigestValue>
      </Reference>
      <Reference URI="/xl/tables/table5.xml?ContentType=application/vnd.openxmlformats-officedocument.spreadsheetml.table+xml">
        <DigestMethod Algorithm="http://www.w3.org/2001/04/xmlenc#sha256"/>
        <DigestValue>TX6NH6L75Phx1ARoq8gVohLU3ml3FgI+f5MXAtkozQI=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CyCu7fzU9CnHUvfwIvvE/WvE6dOTnkEsVkZhw6XRThg=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tnuHqQYJoYrMKwqfxAt4GYCSfZ37aqTLEPx5w3S0Lp4=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4s9qknDynYPr1xuzc4NY1dbPuCxhKyhwp+fAHZRIQIQ=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b7C/4dAYzpCnOiQ0d74ASq0ijHWl6LtpfIw9YKV91Cs=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L7u13EYEd6OGZ0GaATTJD1c30oefd1GysEaTnKs7nLw=</DigestValue>
      </Reference>
      <Reference URI="/xl/worksheets/sheet10.xml?ContentType=application/vnd.openxmlformats-officedocument.spreadsheetml.worksheet+xml">
        <DigestMethod Algorithm="http://www.w3.org/2001/04/xmlenc#sha256"/>
        <DigestValue>XPB71gCtULGnfGT/rw2Psl3x0rbiE8GSzM+SynEgons=</DigestValue>
      </Reference>
      <Reference URI="/xl/worksheets/sheet11.xml?ContentType=application/vnd.openxmlformats-officedocument.spreadsheetml.worksheet+xml">
        <DigestMethod Algorithm="http://www.w3.org/2001/04/xmlenc#sha256"/>
        <DigestValue>YmrnO7palSoVWOyxt1MZfSxKULZEX/Du73Ai7+tGCLY=</DigestValue>
      </Reference>
      <Reference URI="/xl/worksheets/sheet12.xml?ContentType=application/vnd.openxmlformats-officedocument.spreadsheetml.worksheet+xml">
        <DigestMethod Algorithm="http://www.w3.org/2001/04/xmlenc#sha256"/>
        <DigestValue>3Q/OeSfVC7zB7xkcuvUOs0Wn+yu5+TFAAXY1ftTqaiM=</DigestValue>
      </Reference>
      <Reference URI="/xl/worksheets/sheet13.xml?ContentType=application/vnd.openxmlformats-officedocument.spreadsheetml.worksheet+xml">
        <DigestMethod Algorithm="http://www.w3.org/2001/04/xmlenc#sha256"/>
        <DigestValue>Lvmlf61SuLmpKYUqQWjQCFGr2S6MgRXzlSkADAgY/LE=</DigestValue>
      </Reference>
      <Reference URI="/xl/worksheets/sheet14.xml?ContentType=application/vnd.openxmlformats-officedocument.spreadsheetml.worksheet+xml">
        <DigestMethod Algorithm="http://www.w3.org/2001/04/xmlenc#sha256"/>
        <DigestValue>lkPh0p4RgoazBpEB/t99HuSwFggpFVUOgIMlUUhSCN4=</DigestValue>
      </Reference>
      <Reference URI="/xl/worksheets/sheet15.xml?ContentType=application/vnd.openxmlformats-officedocument.spreadsheetml.worksheet+xml">
        <DigestMethod Algorithm="http://www.w3.org/2001/04/xmlenc#sha256"/>
        <DigestValue>ivy5eLxt3NXl9SPo8AZjxNePijclnyNn3YayIEtp8DM=</DigestValue>
      </Reference>
      <Reference URI="/xl/worksheets/sheet16.xml?ContentType=application/vnd.openxmlformats-officedocument.spreadsheetml.worksheet+xml">
        <DigestMethod Algorithm="http://www.w3.org/2001/04/xmlenc#sha256"/>
        <DigestValue>pB/bOUFVww3G5hEpAZM4+Cq0pHrD7VVbDzYLwOUzmQE=</DigestValue>
      </Reference>
      <Reference URI="/xl/worksheets/sheet17.xml?ContentType=application/vnd.openxmlformats-officedocument.spreadsheetml.worksheet+xml">
        <DigestMethod Algorithm="http://www.w3.org/2001/04/xmlenc#sha256"/>
        <DigestValue>JMcqCaHp7yhrX/sQv81EjEZkhJ+Z6hFMjScUIQ8LYxY=</DigestValue>
      </Reference>
      <Reference URI="/xl/worksheets/sheet18.xml?ContentType=application/vnd.openxmlformats-officedocument.spreadsheetml.worksheet+xml">
        <DigestMethod Algorithm="http://www.w3.org/2001/04/xmlenc#sha256"/>
        <DigestValue>cxR175q3zoaaISUqqLpoYmKozeMpPZlq5EmLrAMknkE=</DigestValue>
      </Reference>
      <Reference URI="/xl/worksheets/sheet19.xml?ContentType=application/vnd.openxmlformats-officedocument.spreadsheetml.worksheet+xml">
        <DigestMethod Algorithm="http://www.w3.org/2001/04/xmlenc#sha256"/>
        <DigestValue>ewd4taF/tNV2leN4K1MIgrDXcZEjI/5ffA+k9q6NIC0=</DigestValue>
      </Reference>
      <Reference URI="/xl/worksheets/sheet2.xml?ContentType=application/vnd.openxmlformats-officedocument.spreadsheetml.worksheet+xml">
        <DigestMethod Algorithm="http://www.w3.org/2001/04/xmlenc#sha256"/>
        <DigestValue>kPr1I6wzYFtbmSAfzWaJBH4pumwvt/WokPDgXbXJ2yo=</DigestValue>
      </Reference>
      <Reference URI="/xl/worksheets/sheet20.xml?ContentType=application/vnd.openxmlformats-officedocument.spreadsheetml.worksheet+xml">
        <DigestMethod Algorithm="http://www.w3.org/2001/04/xmlenc#sha256"/>
        <DigestValue>igjGZCYYTHVUq3Y+iwUe2DUChl07cOfkGr6P2qs85NA=</DigestValue>
      </Reference>
      <Reference URI="/xl/worksheets/sheet21.xml?ContentType=application/vnd.openxmlformats-officedocument.spreadsheetml.worksheet+xml">
        <DigestMethod Algorithm="http://www.w3.org/2001/04/xmlenc#sha256"/>
        <DigestValue>hzcvbOX+rMgeCKA58yJ/g2QW5m9/Ve+vVq1pMETz8pA=</DigestValue>
      </Reference>
      <Reference URI="/xl/worksheets/sheet22.xml?ContentType=application/vnd.openxmlformats-officedocument.spreadsheetml.worksheet+xml">
        <DigestMethod Algorithm="http://www.w3.org/2001/04/xmlenc#sha256"/>
        <DigestValue>U96XYR/uyWPQFAWNCErnlO0MNRbogAJResHS3kPn7sk=</DigestValue>
      </Reference>
      <Reference URI="/xl/worksheets/sheet23.xml?ContentType=application/vnd.openxmlformats-officedocument.spreadsheetml.worksheet+xml">
        <DigestMethod Algorithm="http://www.w3.org/2001/04/xmlenc#sha256"/>
        <DigestValue>G3aEXZ0LATgiUYbT3QWhUmGe7VVfgC4e1egbfhPQOcE=</DigestValue>
      </Reference>
      <Reference URI="/xl/worksheets/sheet24.xml?ContentType=application/vnd.openxmlformats-officedocument.spreadsheetml.worksheet+xml">
        <DigestMethod Algorithm="http://www.w3.org/2001/04/xmlenc#sha256"/>
        <DigestValue>YrUdC50UeAR5d3TGsFVXcZAn/QvDBCvdj/j3+3hG+UQ=</DigestValue>
      </Reference>
      <Reference URI="/xl/worksheets/sheet25.xml?ContentType=application/vnd.openxmlformats-officedocument.spreadsheetml.worksheet+xml">
        <DigestMethod Algorithm="http://www.w3.org/2001/04/xmlenc#sha256"/>
        <DigestValue>sAvsTIGS9Nyyd6vYeXAvmOL6QXUaLH8G6QTvpabyNKs=</DigestValue>
      </Reference>
      <Reference URI="/xl/worksheets/sheet26.xml?ContentType=application/vnd.openxmlformats-officedocument.spreadsheetml.worksheet+xml">
        <DigestMethod Algorithm="http://www.w3.org/2001/04/xmlenc#sha256"/>
        <DigestValue>5FBDRKHkKJG8NSFBsog/tQ66GuOWcVsF50zVKI3gMK8=</DigestValue>
      </Reference>
      <Reference URI="/xl/worksheets/sheet27.xml?ContentType=application/vnd.openxmlformats-officedocument.spreadsheetml.worksheet+xml">
        <DigestMethod Algorithm="http://www.w3.org/2001/04/xmlenc#sha256"/>
        <DigestValue>uHkqHTNCdGG6cYnKOAv3WtTtVU2KwMiLoOPiVRVPlEk=</DigestValue>
      </Reference>
      <Reference URI="/xl/worksheets/sheet28.xml?ContentType=application/vnd.openxmlformats-officedocument.spreadsheetml.worksheet+xml">
        <DigestMethod Algorithm="http://www.w3.org/2001/04/xmlenc#sha256"/>
        <DigestValue>kOGdyypLyha8KzCVE3LGMHsocQwMg7F0po13EVJdbyA=</DigestValue>
      </Reference>
      <Reference URI="/xl/worksheets/sheet29.xml?ContentType=application/vnd.openxmlformats-officedocument.spreadsheetml.worksheet+xml">
        <DigestMethod Algorithm="http://www.w3.org/2001/04/xmlenc#sha256"/>
        <DigestValue>6pZdVN7h0SesSDKMKiJPGtuw+SqXcLRDi6D69jK2AUs=</DigestValue>
      </Reference>
      <Reference URI="/xl/worksheets/sheet3.xml?ContentType=application/vnd.openxmlformats-officedocument.spreadsheetml.worksheet+xml">
        <DigestMethod Algorithm="http://www.w3.org/2001/04/xmlenc#sha256"/>
        <DigestValue>2A00B3ijFGHZmLRTTe+em5u1vNqbaycooHeCjsE7Yhs=</DigestValue>
      </Reference>
      <Reference URI="/xl/worksheets/sheet30.xml?ContentType=application/vnd.openxmlformats-officedocument.spreadsheetml.worksheet+xml">
        <DigestMethod Algorithm="http://www.w3.org/2001/04/xmlenc#sha256"/>
        <DigestValue>2Hr8hXHDLzL2Hiz65WT1ktwawywAUqddVeQFBkco9UU=</DigestValue>
      </Reference>
      <Reference URI="/xl/worksheets/sheet4.xml?ContentType=application/vnd.openxmlformats-officedocument.spreadsheetml.worksheet+xml">
        <DigestMethod Algorithm="http://www.w3.org/2001/04/xmlenc#sha256"/>
        <DigestValue>i7WNWoImns8OVPbSKI4Hw1fxhDmOIOTmzPoMW4GVilg=</DigestValue>
      </Reference>
      <Reference URI="/xl/worksheets/sheet5.xml?ContentType=application/vnd.openxmlformats-officedocument.spreadsheetml.worksheet+xml">
        <DigestMethod Algorithm="http://www.w3.org/2001/04/xmlenc#sha256"/>
        <DigestValue>U+txUw9IKEwcXcrnyGyPJ+QD0bHPBRAutwvlpWVS6Pg=</DigestValue>
      </Reference>
      <Reference URI="/xl/worksheets/sheet6.xml?ContentType=application/vnd.openxmlformats-officedocument.spreadsheetml.worksheet+xml">
        <DigestMethod Algorithm="http://www.w3.org/2001/04/xmlenc#sha256"/>
        <DigestValue>UQDyPiih93UYlhaXPFuXT96PRyLBFAdNRXK/8oXYpNU=</DigestValue>
      </Reference>
      <Reference URI="/xl/worksheets/sheet7.xml?ContentType=application/vnd.openxmlformats-officedocument.spreadsheetml.worksheet+xml">
        <DigestMethod Algorithm="http://www.w3.org/2001/04/xmlenc#sha256"/>
        <DigestValue>1Evx2LCx5+hiHcUBmqpgueQX5/7/aXHfMtfmdy7sfFU=</DigestValue>
      </Reference>
      <Reference URI="/xl/worksheets/sheet8.xml?ContentType=application/vnd.openxmlformats-officedocument.spreadsheetml.worksheet+xml">
        <DigestMethod Algorithm="http://www.w3.org/2001/04/xmlenc#sha256"/>
        <DigestValue>BfmKl0Zj4xpHGDEonrq3xSzRIGChP2D/OO1J75nFWSU=</DigestValue>
      </Reference>
      <Reference URI="/xl/worksheets/sheet9.xml?ContentType=application/vnd.openxmlformats-officedocument.spreadsheetml.worksheet+xml">
        <DigestMethod Algorithm="http://www.w3.org/2001/04/xmlenc#sha256"/>
        <DigestValue>VuqobayF7X4M5NjrZPfeO7ME2KSZ+3AWvvhTBx9tSDU=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2023-08-14T17:28:26Z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{447140C9-7EA5-48C1-B5C2-AF927AB7FC83}</SetupID>
          <SignatureText>Maria Veronica Porro</SignatureText>
          <SignatureImage/>
          <SignatureComments/>
          <WindowsVersion>10.0</WindowsVersion>
          <OfficeVersion>16.0.16626/25</OfficeVersion>
          <ApplicationVersion>16.0.16626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2023-08-14T17:28:26Z</xd:SigningTime>
          <xd:SigningCertificate>
            <xd:Cert>
              <xd:CertDigest>
                <DigestMethod Algorithm="http://www.w3.org/2001/04/xmlenc#sha256"/>
                <DigestValue>xV/HHr4GHM8nBMQ8LDGnRGNKhciDTg7ksGAUOdoH8aA=</DigestValue>
              </xd:CertDigest>
              <xd:IssuerSerial>
                <X509IssuerName>C=PY, O=DOCUMENTA S.A., SERIALNUMBER=RUC80050172-1, CN=CA-DOCUMENTA S.A.</X509IssuerName>
                <X509SerialNumber>5519797132240721298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  <Object Id="idValidSigLnImg">AQAAAGwAAAAAAAAAAAAAAAkBAAB/AAAAAAAAAAAAAAAzHAAAkQ0AACBFTUYAAAEA3BsAAKoAAAAGAAAAAAAAAAAAAAAAAAAAgAcAADgEAAAJAgAAJQEAAAAAAAAAAAAAAAAAACjzBwCIeAQACgAAABAAAAAAAAAAAAAAAEsAAAAQAAAAAAAAAAUAAAAeAAAAGAAAAAAAAAAAAAAACgEAAIAAAAAnAAAAGAAAAAEAAAAAAAAAAAAAAAAAAAAlAAAADAAAAAEAAABMAAAAZAAAAAAAAAAAAAAACQEAAH8AAAAAAAAAAAAAAAo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JAQAAfwAAAAAAAAAAAAAACgEAAIAAAAAhAPAAAAAAAAAAAAAAAIA/AAAAAAAAAAAAAIA/AAAAAAAAAAAAAAAAAAAAAAAAAAAAAAAAAAAAAAAAAAAlAAAADAAAAAAAAIAoAAAADAAAAAEAAAAnAAAAGAAAAAEAAAAAAAAA8PDwAAAAAAAlAAAADAAAAAEAAABMAAAAZAAAAAAAAAAAAAAACQEAAH8AAAAAAAAAAAAAAAoBAACAAAAAIQDwAAAAAAAAAAAAAACAPwAAAAAAAAAAAACAPwAAAAAAAAAAAAAAAAAAAAAAAAAAAAAAAAAAAAAAAAAAJQAAAAwAAAAAAACAKAAAAAwAAAABAAAAJwAAABgAAAABAAAAAAAAAPDw8AAAAAAAJQAAAAwAAAABAAAATAAAAGQAAAAAAAAAAAAAAAkBAAB/AAAAAAAAAAAAAAAKAQAAgAAAACEA8AAAAAAAAAAAAAAAgD8AAAAAAAAAAAAAgD8AAAAAAAAAAAAAAAAAAAAAAAAAAAAAAAAAAAAAAAAAACUAAAAMAAAAAAAAgCgAAAAMAAAAAQAAACcAAAAYAAAAAQAAAAAAAADw8PAAAAAAACUAAAAMAAAAAQAAAEwAAABkAAAAAAAAAAAAAAAJAQAAfwAAAAAAAAAAAAAACgEAAIAAAAAhAPAAAAAAAAAAAAAAAIA/AAAAAAAAAAAAAIA/AAAAAAAAAAAAAAAAAAAAAAAAAAAAAAAAAAAAAAAAAAAlAAAADAAAAAAAAIAoAAAADAAAAAEAAAAnAAAAGAAAAAEAAAAAAAAA////AAAAAAAlAAAADAAAAAEAAABMAAAAZAAAAAAAAAAAAAAACQEAAH8AAAAAAAAAAAAAAAoBAACAAAAAIQDwAAAAAAAAAAAAAACAPwAAAAAAAAAAAACAPwAAAAAAAAAAAAAAAAAAAAAAAAAAAAAAAAAAAAAAAAAAJQAAAAwAAAAAAACAKAAAAAwAAAABAAAAJwAAABgAAAABAAAAAAAAAP///wAAAAAAJQAAAAwAAAABAAAATAAAAGQAAAAAAAAAAAAAAAkBAAB/AAAAAAAAAAAAAAAK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wAAALBf93Xg8tcDSAmfbbjHzwAAys8DAAAAAPOeD3cAAKF1QAAAAAAAAAAAAAAAAAAAAAAAAAAAAAAAAAAAAAAAAAAAAAAAAAAAAAAAAAAAAAAAAAAAAAAAAAAAAAAAAAAAAKDIzwMAAAAAqDBdBhIAFACYMF0GOMjPAQAAzwOkyM8DAAChdQAAAADiF59t4hefAAAAAgBAyM8DQMjPA0DIzwMCAAAAAgAAAAAA1wN7kga2fMjPA53+93YAAPd1cMjPAwAAAAB4yM8DAAAAAB7LBG0AAPd1AAAAABMAFABICZ9tsF/3dZDIzwOU+5N1AAD3dQAAAAAAAAAAZHYACAAAAAAlAAAADAAAAAEAAAAYAAAADAAAAAAAAAASAAAADAAAAAEAAAAeAAAAGAAAAMMAAAAEAAAA9wAAABEAAAAlAAAADAAAAAEAAABUAAAAhAAAAMQAAAAEAAAA9QAAABAAAAABAAAAVRXZQXsJ2UHEAAAABAAAAAkAAABMAAAAAAAAAAAAAAAAAAAA//////////9gAAAAMQA0AC8AOAAvADIAMAAyADMAAAAGAAAABgAAAAQAAAAGAAAABAAAAAYAAAAGAAAABgAAAAYAAABLAAAAQAAAADAAAAAFAAAAIAAAAAEAAAABAAAAEAAAAAAAAAAAAAAACgEAAIAAAAAAAAAAAAAAAAoBAACAAAAAUgAAAHABAAACAAAAEAAAAAcAAAAAAAAAAAAAALwCAAAAAAAAAQICIlMAeQBzAHQAZQBtAAAAAAAAAAAAAAAAAAAAAAAAAAAAAAAAAAAAAAAAAAAAAAAAAAAAAAAAAAAAAAAAAAAAAAAAAAAAXGITd4O5UQCQgt4DAAAAAODy1wPg8tcDHgmfbQAAAAAeywRtCQAAAAAAAAAAAAAAAAAAAAAAAACQwdcDAAAAAAAAAAAAAAAAAAAAAAAAAAAAAAAAAAAAAAAAAAAAAAAAAAAAAAAAAAAAAAAAAAAAAAAAAAAAAAAAvhEWdwAABrYw588DGNIPd+Dy1wMeywRtAAAAACjTD3f//wAAAAAAAAvUD3cL1A93YOfPA2TnzwMeCZ9tAAAAAAAAAAAAAAAABwAAAAAAAAABB/d2CQAAAAcAAACY588DmOfPAwACAAD8////AQAAAAAAAAAAAAAAAAAAAHgDPhX41Ph1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oAAAA24Y1bCgoLwYIQJQaAAAAAAAAAAAAAJ4DAgAAAAEAAAAFAAAAAACeA8wBngMAAAAAIAAAAPQengMAAAAAAADXA/AengOYkrwaBJvOA/5dD3dg1qsa/l0PdwAAAAAAAAAAIAAAAGDWqxoMm84DIJvOA6W6rG0AANcDAAAAACAAAAD0n84DoMPAGjSbzgPTdTpsIAAAAAEAAAAPAAAArJ/OA6lNO2ygDwAAPD0PrAMAAADUQjts/DkPrAAAAAAAAAAAAQf3dpiSvBoGAAAAfJzOA3yczgMAAgAA/P///wEAAAAAAAAAAAAAAAAAAAAAAAAAAAAAAJASPhVkdgAIAAAAACUAAAAMAAAAAwAAABgAAAAMAAAAAAAAABIAAAAMAAAAAQAAABYAAAAMAAAACAAAAFQAAABUAAAACgAAACcAAAAeAAAASgAAAAEAAABVFdlBewnZ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L4AAABHAAAAKQAAADMAAACWAAAAFQAAACEA8AAAAAAAAAAAAAAAgD8AAAAAAAAAAAAAgD8AAAAAAAAAAAAAAAAAAAAAAAAAAAAAAAAAAAAAAAAAACUAAAAMAAAAAAAAgCgAAAAMAAAABAAAAFIAAABwAQAABAAAAPD///8AAAAAAAAAAAAAAACQAQAAAAAAAQAAAABzAGUAZwBvAGUAIAB1AGkAAAAAAAAAAAAAAAAAAAAAAAAAAAAAAAAAAAAAAAAAAAAAAAAAAAAAAAAAAAAAAAAAAABBbIQ/D6wtAAAA+KHOA2c5QWwQrSAGAAAAAAAAAAAAAABAWFLLGgAAAEIBb1psyFyaGgEAAAB0nc4DIAAAAJASPhUAAAAAcJ3OAwAAAAAAAAAAAgAAAAgAAAAHAAAAUDlSBozwlBoBAAAAQFgAAPQLomxAWMsacYI7bHRmo2wAAA+sAgAAAP6CO2xMnM4DHYE7bFRYyxoCAAAAAAAAAAAAAAAVAAAAJAAAAEEAcgBpAGEAbAAAAG0lNWyxuj1sAAAAAAAAAAABB/d2AAAAAAkAAABEnc4DRJ3OAwACAAD8////AQAAAAAAAAAAAAAAAAAAAAAAAAAAAAAASAHJGmR2AAgAAAAAJQAAAAwAAAAEAAAAGAAAAAwAAAAAAAAAEgAAAAwAAAABAAAAHgAAABgAAAApAAAAMwAAAL8AAABIAAAAJQAAAAwAAAAEAAAAVAAAAMQAAAAqAAAAMwAAAL0AAABHAAAAAQAAAFUV2UF7CdlBKgAAADMAAAAUAAAATAAAAAAAAAAAAAAAAAAAAP//////////dAAAAE0AYQByAGkAYQAgAFYAZQByAG8AbgBpAGMAYQAgAFAAbwByAHIAbwAOAAAACAAAAAYAAAAEAAAACAAAAAQAAAAKAAAACAAAAAYAAAAJAAAACQAAAAQAAAAHAAAACAAAAAQAAAAJAAAACQAAAAYAAAAGAAAACQAAAEsAAABAAAAAMAAAAAUAAAAgAAAAAQAAAAEAAAAQAAAAAAAAAAAAAAAKAQAAgAAAAAAAAAAAAAAACgEAAIAAAAAlAAAADAAAAAIAAAAnAAAAGAAAAAUAAAAAAAAA////AAAAAAAlAAAADAAAAAUAAABMAAAAZAAAAAAAAABQAAAACQEAAHwAAAAAAAAAUAAAAAo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gAAAACgAAAFAAAABVAAAAXAAAAAEAAABVFdlBewnZQQoAAABQAAAADgAAAEwAAAAAAAAAAAAAAAAAAAD//////////2gAAABWAGUAcgBvAG4AaQBjAGEAIABQAG8AcgByAG8ABwAAAAYAAAAEAAAABwAAAAcAAAADAAAABQAAAAYAAAADAAAABgAAAAcAAAAEAAAABAAAAAcAAABLAAAAQAAAADAAAAAFAAAAIAAAAAEAAAABAAAAEAAAAAAAAAAAAAAACgEAAIAAAAAAAAAAAAAAAAoBAACAAAAAJQAAAAwAAAACAAAAJwAAABgAAAAFAAAAAAAAAP///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sAAAACgAAAGAAAABWAAAAbAAAAAEAAABVFdlBewnZQQoAAABgAAAAEAAAAEwAAAAAAAAAAAAAAAAAAAD//////////2wAAABEAGkAcgBlAGMAdABvAHIAIABUAGkAdAB1AGwAYQByAAgAAAADAAAABAAAAAYAAAAFAAAABAAAAAcAAAAEAAAAAwAAAAYAAAADAAAABAAAAAcAAAADAAAABgAAAAQAAABLAAAAQAAAADAAAAAFAAAAIAAAAAEAAAABAAAAEAAAAAAAAAAAAAAACgEAAIAAAAAAAAAAAAAAAAoBAACAAAAAJQAAAAwAAAACAAAAJwAAABgAAAAFAAAAAAAAAP///wAAAAAAJQAAAAwAAAAFAAAATAAAAGQAAAAJAAAAcAAAAAABAAB8AAAACQAAAHAAAAD4AAAADQAAACEA8AAAAAAAAAAAAAAAgD8AAAAAAAAAAAAAgD8AAAAAAAAAAAAAAAAAAAAAAAAAAAAAAAAAAAAAAAAAACUAAAAMAAAAAAAAgCgAAAAMAAAABQAAACUAAAAMAAAAAQAAABgAAAAMAAAAAAAAABIAAAAMAAAAAQAAABYAAAAMAAAAAAAAAFQAAAA8AQAACgAAAHAAAAD/AAAAfAAAAAEAAABVFdlBewnZQQoAAABwAAAAKAAAAEwAAAAEAAAACQAAAHAAAAABAQAAfQAAAJwAAABGAGkAcgBtAGEAZABvACAAcABvAHIAOgAgAE0AQQBSAEkAQQAgAFYARQBSAE8ATgBJAEMAQQAgAFAATwBSAFIATwAgAEEAQwBPAFMAVABBAAYAAAADAAAABAAAAAkAAAAGAAAABwAAAAcAAAADAAAABwAAAAcAAAAEAAAAAwAAAAMAAAAKAAAABwAAAAcAAAADAAAABwAAAAMAAAAHAAAABgAAAAcAAAAJAAAACAAAAAMAAAAHAAAABwAAAAMAAAAGAAAACQAAAAcAAAAHAAAACQAAAAMAAAAHAAAABwAAAAkAAAAGAAAABgAAAAcAAAAWAAAADAAAAAAAAAAlAAAADAAAAAIAAAAOAAAAFAAAAAAAAAAQAAAAFAAAAA==</Object>
  <Object Id="idInvalidSigLnImg">AQAAAGwAAAAAAAAAAAAAAAkBAAB/AAAAAAAAAAAAAAAzHAAAkQ0AACBFTUYAAAEATCEAALEAAAAGAAAAAAAAAAAAAAAAAAAAgAcAADgEAAAJAgAAJQEAAAAAAAAAAAAAAAAAACjzBwCIeAQACgAAABAAAAAAAAAAAAAAAEsAAAAQAAAAAAAAAAUAAAAeAAAAGAAAAAAAAAAAAAAACgEAAIAAAAAnAAAAGAAAAAEAAAAAAAAAAAAAAAAAAAAlAAAADAAAAAEAAABMAAAAZAAAAAAAAAAAAAAACQEAAH8AAAAAAAAAAAAAAAo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JAQAAfwAAAAAAAAAAAAAACgEAAIAAAAAhAPAAAAAAAAAAAAAAAIA/AAAAAAAAAAAAAIA/AAAAAAAAAAAAAAAAAAAAAAAAAAAAAAAAAAAAAAAAAAAlAAAADAAAAAAAAIAoAAAADAAAAAEAAAAnAAAAGAAAAAEAAAAAAAAA8PDwAAAAAAAlAAAADAAAAAEAAABMAAAAZAAAAAAAAAAAAAAACQEAAH8AAAAAAAAAAAAAAAoBAACAAAAAIQDwAAAAAAAAAAAAAACAPwAAAAAAAAAAAACAPwAAAAAAAAAAAAAAAAAAAAAAAAAAAAAAAAAAAAAAAAAAJQAAAAwAAAAAAACAKAAAAAwAAAABAAAAJwAAABgAAAABAAAAAAAAAPDw8AAAAAAAJQAAAAwAAAABAAAATAAAAGQAAAAAAAAAAAAAAAkBAAB/AAAAAAAAAAAAAAAKAQAAgAAAACEA8AAAAAAAAAAAAAAAgD8AAAAAAAAAAAAAgD8AAAAAAAAAAAAAAAAAAAAAAAAAAAAAAAAAAAAAAAAAACUAAAAMAAAAAAAAgCgAAAAMAAAAAQAAACcAAAAYAAAAAQAAAAAAAADw8PAAAAAAACUAAAAMAAAAAQAAAEwAAABkAAAAAAAAAAAAAAAJAQAAfwAAAAAAAAAAAAAACgEAAIAAAAAhAPAAAAAAAAAAAAAAAIA/AAAAAAAAAAAAAIA/AAAAAAAAAAAAAAAAAAAAAAAAAAAAAAAAAAAAAAAAAAAlAAAADAAAAAAAAIAoAAAADAAAAAEAAAAnAAAAGAAAAAEAAAAAAAAA////AAAAAAAlAAAADAAAAAEAAABMAAAAZAAAAAAAAAAAAAAACQEAAH8AAAAAAAAAAAAAAAoBAACAAAAAIQDwAAAAAAAAAAAAAACAPwAAAAAAAAAAAACAPwAAAAAAAAAAAAAAAAAAAAAAAAAAAAAAAAAAAAAAAAAAJQAAAAwAAAAAAACAKAAAAAwAAAABAAAAJwAAABgAAAABAAAAAAAAAP///wAAAAAAJQAAAAwAAAABAAAATAAAAGQAAAAAAAAAAAAAAAkBAAB/AAAAAAAAAAAAAAAK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wAAALBf93Xg8tcDSAmfbbjHzwAAys8DAAAAAPOeD3cAAKF1QAAAAAAAAAAAAAAAAAAAAAAAAAAAAAAAAAAAAAAAAAAAAAAAAAAAAAAAAAAAAAAAAAAAAAAAAAAAAAAAAAAAAKDIzwMAAAAAqDBdBhIAFACYMF0GOMjPAQAAzwOkyM8DAAChdQAAAADiF59t4hefAAAAAgBAyM8DQMjPA0DIzwMCAAAAAgAAAAAA1wN7kga2fMjPA53+93YAAPd1cMjPAwAAAAB4yM8DAAAAAB7LBG0AAPd1AAAAABMAFABICZ9tsF/3dZDIzwOU+5N1AAD3dQAAAAAAAAAAZHYACAAAAAAlAAAADAAAAAEAAAAYAAAADAAAAP8AAAASAAAADAAAAAEAAAAeAAAAGAAAACIAAAAEAAAAcgAAABEAAAAlAAAADAAAAAEAAABUAAAAqAAAACMAAAAEAAAAcAAAABAAAAABAAAAVRXZQXsJ2UEjAAAABAAAAA8AAABMAAAAAAAAAAAAAAAAAAAA//////////9sAAAARgBpAHIAbQBhACAAbgBvACAAdgDhAGwAaQBkAGEA8iEGAAAAAwAAAAQAAAAJAAAABgAAAAMAAAAHAAAABwAAAAMAAAAFAAAABgAAAAMAAAADAAAABwAAAAYAAABLAAAAQAAAADAAAAAFAAAAIAAAAAEAAAABAAAAEAAAAAAAAAAAAAAACgEAAIAAAAAAAAAAAAAAAAoBAACAAAAAUgAAAHABAAACAAAAEAAAAAcAAAAAAAAAAAAAALwCAAAAAAAAAQICIlMAeQBzAHQAZQBtAAAAAAAAAAAAAAAAAAAAAAAAAAAAAAAAAAAAAAAAAAAAAAAAAAAAAAAAAAAAAAAAAAAAAAAAAAAAXGITd4O5UQCQgt4DAAAAAODy1wPg8tcDHgmfbQAAAAAeywRtCQAAAAAAAAAAAAAAAAAAAAAAAACQwdcDAAAAAAAAAAAAAAAAAAAAAAAAAAAAAAAAAAAAAAAAAAAAAAAAAAAAAAAAAAAAAAAAAAAAAAAAAAAAAAAAvhEWdwAABrYw588DGNIPd+Dy1wMeywRtAAAAACjTD3f//wAAAAAAAAvUD3cL1A93YOfPA2TnzwMeCZ9tAAAAAAAAAAAAAAAABwAAAAAAAAABB/d2CQAAAAcAAACY588DmOfPAwACAAD8////AQAAAAAAAAAAAAAAAAAAAHgDPhX41Ph1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oAAAA24Y1bCgoLwYIQJQaAAAAAAAAAAAAAJ4DAgAAAAEAAAAFAAAAAACeA8wBngMAAAAAIAAAAPQengMAAAAAAADXA/AengOYkrwaBJvOA/5dD3dg1qsa/l0PdwAAAAAAAAAAIAAAAGDWqxoMm84DIJvOA6W6rG0AANcDAAAAACAAAAD0n84DoMPAGjSbzgPTdTpsIAAAAAEAAAAPAAAArJ/OA6lNO2ygDwAAPD0PrAMAAADUQjts/DkPrAAAAAAAAAAAAQf3dpiSvBoGAAAAfJzOA3yczgMAAgAA/P///wEAAAAAAAAAAAAAAAAAAAAAAAAAAAAAAJASPhVkdgAIAAAAACUAAAAMAAAAAwAAABgAAAAMAAAAAAAAABIAAAAMAAAAAQAAABYAAAAMAAAACAAAAFQAAABUAAAACgAAACcAAAAeAAAASgAAAAEAAABVFdlBewnZQQoAAABLAAAAAQAAAEwAAAAEAAAACQAAACcAAAAgAAAASwAAAFAAAABYALQq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L4AAABHAAAAKQAAADMAAACWAAAAFQAAACEA8AAAAAAAAAAAAAAAgD8AAAAAAAAAAAAAgD8AAAAAAAAAAAAAAAAAAAAAAAAAAAAAAAAAAAAAAAAAACUAAAAMAAAAAAAAgCgAAAAMAAAABAAAAFIAAABwAQAABAAAAPD///8AAAAAAAAAAAAAAACQAQAAAAAAAQAAAABzAGUAZwBvAGUAIAB1AGkAAAAAAAAAAAAAAAAAAAAAAAAAAAAAAAAAAAAAAAAAAAAAAAAAAAAAAAAAAAAAAAAAAABBbIQ/D6wtAAAA+KHOA2c5QWwQrSAGAAAAAAAAAAAAAABAWFLLGgAAAEIBb1psyFyaGgEAAAB0nc4DIAAAAJASPhUAAAAAcJ3OAwAAAAAAAAAAAgAAAAgAAAAHAAAAUDlSBozwlBoBAAAAQFgAAPQLomxAWMsacYI7bHRmo2wAAA+sAgAAAP6CO2xMnM4DHYE7bFRYyxoCAAAAAAAAAAAAAAAVAAAAJAAAAEEAcgBpAGEAbAAAAG0lNWyxuj1sAAAAAAAAAAABB/d2AAAAAAkAAABEnc4DRJ3OAwACAAD8////AQAAAAAAAAAAAAAAAAAAAAAAAAAAAAAASAHJGmR2AAgAAAAAJQAAAAwAAAAEAAAAGAAAAAwAAAAAAAAAEgAAAAwAAAABAAAAHgAAABgAAAApAAAAMwAAAL8AAABIAAAAJQAAAAwAAAAEAAAAVAAAAMQAAAAqAAAAMwAAAL0AAABHAAAAAQAAAFUV2UF7CdlBKgAAADMAAAAUAAAATAAAAAAAAAAAAAAAAAAAAP//////////dAAAAE0AYQByAGkAYQAgAFYAZQByAG8AbgBpAGMAYQAgAFAAbwByAHIAbwAOAAAACAAAAAYAAAAEAAAACAAAAAQAAAAKAAAACAAAAAYAAAAJAAAACQAAAAQAAAAHAAAACAAAAAQAAAAJAAAACQAAAAYAAAAGAAAACQAAAEsAAABAAAAAMAAAAAUAAAAgAAAAAQAAAAEAAAAQAAAAAAAAAAAAAAAKAQAAgAAAAAAAAAAAAAAACgEAAIAAAAAlAAAADAAAAAIAAAAnAAAAGAAAAAUAAAAAAAAA////AAAAAAAlAAAADAAAAAUAAABMAAAAZAAAAAAAAABQAAAACQEAAHwAAAAAAAAAUAAAAAo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gAAAACgAAAFAAAABVAAAAXAAAAAEAAABVFdlBewnZQQoAAABQAAAADgAAAEwAAAAAAAAAAAAAAAAAAAD//////////2gAAABWAGUAcgBvAG4AaQBjAGEAIABQAG8AcgByAG8ABwAAAAYAAAAEAAAABwAAAAcAAAADAAAABQAAAAYAAAADAAAABgAAAAcAAAAEAAAABAAAAAcAAABLAAAAQAAAADAAAAAFAAAAIAAAAAEAAAABAAAAEAAAAAAAAAAAAAAACgEAAIAAAAAAAAAAAAAAAAoBAACAAAAAJQAAAAwAAAACAAAAJwAAABgAAAAFAAAAAAAAAP///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sAAAACgAAAGAAAABWAAAAbAAAAAEAAABVFdlBewnZQQoAAABgAAAAEAAAAEwAAAAAAAAAAAAAAAAAAAD//////////2wAAABEAGkAcgBlAGMAdABvAHIAIABUAGkAdAB1AGwAYQByAAgAAAADAAAABAAAAAYAAAAFAAAABAAAAAcAAAAEAAAAAwAAAAYAAAADAAAABAAAAAcAAAADAAAABgAAAAQAAABLAAAAQAAAADAAAAAFAAAAIAAAAAEAAAABAAAAEAAAAAAAAAAAAAAACgEAAIAAAAAAAAAAAAAAAAoBAACAAAAAJQAAAAwAAAACAAAAJwAAABgAAAAFAAAAAAAAAP///wAAAAAAJQAAAAwAAAAFAAAATAAAAGQAAAAJAAAAcAAAAAABAAB8AAAACQAAAHAAAAD4AAAADQAAACEA8AAAAAAAAAAAAAAAgD8AAAAAAAAAAAAAgD8AAAAAAAAAAAAAAAAAAAAAAAAAAAAAAAAAAAAAAAAAACUAAAAMAAAAAAAAgCgAAAAMAAAABQAAACUAAAAMAAAAAQAAABgAAAAMAAAAAAAAABIAAAAMAAAAAQAAABYAAAAMAAAAAAAAAFQAAAA8AQAACgAAAHAAAAD/AAAAfAAAAAEAAABVFdlBewnZQQoAAABwAAAAKAAAAEwAAAAEAAAACQAAAHAAAAABAQAAfQAAAJwAAABGAGkAcgBtAGEAZABvACAAcABvAHIAOgAgAE0AQQBSAEkAQQAgAFYARQBSAE8ATgBJAEMAQQAgAFAATwBSAFIATwAgAEEAQwBPAFMAVABBAAYAAAADAAAABAAAAAkAAAAGAAAABwAAAAcAAAADAAAABwAAAAcAAAAEAAAAAwAAAAMAAAAKAAAABwAAAAcAAAADAAAABwAAAAMAAAAHAAAABgAAAAcAAAAJAAAACAAAAAMAAAAHAAAABwAAAAMAAAAGAAAACQAAAAcAAAAHAAAACQAAAAMAAAAHAAAABwAAAAkAAAAGAAAABgAAAAc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XH+/dqopuA/EM2d0saGkdFCYZ56Q7bDdhMLgNRqsEbg=</DigestValue>
    </Reference>
    <Reference Type="http://www.w3.org/2000/09/xmldsig#Object" URI="#idOfficeObject">
      <DigestMethod Algorithm="http://www.w3.org/2001/04/xmlenc#sha256"/>
      <DigestValue>WlD0llnCrG0yqzOqCtEBfXesXCCriBI2gvkMMZWpjj0=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JfPd3dBKLenKKRUd1UOqxc/l3BybyYf8pt1dD1jL5l8=</DigestValue>
    </Reference>
    <Reference Type="http://www.w3.org/2000/09/xmldsig#Object" URI="#idValidSigLnImg">
      <DigestMethod Algorithm="http://www.w3.org/2001/04/xmlenc#sha256"/>
      <DigestValue>LzVq6PM6vAb9d9VIsHGrUv2/zPii0dG7qu4bDRuOytE=</DigestValue>
    </Reference>
    <Reference Type="http://www.w3.org/2000/09/xmldsig#Object" URI="#idInvalidSigLnImg">
      <DigestMethod Algorithm="http://www.w3.org/2001/04/xmlenc#sha256"/>
      <DigestValue>jDaoZIuYyDFiyudbA/L8dL6OKpqZVGmf1aVM2wTq5D0=</DigestValue>
    </Reference>
  </SignedInfo>
  <SignatureValue>ewFgSUYaznHUNV6/zixUppltgQ0msGd6H7hJ9G9M9lXZz5RZSPqsDOWOjd72oMHEHOZdEVejKtsE
RWzdjJ1bxNdaRhpIOUP424VXwGXAbzP3jePT2nGR/Gv+n5/1E9fdFboWg2vcG0R6Io/iJ1UeBUvn
Iz+C7cvi50X+dsABl0M+W7HqDf5ZUL6Ff0lWNaG0E4Fwe9J10earrTXD1JuUFJAuNQxEYhR2B5JW
Bf4SJAYJn/Lh3aNahZFxTWTPTBLe6JAdJ8zpQSEMYqi/EFLB3vEqqcfz3j01MLoOx76+Dj1HSKQM
AxU9verKQrqfoAMTrYxXjbNfRlgMsbiIlLMPuQ==</SignatureValue>
  <KeyInfo>
    <X509Data>
      <X509Certificate>MIIIkTCCBnmgAwIBAgIQaKnV0M+tuL5kkepbIGANwzANBgkqhkiG9w0BAQsFADCBgTEWMBQGA1UEBRMNUlVDODAwODAwOTktMDERMA8GA1UEAxMIVklUIFMuQS4xODA2BgNVBAsML1ByZXN0YWRvciBDdWFsaWZpY2FkbyBkZSBTZXJ2aWNpb3MgZGUgQ29uZmlhbnphMQ0wCwYDVQQKDARJQ1BQMQswCQYDVQQGEwJQWTAeFw0yMzA2MjAxODA1MTVaFw0yNTA2MjAxODA1MTVaMIG/MRkwFwYDVQQqDBBHSVVTRVBQRSBBTlRPTklPMRUwEwYDVQQEDAxTQVVSSU5JIEJVRVkxEjAQBgNVBAUTCUNJMjQ3MDkyNjEmMCQGA1UEAwwdR0lVU0VQUEUgQU5UT05JTyBTQVVSSU5JIEJVRVkxCzAJBgNVBAsMAkYyMTUwMwYDVQQKDCxDRVJUSUZJQ0FETyBDVUFMSUZJQ0FETyBERSBGSVJNQSBFTEVDVFJPTklDQTELMAkGA1UEBhMCUFkwggEiMA0GCSqGSIb3DQEBAQUAA4IBDwAwggEKAoIBAQD5s9cXhI5C6So4glF0Im9OlfC9m5g7Mk4zTgaNE5W9O5KrL5VfGuGEh2bNMil8wSO9/QlPlRvl/VGaQfnP2FkaSgVrmQ76Xyu2ItuHC6BBsjM/haMda6NW51XoULZx/OZl2e0jbP3YwGqqUMoRe19QcPL8d4tmjlq9KEXKenVLhLKMJrBFvDrmRCVVRiT2dsaLPeQJQTDw3rd46TTxDIoujQG8ncwcFRNPhD++DJgJxEWlQzmOq5uBZuXAg28clzztxl4DxpJ0c4kpf1zOx4VKklfIaBAkFJEMSlkcPZpi9qZA5DTTehaVAhXFIoelaz9YvZodYIWI3w7iC4DSqV7XAgMBAAGjggPDMIIDvzAMBgNVHRMBAf8EAjAAMA4GA1UdDwEB/wQEAwIF4DAsBgNVHSUBAf8EIjAgBggrBgEFBQcDBAYIKwYBBQUHAwIGCisGAQQBgjcUAgIwHQYDVR0OBBYEFCJtNnoM6RL6aKIJr1c0WQwDPdCZ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dfU0FVUklOSUBIT1RNQUlMLkNPTaQqMCgxJjAkBgNVBA0MHUZJUk1BIEVMRUNUUk9OSUNBIENVQUxJRklDQURBMHcGCCsGAQUFBwEBBGswaTAoBggrBgEFBQcwAYYcaHR0cHM6Ly93d3cuZWZpcm1hLmNvbS5weS92YTA9BggrBgEFBQcwAoYxaHR0cHM6Ly93d3cuZWZpcm1hLmNvbS5weS9yZXBvc2l0b3Jpby9lZmlybWExLmNydDB7BgNVHR8EdDByMDegNaAzhjFodHRwczovL3d3dy5lZmlybWEuY29tLnB5L3JlcG9zaXRvcmlvL2VmaXJtYTIuY3JsMDegNaAzhjFodHRwczovL3d3dy5lZmlybWEuY29tLnB5L3JlcG9zaXRvcmlvL2VmaXJtYTMuY3JsMA0GCSqGSIb3DQEBCwUAA4ICAQA0H40xYzOu1/ufd4it7zXjDaPjhTtQXZb2dYqNKUwfYzUzOcGC3Xck//FwsafXqe7FTe6dJYYimAnZrk8lY8W04+aQl71NkAGNWi+zD4RW/RveP0IyQ/ORY9b9J/6GhQzlmGx1mZXcLKTUQNtC5pwYjEym6PcFfzylRqDnozgT1l3wCYq/KqF865nB4sF47CSbTV2g11dSB//+JHbVAX9+nE6mH0fdbQ1+sw2bVN76GSIgDt75kaHkEu/t/oJdxJLphH1n0sJkxsoNy+0UwFW4apwxqwNFeKqHdByig0SZymgZjUVh3pqiiG5/IwixthDy7NjUjF2aQx0NKmgeUpuoFMrNfXyd8hNrNWhaHuZYejXhTLMM/RTets551Y2X1nJjEOgo9oKPvQtdD0YONC4hhDAf13D0cxmjhUo4+pb1YaDssIiqLGDCn7VAEf08eOa8q3Bb6TySuahS4Xb4nSnEKM8CHP25sSYPWZJJPljlw2IawBOSx5ixoOXkmMYDl+yKLuHQlh7cE9HuCs7TXBuGOQkMM1mTRipzl15sN1lA8RwjEEgoMDsDCkW3wmBlLtiEIAriRN2iUk54sLGlf+oSjEjA6jU1tmglKOckis7r8lfG6UTzm/5xvfi8LnMva+eBBBipdpvenFIl5Nwd9ZOa9g+qpFpOW69u3XWStQ107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</Transform>
          <Transform Algorithm="http://www.w3.org/TR/2001/REC-xml-c14n-20010315"/>
        </Transforms>
        <DigestMethod Algorithm="http://www.w3.org/2001/04/xmlenc#sha256"/>
        <DigestValue>9cH66gnYPDJf9IcQ56vViGMDNEgb6ElP++FyHKbSL5I=</DigestValue>
      </Reference>
      <Reference URI="/xl/calcChain.xml?ContentType=application/vnd.openxmlformats-officedocument.spreadsheetml.calcChain+xml">
        <DigestMethod Algorithm="http://www.w3.org/2001/04/xmlenc#sha256"/>
        <DigestValue>CqiCaQaSbtCjJ7NIET09ZzXaNd0yM7LOIhPsqeq8dHM=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J2BAgzEtgHZvJLT6Z8wBZSKIOSgDyh8bTQWrBE/grlI=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qjBShL+w25YLKX9StiD7B4tEjq12uZFisU2IJkRA+Bo=</DigestValue>
      </Reference>
      <Reference URI="/xl/drawings/vmlDrawing2.vml?ContentType=application/vnd.openxmlformats-officedocument.vmlDrawing">
        <DigestMethod Algorithm="http://www.w3.org/2001/04/xmlenc#sha256"/>
        <DigestValue>vg6Ju/2lz+i+qRuifMf/MqC3wp+GTBZI1xJALwaVjRI=</DigestValue>
      </Reference>
      <Reference URI="/xl/drawings/vmlDrawing3.vml?ContentType=application/vnd.openxmlformats-officedocument.vmlDrawing">
        <DigestMethod Algorithm="http://www.w3.org/2001/04/xmlenc#sha256"/>
        <DigestValue>CIpe34ATxRnmV7j6IFEkRtvin7HbiRY2/sKA5ae5aTk=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T+BDfyTpetW0qrruXw3avFkzeuURebdHQEUJACuxc/I=</DigestValue>
      </Reference>
      <Reference URI="/xl/externalLinks/_rels/externalLink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m/P1sPVumHbYYYH4Gi4tHuT7G4T0ciEqU7j0RQle7mQ=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/jUhTi6PhUZPDyfIvX9N+eGqtgSugQC4yomTlFwgBmU=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lQ82QnWwbz4cwqWmA0PvUVUEvxx4zrtn0uT8oTImCQY=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UwScaaVvJJr8sVMKke2dTwYL0T0jaSMJuw7X9zicf0M=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tnn+2bol2bXBQ+eWFjm/ny6YYB+WCJCWG7qmZ0RRm8Q=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nTCLDQNmBLD3QNG16R1ayTR/yk/TvIA8GLr+I/QKjWw=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p8NQnfT7rn5oLKK1Sy4tLSTXYmUnd6giEKUGdCW4IMc=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qBK7IMwjceOW1HdoZ7y24WnIbZ7Hm+1SopgVFPlsroI=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10.xml?ContentType=application/vnd.openxmlformats-officedocument.spreadsheetml.externalLink+xml">
        <DigestMethod Algorithm="http://www.w3.org/2001/04/xmlenc#sha256"/>
        <DigestValue>5hysn/f3cuDUn2KoabI0T5agba8Q0eZ9N97MhkkYe0Q=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vh3teiCYGpj8VAfrN+S7Aw3b7bUs9SkEtIUtjbw3a0c=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+i3Furto1eVVmhcb9qnUlQ3PrqPkRxf3tCO5VQA74J0=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ihREqtptQ/I7yKugMN8QiWLgkeGyEvfYHrE8uiytdNI=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QTG3YgyS6n6mZd/mWr9lxuA+F8ZSiwpoMAN5BMAQM+A=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10T+bRrKjdYQYP8a0kHGO9XtQSBdxZuBP0ve51KlOHw=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pbGoT91SS2SXBCvoCb4OUilI8eTUsEadHCkEI2ndObI=</DigestValue>
      </Reference>
      <Reference URI="/xl/media/image4.emf?ContentType=image/x-emf">
        <DigestMethod Algorithm="http://www.w3.org/2001/04/xmlenc#sha256"/>
        <DigestValue>2dL1qjQRhJZ63qMt49Cm9Ry/zmr3z/cHAjL8Co1nBtQ=</DigestValue>
      </Reference>
      <Reference URI="/xl/media/image5.emf?ContentType=image/x-emf">
        <DigestMethod Algorithm="http://www.w3.org/2001/04/xmlenc#sha256"/>
        <DigestValue>5HHBIQGIxQV002SdOJKjGVDZRzuVtc+H9vUWurUtMtQ=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JwtVcnTpt433HgYNzX+0SAaAGNr9BnjurA3Cvck8fbM=</DigestValue>
      </Reference>
      <Reference URI="/xl/styles.xml?ContentType=application/vnd.openxmlformats-officedocument.spreadsheetml.styles+xml">
        <DigestMethod Algorithm="http://www.w3.org/2001/04/xmlenc#sha256"/>
        <DigestValue>wk0PvX3Go/NbqdDsJPERL3oCu+H/tWmMfj3jXkOQYDA=</DigestValue>
      </Reference>
      <Reference URI="/xl/tables/table1.xml?ContentType=application/vnd.openxmlformats-officedocument.spreadsheetml.table+xml">
        <DigestMethod Algorithm="http://www.w3.org/2001/04/xmlenc#sha256"/>
        <DigestValue>3DvJRVq8L5tVG3OXknakCCGRJtdPl9uu8c6tarcFXq0=</DigestValue>
      </Reference>
      <Reference URI="/xl/tables/table2.xml?ContentType=application/vnd.openxmlformats-officedocument.spreadsheetml.table+xml">
        <DigestMethod Algorithm="http://www.w3.org/2001/04/xmlenc#sha256"/>
        <DigestValue>Iil/Rjhw0zCCp2Cpi5C8+LImDZ2BktpveQLRcpfbTn0=</DigestValue>
      </Reference>
      <Reference URI="/xl/tables/table3.xml?ContentType=application/vnd.openxmlformats-officedocument.spreadsheetml.table+xml">
        <DigestMethod Algorithm="http://www.w3.org/2001/04/xmlenc#sha256"/>
        <DigestValue>+JBk3R7VBpvvdigSAtcozFkPiajQcZIzshrw/70OtWQ=</DigestValue>
      </Reference>
      <Reference URI="/xl/tables/table4.xml?ContentType=application/vnd.openxmlformats-officedocument.spreadsheetml.table+xml">
        <DigestMethod Algorithm="http://www.w3.org/2001/04/xmlenc#sha256"/>
        <DigestValue>0LV0Y8KHoxa8spVtu4eG0SR4ejYc5XcrBQ2nZUFUpe8=</DigestValue>
      </Reference>
      <Reference URI="/xl/tables/table5.xml?ContentType=application/vnd.openxmlformats-officedocument.spreadsheetml.table+xml">
        <DigestMethod Algorithm="http://www.w3.org/2001/04/xmlenc#sha256"/>
        <DigestValue>TX6NH6L75Phx1ARoq8gVohLU3ml3FgI+f5MXAtkozQI=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CyCu7fzU9CnHUvfwIvvE/WvE6dOTnkEsVkZhw6XRThg=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tnuHqQYJoYrMKwqfxAt4GYCSfZ37aqTLEPx5w3S0Lp4=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4s9qknDynYPr1xuzc4NY1dbPuCxhKyhwp+fAHZRIQIQ=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b7C/4dAYzpCnOiQ0d74ASq0ijHWl6LtpfIw9YKV91Cs=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L7u13EYEd6OGZ0GaATTJD1c30oefd1GysEaTnKs7nLw=</DigestValue>
      </Reference>
      <Reference URI="/xl/worksheets/sheet10.xml?ContentType=application/vnd.openxmlformats-officedocument.spreadsheetml.worksheet+xml">
        <DigestMethod Algorithm="http://www.w3.org/2001/04/xmlenc#sha256"/>
        <DigestValue>XPB71gCtULGnfGT/rw2Psl3x0rbiE8GSzM+SynEgons=</DigestValue>
      </Reference>
      <Reference URI="/xl/worksheets/sheet11.xml?ContentType=application/vnd.openxmlformats-officedocument.spreadsheetml.worksheet+xml">
        <DigestMethod Algorithm="http://www.w3.org/2001/04/xmlenc#sha256"/>
        <DigestValue>YmrnO7palSoVWOyxt1MZfSxKULZEX/Du73Ai7+tGCLY=</DigestValue>
      </Reference>
      <Reference URI="/xl/worksheets/sheet12.xml?ContentType=application/vnd.openxmlformats-officedocument.spreadsheetml.worksheet+xml">
        <DigestMethod Algorithm="http://www.w3.org/2001/04/xmlenc#sha256"/>
        <DigestValue>3Q/OeSfVC7zB7xkcuvUOs0Wn+yu5+TFAAXY1ftTqaiM=</DigestValue>
      </Reference>
      <Reference URI="/xl/worksheets/sheet13.xml?ContentType=application/vnd.openxmlformats-officedocument.spreadsheetml.worksheet+xml">
        <DigestMethod Algorithm="http://www.w3.org/2001/04/xmlenc#sha256"/>
        <DigestValue>Lvmlf61SuLmpKYUqQWjQCFGr2S6MgRXzlSkADAgY/LE=</DigestValue>
      </Reference>
      <Reference URI="/xl/worksheets/sheet14.xml?ContentType=application/vnd.openxmlformats-officedocument.spreadsheetml.worksheet+xml">
        <DigestMethod Algorithm="http://www.w3.org/2001/04/xmlenc#sha256"/>
        <DigestValue>lkPh0p4RgoazBpEB/t99HuSwFggpFVUOgIMlUUhSCN4=</DigestValue>
      </Reference>
      <Reference URI="/xl/worksheets/sheet15.xml?ContentType=application/vnd.openxmlformats-officedocument.spreadsheetml.worksheet+xml">
        <DigestMethod Algorithm="http://www.w3.org/2001/04/xmlenc#sha256"/>
        <DigestValue>ivy5eLxt3NXl9SPo8AZjxNePijclnyNn3YayIEtp8DM=</DigestValue>
      </Reference>
      <Reference URI="/xl/worksheets/sheet16.xml?ContentType=application/vnd.openxmlformats-officedocument.spreadsheetml.worksheet+xml">
        <DigestMethod Algorithm="http://www.w3.org/2001/04/xmlenc#sha256"/>
        <DigestValue>pB/bOUFVww3G5hEpAZM4+Cq0pHrD7VVbDzYLwOUzmQE=</DigestValue>
      </Reference>
      <Reference URI="/xl/worksheets/sheet17.xml?ContentType=application/vnd.openxmlformats-officedocument.spreadsheetml.worksheet+xml">
        <DigestMethod Algorithm="http://www.w3.org/2001/04/xmlenc#sha256"/>
        <DigestValue>JMcqCaHp7yhrX/sQv81EjEZkhJ+Z6hFMjScUIQ8LYxY=</DigestValue>
      </Reference>
      <Reference URI="/xl/worksheets/sheet18.xml?ContentType=application/vnd.openxmlformats-officedocument.spreadsheetml.worksheet+xml">
        <DigestMethod Algorithm="http://www.w3.org/2001/04/xmlenc#sha256"/>
        <DigestValue>cxR175q3zoaaISUqqLpoYmKozeMpPZlq5EmLrAMknkE=</DigestValue>
      </Reference>
      <Reference URI="/xl/worksheets/sheet19.xml?ContentType=application/vnd.openxmlformats-officedocument.spreadsheetml.worksheet+xml">
        <DigestMethod Algorithm="http://www.w3.org/2001/04/xmlenc#sha256"/>
        <DigestValue>ewd4taF/tNV2leN4K1MIgrDXcZEjI/5ffA+k9q6NIC0=</DigestValue>
      </Reference>
      <Reference URI="/xl/worksheets/sheet2.xml?ContentType=application/vnd.openxmlformats-officedocument.spreadsheetml.worksheet+xml">
        <DigestMethod Algorithm="http://www.w3.org/2001/04/xmlenc#sha256"/>
        <DigestValue>kPr1I6wzYFtbmSAfzWaJBH4pumwvt/WokPDgXbXJ2yo=</DigestValue>
      </Reference>
      <Reference URI="/xl/worksheets/sheet20.xml?ContentType=application/vnd.openxmlformats-officedocument.spreadsheetml.worksheet+xml">
        <DigestMethod Algorithm="http://www.w3.org/2001/04/xmlenc#sha256"/>
        <DigestValue>igjGZCYYTHVUq3Y+iwUe2DUChl07cOfkGr6P2qs85NA=</DigestValue>
      </Reference>
      <Reference URI="/xl/worksheets/sheet21.xml?ContentType=application/vnd.openxmlformats-officedocument.spreadsheetml.worksheet+xml">
        <DigestMethod Algorithm="http://www.w3.org/2001/04/xmlenc#sha256"/>
        <DigestValue>hzcvbOX+rMgeCKA58yJ/g2QW5m9/Ve+vVq1pMETz8pA=</DigestValue>
      </Reference>
      <Reference URI="/xl/worksheets/sheet22.xml?ContentType=application/vnd.openxmlformats-officedocument.spreadsheetml.worksheet+xml">
        <DigestMethod Algorithm="http://www.w3.org/2001/04/xmlenc#sha256"/>
        <DigestValue>U96XYR/uyWPQFAWNCErnlO0MNRbogAJResHS3kPn7sk=</DigestValue>
      </Reference>
      <Reference URI="/xl/worksheets/sheet23.xml?ContentType=application/vnd.openxmlformats-officedocument.spreadsheetml.worksheet+xml">
        <DigestMethod Algorithm="http://www.w3.org/2001/04/xmlenc#sha256"/>
        <DigestValue>G3aEXZ0LATgiUYbT3QWhUmGe7VVfgC4e1egbfhPQOcE=</DigestValue>
      </Reference>
      <Reference URI="/xl/worksheets/sheet24.xml?ContentType=application/vnd.openxmlformats-officedocument.spreadsheetml.worksheet+xml">
        <DigestMethod Algorithm="http://www.w3.org/2001/04/xmlenc#sha256"/>
        <DigestValue>YrUdC50UeAR5d3TGsFVXcZAn/QvDBCvdj/j3+3hG+UQ=</DigestValue>
      </Reference>
      <Reference URI="/xl/worksheets/sheet25.xml?ContentType=application/vnd.openxmlformats-officedocument.spreadsheetml.worksheet+xml">
        <DigestMethod Algorithm="http://www.w3.org/2001/04/xmlenc#sha256"/>
        <DigestValue>sAvsTIGS9Nyyd6vYeXAvmOL6QXUaLH8G6QTvpabyNKs=</DigestValue>
      </Reference>
      <Reference URI="/xl/worksheets/sheet26.xml?ContentType=application/vnd.openxmlformats-officedocument.spreadsheetml.worksheet+xml">
        <DigestMethod Algorithm="http://www.w3.org/2001/04/xmlenc#sha256"/>
        <DigestValue>5FBDRKHkKJG8NSFBsog/tQ66GuOWcVsF50zVKI3gMK8=</DigestValue>
      </Reference>
      <Reference URI="/xl/worksheets/sheet27.xml?ContentType=application/vnd.openxmlformats-officedocument.spreadsheetml.worksheet+xml">
        <DigestMethod Algorithm="http://www.w3.org/2001/04/xmlenc#sha256"/>
        <DigestValue>uHkqHTNCdGG6cYnKOAv3WtTtVU2KwMiLoOPiVRVPlEk=</DigestValue>
      </Reference>
      <Reference URI="/xl/worksheets/sheet28.xml?ContentType=application/vnd.openxmlformats-officedocument.spreadsheetml.worksheet+xml">
        <DigestMethod Algorithm="http://www.w3.org/2001/04/xmlenc#sha256"/>
        <DigestValue>kOGdyypLyha8KzCVE3LGMHsocQwMg7F0po13EVJdbyA=</DigestValue>
      </Reference>
      <Reference URI="/xl/worksheets/sheet29.xml?ContentType=application/vnd.openxmlformats-officedocument.spreadsheetml.worksheet+xml">
        <DigestMethod Algorithm="http://www.w3.org/2001/04/xmlenc#sha256"/>
        <DigestValue>6pZdVN7h0SesSDKMKiJPGtuw+SqXcLRDi6D69jK2AUs=</DigestValue>
      </Reference>
      <Reference URI="/xl/worksheets/sheet3.xml?ContentType=application/vnd.openxmlformats-officedocument.spreadsheetml.worksheet+xml">
        <DigestMethod Algorithm="http://www.w3.org/2001/04/xmlenc#sha256"/>
        <DigestValue>2A00B3ijFGHZmLRTTe+em5u1vNqbaycooHeCjsE7Yhs=</DigestValue>
      </Reference>
      <Reference URI="/xl/worksheets/sheet30.xml?ContentType=application/vnd.openxmlformats-officedocument.spreadsheetml.worksheet+xml">
        <DigestMethod Algorithm="http://www.w3.org/2001/04/xmlenc#sha256"/>
        <DigestValue>2Hr8hXHDLzL2Hiz65WT1ktwawywAUqddVeQFBkco9UU=</DigestValue>
      </Reference>
      <Reference URI="/xl/worksheets/sheet4.xml?ContentType=application/vnd.openxmlformats-officedocument.spreadsheetml.worksheet+xml">
        <DigestMethod Algorithm="http://www.w3.org/2001/04/xmlenc#sha256"/>
        <DigestValue>i7WNWoImns8OVPbSKI4Hw1fxhDmOIOTmzPoMW4GVilg=</DigestValue>
      </Reference>
      <Reference URI="/xl/worksheets/sheet5.xml?ContentType=application/vnd.openxmlformats-officedocument.spreadsheetml.worksheet+xml">
        <DigestMethod Algorithm="http://www.w3.org/2001/04/xmlenc#sha256"/>
        <DigestValue>U+txUw9IKEwcXcrnyGyPJ+QD0bHPBRAutwvlpWVS6Pg=</DigestValue>
      </Reference>
      <Reference URI="/xl/worksheets/sheet6.xml?ContentType=application/vnd.openxmlformats-officedocument.spreadsheetml.worksheet+xml">
        <DigestMethod Algorithm="http://www.w3.org/2001/04/xmlenc#sha256"/>
        <DigestValue>UQDyPiih93UYlhaXPFuXT96PRyLBFAdNRXK/8oXYpNU=</DigestValue>
      </Reference>
      <Reference URI="/xl/worksheets/sheet7.xml?ContentType=application/vnd.openxmlformats-officedocument.spreadsheetml.worksheet+xml">
        <DigestMethod Algorithm="http://www.w3.org/2001/04/xmlenc#sha256"/>
        <DigestValue>1Evx2LCx5+hiHcUBmqpgueQX5/7/aXHfMtfmdy7sfFU=</DigestValue>
      </Reference>
      <Reference URI="/xl/worksheets/sheet8.xml?ContentType=application/vnd.openxmlformats-officedocument.spreadsheetml.worksheet+xml">
        <DigestMethod Algorithm="http://www.w3.org/2001/04/xmlenc#sha256"/>
        <DigestValue>BfmKl0Zj4xpHGDEonrq3xSzRIGChP2D/OO1J75nFWSU=</DigestValue>
      </Reference>
      <Reference URI="/xl/worksheets/sheet9.xml?ContentType=application/vnd.openxmlformats-officedocument.spreadsheetml.worksheet+xml">
        <DigestMethod Algorithm="http://www.w3.org/2001/04/xmlenc#sha256"/>
        <DigestValue>VuqobayF7X4M5NjrZPfeO7ME2KSZ+3AWvvhTBx9tSDU=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2023-08-14T16:47:35Z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{65237113-31A1-49CF-B29F-3B8A1A4C7150}</SetupID>
          <SignatureText>Giuseppe Saurini</SignatureText>
          <SignatureImage/>
          <SignatureComments/>
          <WindowsVersion>10.0</WindowsVersion>
          <OfficeVersion>16.0.16626/25</OfficeVersion>
          <ApplicationVersion>16.0.16626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2023-08-14T16:47:35Z</xd:SigningTime>
          <xd:SigningCertificate>
            <xd:Cert>
              <xd:CertDigest>
                <DigestMethod Algorithm="http://www.w3.org/2001/04/xmlenc#sha256"/>
                <DigestValue>zYgjDwetZ+vqRVeh7e4Z5Njoi5KEGb8NJK0g1QouQ7E=</DigestValue>
              </xd:CertDigest>
              <xd:IssuerSerial>
                <X509IssuerName>C=PY, O=ICPP, OU=Prestador Cualificado de Servicios de Confianza, CN=VIT S.A., SERIALNUMBER=RUC80080099-0</X509IssuerName>
                <X509SerialNumber>139121546427700431051372921415769525699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bjCCBVagAwIBAgIQSpdgnP2qBmVjBPSSUfh9kDANBgkqhkiG9w0BAQsFADBvMQswCQYDVQQGEwJQWTErMCkGA1UECgwiTWluaXN0ZXJpbyBkZSBJbmR1c3RyaWEgeSBDb21lcmNpbzEzMDEGA1UEAwwqQXV0b3JpZGFkIENlcnRpZmljYWRvcmEgUmHDrXogZGVsIFBhcmFndWF5MB4XDTIyMDgyMzE1Mzg1OFoXDTMxMDgyMzE1Mzg1OFowgYExFjAUBgNVBAUTDVJVQzgwMDgwMDk5LTAxETAPBgNVBAMTCFZJVCBTLkEuMTgwNgYDVQQLDC9QcmVzdGFkb3IgQ3VhbGlmaWNhZG8gZGUgU2VydmljaW9zIGRlIENvbmZpYW56YTENMAsGA1UECgwESUNQUDELMAkGA1UEBhMCUFkwggIiMA0GCSqGSIb3DQEBAQUAA4ICDwAwggIKAoICAQC/gCyq2lnZYFppRkpouXyzTwSNUIVxFKpnpqOz+6n31PMACcPFkGhFT5ruiaujjLBzAh+ctneA/SN3qOZ4hqOe+AcWNhErBtkD+h0NiMZHDBxpBdhlSxnzR/BeDIELfRGCBPuFSLFqOVZ2+alyEU5KzHXjzLR+1AmJtFxAzAiulTMRnxNIvPxScqYJqjRfkrQ9376s9HhI0Yeig4YwzKG9TpSXNnKYoPgwTeCVGCLK7TVwFW7RH7FXP9awg6mSbz7kjtotCqTk1HzfHFTkI0tetMgK+lvD2xjICkUmqCmcXVtTwEDxdSkiiC+uz3w4NonjtbsHEoqQpkO0jeACTu3fTUNkOPqh7dLvHnTve4G9Yg+hYjHR6TQ/VtAu83fHfYGQZZg+dW34KCYzjtnGNnbXXfajvb4OGzg8T5WSPqV/BBjHs+PGORc4I5EgF08Rx6vLujJSz/thP2oNcMi3RIQMCkAptZiaeTK/CW/HvxQWSqsRpYYnkf1ivlU3RWx0zUtdBSopFcIlOqfRhB+1zqvzGxC0rpoGbkkw3lERMPDQjUQlmQd5ikxYuzWfzJSx4icRhBzgXCRbAa/KC4FhGU3mRZyuiyZ7MR6kRSVD5qK4EUwuf+DzoVHmh2xU7ue89btRyCZ1Frir4WZGpalM0N3ycyLj6rRsxnlGX6cdKtu3OQIDAQABo4IB8TCCAe0wEgYDVR0TAQH/BAgwBgEB/wIBADAOBgNVHQ8BAf8EBAMCAQYwHQYDVR0OBBYEFLtlEStn7YY4IBwoZxkUBGXqkaGzMB8GA1UdIwQYMBaAFMLEEfIqaEQMACjsTNYp25L7Xr3WMHkGCCsGAQUFBwEBBG0wazA/BggrBgEFBQcwAoYzaHR0cHM6Ly93d3cuYWNyYWl6Lmdvdi5weS9jcnQvYWNfcmFpel9weV9zaGEyNTYuY3J0MCgGCCsGAQUFBzABhhxodHRwczovL3d3dy5lZmlybWEuY29tLnB5L3ZhMIHNBgNVHSAEgcUwgcIwgb8GA1UdIDCBtzA5BggrBgEFBQcCARYtaHR0cHM6Ly93d3cuYWNyYWl6Lmdvdi5weS9kcGMvRE9DLUlDUFAtMDEucGRmMHoGCCsGAQUFBwICMG4abFN1amV0byBhIGxhcyBjb25kaWNpb25lcyBkZSB1c28gZXhwdWVzdGFzIGVuIGxhIERlY2xhcmFjafNuIGRlIFBy4WN0aWNhcyBkZSBDZXJ0aWZpY2FjafNuIGRlIGxhIEFDIFJh7XogLSBQeTA8BgNVHR8ENTAzMDGgL6AthitodHRwOi8vd3d3LmFjcmFpei5nb3YucHkvYXJsL2FjX3JhaXpfcHkuY3JsMA0GCSqGSIb3DQEBCwUAA4ICAQBoDEALsfLuJkxRCTBEGdn7o5BSZwaFGaDcoCKQ7cXhuybJRLMOnEdS3BXkBpd82s8Ts2wS0yV+EcOOHf9KrZuf/+jtmclFuIZmhCPv3iZohVsmbCCuSo8aYFcvFcKif61s7mJTzyeI3w4KAk8zVAtZLRiq80CbWMAeVE+Ukd0xv15Td9ZS/r1xjAGRdeJHBTnMLdeVcgL8WbB3dSzjijIAJd3qqm86rB9uojSBoy0di9e2I0QJ6j7vSGF+e3ZyS4KIGsNJZfec3/+iJj3kwUCDZ4KE+FXeoRQBE0Cki661bI1tpuEOOUq7It4vWKwuGqE5kAvojULTkKAStepBf5oKeoThue2YImE8dNkhGp3NeQtFj7rJPp9GLvCD+SVKSfw64pdMeLJ/3krqazXBd4L+1ScyrweGp4TnH35gQIwLRYyabw+vogRy32ybJb+iLCROrN+VA70CpykIDuC4x9Cyj8OJ68uatHrmol4wLPflcsg0kNP0+Ri0NYaJnug/vSf/J1xqxkR7sZ8w3WhJAeDWSL5oMVZtQ0Lc48lTXiXAxf7weYaDcZr8SW2pHHJe8kcltKqq72eJUEz/wxdkynhvVJTJKGkJ8sh+jdNqDib/b2RD/ATI4324y+Q6C2mwDZJEIU9WTpbO5+Fq5fVs7sUJ82u543lcwgBlESrd9JK9Zw=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D8BAACfAAAAAAAAAAAAAABmFgAALAsAACBFTUYAAAEAuBsAAKo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PUAAAAFAAAAMQEAABUAAAD1AAAABQAAAD0AAAARAAAAIQDwAAAAAAAAAAAAAACAPwAAAAAAAAAAAACAPwAAAAAAAAAAAAAAAAAAAAAAAAAAAAAAAAAAAAAAAAAAJQAAAAwAAAAAAACAKAAAAAwAAAABAAAAUgAAAHABAAABAAAA8/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YX2jkH2AAAABQAAAAkAAABMAAAAAAAAAAAAAAAAAAAA//////////9gAAAAMQA0AC8AOAAvADIAMAAyADM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hfaOQQwAAABbAAAAAQAAAEwAAAAEAAAACwAAADcAAAAiAAAAWwAAAFAAAABYAAAA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MQAAABWAAAAMAAAADsAAACVAAAAHAAAACEA8AAAAAAAAAAAAAAAgD8AAAAAAAAAAAAAgD8AAAAAAAAAAAAAAAAAAAAAAAAAAAAAAAAAAAAAAAAAACUAAAAMAAAAAAAAgCgAAAAMAAAABAAAAFIAAABwAQAABAAAAOz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MUAAABXAAAAJQAAAAwAAAAEAAAAVAAAAKwAAAAxAAAAOwAAAMMAAABWAAAAAQAAAFVVj0GF9o5BMQAAADsAAAAQAAAATAAAAAAAAAAAAAAAAAAAAP//////////bAAAAEcAaQB1AHMAZQBwAHAAZQAgAFMAYQB1AHIAaQBuAGkADgAAAAUAAAALAAAACAAAAAoAAAAMAAAADAAAAAoAAAAFAAAACwAAAAoAAAALAAAABwAAAAUAAAALAAAABQAAAEsAAABAAAAAMAAAAAUAAAAgAAAAAQAAAAEAAAAQAAAAAAAAAAAAAABAAQAAoAAAAAAAAAAAAAAAQAEAAKAAAAAlAAAADAAAAAIAAAAnAAAAGAAAAAUAAAAAAAAA////AAAAAAAlAAAADAAAAAUAAABMAAAAZAAAAAAAAABhAAAAPwEAAJsAAAAAAAAAYQAAAEABAAA7AAAAIQDwAAAAAAAAAAAAAACAPwAAAAAAAAAAAACAPwAAAAAAAAAAAAAAAAAAAAAAAAAAAAAAAAAAAAAAAAAAJQAAAAwAAAAAAACAKAAAAAwAAAAFAAAAJwAAABgAAAAFAAAAAAAAAP///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sAAAADwAAAGEAAABwAAAAcQAAAAEAAABVVY9BhfaOQQ8AAABhAAAAEAAAAEwAAAAAAAAAAAAAAAAAAAD//////////2wAAABHAGkAdQBzAGUAcABwAGUAIABTAGEAdQByAGkAbgBpAAkAAAADAAAABwAAAAYAAAAHAAAACAAAAAgAAAAHAAAABAAAAAcAAAAHAAAABwAAAAUAAAADAAAABwAAAAMAAABLAAAAQAAAADAAAAAFAAAAIAAAAAEAAAABAAAAEAAAAAAAAAAAAAAAQAEAAKAAAAAAAAAAAAAAAEABAACgAAAAJQAAAAwAAAACAAAAJwAAABgAAAAFAAAAAAAAAP///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IAAAADwAAAHYAAABLAAAAhgAAAAEAAABVVY9BhfaOQQ8AAAB2AAAACgAAAEwAAAAAAAAAAAAAAAAAAAD//////////2AAAABQAHIAZQBzAGkAZABlAG4AdABlAAcAAAAFAAAABwAAAAYAAAADAAAACAAAAAcAAAAHAAAABAAAAAcAAABLAAAAQAAAADAAAAAFAAAAIAAAAAEAAAABAAAAEAAAAAAAAAAAAAAAQAEAAKAAAAAAAAAAAAAAAEABAACgAAAAJQAAAAwAAAACAAAAJwAAABgAAAAFAAAAAAAAAP///wAAAAAAJQAAAAwAAAAFAAAATAAAAGQAAAAOAAAAiwAAACsBAACbAAAADgAAAIsAAAAeAQAAEQAAACEA8AAAAAAAAAAAAAAAgD8AAAAAAAAAAAAAgD8AAAAAAAAAAAAAAAAAAAAAAAAAAAAAAAAAAAAAAAAAACUAAAAMAAAAAAAAgCgAAAAMAAAABQAAACUAAAAMAAAAAQAAABgAAAAMAAAAAAAAABIAAAAMAAAAAQAAABYAAAAMAAAAAAAAAFQAAABIAQAADwAAAIsAAAAqAQAAmwAAAAEAAABVVY9BhfaOQQ8AAACLAAAAKgAAAEwAAAAEAAAADgAAAIsAAAAsAQAAnAAAAKAAAABGAGkAcgBtAGEAZABvACAAcABvAHIAOgAgAEcASQBVAFMARQBQAFAARQAgAEEATgBUAE8ATgBJAE8AIABTAEEAVQBSAEkATgBJACAAQgBVAEUAWQAGAAAAAwAAAAUAAAALAAAABwAAAAgAAAAIAAAABAAAAAgAAAAIAAAABQAAAAMAAAAEAAAACQAAAAMAAAAJAAAABwAAAAcAAAAHAAAABwAAAAcAAAAEAAAACAAAAAoAAAAHAAAACgAAAAoAAAADAAAACgAAAAQAAAAHAAAACAAAAAkAAAAIAAAAAwAAAAoAAAADAAAABAAAAAcAAAAJAAAABwAAAAcAAAAWAAAADAAAAAAAAAAlAAAADAAAAAIAAAAOAAAAFAAAAAAAAAAQAAAAFAAAAA==</Object>
  <Object Id="idInvalidSigLnImg">AQAAAGwAAAAAAAAAAAAAAD8BAACfAAAAAAAAAAAAAABmFgAALAsAACBFTUYAAAEAOCIAALE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LAFAAAQAAAABQAAAB8AAAAUAAAAEAAAAAUAAAAQAAAAEAAAAAAA/wEAAAAAAAAAAAAAgD8AAAAAAAAAAAAAgD8AAAAAAAAAAP///wAAAAAAbAAAADQAAACgAAAAEAUAABAAAAAQAAAAKAAAABIAAAASAAAAAQAgAAMAAAAQBQAAAAAAAAAAAAAAAAAAAAAAAAAA/wAA/wAA/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/PkBA+SEiIpcLCwsxBgYGHBMTS1E1N9bmExNLUQAAAAATE0tRNTfW5hMTS1EAAAAAAAAAAAAAAAAAAAAAAAAAAAAAAAA4Ojr/5eXl/3R2dvg4Ojr/g4SE5h4eHh8TE0tRNTfW5h4fd4A1N9bmExNLUQAAAAAAAAAAAAAAAAAAAAAAAAAAAAAAAAAAAAA4Ojr/+vr6//r6+v/6+vr/+vr6/8HBwcUAAAAAHh93gDs97f8eH3eAAAAAAAAAAAAAAAAAAAAAAAAAAAAAAAAAAAAAAAAAAAA4Ojr/+vr6//r6+v/6+vr/3t7e4h4eHh8TE0tRNTfW5h4fd4A1N9bmExNLUQAAAAAAAAAAAAAAAAAAAAAAAAAAAAAAAAAAAAA4Ojr/+vr6//r6+v/e3t7iHh4eHxMTS1E1N9bmExNLUQAAAAATE0tRNTfW5hMTS1EAAAAAAAAAAAAAAAAAAAAAAAAAAAAAAAA4Ojr/+vr6//r6+v88PDw9AAAAAC0us8ETE0tRAAAAAAAAAAAAAAAAExNLUS0us8EAAAAAAAAAAAAAAAAAAAAAAAAAAAAAAAA4Ojr/kZKS/05QUP9UVlb6ISEhOAAAAAAGBgYcAAAAAAAAAAAAAAAAAAAAAAAAAAAAAAAAAAAAAAAAAAAAAAAAAAAAAAAAAAA4Ojr/cXJy/9XV1f/6+vr/zMzM5Ts7O1JERkbpAAAAAAAAAAAAAAAAAAAAAAAAAAAAAAAAAAAAAAAAAAAAAAAAAAAAAB4fH4poaWn3+vr6//r6+v/6+vr/+vr6//r6+v9oaWn3Hh8figAAAAAAAAAAAAAAAAAAAAAAAAAAAAAAAAAAAAAAAAAAAAAAAEJERPLV1dX/+vr6//r6+v/6+vr/+vr6//r6+v/V1dX/QkRE8gAAAAAAAAAAAAAAAAAAAAAAAAAAAAAAAAAAAAAAAAAAAAAAADg6Ov/6+vr/+vr6//r6+v/6+vr/+vr6//r6+v/6+vr/ODo6/wAAAAAAAAAAAAAAAAAAAAAAAAAAAAAAAAAAAAAAAAAAAAAAAERGRvTV1dX/+vr6//r6+v/6+vr/+vr6//r6+v/V1dX/REZG9AAAAAAAAAAAAAAAAAAAAAAAAAAAAAAAAAAAAAAAAAAAAAAAACwtLZhub2/8+vr6//r6+v/6+vr/+vr6//r6+v9ub2/8LC0tmAAAAAAAAAAAAAAAAAAAAAAAAAAAAAAAAAAAAAAAAAAAAAAAAAYGBhxERkbpbm9v/NXV1f/6+vr/1dXV/25vb/xHSUnsBgYGHAAAAAAAAAAAAAAAAAAAAAAAAAAAAAAAAAAAAAAAAAAAAAAAAAAAAAAGBgYcOjs7pkVHR/Y4Ojr/RUdH9jo7O6YGBgYcAAAAAAAAAAAAAAAAAAAAAAAAAAAAAAAAAAAAACcAAAAYAAAAAQAAAAAAAAD///8AAAAAACUAAAAMAAAAAQAAAEwAAABkAAAAMAAAAAUAAACKAAAAFQAAADAAAAAFAAAAWwAAABEAAAAhAPAAAAAAAAAAAAAAAIA/AAAAAAAAAAAAAIA/AAAAAAAAAAAAAAAAAAAAAAAAAAAAAAAAAAAAAAAAAAAlAAAADAAAAAAAAIAoAAAADAAAAAEAAABSAAAAcAEAAAEAAADz////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/wAAABIAAAAMAAAAAQAAAB4AAAAYAAAAMAAAAAUAAACLAAAAFgAAACUAAAAMAAAAAQAAAFQAAACoAAAAMQAAAAUAAACJAAAAFQAAAAEAAABVVY9BhfaOQTEAAAAFAAAADwAAAEwAAAAAAAAAAAAAAAAAAAD//////////2wAAABGAGkAcgBtAGEAIABuAG8AIAB2AOEAbABpAGQAYQBZ8g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//////////wAAAAAcAAAAAAAAAD8AAAAhAPAAAAAAAAAAAAAAAIA/AAAAAAAAAAAAAIA/AAAAAAAAAAAAAAAAAAAAAAAAAAAAAAAAAAAAAAAAAAAlAAAADAAAAAAAAIAoAAAADAAAAAMAAAAnAAAAGAAAAAMAAAAAAAAAAAAAAAAAAAAlAAAADAAAAAMAAABMAAAAZAAAAAAAAAAAAAAA//////////8AAAAAHAAAAEABAAAAAAAAIQDwAAAAAAAAAAAAAACAPwAAAAAAAAAAAACAPwAAAAAAAAAAAAAAAAAAAAAAAAAAAAAAAAAAAAAAAAAAJQAAAAwAAAAAAACAKAAAAAwAAAADAAAAJwAAABgAAAADAAAAAAAAAAAAAAAAAAAAJQAAAAwAAAADAAAATAAAAGQAAAAAAAAAAAAAAP//////////QAEAABwAAAAAAAAAPwAAACEA8AAAAAAAAAAAAAAAgD8AAAAAAAAAAAAAgD8AAAAAAAAAAAAAAAAAAAAAAAAAAAAAAAAAAAAAAAAAACUAAAAMAAAAAAAAgCgAAAAMAAAAAwAAACcAAAAYAAAAAwAAAAAAAAAAAAAAAAAAACUAAAAMAAAAAwAAAEwAAABkAAAAAAAAAFsAAAA/AQAAXAAAAAAAAABbAAAAQAEAAAIAAAAhAPAAAAAAAAAAAAAAAIA/AAAAAAAAAAAAAIA/AAAAAAAAAAAAAAAAAAAAAAAAAAAAAAAAAAAAAAAAAAAlAAAADAAAAAAAAIAoAAAADAAAAAMAAAAnAAAAGAAAAAMAAAAAAAAA////AAAAAAAlAAAADAAAAAMAAABMAAAAZAAAAAAAAAAcAAAAPwEAAFoAAAAAAAAAHAAAAEABAAA/AAAAIQDwAAAAAAAAAAAAAACAPwAAAAAAAAAAAACAPwAAAAAAAAAAAAAAAAAAAAAAAAAAAAAAAAAAAAAAAAAAJQAAAAwAAAAAAACAKAAAAAwAAAADAAAAJwAAABgAAAADAAAAAAAAAP///wAAAAAAJQAAAAwAAAADAAAATAAAAGQAAAALAAAANwAAACEAAABaAAAACwAAADcAAAAXAAAAJAAAACEA8AAAAAAAAAAAAAAAgD8AAAAAAAAAAAAAgD8AAAAAAAAAAAAAAAAAAAAAAAAAAAAAAAAAAAAAAAAAACUAAAAMAAAAAAAAgCgAAAAMAAAAAwAAAFIAAABwAQAAAwAAAOD///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GF9o5BDAAAAFsAAAABAAAATAAAAAQAAAALAAAANwAAACIAAABbAAAAUAAAAFgATIsVAAAAFgAAAAwAAAAAAAAAJQAAAAwAAAACAAAAJwAAABgAAAAEAAAAAAAAAP///wAAAAAAJQAAAAwAAAAEAAAATAAAAGQAAAAwAAAAIAAAADQBAABaAAAAMAAAACAAAAAFAQAAOwAAACEA8AAAAAAAAAAAAAAAgD8AAAAAAAAAAAAAgD8AAAAAAAAAAAAAAAAAAAAAAAAAAAAAAAAAAAAAAAAAACUAAAAMAAAAAAAAgCgAAAAMAAAABAAAACcAAAAYAAAABAAAAAAAAAD///8AAAAAACUAAAAMAAAABAAAAEwAAABkAAAAMAAAACAAAAA0AQAAVgAAADAAAAAgAAAABQEAADcAAAAhAPAAAAAAAAAAAAAAAIA/AAAAAAAAAAAAAIA/AAAAAAAAAAAAAAAAAAAAAAAAAAAAAAAAAAAAAAAAAAAlAAAADAAAAAAAAIAoAAAADAAAAAQAAAAnAAAAGAAAAAQAAAAAAAAA////AAAAAAAlAAAADAAAAAQAAABMAAAAZAAAADAAAAA7AAAAxAAAAFYAAAAwAAAAOwAAAJUAAAAcAAAAIQDwAAAAAAAAAAAAAACAPwAAAAAAAAAAAACAPwAAAAAAAAAAAAAAAAAAAAAAAAAAAAAAAAAAAAAAAAAAJQAAAAwAAAAAAACAKAAAAAwAAAAEAAAAUgAAAHABAAAEAAAA7P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xQAAAFcAAAAlAAAADAAAAAQAAABUAAAArAAAADEAAAA7AAAAwwAAAFYAAAABAAAAVVWPQYX2jkExAAAAOwAAABAAAABMAAAAAAAAAAAAAAAAAAAA//////////9sAAAARwBpAHUAcwBlAHAAcABlACAAUwBhAHUAcgBpAG4AaQAOAAAABQAAAAsAAAAIAAAACgAAAAwAAAAMAAAACgAAAAUAAAALAAAACgAAAAsAAAAHAAAABQAAAAsAAAAFAAAASwAAAEAAAAAwAAAABQAAACAAAAABAAAAAQAAABAAAAAAAAAAAAAAAEABAACgAAAAAAAAAAAAAABAAQAAoAAAACUAAAAMAAAAAgAAACcAAAAYAAAABQAAAAAAAAD///8AAAAAACUAAAAMAAAABQAAAEwAAABkAAAAAAAAAGEAAAA/AQAAmwAAAAAAAABhAAAAQAEAADsAAAAhAPAAAAAAAAAAAAAAAIA/AAAAAAAAAAAAAIA/AAAAAAAAAAAAAAAAAAAAAAAAAAAAAAAAAAAAAAAAAAAlAAAADAAAAAAAAIAoAAAADAAAAAUAAAAnAAAAGAAAAAUAAAAAAAAA////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KwAAAAPAAAAYQAAAHAAAABxAAAAAQAAAFVVj0GF9o5BDwAAAGEAAAAQAAAATAAAAAAAAAAAAAAAAAAAAP//////////bAAAAEcAaQB1AHMAZQBwAHAAZQAgAFMAYQB1AHIAaQBuAGkACQAAAAMAAAAHAAAABgAAAAcAAAAIAAAACAAAAAcAAAAEAAAABwAAAAcAAAAHAAAABQAAAAMAAAAHAAAAAwAAAEsAAABAAAAAMAAAAAUAAAAgAAAAAQAAAAEAAAAQAAAAAAAAAAAAAABAAQAAoAAAAAAAAAAAAAAAQAEAAKAAAAAlAAAADAAAAAIAAAAnAAAAGAAAAAUAAAAAAAAA////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gAAAAPAAAAdgAAAEsAAACGAAAAAQAAAFVVj0GF9o5BDwAAAHYAAAAKAAAATAAAAAAAAAAAAAAAAAAAAP//////////YAAAAFAAcgBlAHMAaQBkAGUAbgB0AGUABwAAAAUAAAAHAAAABgAAAAMAAAAIAAAABwAAAAcAAAAEAAAABwAAAEsAAABAAAAAMAAAAAUAAAAgAAAAAQAAAAEAAAAQAAAAAAAAAAAAAABAAQAAoAAAAAAAAAAAAAAAQAEAAKAAAAAlAAAADAAAAAIAAAAnAAAAGAAAAAUAAAAAAAAA////AAAAAAAlAAAADAAAAAUAAABMAAAAZAAAAA4AAACLAAAAKwEAAJsAAAAOAAAAiwAAAB4BAAARAAAAIQDwAAAAAAAAAAAAAACAPwAAAAAAAAAAAACAPwAAAAAAAAAAAAAAAAAAAAAAAAAAAAAAAAAAAAAAAAAAJQAAAAwAAAAAAACAKAAAAAwAAAAFAAAAJQAAAAwAAAABAAAAGAAAAAwAAAAAAAAAEgAAAAwAAAABAAAAFgAAAAwAAAAAAAAAVAAAAEgBAAAPAAAAiwAAACoBAACbAAAAAQAAAFVVj0GF9o5BDwAAAIsAAAAqAAAATAAAAAQAAAAOAAAAiwAAACwBAACcAAAAoAAAAEYAaQByAG0AYQBkAG8AIABwAG8AcgA6ACAARwBJAFUAUwBFAFAAUABFACAAQQBOAFQATwBOAEkATwAgAFMAQQBVAFIASQBOAEkAIABCAFUARQBZAAYAAAADAAAABQAAAAsAAAAHAAAACAAAAAgAAAAEAAAACAAAAAgAAAAFAAAAAwAAAAQAAAAJAAAAAwAAAAkAAAAHAAAABwAAAAcAAAAHAAAABwAAAAQAAAAIAAAACgAAAAcAAAAKAAAACgAAAAMAAAAKAAAABAAAAAcAAAAIAAAACQAAAAgAAAADAAAACgAAAAMAAAAEAAAABwAAAAkAAAAHAAAABwAAABYAAAAMAAAAAAAAACUAAAAMAAAAAgAAAA4AAAAUAAAAAAAAABAAAAAUAAAA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rQI8c37ofG6AVG1iBlTbhytuYnbHYqOR5Ip/FlB6iMU=</DigestValue>
    </Reference>
    <Reference Type="http://www.w3.org/2000/09/xmldsig#Object" URI="#idOfficeObject">
      <DigestMethod Algorithm="http://www.w3.org/2001/04/xmlenc#sha256"/>
      <DigestValue>hvXpSwwirBE38xPdWZz6hZLG5n6dUPS3vz1ewO1cq5o=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CyE1FEQ2CiYxx3aStUhUIVEzOYL7tDpjSrzZ535DrKg=</DigestValue>
    </Reference>
    <Reference Type="http://www.w3.org/2000/09/xmldsig#Object" URI="#idValidSigLnImg">
      <DigestMethod Algorithm="http://www.w3.org/2001/04/xmlenc#sha256"/>
      <DigestValue>u5c0HfsQGrfXrTnnaeGZZdAxCHAnHBy5ymMQ7i46adY=</DigestValue>
    </Reference>
    <Reference Type="http://www.w3.org/2000/09/xmldsig#Object" URI="#idInvalidSigLnImg">
      <DigestMethod Algorithm="http://www.w3.org/2001/04/xmlenc#sha256"/>
      <DigestValue>3O8v/mvqC5FQWE0TwXgnXqb/7FvbwMjmfJqeJGr5+C8=</DigestValue>
    </Reference>
  </SignedInfo>
  <SignatureValue>ZOvqpoplW0bWHnxRwWM4LH/7xAGAULkzprISCNGj17hOIin4/LE4dU9wX9xSh3OHRW+LAORkfUgl
wPc3+AmxAAd4x0hc1m01VAkQPEq6Vnp6YgZwoDmd9GSoB0+QDE7NRqLJGgFRBUsfFLz/KqQ4vI/+
H92F34bUY85wPDWUKwq5vOsQb4+LtgLzrLtDu7vuudtMjdoUl7Bo2F5PtA3XoHGCVt6T2S5wlEPc
20AJJd+MTLbLVo2GJPuGK7qYtyZUjSoVNfSoEMIPQdp/dUYNGgwMjG6uNay9B++/x8BNOswgnzc+
GPC4WFPhX8kc6aXUjNSDDyhH1fv+40z8dpy4Aw==</SignatureValue>
  <KeyInfo>
    <X509Data>
      <X509Certificate>MIIIeDCCBmCgAwIBAgIIMS6DM34hZtswDQYJKoZIhvcNAQELBQAwWjEaMBgGA1UEAwwRQ0EtRE9DVU1FTlRBIFMuQS4xFjAUBgNVBAUTDVJVQzgwMDUwMTcyLTExFzAVBgNVBAoMDkRPQ1VNRU5UQSBTLkEuMQswCQYDVQQGEwJQWTAeFw0yMzAzMzExOTE3MDBaFw0yNTAzMzAxOTE3MDBaMIGnMRowGAYDVQQDDBFTQURZIFNNSUQgUEVSRUlSQTESMBAGA1UEBRMJQ0kxNTQ3OTU4MRIwEAYDVQQqDAlTQURZIFNNSUQxEDAOBgNVBAQMB1BFUkVJUkExCzAJBgNVBAsMAkYyMTUwMwYDVQQKDCxDRVJUSUZJQ0FETyBDVUFMSUZJQ0FETyBERSBGSVJNQSBFTEVDVFJPTklDQTELMAkGA1UEBhMCUFkwggEiMA0GCSqGSIb3DQEBAQUAA4IBDwAwggEKAoIBAQDcv4jg9UQVYMQW3nTZbudZmlc3d7ZDhKC++1NiAFDou0FCci5HIYOxzaqCq2awvXcrPdy+yXZ9Vhn4m0pUDGiuhWEc9LCnE39ip/FGpYATj0qTlPY2JbKwxPQq/9M4c3uairv4Jsv8SC26mhfnQ5NAVEe8BoH1jB2/45RBbHELV3pCZXGUb7SI1tqh4HzVsmfyZkuGazTBUAI2CwR4u3gRS6j0q3HuK5Qe2Ysa34BGgYkoY2vWKGfLpUeij4uVPaAPAIEVCdfC2FSAFsMfe6vkk3pLs311J0x3+QAVWCmth70T/b3EiGpOcMAyl7+wHKjs75LOqrlgWQOvYIi/rUXXAgMBAAGjggPyMIID7jAMBgNVHRMBAf8EAjAAMB8GA1UdIwQYMBaAFKE9hSvN2CyWHzkCDJ9TO1jYlQt7MIGUBggrBgEFBQcBAQSBhzCBhDBVBggrBgEFBQcwAoZJaHR0cHM6Ly93d3cuZGlnaXRvLmNvbS5weS91cGxvYWRzL2NlcnRpZmljYWRvLWRvY3VtZW50YS1zYS0xNTM1MTE3NzcxLmNydDArBggrBgEFBQcwAYYfaHR0cHM6Ly93d3cuZGlnaXRvLmNvbS5weS9vY3NwLzBVBgNVHREETjBMgR5zYWR5LnBlcmVpcmFAaW5wb3NpdGl2YS5jb20ucHmkKjAoMSYwJAYDVQQNDB1GSVJNQSBFTEVDVFJPTklDQSBDVUFMSUZJQ0FEQTCCAfUGA1UdIASCAewwggHoMIIB5AYNKwYBBAGC+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/BCAwHgYIKwYBBQUHAwIGCCsGAQUFBwMEBggrBgEFBQcDATB7BgNVHR8EdDByMDSgMqAwhi5odHRwczovL3d3dy5kaWdpdG8uY29tLnB5L2NybC9kb2N1bWVudGFfY2EuY3JsMDqgOKA2hjRodHRwczovL3d3dy5kb2N1bWVudGEuY29tLnB5L2RpZ2l0by9kb2N1bWVudGFfY2EuY3JsMB0GA1UdDgQWBBQQKzMg1tda9/gvYWPq+p2XbNk27DAOBgNVHQ8BAf8EBAMCBeAwDQYJKoZIhvcNAQELBQADggIBAHontLGuu9Ch1UJ+wEl3kVVKHj02tuHmGtakXsQ1uBtkJXIQeSPa6cwovoWksYUL8aL2tEskLbxoT9OPhkPR/XQt4Lsvd8A7CbMfasQclS8dFt7nHkGMIUfPewGyRifAUXSzcCqNChoIpr0M+j0p5ZCc9vQEeeT4x4Z12DB2YqVLM5EjtCOUumILB8E333S2Zy3HmWXwqbCLpjIl6ANZ6t6SKFuQP9YUftVHgP4HIbW3Mg+q0q69z7++isI0MDCkAP8GLZ75OePNzkdKSCh4cSxUYdpugnGeLBFkY6TpsksH9zPXgpGfJ2301bEvAcOnKRifNdwqLS3Du/qpl2GHh5HPn6nhf/aNIm/E/HIqhk3e5EsaLthc1t1c7RnFymp4DyY/Xrq7u40wdIrrfzHVNBO8YNiwXJczNt9P53V/Lo3JDHUgLP7SHwvcObBBKeuO+bpxHgDpXPjJj+ZP9GCkO69dBHL/Ehj+YUiepdJMcviX2KO28B7jUxXt60Q1yVR7yjzueZBZINbnyXrn9f7M84t7P1Ik9kp0dN6cS62ZM4bMBxuHQ3aGh5Shsg/yEkTSw4kkxYxoMyiWfLSOXrhhyuET2KgpcWlmWfpj3FCffhR+cE02JweXOsXdLArvWaToBUadap8KY7pzztPMXJ83aPFpF8Q2VMkx2eUcpneJ16XY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</Transform>
          <Transform Algorithm="http://www.w3.org/TR/2001/REC-xml-c14n-20010315"/>
        </Transforms>
        <DigestMethod Algorithm="http://www.w3.org/2001/04/xmlenc#sha256"/>
        <DigestValue>9cH66gnYPDJf9IcQ56vViGMDNEgb6ElP++FyHKbSL5I=</DigestValue>
      </Reference>
      <Reference URI="/xl/calcChain.xml?ContentType=application/vnd.openxmlformats-officedocument.spreadsheetml.calcChain+xml">
        <DigestMethod Algorithm="http://www.w3.org/2001/04/xmlenc#sha256"/>
        <DigestValue>CqiCaQaSbtCjJ7NIET09ZzXaNd0yM7LOIhPsqeq8dHM=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J2BAgzEtgHZvJLT6Z8wBZSKIOSgDyh8bTQWrBE/grlI=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qjBShL+w25YLKX9StiD7B4tEjq12uZFisU2IJkRA+Bo=</DigestValue>
      </Reference>
      <Reference URI="/xl/drawings/vmlDrawing2.vml?ContentType=application/vnd.openxmlformats-officedocument.vmlDrawing">
        <DigestMethod Algorithm="http://www.w3.org/2001/04/xmlenc#sha256"/>
        <DigestValue>vg6Ju/2lz+i+qRuifMf/MqC3wp+GTBZI1xJALwaVjRI=</DigestValue>
      </Reference>
      <Reference URI="/xl/drawings/vmlDrawing3.vml?ContentType=application/vnd.openxmlformats-officedocument.vmlDrawing">
        <DigestMethod Algorithm="http://www.w3.org/2001/04/xmlenc#sha256"/>
        <DigestValue>CIpe34ATxRnmV7j6IFEkRtvin7HbiRY2/sKA5ae5aTk=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T+BDfyTpetW0qrruXw3avFkzeuURebdHQEUJACuxc/I=</DigestValue>
      </Reference>
      <Reference URI="/xl/externalLinks/_rels/externalLink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m/P1sPVumHbYYYH4Gi4tHuT7G4T0ciEqU7j0RQle7mQ=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/jUhTi6PhUZPDyfIvX9N+eGqtgSugQC4yomTlFwgBmU=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lQ82QnWwbz4cwqWmA0PvUVUEvxx4zrtn0uT8oTImCQY=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UwScaaVvJJr8sVMKke2dTwYL0T0jaSMJuw7X9zicf0M=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tnn+2bol2bXBQ+eWFjm/ny6YYB+WCJCWG7qmZ0RRm8Q=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nTCLDQNmBLD3QNG16R1ayTR/yk/TvIA8GLr+I/QKjWw=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p8NQnfT7rn5oLKK1Sy4tLSTXYmUnd6giEKUGdCW4IMc=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qBK7IMwjceOW1HdoZ7y24WnIbZ7Hm+1SopgVFPlsroI=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10.xml?ContentType=application/vnd.openxmlformats-officedocument.spreadsheetml.externalLink+xml">
        <DigestMethod Algorithm="http://www.w3.org/2001/04/xmlenc#sha256"/>
        <DigestValue>5hysn/f3cuDUn2KoabI0T5agba8Q0eZ9N97MhkkYe0Q=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vh3teiCYGpj8VAfrN+S7Aw3b7bUs9SkEtIUtjbw3a0c=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+i3Furto1eVVmhcb9qnUlQ3PrqPkRxf3tCO5VQA74J0=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ihREqtptQ/I7yKugMN8QiWLgkeGyEvfYHrE8uiytdNI=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QTG3YgyS6n6mZd/mWr9lxuA+F8ZSiwpoMAN5BMAQM+A=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10T+bRrKjdYQYP8a0kHGO9XtQSBdxZuBP0ve51KlOHw=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pbGoT91SS2SXBCvoCb4OUilI8eTUsEadHCkEI2ndObI=</DigestValue>
      </Reference>
      <Reference URI="/xl/media/image4.emf?ContentType=image/x-emf">
        <DigestMethod Algorithm="http://www.w3.org/2001/04/xmlenc#sha256"/>
        <DigestValue>2dL1qjQRhJZ63qMt49Cm9Ry/zmr3z/cHAjL8Co1nBtQ=</DigestValue>
      </Reference>
      <Reference URI="/xl/media/image5.emf?ContentType=image/x-emf">
        <DigestMethod Algorithm="http://www.w3.org/2001/04/xmlenc#sha256"/>
        <DigestValue>5HHBIQGIxQV002SdOJKjGVDZRzuVtc+H9vUWurUtMtQ=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JwtVcnTpt433HgYNzX+0SAaAGNr9BnjurA3Cvck8fbM=</DigestValue>
      </Reference>
      <Reference URI="/xl/styles.xml?ContentType=application/vnd.openxmlformats-officedocument.spreadsheetml.styles+xml">
        <DigestMethod Algorithm="http://www.w3.org/2001/04/xmlenc#sha256"/>
        <DigestValue>wk0PvX3Go/NbqdDsJPERL3oCu+H/tWmMfj3jXkOQYDA=</DigestValue>
      </Reference>
      <Reference URI="/xl/tables/table1.xml?ContentType=application/vnd.openxmlformats-officedocument.spreadsheetml.table+xml">
        <DigestMethod Algorithm="http://www.w3.org/2001/04/xmlenc#sha256"/>
        <DigestValue>3DvJRVq8L5tVG3OXknakCCGRJtdPl9uu8c6tarcFXq0=</DigestValue>
      </Reference>
      <Reference URI="/xl/tables/table2.xml?ContentType=application/vnd.openxmlformats-officedocument.spreadsheetml.table+xml">
        <DigestMethod Algorithm="http://www.w3.org/2001/04/xmlenc#sha256"/>
        <DigestValue>Iil/Rjhw0zCCp2Cpi5C8+LImDZ2BktpveQLRcpfbTn0=</DigestValue>
      </Reference>
      <Reference URI="/xl/tables/table3.xml?ContentType=application/vnd.openxmlformats-officedocument.spreadsheetml.table+xml">
        <DigestMethod Algorithm="http://www.w3.org/2001/04/xmlenc#sha256"/>
        <DigestValue>+JBk3R7VBpvvdigSAtcozFkPiajQcZIzshrw/70OtWQ=</DigestValue>
      </Reference>
      <Reference URI="/xl/tables/table4.xml?ContentType=application/vnd.openxmlformats-officedocument.spreadsheetml.table+xml">
        <DigestMethod Algorithm="http://www.w3.org/2001/04/xmlenc#sha256"/>
        <DigestValue>0LV0Y8KHoxa8spVtu4eG0SR4ejYc5XcrBQ2nZUFUpe8=</DigestValue>
      </Reference>
      <Reference URI="/xl/tables/table5.xml?ContentType=application/vnd.openxmlformats-officedocument.spreadsheetml.table+xml">
        <DigestMethod Algorithm="http://www.w3.org/2001/04/xmlenc#sha256"/>
        <DigestValue>TX6NH6L75Phx1ARoq8gVohLU3ml3FgI+f5MXAtkozQI=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CyCu7fzU9CnHUvfwIvvE/WvE6dOTnkEsVkZhw6XRThg=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tnuHqQYJoYrMKwqfxAt4GYCSfZ37aqTLEPx5w3S0Lp4=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4s9qknDynYPr1xuzc4NY1dbPuCxhKyhwp+fAHZRIQIQ=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b7C/4dAYzpCnOiQ0d74ASq0ijHWl6LtpfIw9YKV91Cs=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L7u13EYEd6OGZ0GaATTJD1c30oefd1GysEaTnKs7nLw=</DigestValue>
      </Reference>
      <Reference URI="/xl/worksheets/sheet10.xml?ContentType=application/vnd.openxmlformats-officedocument.spreadsheetml.worksheet+xml">
        <DigestMethod Algorithm="http://www.w3.org/2001/04/xmlenc#sha256"/>
        <DigestValue>XPB71gCtULGnfGT/rw2Psl3x0rbiE8GSzM+SynEgons=</DigestValue>
      </Reference>
      <Reference URI="/xl/worksheets/sheet11.xml?ContentType=application/vnd.openxmlformats-officedocument.spreadsheetml.worksheet+xml">
        <DigestMethod Algorithm="http://www.w3.org/2001/04/xmlenc#sha256"/>
        <DigestValue>YmrnO7palSoVWOyxt1MZfSxKULZEX/Du73Ai7+tGCLY=</DigestValue>
      </Reference>
      <Reference URI="/xl/worksheets/sheet12.xml?ContentType=application/vnd.openxmlformats-officedocument.spreadsheetml.worksheet+xml">
        <DigestMethod Algorithm="http://www.w3.org/2001/04/xmlenc#sha256"/>
        <DigestValue>3Q/OeSfVC7zB7xkcuvUOs0Wn+yu5+TFAAXY1ftTqaiM=</DigestValue>
      </Reference>
      <Reference URI="/xl/worksheets/sheet13.xml?ContentType=application/vnd.openxmlformats-officedocument.spreadsheetml.worksheet+xml">
        <DigestMethod Algorithm="http://www.w3.org/2001/04/xmlenc#sha256"/>
        <DigestValue>Lvmlf61SuLmpKYUqQWjQCFGr2S6MgRXzlSkADAgY/LE=</DigestValue>
      </Reference>
      <Reference URI="/xl/worksheets/sheet14.xml?ContentType=application/vnd.openxmlformats-officedocument.spreadsheetml.worksheet+xml">
        <DigestMethod Algorithm="http://www.w3.org/2001/04/xmlenc#sha256"/>
        <DigestValue>lkPh0p4RgoazBpEB/t99HuSwFggpFVUOgIMlUUhSCN4=</DigestValue>
      </Reference>
      <Reference URI="/xl/worksheets/sheet15.xml?ContentType=application/vnd.openxmlformats-officedocument.spreadsheetml.worksheet+xml">
        <DigestMethod Algorithm="http://www.w3.org/2001/04/xmlenc#sha256"/>
        <DigestValue>ivy5eLxt3NXl9SPo8AZjxNePijclnyNn3YayIEtp8DM=</DigestValue>
      </Reference>
      <Reference URI="/xl/worksheets/sheet16.xml?ContentType=application/vnd.openxmlformats-officedocument.spreadsheetml.worksheet+xml">
        <DigestMethod Algorithm="http://www.w3.org/2001/04/xmlenc#sha256"/>
        <DigestValue>pB/bOUFVww3G5hEpAZM4+Cq0pHrD7VVbDzYLwOUzmQE=</DigestValue>
      </Reference>
      <Reference URI="/xl/worksheets/sheet17.xml?ContentType=application/vnd.openxmlformats-officedocument.spreadsheetml.worksheet+xml">
        <DigestMethod Algorithm="http://www.w3.org/2001/04/xmlenc#sha256"/>
        <DigestValue>JMcqCaHp7yhrX/sQv81EjEZkhJ+Z6hFMjScUIQ8LYxY=</DigestValue>
      </Reference>
      <Reference URI="/xl/worksheets/sheet18.xml?ContentType=application/vnd.openxmlformats-officedocument.spreadsheetml.worksheet+xml">
        <DigestMethod Algorithm="http://www.w3.org/2001/04/xmlenc#sha256"/>
        <DigestValue>cxR175q3zoaaISUqqLpoYmKozeMpPZlq5EmLrAMknkE=</DigestValue>
      </Reference>
      <Reference URI="/xl/worksheets/sheet19.xml?ContentType=application/vnd.openxmlformats-officedocument.spreadsheetml.worksheet+xml">
        <DigestMethod Algorithm="http://www.w3.org/2001/04/xmlenc#sha256"/>
        <DigestValue>ewd4taF/tNV2leN4K1MIgrDXcZEjI/5ffA+k9q6NIC0=</DigestValue>
      </Reference>
      <Reference URI="/xl/worksheets/sheet2.xml?ContentType=application/vnd.openxmlformats-officedocument.spreadsheetml.worksheet+xml">
        <DigestMethod Algorithm="http://www.w3.org/2001/04/xmlenc#sha256"/>
        <DigestValue>kPr1I6wzYFtbmSAfzWaJBH4pumwvt/WokPDgXbXJ2yo=</DigestValue>
      </Reference>
      <Reference URI="/xl/worksheets/sheet20.xml?ContentType=application/vnd.openxmlformats-officedocument.spreadsheetml.worksheet+xml">
        <DigestMethod Algorithm="http://www.w3.org/2001/04/xmlenc#sha256"/>
        <DigestValue>igjGZCYYTHVUq3Y+iwUe2DUChl07cOfkGr6P2qs85NA=</DigestValue>
      </Reference>
      <Reference URI="/xl/worksheets/sheet21.xml?ContentType=application/vnd.openxmlformats-officedocument.spreadsheetml.worksheet+xml">
        <DigestMethod Algorithm="http://www.w3.org/2001/04/xmlenc#sha256"/>
        <DigestValue>hzcvbOX+rMgeCKA58yJ/g2QW5m9/Ve+vVq1pMETz8pA=</DigestValue>
      </Reference>
      <Reference URI="/xl/worksheets/sheet22.xml?ContentType=application/vnd.openxmlformats-officedocument.spreadsheetml.worksheet+xml">
        <DigestMethod Algorithm="http://www.w3.org/2001/04/xmlenc#sha256"/>
        <DigestValue>U96XYR/uyWPQFAWNCErnlO0MNRbogAJResHS3kPn7sk=</DigestValue>
      </Reference>
      <Reference URI="/xl/worksheets/sheet23.xml?ContentType=application/vnd.openxmlformats-officedocument.spreadsheetml.worksheet+xml">
        <DigestMethod Algorithm="http://www.w3.org/2001/04/xmlenc#sha256"/>
        <DigestValue>G3aEXZ0LATgiUYbT3QWhUmGe7VVfgC4e1egbfhPQOcE=</DigestValue>
      </Reference>
      <Reference URI="/xl/worksheets/sheet24.xml?ContentType=application/vnd.openxmlformats-officedocument.spreadsheetml.worksheet+xml">
        <DigestMethod Algorithm="http://www.w3.org/2001/04/xmlenc#sha256"/>
        <DigestValue>YrUdC50UeAR5d3TGsFVXcZAn/QvDBCvdj/j3+3hG+UQ=</DigestValue>
      </Reference>
      <Reference URI="/xl/worksheets/sheet25.xml?ContentType=application/vnd.openxmlformats-officedocument.spreadsheetml.worksheet+xml">
        <DigestMethod Algorithm="http://www.w3.org/2001/04/xmlenc#sha256"/>
        <DigestValue>sAvsTIGS9Nyyd6vYeXAvmOL6QXUaLH8G6QTvpabyNKs=</DigestValue>
      </Reference>
      <Reference URI="/xl/worksheets/sheet26.xml?ContentType=application/vnd.openxmlformats-officedocument.spreadsheetml.worksheet+xml">
        <DigestMethod Algorithm="http://www.w3.org/2001/04/xmlenc#sha256"/>
        <DigestValue>5FBDRKHkKJG8NSFBsog/tQ66GuOWcVsF50zVKI3gMK8=</DigestValue>
      </Reference>
      <Reference URI="/xl/worksheets/sheet27.xml?ContentType=application/vnd.openxmlformats-officedocument.spreadsheetml.worksheet+xml">
        <DigestMethod Algorithm="http://www.w3.org/2001/04/xmlenc#sha256"/>
        <DigestValue>uHkqHTNCdGG6cYnKOAv3WtTtVU2KwMiLoOPiVRVPlEk=</DigestValue>
      </Reference>
      <Reference URI="/xl/worksheets/sheet28.xml?ContentType=application/vnd.openxmlformats-officedocument.spreadsheetml.worksheet+xml">
        <DigestMethod Algorithm="http://www.w3.org/2001/04/xmlenc#sha256"/>
        <DigestValue>kOGdyypLyha8KzCVE3LGMHsocQwMg7F0po13EVJdbyA=</DigestValue>
      </Reference>
      <Reference URI="/xl/worksheets/sheet29.xml?ContentType=application/vnd.openxmlformats-officedocument.spreadsheetml.worksheet+xml">
        <DigestMethod Algorithm="http://www.w3.org/2001/04/xmlenc#sha256"/>
        <DigestValue>6pZdVN7h0SesSDKMKiJPGtuw+SqXcLRDi6D69jK2AUs=</DigestValue>
      </Reference>
      <Reference URI="/xl/worksheets/sheet3.xml?ContentType=application/vnd.openxmlformats-officedocument.spreadsheetml.worksheet+xml">
        <DigestMethod Algorithm="http://www.w3.org/2001/04/xmlenc#sha256"/>
        <DigestValue>2A00B3ijFGHZmLRTTe+em5u1vNqbaycooHeCjsE7Yhs=</DigestValue>
      </Reference>
      <Reference URI="/xl/worksheets/sheet30.xml?ContentType=application/vnd.openxmlformats-officedocument.spreadsheetml.worksheet+xml">
        <DigestMethod Algorithm="http://www.w3.org/2001/04/xmlenc#sha256"/>
        <DigestValue>2Hr8hXHDLzL2Hiz65WT1ktwawywAUqddVeQFBkco9UU=</DigestValue>
      </Reference>
      <Reference URI="/xl/worksheets/sheet4.xml?ContentType=application/vnd.openxmlformats-officedocument.spreadsheetml.worksheet+xml">
        <DigestMethod Algorithm="http://www.w3.org/2001/04/xmlenc#sha256"/>
        <DigestValue>i7WNWoImns8OVPbSKI4Hw1fxhDmOIOTmzPoMW4GVilg=</DigestValue>
      </Reference>
      <Reference URI="/xl/worksheets/sheet5.xml?ContentType=application/vnd.openxmlformats-officedocument.spreadsheetml.worksheet+xml">
        <DigestMethod Algorithm="http://www.w3.org/2001/04/xmlenc#sha256"/>
        <DigestValue>U+txUw9IKEwcXcrnyGyPJ+QD0bHPBRAutwvlpWVS6Pg=</DigestValue>
      </Reference>
      <Reference URI="/xl/worksheets/sheet6.xml?ContentType=application/vnd.openxmlformats-officedocument.spreadsheetml.worksheet+xml">
        <DigestMethod Algorithm="http://www.w3.org/2001/04/xmlenc#sha256"/>
        <DigestValue>UQDyPiih93UYlhaXPFuXT96PRyLBFAdNRXK/8oXYpNU=</DigestValue>
      </Reference>
      <Reference URI="/xl/worksheets/sheet7.xml?ContentType=application/vnd.openxmlformats-officedocument.spreadsheetml.worksheet+xml">
        <DigestMethod Algorithm="http://www.w3.org/2001/04/xmlenc#sha256"/>
        <DigestValue>1Evx2LCx5+hiHcUBmqpgueQX5/7/aXHfMtfmdy7sfFU=</DigestValue>
      </Reference>
      <Reference URI="/xl/worksheets/sheet8.xml?ContentType=application/vnd.openxmlformats-officedocument.spreadsheetml.worksheet+xml">
        <DigestMethod Algorithm="http://www.w3.org/2001/04/xmlenc#sha256"/>
        <DigestValue>BfmKl0Zj4xpHGDEonrq3xSzRIGChP2D/OO1J75nFWSU=</DigestValue>
      </Reference>
      <Reference URI="/xl/worksheets/sheet9.xml?ContentType=application/vnd.openxmlformats-officedocument.spreadsheetml.worksheet+xml">
        <DigestMethod Algorithm="http://www.w3.org/2001/04/xmlenc#sha256"/>
        <DigestValue>VuqobayF7X4M5NjrZPfeO7ME2KSZ+3AWvvhTBx9tSDU=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2023-08-14T18:47:58Z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{6BACF563-08FD-44F5-AD47-1E12C17925DA}</SetupID>
          <SignatureText>SSP</SignatureText>
          <SignatureImage/>
          <SignatureComments/>
          <WindowsVersion>10.0</WindowsVersion>
          <OfficeVersion>16.0.16626/25</OfficeVersion>
          <ApplicationVersion>16.0.16626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2023-08-14T18:47:58Z</xd:SigningTime>
          <xd:SigningCertificate>
            <xd:Cert>
              <xd:CertDigest>
                <DigestMethod Algorithm="http://www.w3.org/2001/04/xmlenc#sha256"/>
                <DigestValue>h/KlxldD+181n4MS73/HPbuMmfour1nhJ1WK75hA0aE=</DigestValue>
              </xd:CertDigest>
              <xd:IssuerSerial>
                <X509IssuerName>C=PY, O=DOCUMENTA S.A., SERIALNUMBER=RUC80050172-1, CN=CA-DOCUMENTA S.A.</X509IssuerName>
                <X509SerialNumber>3543914213969848027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  <Object Id="idValidSigLnImg">AQAAAGwAAAAAAAAAAAAAAP8AAAB/AAAAAAAAAAAAAAAjGwAAkQ0AACBFTUYAAAEAIBsAAKoAAAAGAAAAAAAAAAAAAAAAAAAAgAcAADgEAAAJAgAAJQEAAAAAAAAAAAAAAAAAACjzBwCIe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VRXZQXsJ2UHEAAAABAAAAAkAAABMAAAAAAAAAAAAAAAAAAAA//////////9gAAAAMQA0AC8AOAAvADIAMAAyADM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FdlBewnZ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EUAAABHAAAAKQAAADMAAAAdAAAAFQAAACEA8AAAAAAAAAAAAAAAgD8AAAAAAAAAAAAAgD8AAAAAAAAAAAAAAAAAAAAAAAAAAAAAAAAAAAAAAAAAACUAAAAMAAAAAAAAgCgAAAAMAAAABAAAAFIAAABwAQAABAAAAP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EYAAABIAAAAJQAAAAwAAAAEAAAAVAAAAGAAAAAqAAAAMwAAAEQAAABHAAAAAQAAAFUV2UF7CdlBKgAAADMAAAADAAAATAAAAAAAAAAAAAAAAAAAAP//////////VAAAAFMAUwBQAAAACQAAAAkAAAAJ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FoAAABcAAAAAQAAAFUV2UF7CdlBCgAAAFAAAAARAAAATAAAAAAAAAAAAAAAAAAAAP//////////cAAAAEwAaQBjAC4AIABTAGEAZAB5ACAAUABlAHIAZQBpAHIAYQAAAAUAAAADAAAABQAAAAMAAAADAAAABgAAAAYAAAAHAAAABQAAAAMAAAAGAAAABgAAAAQAAAAGAAAAAwAAAAQAAAAG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fAAAAAoAAABgAAAAOgAAAGwAAAABAAAAVRXZQXsJ2UEKAAAAYAAAAAgAAABMAAAAAAAAAAAAAAAAAAAA//////////9cAAAAQwBvAG4AdABhAGQAbwByAAcAAAAHAAAABwAAAAQAAAAGAAAABwAAAAcAAAAEAAAASwAAAEAAAAAwAAAABQAAACAAAAABAAAAAQAAABAAAAAAAAAAAAAAAAABAACAAAAAAAAAAAAAAAAAAQAAgAAAACUAAAAMAAAAAgAAACcAAAAYAAAABQAAAAAAAAD///8AAAAAACUAAAAMAAAABQAAAEwAAABkAAAACQAAAHAAAAC0AAAAfAAAAAkAAABwAAAArAAAAA0AAAAhAPAAAAAAAAAAAAAAAIA/AAAAAAAAAAAAAIA/AAAAAAAAAAAAAAAAAAAAAAAAAAAAAAAAAAAAAAAAAAAlAAAADAAAAAAAAIAoAAAADAAAAAUAAAAlAAAADAAAAAEAAAAYAAAADAAAAAAAAAASAAAADAAAAAEAAAAWAAAADAAAAAAAAABUAAAAAAEAAAoAAABwAAAAswAAAHwAAAABAAAAVRXZQXsJ2UEKAAAAcAAAAB4AAABMAAAABAAAAAkAAABwAAAAtQAAAH0AAACIAAAARgBpAHIAbQBhAGQAbwAgAHAAbwByADoAIABTAEEARABZACAAUwBNAEkARAAgAFAARQBSAEUASQBSAEEABgAAAAMAAAAEAAAACQAAAAYAAAAHAAAABwAAAAMAAAAHAAAABwAAAAQAAAADAAAAAwAAAAYAAAAHAAAACAAAAAUAAAADAAAABgAAAAoAAAADAAAACAAAAAMAAAAGAAAABgAAAAcAAAAGAAAAAwAAAAcAAAAHAAAAFgAAAAwAAAAAAAAAJQAAAAwAAAACAAAADgAAABQAAAAAAAAAEAAAABQAAAA=</Object>
  <Object Id="idInvalidSigLnImg">AQAAAGwAAAAAAAAAAAAAAP8AAAB/AAAAAAAAAAAAAAAjGwAAkQ0AACBFTUYAAAEAoB8AALEAAAAGAAAAAAAAAAAAAAAAAAAAgAcAADgEAAAJAgAAJQEAAAAAAAAAAAAAAAAAACjzBwCIe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LADAAAKAAAAAwAAABcAAAAQAAAACgAAAAMAAAAOAAAADgAAAAAA/wEAAAAAAAAAAAAAgD8AAAAAAAAAAAAAgD8AAAAAAAAAAP///wAAAAAAbAAAADQAAACgAAAAEAMAAA4AAAAOAAAAKAAAAA4AAAAOAAAAAQAgAAMAAAAQAwAAAAAAAAAAAAAAAAAAAAAAAAAA/wAA/wAA/wAAAAAAAAAAAAAAAAAAAB4fH4oYGRluAAAAAAAAAAAODzk9NTfW5gAAAAAAAAAAAAAAAAAAAAA7Pe3/AAAAAAAAAAAAAAAAOjs7pjg6Ov84Ojr/CwsLMQAAAAAODzk9NTfW5gAAAAAAAAAAOz3t/wAAAAAAAAAAAAAAAAAAAAA6Ozumpqen//r6+v9OUFD/kZKS/wAAAAAODzk9NTfW5js97f8AAAAAAAAAAAAAAAAAAAAAAAAAADo7O6amp6f/+vr6//r6+v/6+vr/rKysrwAAAAA7Pe3/NTfW5gAAAAAAAAAAAAAAAAAAAAAAAAAAOjs7pqanp//6+vr/+vr6/zw8PD0AAAAAOz3t/wAAAAAODzk9NTfW5gAAAAAAAAAAAAAAAAAAAAA6Ozumpqen//r6+v88PDw9AAAAADs97f8AAAAAAAAAAAAAAAAODzk9NTfW5gAAAAAAAAAAAAAAADo7O6aRkpL/ODo6/zg6Ov8SEhJRAAAAAAAAAAAAAAAAAAAAAAAAAAAAAAAAAAAAAAAAAAAAAAAAOjs7pk5QUP/6+vr/+vr6/6+vr/E7Ozt7SUtLzAAAAAAAAAAAAAAAAAAAAAAAAAAAAAAAAAAAAABFR0f2+vr6//r6+v/6+vr/+vr6//r6+v9ISkr4CwsLMQAAAAAAAAAAAAAAAAAAAAAAAAAAGBkZboiJifb6+vr/+vr6//r6+v/6+vr/+vr6/6anp/8eHx+KAAAAAAAAAAAAAAAAAAAAAAAAAAAYGRluiImJ9vr6+v/6+vr/+vr6//r6+v/6+vr/pqen/x4fH4oAAAAAAAAAAAAAAAAAAAAAAAAAAAsLCzFISkr4+vr6//r6+v/6+vr/+vr6//r6+v9dXl72EhISUQAAAAAAAAAAAAAAAAAAAAAAAAAAAAAAAB4fH4pmZ2f/+vr6//r6+v/6+vr/e319/zk7O7sAAAAAAAAAAAAAAAAAAAAAAAAAAAAAAAAAAAAAAAAAABgZGW44Ojr/ODo6/zg6Ov8eHx+K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RXZQXsJ2UEjAAAABAAAAA8AAABMAAAAAAAAAAAAAAAAAAAA//////////9sAAAARgBpAHIAbQBhACAAbgBvACAAdgDhAGwAaQBkAGEA/QI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FdlBewnZQQoAAABLAAAAAQAAAEwAAAAEAAAACQAAACcAAAAgAAAASwAAAFAAAABYAAcw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EUAAABHAAAAKQAAADMAAAAdAAAAFQAAACEA8AAAAAAAAAAAAAAAgD8AAAAAAAAAAAAAgD8AAAAAAAAAAAAAAAAAAAAAAAAAAAAAAAAAAAAAAAAAACUAAAAMAAAAAAAAgCgAAAAMAAAABAAAAFIAAABwAQAABAAAAP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EYAAABIAAAAJQAAAAwAAAAEAAAAVAAAAGAAAAAqAAAAMwAAAEQAAABHAAAAAQAAAFUV2UF7CdlBKgAAADMAAAADAAAATAAAAAAAAAAAAAAAAAAAAP//////////VAAAAFMAUwBQACARCQAAAAkAAAAJ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FoAAABcAAAAAQAAAFUV2UF7CdlBCgAAAFAAAAARAAAATAAAAAAAAAAAAAAAAAAAAP//////////cAAAAEwAaQBjAC4AIABTAGEAZAB5ACAAUABlAHIAZQBpAHIAYQBCpgUAAAADAAAABQAAAAMAAAADAAAABgAAAAYAAAAHAAAABQAAAAMAAAAGAAAABgAAAAQAAAAGAAAAAwAAAAQAAAAG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fAAAAAoAAABgAAAAOgAAAGwAAAABAAAAVRXZQXsJ2UEKAAAAYAAAAAgAAABMAAAAAAAAAAAAAAAAAAAA//////////9cAAAAQwBvAG4AdABhAGQAbwByAAcAAAAHAAAABwAAAAQAAAAGAAAABwAAAAcAAAAEAAAASwAAAEAAAAAwAAAABQAAACAAAAABAAAAAQAAABAAAAAAAAAAAAAAAAABAACAAAAAAAAAAAAAAAAAAQAAgAAAACUAAAAMAAAAAgAAACcAAAAYAAAABQAAAAAAAAD///8AAAAAACUAAAAMAAAABQAAAEwAAABkAAAACQAAAHAAAAC0AAAAfAAAAAkAAABwAAAArAAAAA0AAAAhAPAAAAAAAAAAAAAAAIA/AAAAAAAAAAAAAIA/AAAAAAAAAAAAAAAAAAAAAAAAAAAAAAAAAAAAAAAAAAAlAAAADAAAAAAAAIAoAAAADAAAAAUAAAAlAAAADAAAAAEAAAAYAAAADAAAAAAAAAASAAAADAAAAAEAAAAWAAAADAAAAAAAAABUAAAAAAEAAAoAAABwAAAAswAAAHwAAAABAAAAVRXZQXsJ2UEKAAAAcAAAAB4AAABMAAAABAAAAAkAAABwAAAAtQAAAH0AAACIAAAARgBpAHIAbQBhAGQAbwAgAHAAbwByADoAIABTAEEARABZACAAUwBNAEkARAAgAFAARQBSAEUASQBSAEEABgAAAAMAAAAEAAAACQAAAAYAAAAHAAAABwAAAAMAAAAHAAAABwAAAAQAAAADAAAAAwAAAAYAAAAHAAAACAAAAAUAAAADAAAABgAAAAoAAAADAAAACAAAAAMAAAAGAAAABgAAAAcAAAAGAAAAAwAAAAcAAAAHAAAAFgAAAAwAAAAAAAAAJQAAAAwAAAACAAAADgAAABQAAAAAAAAAEAAAABQAAAA=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50FAB82A064840B3390B60CECA3841" ma:contentTypeVersion="11" ma:contentTypeDescription="Crear nuevo documento." ma:contentTypeScope="" ma:versionID="9393c621ceecc77d47359c8ce00bcb37">
  <xsd:schema xmlns:xsd="http://www.w3.org/2001/XMLSchema" xmlns:xs="http://www.w3.org/2001/XMLSchema" xmlns:p="http://schemas.microsoft.com/office/2006/metadata/properties" xmlns:ns2="1d025c69-cacd-4a26-a028-87310afd6588" xmlns:ns3="bf264415-dbab-4ab6-8a3b-df2e1b39779d" targetNamespace="http://schemas.microsoft.com/office/2006/metadata/properties" ma:root="true" ma:fieldsID="6a314d42c387cf4129ca7c64fc2f4300" ns2:_="" ns3:_="">
    <xsd:import namespace="1d025c69-cacd-4a26-a028-87310afd6588"/>
    <xsd:import namespace="bf264415-dbab-4ab6-8a3b-df2e1b3977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25c69-cacd-4a26-a028-87310afd65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f2eb1a2e-ee57-4f6c-ab4c-41fc3cafe0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64415-dbab-4ab6-8a3b-df2e1b39779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9e41fa1-5940-4d5a-a9ef-a4b976337b64}" ma:internalName="TaxCatchAll" ma:showField="CatchAllData" ma:web="bf264415-dbab-4ab6-8a3b-df2e1b3977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264415-dbab-4ab6-8a3b-df2e1b39779d" xsi:nil="true"/>
    <lcf76f155ced4ddcb4097134ff3c332f xmlns="1d025c69-cacd-4a26-a028-87310afd6588">
      <Terms xmlns="http://schemas.microsoft.com/office/infopath/2007/PartnerControls"/>
    </lcf76f155ced4ddcb4097134ff3c332f>
    <SharedWithUsers xmlns="bf264415-dbab-4ab6-8a3b-df2e1b39779d">
      <UserInfo>
        <DisplayName>Integrantes de la Directores</DisplayName>
        <AccountId>20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3B7C1D5-FC64-412F-9A5A-589FA5660AD5}"/>
</file>

<file path=customXml/itemProps2.xml><?xml version="1.0" encoding="utf-8"?>
<ds:datastoreItem xmlns:ds="http://schemas.openxmlformats.org/officeDocument/2006/customXml" ds:itemID="{91C2A02F-E5DC-4536-B2BD-9DB86097EC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A1C0B-31B0-49EE-8F31-539D6262B0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1</vt:i4>
      </vt:variant>
    </vt:vector>
  </HeadingPairs>
  <TitlesOfParts>
    <vt:vector size="31" baseType="lpstr">
      <vt:lpstr>Balance Gral 2022</vt:lpstr>
      <vt:lpstr>EERR al 2022</vt:lpstr>
      <vt:lpstr>INDICE</vt:lpstr>
      <vt:lpstr>INFORMAC GRAL DE LA EMP</vt:lpstr>
      <vt:lpstr>BALANCE GRAL</vt:lpstr>
      <vt:lpstr>ESTADOS DE RESULTADOS </vt:lpstr>
      <vt:lpstr>Flujo de TP Calculo DIC</vt:lpstr>
      <vt:lpstr>FLUJO DE EFECTIVO</vt:lpstr>
      <vt:lpstr>ESTADO DE VARIAC PN</vt:lpstr>
      <vt:lpstr>NOTAS A LOS ESTADOS CONTA. 1-4</vt:lpstr>
      <vt:lpstr>NOTA 5 A-C CRITERIOS ESPECIF.</vt:lpstr>
      <vt:lpstr>NOTA D - DISPONIBILIDADES</vt:lpstr>
      <vt:lpstr>NOTA E - INVERSIONES</vt:lpstr>
      <vt:lpstr>NOTA F - CREDITOS</vt:lpstr>
      <vt:lpstr>NOTA G BIENES DE USO</vt:lpstr>
      <vt:lpstr>NOTA H CARGOS DIFERIDOS</vt:lpstr>
      <vt:lpstr> NOTA I INTANGIBLES</vt:lpstr>
      <vt:lpstr>NOTA J OTROS ACTIVOS CTES y NO </vt:lpstr>
      <vt:lpstr>NOTA K PRESTAMOS</vt:lpstr>
      <vt:lpstr>NOTA L ACREED VARIOS</vt:lpstr>
      <vt:lpstr>NOTAS M-Q ACREED y CTAS A PAG</vt:lpstr>
      <vt:lpstr>NOTA R SALDOS Y TRANSACC</vt:lpstr>
      <vt:lpstr>NOTA S RESULTADOS CON PERS</vt:lpstr>
      <vt:lpstr> NOTA T PATRIMONIO Y PREVIS</vt:lpstr>
      <vt:lpstr>NOTA V INGRESOS OPERATIVOS</vt:lpstr>
      <vt:lpstr>NOTA W OTROS GASTOS OPER</vt:lpstr>
      <vt:lpstr>NOTA X OTROS INGRESOS Y EGR</vt:lpstr>
      <vt:lpstr>NOTA Y RESULTADOS FINANC</vt:lpstr>
      <vt:lpstr>NOTA Z RESULT EXTRA</vt:lpstr>
      <vt:lpstr>NOTA 6 11 INFORMACIONES</vt:lpstr>
      <vt:lpstr>'Flujo de TP Calculo DIC'!Área_de_impresión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Giuseppe Saurini</cp:lastModifiedBy>
  <cp:revision/>
  <cp:lastPrinted>2022-08-22T21:21:10Z</cp:lastPrinted>
  <dcterms:created xsi:type="dcterms:W3CDTF">2019-11-21T14:06:50Z</dcterms:created>
  <dcterms:modified xsi:type="dcterms:W3CDTF">2023-08-14T16:47:04Z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0x0101004B50FAB82A064840B3390B60CECA3841</vt:lpwstr>
  </property>
  <property fmtid="{D5CDD505-2E9C-101B-9397-08002B2CF9AE}" pid="3" name="MediaServiceImageTags">
    <vt:lpwstr/>
  </property>
</Properties>
</file>