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 - Inpositiva\10.Investor SA\Contabilidad\CNV_EEFF_Informes\2022\CNV_Informes\09.2022\"/>
    </mc:Choice>
  </mc:AlternateContent>
  <xr:revisionPtr revIDLastSave="0" documentId="13_ncr:201_{B637BD4C-97F2-49D9-B621-AD9DAD460B36}" xr6:coauthVersionLast="47" xr6:coauthVersionMax="47" xr10:uidLastSave="{00000000-0000-0000-0000-000000000000}"/>
  <workbookProtection workbookAlgorithmName="SHA-512" workbookHashValue="NnA70U3Wvd6XPkD7bALGU7dJZvnWjsbIK6vW7fIfCinGLwOS07dABQFyPmLOUHUmgVBhej34v6xc5Eei/EBGQA==" workbookSaltValue="ivrOeFh4WuwM8rtFYsCGDA==" workbookSpinCount="100000" lockStructure="1"/>
  <bookViews>
    <workbookView xWindow="-108" yWindow="-108" windowWidth="23256" windowHeight="12576" tabRatio="870" activeTab="2" xr2:uid="{00000000-000D-0000-FFFF-FFFF00000000}"/>
  </bookViews>
  <sheets>
    <sheet name="Indice" sheetId="33" r:id="rId1"/>
    <sheet name="I.Infomac Gral Emp " sheetId="41" r:id="rId2"/>
    <sheet name="Balance Gral. Resol. 30" sheetId="1" r:id="rId3"/>
    <sheet name="Estado de Resultado Resol. 30" sheetId="2" r:id="rId4"/>
    <sheet name="Flujo de Efectivo Resol. Res 30" sheetId="34" r:id="rId5"/>
    <sheet name="Estado de Variacion PN " sheetId="35" r:id="rId6"/>
    <sheet name=" Flujo de Fondos Calculo INVEST" sheetId="39" state="hidden" r:id="rId7"/>
    <sheet name="NOTA A LOS ESTADOS CONTA. 1-4" sheetId="36" r:id="rId8"/>
    <sheet name="NOTA 5 A-C CRITERIOS ESPECIF." sheetId="37" r:id="rId9"/>
    <sheet name="NOTA D - DISPONIBILIDADES" sheetId="7" r:id="rId10"/>
    <sheet name="NOTA E - INVERSIONES TEMP Y PER" sheetId="40" r:id="rId11"/>
    <sheet name="NOTA F - CREDITOS" sheetId="9" r:id="rId12"/>
    <sheet name="NOTA G BIENES DE USO" sheetId="11" r:id="rId13"/>
    <sheet name="NOTA H CARGOS DIFERIDOS" sheetId="13" r:id="rId14"/>
    <sheet name=" NOTA I INTANGIBLES" sheetId="14" r:id="rId15"/>
    <sheet name="NOTA J OTROS ACTIVOS CTES y NO " sheetId="15" r:id="rId16"/>
    <sheet name="NOTA K PRESTAMOS" sheetId="17" r:id="rId17"/>
    <sheet name="NOTA L DOCUM y CTAS A PAG" sheetId="18" r:id="rId18"/>
    <sheet name="NOTAS M-Q ACREED y CTAS A PAG" sheetId="16" r:id="rId19"/>
    <sheet name="NOTA R SALDOS Y TRANSACC" sheetId="42" r:id="rId20"/>
    <sheet name="NOTA S RESULTADOS CON PERS" sheetId="21" r:id="rId21"/>
    <sheet name=" NOTA T PATRIMONIO Y PREVIS" sheetId="22" r:id="rId22"/>
    <sheet name="NOTA V INGRESOS OPERATIVOS" sheetId="23" r:id="rId23"/>
    <sheet name="NOTA W OTROS GASTOS OPER" sheetId="24" r:id="rId24"/>
    <sheet name="NOTA X OTROS INGRESOS Y EGR" sheetId="25" r:id="rId25"/>
    <sheet name="NOTA Y RESULTADOS FINANC" sheetId="27" r:id="rId26"/>
    <sheet name="NOTA Z RESULT EXTRA" sheetId="28" r:id="rId27"/>
    <sheet name="NOTA 6 INFORMACION REFERENTE" sheetId="26" r:id="rId28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2" hidden="1">'Balance Gral. Resol. 30'!$B$8:$K$8</definedName>
    <definedName name="_xlnm._FilterDatabase" localSheetId="3" hidden="1">'Estado de Resultado Resol. 30'!$B$50:$E$84</definedName>
    <definedName name="_xlnm._FilterDatabase" localSheetId="1" hidden="1">'I.Infomac Gral Emp '!$A$54:$K$144</definedName>
    <definedName name="_xlnm._FilterDatabase" localSheetId="9" hidden="1">'NOTA D - DISPONIBILIDADES'!$B$8:$D$70</definedName>
    <definedName name="_xlnm._FilterDatabase" localSheetId="10" hidden="1">'NOTA E - INVERSIONES TEMP Y PER'!$B$8:$K$94</definedName>
    <definedName name="_xlnm._FilterDatabase" localSheetId="19" hidden="1">'NOTA R SALDOS Y TRANSACC'!$B$6:$H$21</definedName>
    <definedName name="_MON_1268749014" localSheetId="8">#N/A</definedName>
    <definedName name="a" localSheetId="6">#REF!</definedName>
    <definedName name="a" localSheetId="5">#N/A</definedName>
    <definedName name="a" localSheetId="4">#N/A</definedName>
    <definedName name="a" localSheetId="8">#N/A</definedName>
    <definedName name="a" localSheetId="7">#N/A</definedName>
    <definedName name="a">#N/A</definedName>
    <definedName name="aa" localSheetId="6">#REF!</definedName>
    <definedName name="aa" localSheetId="5">#N/A</definedName>
    <definedName name="aa" localSheetId="4">#N/A</definedName>
    <definedName name="aa" localSheetId="8">#N/A</definedName>
    <definedName name="aa" localSheetId="7">#N/A</definedName>
    <definedName name="aa">#N/A</definedName>
    <definedName name="_xlnm.Print_Area" localSheetId="6">' Flujo de Fondos Calculo INVEST'!$A$59:$E$91</definedName>
    <definedName name="_xlnm.Print_Area" localSheetId="2">#N/A</definedName>
    <definedName name="_xlnm.Print_Area" localSheetId="3">#N/A</definedName>
    <definedName name="_xlnm.Print_Area" localSheetId="23">#N/A</definedName>
    <definedName name="Broker" localSheetId="19">#REF!</definedName>
    <definedName name="Broker">#REF!</definedName>
    <definedName name="BuiltIn_Print_Area" localSheetId="6">#N/A</definedName>
    <definedName name="BuiltIn_Print_Area" localSheetId="1">[1]anexos!#REF!</definedName>
    <definedName name="BuiltIn_Print_Area" localSheetId="19">[1]anexos!#REF!</definedName>
    <definedName name="BuiltIn_Print_Area">[1]anexos!#REF!</definedName>
    <definedName name="BuiltIn_Print_Area___0" localSheetId="6">#N/A</definedName>
    <definedName name="BuiltIn_Print_Area___0" localSheetId="1">'[1]Balance General Resol 950'!#REF!</definedName>
    <definedName name="BuiltIn_Print_Area___0">'[1]Balance General Resol 950'!#REF!</definedName>
    <definedName name="BuiltIn_Print_Area___0___0" localSheetId="6">#REF!</definedName>
    <definedName name="BuiltIn_Print_Area___0___0" localSheetId="5">#N/A</definedName>
    <definedName name="BuiltIn_Print_Area___0___0" localSheetId="4">#N/A</definedName>
    <definedName name="BuiltIn_Print_Area___0___0" localSheetId="8">#N/A</definedName>
    <definedName name="BuiltIn_Print_Area___0___0" localSheetId="7">#N/A</definedName>
    <definedName name="BuiltIn_Print_Area___0___0">#N/A</definedName>
    <definedName name="BuiltIn_Print_Area___0___0___0___0" localSheetId="6">'[2]Flujos de efectivo'!#REF!</definedName>
    <definedName name="BuiltIn_Print_Area___0___0___0___0" localSheetId="1">'[3]Flujos de efectivo'!#REF!</definedName>
    <definedName name="BuiltIn_Print_Area___0___0___0___0">'[3]Flujos de efectivo'!#REF!</definedName>
    <definedName name="BuiltIn_Print_Area___0___0___0___0___0" localSheetId="6">#REF!</definedName>
    <definedName name="BuiltIn_Print_Area___0___0___0___0___0" localSheetId="5">#N/A</definedName>
    <definedName name="BuiltIn_Print_Area___0___0___0___0___0" localSheetId="4">#N/A</definedName>
    <definedName name="BuiltIn_Print_Area___0___0___0___0___0" localSheetId="8">#N/A</definedName>
    <definedName name="BuiltIn_Print_Area___0___0___0___0___0" localSheetId="7">#N/A</definedName>
    <definedName name="BuiltIn_Print_Area___0___0___0___0___0">#N/A</definedName>
    <definedName name="Clientes" localSheetId="6">#REF!</definedName>
    <definedName name="Clientes" localSheetId="5">#N/A</definedName>
    <definedName name="Clientes" localSheetId="4">#N/A</definedName>
    <definedName name="Clientes" localSheetId="8">#N/A</definedName>
    <definedName name="Clientes" localSheetId="7">#N/A</definedName>
    <definedName name="Clientes">#N/A</definedName>
    <definedName name="DATA16" localSheetId="6">#REF!</definedName>
    <definedName name="DATA16" localSheetId="5">#N/A</definedName>
    <definedName name="DATA16" localSheetId="4">#N/A</definedName>
    <definedName name="DATA16" localSheetId="8">#N/A</definedName>
    <definedName name="DATA16" localSheetId="7">#N/A</definedName>
    <definedName name="DATA16">#N/A</definedName>
    <definedName name="DATA17" localSheetId="6">#REF!</definedName>
    <definedName name="DATA17" localSheetId="5">#N/A</definedName>
    <definedName name="DATA17" localSheetId="4">#N/A</definedName>
    <definedName name="DATA17" localSheetId="8">#N/A</definedName>
    <definedName name="DATA17" localSheetId="7">#N/A</definedName>
    <definedName name="DATA17">#N/A</definedName>
    <definedName name="DATA18" localSheetId="6">#REF!</definedName>
    <definedName name="DATA18" localSheetId="5">#N/A</definedName>
    <definedName name="DATA18" localSheetId="4">#N/A</definedName>
    <definedName name="DATA18" localSheetId="8">#N/A</definedName>
    <definedName name="DATA18" localSheetId="7">#N/A</definedName>
    <definedName name="DATA18">#N/A</definedName>
    <definedName name="DATA20" localSheetId="6">#REF!</definedName>
    <definedName name="DATA20" localSheetId="5">#N/A</definedName>
    <definedName name="DATA20" localSheetId="4">#N/A</definedName>
    <definedName name="DATA20" localSheetId="8">#N/A</definedName>
    <definedName name="DATA20" localSheetId="7">#N/A</definedName>
    <definedName name="DATA20">#N/A</definedName>
    <definedName name="datos" localSheetId="6">#REF!</definedName>
    <definedName name="datos" localSheetId="5">#N/A</definedName>
    <definedName name="datos" localSheetId="4">#N/A</definedName>
    <definedName name="datos" localSheetId="8">#N/A</definedName>
    <definedName name="datos" localSheetId="7">#N/A</definedName>
    <definedName name="datos">#N/A</definedName>
    <definedName name="k" localSheetId="6">#REF!</definedName>
    <definedName name="k" localSheetId="5">#N/A</definedName>
    <definedName name="k" localSheetId="4">#N/A</definedName>
    <definedName name="k" localSheetId="8">#N/A</definedName>
    <definedName name="k" localSheetId="7">#N/A</definedName>
    <definedName name="k">#N/A</definedName>
    <definedName name="klkl" localSheetId="6">#REF!</definedName>
    <definedName name="klkl" localSheetId="5">#N/A</definedName>
    <definedName name="klkl" localSheetId="4">#N/A</definedName>
    <definedName name="klkl" localSheetId="8">#N/A</definedName>
    <definedName name="klkl" localSheetId="7">#N/A</definedName>
    <definedName name="klkl">#N/A</definedName>
    <definedName name="klll" localSheetId="6">#REF!</definedName>
    <definedName name="klll" localSheetId="5">#N/A</definedName>
    <definedName name="klll" localSheetId="4">#N/A</definedName>
    <definedName name="klll" localSheetId="8">#N/A</definedName>
    <definedName name="klll" localSheetId="7">#N/A</definedName>
    <definedName name="klll">#N/A</definedName>
    <definedName name="ver" localSheetId="6">#REF!</definedName>
    <definedName name="ver" localSheetId="5">#N/A</definedName>
    <definedName name="ver" localSheetId="4">#N/A</definedName>
    <definedName name="ver" localSheetId="8">#N/A</definedName>
    <definedName name="ver" localSheetId="7">#N/A</definedName>
    <definedName name="ver">#N/A</definedName>
    <definedName name="verificar" localSheetId="6">#REF!</definedName>
    <definedName name="verificar" localSheetId="5">#N/A</definedName>
    <definedName name="verificar" localSheetId="4">#N/A</definedName>
    <definedName name="verificar" localSheetId="8">#N/A</definedName>
    <definedName name="verificar" localSheetId="7">#N/A</definedName>
    <definedName name="verificar">#N/A</definedName>
    <definedName name="zz" localSheetId="1">#REF!</definedName>
    <definedName name="zz" localSheetId="19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8" i="40" l="1"/>
  <c r="F99" i="40"/>
  <c r="F100" i="40"/>
  <c r="F101" i="40"/>
  <c r="F103" i="40"/>
  <c r="F97" i="40"/>
  <c r="F9" i="40"/>
  <c r="F62" i="40"/>
  <c r="E9" i="40"/>
  <c r="G61" i="40"/>
  <c r="G60" i="40"/>
  <c r="F61" i="40"/>
  <c r="F60" i="40"/>
  <c r="E61" i="40"/>
  <c r="E60" i="40"/>
  <c r="G39" i="40"/>
  <c r="G40" i="40"/>
  <c r="G45" i="40"/>
  <c r="F24" i="40"/>
  <c r="G24" i="40" s="1"/>
  <c r="F25" i="40"/>
  <c r="G25" i="40" s="1"/>
  <c r="F26" i="40"/>
  <c r="G26" i="40" s="1"/>
  <c r="F27" i="40"/>
  <c r="G27" i="40" s="1"/>
  <c r="F28" i="40"/>
  <c r="G28" i="40" s="1"/>
  <c r="F29" i="40"/>
  <c r="G29" i="40" s="1"/>
  <c r="F30" i="40"/>
  <c r="G30" i="40" s="1"/>
  <c r="F31" i="40"/>
  <c r="G31" i="40" s="1"/>
  <c r="F32" i="40"/>
  <c r="G32" i="40" s="1"/>
  <c r="F33" i="40"/>
  <c r="G33" i="40" s="1"/>
  <c r="F34" i="40"/>
  <c r="G34" i="40" s="1"/>
  <c r="F35" i="40"/>
  <c r="G35" i="40" s="1"/>
  <c r="F36" i="40"/>
  <c r="G36" i="40" s="1"/>
  <c r="F37" i="40"/>
  <c r="G37" i="40" s="1"/>
  <c r="F38" i="40"/>
  <c r="G38" i="40" s="1"/>
  <c r="F39" i="40"/>
  <c r="F40" i="40"/>
  <c r="F41" i="40"/>
  <c r="G41" i="40" s="1"/>
  <c r="F42" i="40"/>
  <c r="G42" i="40" s="1"/>
  <c r="F43" i="40"/>
  <c r="G43" i="40" s="1"/>
  <c r="F44" i="40"/>
  <c r="G44" i="40" s="1"/>
  <c r="F45" i="40"/>
  <c r="F46" i="40"/>
  <c r="G46" i="40" s="1"/>
  <c r="F47" i="40"/>
  <c r="G47" i="40" s="1"/>
  <c r="F48" i="40"/>
  <c r="G48" i="40" s="1"/>
  <c r="F49" i="40"/>
  <c r="G49" i="40" s="1"/>
  <c r="F50" i="40"/>
  <c r="G50" i="40" s="1"/>
  <c r="F51" i="40"/>
  <c r="G51" i="40" s="1"/>
  <c r="F52" i="40"/>
  <c r="G52" i="40" s="1"/>
  <c r="F53" i="40"/>
  <c r="G53" i="40" s="1"/>
  <c r="F54" i="40"/>
  <c r="G54" i="40" s="1"/>
  <c r="F55" i="40"/>
  <c r="G55" i="40" s="1"/>
  <c r="F56" i="40"/>
  <c r="G56" i="40" s="1"/>
  <c r="F57" i="40"/>
  <c r="G57" i="40" s="1"/>
  <c r="F58" i="40"/>
  <c r="G58" i="40" s="1"/>
  <c r="F11" i="40"/>
  <c r="F12" i="40"/>
  <c r="F13" i="40"/>
  <c r="F14" i="40"/>
  <c r="F15" i="40"/>
  <c r="F16" i="40"/>
  <c r="F17" i="40"/>
  <c r="F18" i="40"/>
  <c r="F19" i="40"/>
  <c r="F20" i="40"/>
  <c r="F21" i="40"/>
  <c r="F22" i="40"/>
  <c r="F10" i="40"/>
  <c r="C16" i="28"/>
  <c r="C15" i="28"/>
  <c r="C9" i="28"/>
  <c r="C13" i="28"/>
  <c r="D52" i="24"/>
  <c r="C52" i="24"/>
  <c r="C12" i="23"/>
  <c r="C11" i="23"/>
  <c r="C13" i="23"/>
  <c r="C14" i="23"/>
  <c r="C15" i="23"/>
  <c r="B13" i="22"/>
  <c r="B12" i="22"/>
  <c r="B26" i="21"/>
  <c r="H7" i="42"/>
  <c r="H8" i="42"/>
  <c r="H9" i="42"/>
  <c r="H13" i="42"/>
  <c r="G20" i="42"/>
  <c r="H21" i="42"/>
  <c r="C42" i="16"/>
  <c r="C41" i="16"/>
  <c r="C39" i="16"/>
  <c r="C30" i="16"/>
  <c r="C7" i="18"/>
  <c r="C12" i="18"/>
  <c r="C11" i="18"/>
  <c r="C10" i="18"/>
  <c r="C9" i="18"/>
  <c r="C8" i="18"/>
  <c r="C61" i="17"/>
  <c r="C45" i="17"/>
  <c r="C25" i="17" s="1"/>
  <c r="C54" i="17"/>
  <c r="C53" i="17"/>
  <c r="C10" i="17"/>
  <c r="C18" i="17"/>
  <c r="C17" i="17"/>
  <c r="C46" i="17"/>
  <c r="D10" i="14"/>
  <c r="F10" i="13"/>
  <c r="F9" i="13"/>
  <c r="F8" i="13"/>
  <c r="M14" i="11"/>
  <c r="M15" i="11"/>
  <c r="M16" i="11"/>
  <c r="M17" i="11"/>
  <c r="M18" i="11"/>
  <c r="M19" i="11"/>
  <c r="M13" i="11"/>
  <c r="G20" i="11"/>
  <c r="G14" i="11"/>
  <c r="G15" i="11"/>
  <c r="G16" i="11"/>
  <c r="G17" i="11"/>
  <c r="G18" i="11"/>
  <c r="G19" i="11"/>
  <c r="G13" i="11"/>
  <c r="D14" i="11"/>
  <c r="D15" i="11"/>
  <c r="D16" i="11"/>
  <c r="D17" i="11"/>
  <c r="D18" i="11"/>
  <c r="D19" i="11"/>
  <c r="D13" i="11"/>
  <c r="L14" i="11"/>
  <c r="L15" i="11"/>
  <c r="L16" i="11"/>
  <c r="L17" i="11"/>
  <c r="L18" i="11"/>
  <c r="L19" i="11"/>
  <c r="L20" i="11"/>
  <c r="L13" i="11"/>
  <c r="C19" i="11"/>
  <c r="C18" i="11"/>
  <c r="C17" i="11"/>
  <c r="C16" i="11"/>
  <c r="C15" i="11"/>
  <c r="C14" i="11"/>
  <c r="C13" i="11"/>
  <c r="C40" i="9"/>
  <c r="C25" i="9"/>
  <c r="C24" i="9"/>
  <c r="C23" i="9"/>
  <c r="C22" i="9"/>
  <c r="C21" i="9"/>
  <c r="C20" i="9"/>
  <c r="C13" i="9"/>
  <c r="C12" i="9"/>
  <c r="C11" i="9"/>
  <c r="C21" i="11" l="1"/>
  <c r="D103" i="40"/>
  <c r="E101" i="40"/>
  <c r="D101" i="40" s="1"/>
  <c r="E98" i="40"/>
  <c r="C58" i="7" l="1"/>
  <c r="C63" i="7"/>
  <c r="C72" i="7" s="1"/>
  <c r="C27" i="7"/>
  <c r="B47" i="39" l="1"/>
  <c r="B41" i="39"/>
  <c r="B40" i="39"/>
  <c r="B51" i="39"/>
  <c r="B50" i="39"/>
  <c r="B46" i="39"/>
  <c r="B45" i="39"/>
  <c r="B44" i="39"/>
  <c r="K26" i="35"/>
  <c r="E43" i="2"/>
  <c r="K32" i="35" l="1"/>
  <c r="D87" i="2" l="1"/>
  <c r="D86" i="2" s="1"/>
  <c r="D41" i="2"/>
  <c r="G15" i="2"/>
  <c r="G14" i="2"/>
  <c r="H11" i="2"/>
  <c r="G11" i="2"/>
  <c r="D97" i="2"/>
  <c r="D96" i="2"/>
  <c r="D94" i="2"/>
  <c r="D93" i="2"/>
  <c r="D100" i="2"/>
  <c r="D101" i="2"/>
  <c r="D48" i="2"/>
  <c r="D42" i="2"/>
  <c r="D37" i="2"/>
  <c r="D27" i="2"/>
  <c r="D28" i="2"/>
  <c r="D26" i="2"/>
  <c r="D14" i="2"/>
  <c r="H15" i="2" l="1"/>
  <c r="H16" i="2" s="1"/>
  <c r="D50" i="24"/>
  <c r="D51" i="24"/>
  <c r="C51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C12" i="22"/>
  <c r="C13" i="22"/>
  <c r="C11" i="22"/>
  <c r="C8" i="22"/>
  <c r="C9" i="22"/>
  <c r="C10" i="22"/>
  <c r="C7" i="22"/>
  <c r="C13" i="18" l="1"/>
  <c r="B22" i="17"/>
  <c r="B21" i="17"/>
  <c r="C42" i="9"/>
  <c r="J98" i="40"/>
  <c r="E34" i="11" l="1"/>
  <c r="C43" i="16"/>
  <c r="D98" i="40"/>
  <c r="G94" i="40"/>
  <c r="G104" i="40" s="1"/>
  <c r="F23" i="40"/>
  <c r="E66" i="40"/>
  <c r="D66" i="40"/>
  <c r="E97" i="40"/>
  <c r="G97" i="40" s="1"/>
  <c r="D9" i="40"/>
  <c r="D94" i="40" l="1"/>
  <c r="F66" i="40"/>
  <c r="E94" i="40"/>
  <c r="F94" i="40" l="1"/>
  <c r="C70" i="7" l="1"/>
  <c r="C20" i="17" l="1"/>
  <c r="C8" i="17" s="1"/>
  <c r="K27" i="35"/>
  <c r="E7" i="34"/>
  <c r="E95" i="37"/>
  <c r="E84" i="2"/>
  <c r="E107" i="2" s="1"/>
  <c r="E111" i="2" s="1"/>
  <c r="E10" i="2" l="1"/>
  <c r="D67" i="1" l="1"/>
  <c r="C40" i="39" l="1"/>
  <c r="D24" i="39" l="1"/>
  <c r="D54" i="34"/>
  <c r="D15" i="39"/>
  <c r="E26" i="39"/>
  <c r="E17" i="39"/>
  <c r="E31" i="39"/>
  <c r="E37" i="39"/>
  <c r="E35" i="39"/>
  <c r="E34" i="39"/>
  <c r="E33" i="39"/>
  <c r="E30" i="39"/>
  <c r="E25" i="39"/>
  <c r="E24" i="39"/>
  <c r="E21" i="39"/>
  <c r="E20" i="39"/>
  <c r="E19" i="39" s="1"/>
  <c r="E18" i="39"/>
  <c r="E16" i="39"/>
  <c r="E15" i="39"/>
  <c r="E12" i="39"/>
  <c r="E13" i="39" s="1"/>
  <c r="E9" i="39"/>
  <c r="C89" i="39" s="1"/>
  <c r="E38" i="39" l="1"/>
  <c r="E22" i="39"/>
  <c r="E23" i="39" s="1"/>
  <c r="E39" i="39" l="1"/>
  <c r="D154" i="41" l="1"/>
  <c r="G153" i="41"/>
  <c r="F153" i="41"/>
  <c r="G152" i="41"/>
  <c r="F152" i="41"/>
  <c r="G151" i="41"/>
  <c r="F151" i="41"/>
  <c r="G150" i="41"/>
  <c r="F150" i="41"/>
  <c r="G149" i="41"/>
  <c r="F149" i="41"/>
  <c r="G148" i="41"/>
  <c r="F148" i="41"/>
  <c r="I143" i="41"/>
  <c r="H143" i="41"/>
  <c r="I142" i="41"/>
  <c r="H142" i="41"/>
  <c r="I141" i="41"/>
  <c r="H141" i="41"/>
  <c r="I140" i="41"/>
  <c r="H140" i="41"/>
  <c r="I139" i="41"/>
  <c r="H139" i="41"/>
  <c r="I138" i="41"/>
  <c r="H138" i="41"/>
  <c r="I137" i="41"/>
  <c r="H137" i="41"/>
  <c r="E137" i="41"/>
  <c r="I136" i="41"/>
  <c r="H136" i="41"/>
  <c r="E136" i="41"/>
  <c r="I135" i="41"/>
  <c r="H135" i="41"/>
  <c r="E135" i="41"/>
  <c r="I134" i="41"/>
  <c r="H134" i="41"/>
  <c r="I133" i="41"/>
  <c r="H133" i="41"/>
  <c r="I132" i="41"/>
  <c r="H132" i="41"/>
  <c r="I131" i="41"/>
  <c r="H131" i="41"/>
  <c r="I130" i="41"/>
  <c r="H130" i="41"/>
  <c r="F129" i="41"/>
  <c r="H129" i="41" s="1"/>
  <c r="F128" i="41"/>
  <c r="I128" i="41" s="1"/>
  <c r="F127" i="41"/>
  <c r="H127" i="41" s="1"/>
  <c r="F126" i="41"/>
  <c r="I126" i="41" s="1"/>
  <c r="F125" i="41"/>
  <c r="H125" i="41" s="1"/>
  <c r="F124" i="41"/>
  <c r="I124" i="41" s="1"/>
  <c r="F123" i="41"/>
  <c r="H123" i="41" s="1"/>
  <c r="F122" i="41"/>
  <c r="I122" i="41" s="1"/>
  <c r="F121" i="41"/>
  <c r="H121" i="41" s="1"/>
  <c r="F120" i="41"/>
  <c r="I120" i="41" s="1"/>
  <c r="F119" i="41"/>
  <c r="H119" i="41" s="1"/>
  <c r="F118" i="41"/>
  <c r="I118" i="41" s="1"/>
  <c r="F117" i="41"/>
  <c r="H117" i="41" s="1"/>
  <c r="F116" i="41"/>
  <c r="I116" i="41" s="1"/>
  <c r="F115" i="41"/>
  <c r="H115" i="41" s="1"/>
  <c r="F114" i="41"/>
  <c r="I114" i="41" s="1"/>
  <c r="F113" i="41"/>
  <c r="H113" i="41" s="1"/>
  <c r="F112" i="41"/>
  <c r="I112" i="41" s="1"/>
  <c r="F107" i="41"/>
  <c r="H107" i="41" s="1"/>
  <c r="E107" i="41"/>
  <c r="D108" i="41" s="1"/>
  <c r="E108" i="41" s="1"/>
  <c r="E103" i="41"/>
  <c r="F103" i="41" s="1"/>
  <c r="E102" i="41"/>
  <c r="F102" i="41" s="1"/>
  <c r="F101" i="41"/>
  <c r="I101" i="41" s="1"/>
  <c r="F100" i="41"/>
  <c r="H100" i="41" s="1"/>
  <c r="F99" i="41"/>
  <c r="I99" i="41" s="1"/>
  <c r="F98" i="41"/>
  <c r="H98" i="41" s="1"/>
  <c r="F97" i="41"/>
  <c r="I97" i="41" s="1"/>
  <c r="F96" i="41"/>
  <c r="I96" i="41" s="1"/>
  <c r="F95" i="41"/>
  <c r="I95" i="41" s="1"/>
  <c r="F94" i="41"/>
  <c r="H94" i="41" s="1"/>
  <c r="F93" i="41"/>
  <c r="I93" i="41" s="1"/>
  <c r="F92" i="41"/>
  <c r="H92" i="41" s="1"/>
  <c r="F91" i="41"/>
  <c r="I91" i="41" s="1"/>
  <c r="F90" i="41"/>
  <c r="I90" i="41" s="1"/>
  <c r="F89" i="41"/>
  <c r="I89" i="41" s="1"/>
  <c r="F88" i="41"/>
  <c r="I88" i="41" s="1"/>
  <c r="F87" i="41"/>
  <c r="I87" i="41" s="1"/>
  <c r="F86" i="41"/>
  <c r="H86" i="41" s="1"/>
  <c r="F85" i="41"/>
  <c r="I85" i="41" s="1"/>
  <c r="F84" i="41"/>
  <c r="H84" i="41" s="1"/>
  <c r="E84" i="41"/>
  <c r="F83" i="41"/>
  <c r="I83" i="41" s="1"/>
  <c r="F82" i="41"/>
  <c r="H82" i="41" s="1"/>
  <c r="F81" i="41"/>
  <c r="I81" i="41" s="1"/>
  <c r="F80" i="41"/>
  <c r="I80" i="41" s="1"/>
  <c r="F79" i="41"/>
  <c r="I79" i="41" s="1"/>
  <c r="F78" i="41"/>
  <c r="H78" i="41" s="1"/>
  <c r="F77" i="41"/>
  <c r="I77" i="41" s="1"/>
  <c r="I76" i="41"/>
  <c r="F76" i="41"/>
  <c r="H76" i="41" s="1"/>
  <c r="F75" i="41"/>
  <c r="I75" i="41" s="1"/>
  <c r="F74" i="41"/>
  <c r="I74" i="41" s="1"/>
  <c r="F73" i="41"/>
  <c r="I73" i="41" s="1"/>
  <c r="F72" i="41"/>
  <c r="I72" i="41" s="1"/>
  <c r="F71" i="41"/>
  <c r="I71" i="41" s="1"/>
  <c r="F70" i="41"/>
  <c r="I70" i="41" s="1"/>
  <c r="F69" i="41"/>
  <c r="I69" i="41" s="1"/>
  <c r="I68" i="41"/>
  <c r="H68" i="41"/>
  <c r="F68" i="41"/>
  <c r="F67" i="41"/>
  <c r="I67" i="41" s="1"/>
  <c r="F66" i="41"/>
  <c r="H66" i="41" s="1"/>
  <c r="F65" i="41"/>
  <c r="I65" i="41" s="1"/>
  <c r="F64" i="41"/>
  <c r="I64" i="41" s="1"/>
  <c r="F63" i="41"/>
  <c r="I63" i="41" s="1"/>
  <c r="F62" i="41"/>
  <c r="I62" i="41" s="1"/>
  <c r="F61" i="41"/>
  <c r="I61" i="41" s="1"/>
  <c r="I60" i="41"/>
  <c r="F60" i="41"/>
  <c r="H60" i="41" s="1"/>
  <c r="F59" i="41"/>
  <c r="I59" i="41" s="1"/>
  <c r="F58" i="41"/>
  <c r="H58" i="41" s="1"/>
  <c r="F57" i="41"/>
  <c r="I57" i="41" s="1"/>
  <c r="F56" i="41"/>
  <c r="I56" i="41" s="1"/>
  <c r="F55" i="41"/>
  <c r="H56" i="41" l="1"/>
  <c r="H72" i="41"/>
  <c r="H64" i="41"/>
  <c r="H80" i="41"/>
  <c r="H99" i="41"/>
  <c r="G154" i="41"/>
  <c r="H151" i="41" s="1"/>
  <c r="H62" i="41"/>
  <c r="H70" i="41"/>
  <c r="H74" i="41"/>
  <c r="H101" i="41"/>
  <c r="I58" i="41"/>
  <c r="I66" i="41"/>
  <c r="I78" i="41"/>
  <c r="I82" i="41"/>
  <c r="H97" i="41"/>
  <c r="F108" i="41"/>
  <c r="D109" i="41"/>
  <c r="E109" i="41" s="1"/>
  <c r="I102" i="41"/>
  <c r="H102" i="41"/>
  <c r="I103" i="41"/>
  <c r="H103" i="41"/>
  <c r="H90" i="41"/>
  <c r="I107" i="41"/>
  <c r="I113" i="41"/>
  <c r="I115" i="41"/>
  <c r="I117" i="41"/>
  <c r="I119" i="41"/>
  <c r="I121" i="41"/>
  <c r="I123" i="41"/>
  <c r="I125" i="41"/>
  <c r="I127" i="41"/>
  <c r="I129" i="41"/>
  <c r="H88" i="41"/>
  <c r="H96" i="41"/>
  <c r="I84" i="41"/>
  <c r="I86" i="41"/>
  <c r="I92" i="41"/>
  <c r="I94" i="41"/>
  <c r="I98" i="41"/>
  <c r="I100" i="41"/>
  <c r="D104" i="41"/>
  <c r="E104" i="41" s="1"/>
  <c r="H112" i="41"/>
  <c r="H114" i="41"/>
  <c r="H116" i="41"/>
  <c r="H118" i="41"/>
  <c r="H120" i="41"/>
  <c r="H122" i="41"/>
  <c r="H124" i="41"/>
  <c r="H126" i="41"/>
  <c r="H128" i="41"/>
  <c r="H55" i="41"/>
  <c r="H57" i="41"/>
  <c r="H59" i="41"/>
  <c r="H61" i="41"/>
  <c r="H63" i="41"/>
  <c r="H65" i="41"/>
  <c r="H67" i="41"/>
  <c r="H69" i="41"/>
  <c r="H71" i="41"/>
  <c r="H73" i="41"/>
  <c r="H75" i="41"/>
  <c r="H77" i="41"/>
  <c r="H79" i="41"/>
  <c r="H81" i="41"/>
  <c r="H83" i="41"/>
  <c r="I55" i="41"/>
  <c r="H85" i="41"/>
  <c r="H87" i="41"/>
  <c r="H89" i="41"/>
  <c r="H91" i="41"/>
  <c r="H93" i="41"/>
  <c r="H95" i="41"/>
  <c r="H150" i="41" l="1"/>
  <c r="H149" i="41"/>
  <c r="H152" i="41"/>
  <c r="H148" i="41"/>
  <c r="H154" i="41" s="1"/>
  <c r="H153" i="41"/>
  <c r="D110" i="41"/>
  <c r="E110" i="41" s="1"/>
  <c r="F109" i="41"/>
  <c r="I108" i="41"/>
  <c r="H108" i="41"/>
  <c r="D105" i="41"/>
  <c r="E105" i="41" s="1"/>
  <c r="F104" i="41"/>
  <c r="I109" i="41" l="1"/>
  <c r="H109" i="41"/>
  <c r="I104" i="41"/>
  <c r="H104" i="41"/>
  <c r="D106" i="41"/>
  <c r="E106" i="41" s="1"/>
  <c r="F106" i="41" s="1"/>
  <c r="F105" i="41"/>
  <c r="D111" i="41"/>
  <c r="E111" i="41" s="1"/>
  <c r="F111" i="41" s="1"/>
  <c r="F110" i="41"/>
  <c r="I105" i="41" l="1"/>
  <c r="H105" i="41"/>
  <c r="I106" i="41"/>
  <c r="H106" i="41"/>
  <c r="F144" i="41"/>
  <c r="I144" i="41"/>
  <c r="H110" i="41"/>
  <c r="H144" i="41" s="1"/>
  <c r="I110" i="41"/>
  <c r="H111" i="41"/>
  <c r="I111" i="41"/>
  <c r="J111" i="41" l="1"/>
  <c r="J106" i="41"/>
  <c r="J133" i="41"/>
  <c r="J141" i="41"/>
  <c r="J136" i="41"/>
  <c r="J134" i="41"/>
  <c r="J138" i="41"/>
  <c r="J142" i="41"/>
  <c r="J88" i="41"/>
  <c r="J56" i="41"/>
  <c r="J62" i="41"/>
  <c r="J71" i="41"/>
  <c r="J137" i="41"/>
  <c r="J59" i="41"/>
  <c r="J131" i="41"/>
  <c r="J95" i="41"/>
  <c r="J97" i="41"/>
  <c r="J120" i="41"/>
  <c r="J72" i="41"/>
  <c r="J60" i="41"/>
  <c r="J96" i="41"/>
  <c r="J68" i="41"/>
  <c r="J66" i="41"/>
  <c r="J75" i="41"/>
  <c r="J67" i="41"/>
  <c r="J140" i="41"/>
  <c r="J85" i="41"/>
  <c r="J143" i="41"/>
  <c r="J69" i="41"/>
  <c r="J101" i="41"/>
  <c r="J93" i="41"/>
  <c r="J114" i="41"/>
  <c r="J80" i="41"/>
  <c r="J70" i="41"/>
  <c r="J130" i="41"/>
  <c r="J83" i="41"/>
  <c r="J135" i="41"/>
  <c r="J79" i="41"/>
  <c r="J81" i="41"/>
  <c r="J77" i="41"/>
  <c r="J116" i="41"/>
  <c r="J58" i="41"/>
  <c r="J63" i="41"/>
  <c r="J61" i="41"/>
  <c r="J122" i="41"/>
  <c r="J57" i="41"/>
  <c r="J74" i="41"/>
  <c r="J99" i="41"/>
  <c r="J90" i="41"/>
  <c r="J64" i="41"/>
  <c r="J91" i="41"/>
  <c r="J73" i="41"/>
  <c r="J78" i="41"/>
  <c r="J76" i="41"/>
  <c r="J87" i="41"/>
  <c r="J118" i="41"/>
  <c r="J124" i="41"/>
  <c r="J112" i="41"/>
  <c r="J139" i="41"/>
  <c r="J128" i="41"/>
  <c r="J82" i="41"/>
  <c r="J65" i="41"/>
  <c r="J132" i="41"/>
  <c r="J89" i="41"/>
  <c r="J126" i="41"/>
  <c r="J100" i="41"/>
  <c r="J119" i="41"/>
  <c r="J94" i="41"/>
  <c r="J113" i="41"/>
  <c r="J115" i="41"/>
  <c r="J107" i="41"/>
  <c r="J102" i="41"/>
  <c r="J86" i="41"/>
  <c r="J117" i="41"/>
  <c r="J121" i="41"/>
  <c r="J84" i="41"/>
  <c r="J98" i="41"/>
  <c r="J127" i="41"/>
  <c r="J125" i="41"/>
  <c r="J123" i="41"/>
  <c r="J129" i="41"/>
  <c r="J103" i="41"/>
  <c r="J92" i="41"/>
  <c r="J55" i="41"/>
  <c r="J108" i="41"/>
  <c r="J104" i="41"/>
  <c r="J109" i="41"/>
  <c r="J110" i="41"/>
  <c r="J105" i="41"/>
  <c r="J144" i="41" l="1"/>
  <c r="C50" i="24" l="1"/>
  <c r="C44" i="16"/>
  <c r="C34" i="16"/>
  <c r="C37" i="16" s="1"/>
  <c r="C62" i="17"/>
  <c r="C48" i="17"/>
  <c r="D18" i="14" l="1"/>
  <c r="D17" i="14"/>
  <c r="E10" i="13"/>
  <c r="D9" i="13"/>
  <c r="D8" i="13"/>
  <c r="M20" i="11"/>
  <c r="M21" i="11" s="1"/>
  <c r="J65" i="37"/>
  <c r="J66" i="37"/>
  <c r="J67" i="37"/>
  <c r="J68" i="37"/>
  <c r="J69" i="37"/>
  <c r="J70" i="37"/>
  <c r="J71" i="37"/>
  <c r="J72" i="37"/>
  <c r="J73" i="37"/>
  <c r="J74" i="37"/>
  <c r="J75" i="37"/>
  <c r="J76" i="37"/>
  <c r="J77" i="37"/>
  <c r="J78" i="37"/>
  <c r="J79" i="37"/>
  <c r="J80" i="37"/>
  <c r="J81" i="37"/>
  <c r="J82" i="37"/>
  <c r="J83" i="37"/>
  <c r="J84" i="37"/>
  <c r="J85" i="37"/>
  <c r="J86" i="37"/>
  <c r="J87" i="37"/>
  <c r="J88" i="37"/>
  <c r="J64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42" i="37"/>
  <c r="J43" i="37"/>
  <c r="J44" i="37"/>
  <c r="J45" i="37"/>
  <c r="J46" i="37"/>
  <c r="J47" i="37"/>
  <c r="J48" i="37"/>
  <c r="J49" i="37"/>
  <c r="J50" i="37"/>
  <c r="J51" i="37"/>
  <c r="J52" i="37"/>
  <c r="J53" i="37"/>
  <c r="J54" i="37"/>
  <c r="J55" i="37"/>
  <c r="J56" i="37"/>
  <c r="J57" i="37"/>
  <c r="J20" i="37"/>
  <c r="B34" i="11" l="1"/>
  <c r="D45" i="2"/>
  <c r="D34" i="2"/>
  <c r="D12" i="2"/>
  <c r="D99" i="2"/>
  <c r="G16" i="2" l="1"/>
  <c r="D95" i="2"/>
  <c r="D92" i="2"/>
  <c r="D39" i="2"/>
  <c r="D84" i="2" l="1"/>
  <c r="D43" i="2"/>
  <c r="D90" i="2"/>
  <c r="D107" i="2" l="1"/>
  <c r="D111" i="2" s="1"/>
  <c r="G64" i="1"/>
  <c r="G74" i="1"/>
  <c r="F8" i="22" s="1"/>
  <c r="G70" i="1"/>
  <c r="F9" i="22" s="1"/>
  <c r="G50" i="1"/>
  <c r="G60" i="1" s="1"/>
  <c r="D60" i="1"/>
  <c r="D26" i="21"/>
  <c r="C26" i="21"/>
  <c r="D11" i="28"/>
  <c r="D14" i="28"/>
  <c r="D15" i="28" s="1"/>
  <c r="D13" i="27"/>
  <c r="D12" i="27"/>
  <c r="D9" i="27"/>
  <c r="D8" i="27"/>
  <c r="D8" i="25"/>
  <c r="D7" i="25" s="1"/>
  <c r="D10" i="25"/>
  <c r="D9" i="25" s="1"/>
  <c r="E21" i="11"/>
  <c r="F21" i="11"/>
  <c r="G21" i="11"/>
  <c r="H21" i="11"/>
  <c r="I21" i="11"/>
  <c r="J21" i="11"/>
  <c r="K21" i="11"/>
  <c r="L21" i="11"/>
  <c r="G65" i="1" l="1"/>
  <c r="F7" i="22"/>
  <c r="D7" i="22" s="1"/>
  <c r="G101" i="40"/>
  <c r="D96" i="40"/>
  <c r="D104" i="40" s="1"/>
  <c r="D14" i="27"/>
  <c r="D10" i="27"/>
  <c r="D15" i="27" s="1"/>
  <c r="D11" i="25"/>
  <c r="B112" i="40" l="1"/>
  <c r="D111" i="40"/>
  <c r="D112" i="40" s="1"/>
  <c r="C111" i="40"/>
  <c r="C112" i="40" s="1"/>
  <c r="G103" i="40"/>
  <c r="G102" i="40"/>
  <c r="E100" i="40"/>
  <c r="G100" i="40" s="1"/>
  <c r="E99" i="40"/>
  <c r="H9" i="40"/>
  <c r="H94" i="40" s="1"/>
  <c r="H97" i="37"/>
  <c r="H95" i="37"/>
  <c r="E96" i="40" l="1"/>
  <c r="E104" i="40" s="1"/>
  <c r="G98" i="40"/>
  <c r="G99" i="40"/>
  <c r="F96" i="40" l="1"/>
  <c r="F104" i="40" s="1"/>
  <c r="K8" i="35"/>
  <c r="G15" i="22"/>
  <c r="F23" i="16"/>
  <c r="C12" i="16"/>
  <c r="F16" i="13"/>
  <c r="H99" i="37"/>
  <c r="H101" i="37" s="1"/>
  <c r="J11" i="35"/>
  <c r="J12" i="35"/>
  <c r="J13" i="35"/>
  <c r="J15" i="35"/>
  <c r="J17" i="35"/>
  <c r="J18" i="35"/>
  <c r="J19" i="35"/>
  <c r="J21" i="35"/>
  <c r="J22" i="35"/>
  <c r="J23" i="35"/>
  <c r="D16" i="28"/>
  <c r="D16" i="27"/>
  <c r="D13" i="25"/>
  <c r="G20" i="24"/>
  <c r="D19" i="24"/>
  <c r="D18" i="24"/>
  <c r="D17" i="24"/>
  <c r="D16" i="24"/>
  <c r="D15" i="24"/>
  <c r="G14" i="24" s="1"/>
  <c r="D14" i="24"/>
  <c r="D13" i="24"/>
  <c r="D12" i="24"/>
  <c r="D11" i="24"/>
  <c r="D10" i="24"/>
  <c r="D9" i="24"/>
  <c r="G9" i="24" s="1"/>
  <c r="C10" i="24"/>
  <c r="C14" i="24"/>
  <c r="C15" i="24"/>
  <c r="F14" i="24" s="1"/>
  <c r="C16" i="24"/>
  <c r="C17" i="24"/>
  <c r="C18" i="24"/>
  <c r="C19" i="24"/>
  <c r="C20" i="24"/>
  <c r="F20" i="24" s="1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C49" i="24"/>
  <c r="D16" i="23"/>
  <c r="D8" i="23"/>
  <c r="D8" i="24" s="1"/>
  <c r="D6" i="25" s="1"/>
  <c r="D6" i="27" s="1"/>
  <c r="D7" i="28" s="1"/>
  <c r="B15" i="23"/>
  <c r="F6" i="22"/>
  <c r="F20" i="16"/>
  <c r="F22" i="16" s="1"/>
  <c r="C9" i="16"/>
  <c r="C11" i="16" s="1"/>
  <c r="C58" i="17"/>
  <c r="D34" i="11"/>
  <c r="I34" i="11"/>
  <c r="C34" i="11"/>
  <c r="J34" i="11"/>
  <c r="F34" i="11"/>
  <c r="G34" i="11"/>
  <c r="H34" i="11"/>
  <c r="D26" i="9"/>
  <c r="D58" i="9" s="1"/>
  <c r="D59" i="9" s="1"/>
  <c r="C8" i="33"/>
  <c r="G7" i="33"/>
  <c r="G5" i="33"/>
  <c r="F64" i="37"/>
  <c r="K73" i="37"/>
  <c r="K72" i="37"/>
  <c r="H8" i="1"/>
  <c r="G8" i="1"/>
  <c r="C10" i="35"/>
  <c r="D50" i="39"/>
  <c r="C21" i="39" s="1"/>
  <c r="B53" i="39"/>
  <c r="D53" i="39" s="1"/>
  <c r="F53" i="39" s="1"/>
  <c r="L53" i="39" s="1"/>
  <c r="F40" i="39"/>
  <c r="G40" i="39" s="1"/>
  <c r="F52" i="39"/>
  <c r="F44" i="39"/>
  <c r="G44" i="39" s="1"/>
  <c r="B34" i="39"/>
  <c r="F34" i="39" s="1"/>
  <c r="B33" i="39"/>
  <c r="F33" i="39" s="1"/>
  <c r="I56" i="39"/>
  <c r="B63" i="39" s="1"/>
  <c r="F49" i="39"/>
  <c r="L49" i="39" s="1"/>
  <c r="F46" i="39"/>
  <c r="L46" i="39" s="1"/>
  <c r="M43" i="39"/>
  <c r="F43" i="39"/>
  <c r="F42" i="39"/>
  <c r="M42" i="39" s="1"/>
  <c r="F36" i="39"/>
  <c r="F32" i="39"/>
  <c r="F29" i="39"/>
  <c r="L29" i="39" s="1"/>
  <c r="F27" i="39"/>
  <c r="N27" i="39" s="1"/>
  <c r="B83" i="39" s="1"/>
  <c r="D46" i="34" s="1"/>
  <c r="Q26" i="39"/>
  <c r="P26" i="39"/>
  <c r="R25" i="39"/>
  <c r="C25" i="39"/>
  <c r="R24" i="39"/>
  <c r="R23" i="39"/>
  <c r="R22" i="39"/>
  <c r="R21" i="39"/>
  <c r="D16" i="39"/>
  <c r="F14" i="39"/>
  <c r="F11" i="39"/>
  <c r="J11" i="39" s="1"/>
  <c r="F47" i="39"/>
  <c r="L47" i="39" s="1"/>
  <c r="F28" i="39"/>
  <c r="J28" i="39" s="1"/>
  <c r="D51" i="39"/>
  <c r="F41" i="39"/>
  <c r="H41" i="39" s="1"/>
  <c r="H56" i="39" s="1"/>
  <c r="B62" i="39" s="1"/>
  <c r="D12" i="34" s="1"/>
  <c r="C12" i="27"/>
  <c r="C12" i="24"/>
  <c r="C10" i="25"/>
  <c r="C9" i="25" s="1"/>
  <c r="C8" i="25"/>
  <c r="C7" i="25" s="1"/>
  <c r="C13" i="27"/>
  <c r="C11" i="24"/>
  <c r="B25" i="39"/>
  <c r="B20" i="39"/>
  <c r="F20" i="39" s="1"/>
  <c r="B31" i="39"/>
  <c r="F31" i="39" s="1"/>
  <c r="N31" i="39" s="1"/>
  <c r="C26" i="35"/>
  <c r="D8" i="22"/>
  <c r="E14" i="33"/>
  <c r="E15" i="33"/>
  <c r="D23" i="23"/>
  <c r="C33" i="16"/>
  <c r="E12" i="13"/>
  <c r="C12" i="13"/>
  <c r="C34" i="9"/>
  <c r="B35" i="9"/>
  <c r="B34" i="9"/>
  <c r="D72" i="7"/>
  <c r="D74" i="7" s="1"/>
  <c r="D14" i="37"/>
  <c r="H14" i="37"/>
  <c r="E97" i="37"/>
  <c r="D93" i="37"/>
  <c r="K60" i="37"/>
  <c r="G60" i="37"/>
  <c r="K88" i="37"/>
  <c r="K87" i="37"/>
  <c r="K86" i="37"/>
  <c r="K85" i="37"/>
  <c r="K84" i="37"/>
  <c r="K83" i="37"/>
  <c r="K82" i="37"/>
  <c r="K81" i="37"/>
  <c r="K80" i="37"/>
  <c r="K79" i="37"/>
  <c r="K78" i="37"/>
  <c r="K77" i="37"/>
  <c r="K76" i="37"/>
  <c r="K75" i="37"/>
  <c r="K74" i="37"/>
  <c r="K71" i="37"/>
  <c r="K70" i="37"/>
  <c r="K69" i="37"/>
  <c r="K68" i="37"/>
  <c r="K67" i="37"/>
  <c r="K66" i="37"/>
  <c r="K65" i="37"/>
  <c r="K64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46" i="37"/>
  <c r="K47" i="37"/>
  <c r="K48" i="37"/>
  <c r="K49" i="37"/>
  <c r="K50" i="37"/>
  <c r="K51" i="37"/>
  <c r="K52" i="37"/>
  <c r="K53" i="37"/>
  <c r="K54" i="37"/>
  <c r="K55" i="37"/>
  <c r="K56" i="37"/>
  <c r="K57" i="37"/>
  <c r="K20" i="37"/>
  <c r="C11" i="28"/>
  <c r="F11" i="13"/>
  <c r="D20" i="34"/>
  <c r="C9" i="27"/>
  <c r="C8" i="27"/>
  <c r="C10" i="23"/>
  <c r="D12" i="13"/>
  <c r="F20" i="37"/>
  <c r="F21" i="37" s="1"/>
  <c r="G26" i="35"/>
  <c r="F26" i="35"/>
  <c r="I10" i="35"/>
  <c r="I24" i="35" s="1"/>
  <c r="H10" i="35"/>
  <c r="F10" i="35"/>
  <c r="G10" i="35"/>
  <c r="E10" i="35"/>
  <c r="E26" i="35"/>
  <c r="D26" i="35"/>
  <c r="D24" i="35" s="1"/>
  <c r="D10" i="35"/>
  <c r="C22" i="23"/>
  <c r="D48" i="39"/>
  <c r="F48" i="39" s="1"/>
  <c r="L48" i="39" s="1"/>
  <c r="C9" i="24"/>
  <c r="F9" i="24" s="1"/>
  <c r="B30" i="39"/>
  <c r="C13" i="24"/>
  <c r="D14" i="9"/>
  <c r="D16" i="9" s="1"/>
  <c r="C26" i="9"/>
  <c r="B27" i="9"/>
  <c r="B44" i="9"/>
  <c r="B13" i="13"/>
  <c r="J60" i="37"/>
  <c r="F60" i="37"/>
  <c r="C21" i="23"/>
  <c r="C20" i="23"/>
  <c r="C14" i="9"/>
  <c r="F93" i="37"/>
  <c r="B26" i="9"/>
  <c r="B12" i="13" s="1"/>
  <c r="C43" i="9"/>
  <c r="E11" i="22"/>
  <c r="D95" i="37"/>
  <c r="D97" i="37" s="1"/>
  <c r="D96" i="37"/>
  <c r="D98" i="37" s="1"/>
  <c r="F8" i="15"/>
  <c r="F9" i="15"/>
  <c r="F10" i="15"/>
  <c r="F11" i="15"/>
  <c r="C12" i="15"/>
  <c r="F12" i="15" s="1"/>
  <c r="E12" i="15"/>
  <c r="D12" i="15"/>
  <c r="F7" i="15"/>
  <c r="B43" i="9"/>
  <c r="K34" i="11"/>
  <c r="M25" i="11" s="1"/>
  <c r="F10" i="39"/>
  <c r="L10" i="39" s="1"/>
  <c r="C8" i="7" l="1"/>
  <c r="C66" i="7" s="1"/>
  <c r="B7" i="39"/>
  <c r="D7" i="34"/>
  <c r="D28" i="9"/>
  <c r="D10" i="2"/>
  <c r="J8" i="35" s="1"/>
  <c r="R26" i="39"/>
  <c r="C20" i="35"/>
  <c r="J20" i="35" s="1"/>
  <c r="F65" i="37"/>
  <c r="E65" i="37" s="1"/>
  <c r="F51" i="39"/>
  <c r="N51" i="39" s="1"/>
  <c r="C24" i="39"/>
  <c r="C16" i="23"/>
  <c r="C23" i="23"/>
  <c r="C25" i="23" s="1"/>
  <c r="D26" i="23"/>
  <c r="E14" i="35"/>
  <c r="J56" i="39"/>
  <c r="B66" i="39" s="1"/>
  <c r="D26" i="34" s="1"/>
  <c r="F30" i="39"/>
  <c r="N30" i="39" s="1"/>
  <c r="B84" i="39" s="1"/>
  <c r="D44" i="34" s="1"/>
  <c r="C58" i="9"/>
  <c r="F66" i="37"/>
  <c r="F22" i="37"/>
  <c r="G20" i="37"/>
  <c r="E99" i="37"/>
  <c r="E101" i="37" s="1"/>
  <c r="B54" i="39"/>
  <c r="D54" i="39" s="1"/>
  <c r="D56" i="39" s="1"/>
  <c r="C10" i="27"/>
  <c r="F50" i="39"/>
  <c r="L50" i="39" s="1"/>
  <c r="C14" i="27"/>
  <c r="C11" i="25"/>
  <c r="C13" i="25" s="1"/>
  <c r="J10" i="35"/>
  <c r="D29" i="35"/>
  <c r="D31" i="35" s="1"/>
  <c r="F25" i="39"/>
  <c r="G25" i="39" s="1"/>
  <c r="G24" i="35"/>
  <c r="G16" i="35" s="1"/>
  <c r="J16" i="35" s="1"/>
  <c r="E29" i="35"/>
  <c r="E31" i="35" s="1"/>
  <c r="J14" i="35"/>
  <c r="F29" i="35"/>
  <c r="F31" i="35" s="1"/>
  <c r="F45" i="39"/>
  <c r="K45" i="39" s="1"/>
  <c r="K56" i="39" s="1"/>
  <c r="B64" i="39" s="1"/>
  <c r="D11" i="34" s="1"/>
  <c r="C31" i="35"/>
  <c r="D19" i="23"/>
  <c r="C8" i="23"/>
  <c r="F12" i="13"/>
  <c r="M26" i="11"/>
  <c r="B13" i="15"/>
  <c r="B49" i="17" s="1"/>
  <c r="B18" i="14"/>
  <c r="B17" i="14"/>
  <c r="B12" i="15" s="1"/>
  <c r="B48" i="17" s="1"/>
  <c r="D8" i="14"/>
  <c r="C26" i="23" l="1"/>
  <c r="C37" i="39"/>
  <c r="B57" i="39"/>
  <c r="G66" i="37"/>
  <c r="F67" i="37"/>
  <c r="F23" i="37"/>
  <c r="F54" i="39"/>
  <c r="L54" i="39" s="1"/>
  <c r="C15" i="27"/>
  <c r="C16" i="27" s="1"/>
  <c r="G29" i="35"/>
  <c r="G31" i="35" s="1"/>
  <c r="C19" i="23"/>
  <c r="C8" i="24"/>
  <c r="C6" i="25" s="1"/>
  <c r="C6" i="27" s="1"/>
  <c r="C7" i="28" s="1"/>
  <c r="B59" i="17"/>
  <c r="B14" i="18"/>
  <c r="B10" i="16" s="1"/>
  <c r="B13" i="18"/>
  <c r="B9" i="16" s="1"/>
  <c r="B20" i="16" s="1"/>
  <c r="B33" i="16" s="1"/>
  <c r="B58" i="17"/>
  <c r="C56" i="39" l="1"/>
  <c r="F56" i="39" s="1"/>
  <c r="F68" i="37"/>
  <c r="G67" i="37"/>
  <c r="G23" i="37"/>
  <c r="F24" i="37"/>
  <c r="B21" i="16"/>
  <c r="B34" i="16" s="1"/>
  <c r="B44" i="16" s="1"/>
  <c r="B43" i="16"/>
  <c r="D57" i="39" l="1"/>
  <c r="F69" i="37"/>
  <c r="G68" i="37"/>
  <c r="F25" i="37"/>
  <c r="F70" i="37" l="1"/>
  <c r="F26" i="37"/>
  <c r="G25" i="37"/>
  <c r="F71" i="37" l="1"/>
  <c r="F72" i="37" s="1"/>
  <c r="F73" i="37" s="1"/>
  <c r="F27" i="37"/>
  <c r="G26" i="37"/>
  <c r="G71" i="37" l="1"/>
  <c r="F74" i="37"/>
  <c r="F28" i="37"/>
  <c r="G27" i="37"/>
  <c r="F75" i="37" l="1"/>
  <c r="G74" i="37"/>
  <c r="G72" i="37"/>
  <c r="G73" i="37"/>
  <c r="F29" i="37"/>
  <c r="F76" i="37" l="1"/>
  <c r="G75" i="37"/>
  <c r="F30" i="37"/>
  <c r="G29" i="37"/>
  <c r="F77" i="37" l="1"/>
  <c r="G76" i="37"/>
  <c r="F31" i="37"/>
  <c r="G30" i="37"/>
  <c r="G77" i="37" l="1"/>
  <c r="F78" i="37"/>
  <c r="F32" i="37"/>
  <c r="G31" i="37"/>
  <c r="F79" i="37" l="1"/>
  <c r="G78" i="37"/>
  <c r="F33" i="37"/>
  <c r="F80" i="37" l="1"/>
  <c r="G79" i="37"/>
  <c r="F34" i="37"/>
  <c r="G33" i="37"/>
  <c r="F81" i="37" l="1"/>
  <c r="G80" i="37"/>
  <c r="F35" i="37"/>
  <c r="G34" i="37"/>
  <c r="G81" i="37" l="1"/>
  <c r="F82" i="37"/>
  <c r="F36" i="37"/>
  <c r="G35" i="37"/>
  <c r="G82" i="37" l="1"/>
  <c r="F83" i="37"/>
  <c r="G36" i="37"/>
  <c r="F37" i="37"/>
  <c r="F84" i="37" l="1"/>
  <c r="G83" i="37"/>
  <c r="F38" i="37"/>
  <c r="F85" i="37" l="1"/>
  <c r="G84" i="37"/>
  <c r="F39" i="37"/>
  <c r="G85" i="37" l="1"/>
  <c r="F86" i="37"/>
  <c r="F40" i="37"/>
  <c r="G39" i="37"/>
  <c r="F87" i="37" l="1"/>
  <c r="G86" i="37"/>
  <c r="G40" i="37"/>
  <c r="F41" i="37"/>
  <c r="G87" i="37" l="1"/>
  <c r="F88" i="37"/>
  <c r="E88" i="37" s="1"/>
  <c r="F42" i="37"/>
  <c r="G41" i="37"/>
  <c r="G42" i="37" l="1"/>
  <c r="F43" i="37"/>
  <c r="F44" i="37" l="1"/>
  <c r="G43" i="37"/>
  <c r="F45" i="37" l="1"/>
  <c r="G44" i="37"/>
  <c r="F46" i="37" l="1"/>
  <c r="G45" i="37"/>
  <c r="G46" i="37" l="1"/>
  <c r="F47" i="37"/>
  <c r="G47" i="37" l="1"/>
  <c r="F48" i="37"/>
  <c r="G48" i="37" l="1"/>
  <c r="F49" i="37"/>
  <c r="G49" i="37" l="1"/>
  <c r="F50" i="37"/>
  <c r="F51" i="37" l="1"/>
  <c r="G50" i="37"/>
  <c r="F52" i="37" l="1"/>
  <c r="G51" i="37"/>
  <c r="F53" i="37" l="1"/>
  <c r="G52" i="37"/>
  <c r="G53" i="37" l="1"/>
  <c r="F54" i="37"/>
  <c r="G54" i="37" l="1"/>
  <c r="F55" i="37"/>
  <c r="F56" i="37" l="1"/>
  <c r="G55" i="37"/>
  <c r="G56" i="37" l="1"/>
  <c r="F57" i="37"/>
  <c r="G57" i="37" s="1"/>
  <c r="G22" i="37"/>
  <c r="D21" i="11"/>
  <c r="A34" i="11"/>
  <c r="D11" i="1" l="1"/>
  <c r="D13" i="1"/>
  <c r="D18" i="1"/>
  <c r="D19" i="1"/>
  <c r="D24" i="1"/>
  <c r="G28" i="37"/>
  <c r="E28" i="37" s="1"/>
  <c r="D25" i="1"/>
  <c r="C28" i="9" s="1"/>
  <c r="D26" i="1"/>
  <c r="C36" i="9" s="1"/>
  <c r="D28" i="1"/>
  <c r="C45" i="9" s="1"/>
  <c r="G32" i="37"/>
  <c r="E32" i="37" s="1"/>
  <c r="D35" i="1"/>
  <c r="D34" i="1"/>
  <c r="G38" i="37"/>
  <c r="E38" i="37" s="1"/>
  <c r="D43" i="1"/>
  <c r="D48" i="1"/>
  <c r="D45" i="1"/>
  <c r="D46" i="1"/>
  <c r="D63" i="1"/>
  <c r="B18" i="39" s="1"/>
  <c r="F18" i="39" s="1"/>
  <c r="G19" i="1"/>
  <c r="G69" i="37"/>
  <c r="G20" i="1"/>
  <c r="G70" i="37"/>
  <c r="E70" i="37" s="1"/>
  <c r="G21" i="1"/>
  <c r="G12" i="1"/>
  <c r="G64" i="37"/>
  <c r="E64" i="37" s="1"/>
  <c r="G27" i="1"/>
  <c r="G31" i="1" s="1"/>
  <c r="C36" i="16" s="1"/>
  <c r="G76" i="1"/>
  <c r="G77" i="1"/>
  <c r="D38" i="1" l="1"/>
  <c r="G24" i="37"/>
  <c r="E24" i="37" s="1"/>
  <c r="G21" i="37"/>
  <c r="E21" i="37" s="1"/>
  <c r="B21" i="39"/>
  <c r="F21" i="39" s="1"/>
  <c r="M21" i="39" s="1"/>
  <c r="F15" i="13"/>
  <c r="D14" i="1"/>
  <c r="B37" i="39"/>
  <c r="F37" i="39" s="1"/>
  <c r="D11" i="22"/>
  <c r="D12" i="22" s="1"/>
  <c r="F11" i="22"/>
  <c r="D113" i="2"/>
  <c r="I26" i="35"/>
  <c r="I25" i="35" s="1"/>
  <c r="G22" i="1"/>
  <c r="D20" i="1"/>
  <c r="D62" i="1"/>
  <c r="D22" i="1"/>
  <c r="B15" i="39" s="1"/>
  <c r="F15" i="39" s="1"/>
  <c r="M15" i="39" s="1"/>
  <c r="D50" i="1"/>
  <c r="G34" i="1"/>
  <c r="B26" i="39" s="1"/>
  <c r="F26" i="39" s="1"/>
  <c r="L26" i="39" s="1"/>
  <c r="G16" i="1"/>
  <c r="C16" i="18"/>
  <c r="G78" i="1"/>
  <c r="G79" i="1" s="1"/>
  <c r="H26" i="35"/>
  <c r="B35" i="39"/>
  <c r="F35" i="39" s="1"/>
  <c r="F10" i="22"/>
  <c r="E10" i="22" s="1"/>
  <c r="E12" i="22" s="1"/>
  <c r="G36" i="1"/>
  <c r="D66" i="1"/>
  <c r="D72" i="1" s="1"/>
  <c r="B12" i="39"/>
  <c r="F12" i="39" s="1"/>
  <c r="G12" i="39" s="1"/>
  <c r="G56" i="39" s="1"/>
  <c r="C16" i="9"/>
  <c r="D31" i="1"/>
  <c r="B16" i="39" l="1"/>
  <c r="F16" i="39" s="1"/>
  <c r="M16" i="39" s="1"/>
  <c r="B70" i="39" s="1"/>
  <c r="H24" i="35"/>
  <c r="J26" i="35"/>
  <c r="B13" i="39"/>
  <c r="F13" i="39" s="1"/>
  <c r="L13" i="39" s="1"/>
  <c r="L56" i="39" s="1"/>
  <c r="B65" i="39" s="1"/>
  <c r="D22" i="34" s="1"/>
  <c r="C59" i="9"/>
  <c r="B72" i="39"/>
  <c r="D36" i="34" s="1"/>
  <c r="D64" i="1"/>
  <c r="B17" i="39"/>
  <c r="F17" i="39" s="1"/>
  <c r="M17" i="39" s="1"/>
  <c r="C74" i="7"/>
  <c r="B9" i="39"/>
  <c r="D39" i="1"/>
  <c r="J25" i="35"/>
  <c r="I29" i="35"/>
  <c r="I31" i="35" s="1"/>
  <c r="F12" i="22"/>
  <c r="F15" i="22" s="1"/>
  <c r="G38" i="1"/>
  <c r="C46" i="16" s="1"/>
  <c r="B61" i="39"/>
  <c r="D20" i="14"/>
  <c r="B19" i="39"/>
  <c r="F19" i="39" s="1"/>
  <c r="M19" i="39" s="1"/>
  <c r="B24" i="39"/>
  <c r="D79" i="1" l="1"/>
  <c r="D32" i="34"/>
  <c r="M56" i="39"/>
  <c r="G39" i="1"/>
  <c r="G61" i="1" s="1"/>
  <c r="G80" i="1" s="1"/>
  <c r="B71" i="39"/>
  <c r="D35" i="34" s="1"/>
  <c r="D90" i="39"/>
  <c r="F9" i="39"/>
  <c r="O9" i="39" s="1"/>
  <c r="B22" i="39"/>
  <c r="K29" i="35"/>
  <c r="J32" i="35"/>
  <c r="D10" i="34"/>
  <c r="D15" i="34" s="1"/>
  <c r="D24" i="34" s="1"/>
  <c r="C68" i="39"/>
  <c r="B38" i="39"/>
  <c r="F24" i="39"/>
  <c r="N24" i="39" s="1"/>
  <c r="D80" i="1"/>
  <c r="H29" i="35"/>
  <c r="H31" i="35" s="1"/>
  <c r="J24" i="35"/>
  <c r="J29" i="35" s="1"/>
  <c r="J31" i="35" s="1"/>
  <c r="D28" i="34" l="1"/>
  <c r="F38" i="39"/>
  <c r="B39" i="39"/>
  <c r="B82" i="39"/>
  <c r="N56" i="39"/>
  <c r="O56" i="39" s="1"/>
  <c r="D40" i="34"/>
  <c r="B23" i="39"/>
  <c r="F23" i="39" s="1"/>
  <c r="C78" i="39"/>
  <c r="D78" i="39" s="1"/>
  <c r="D88" i="39" l="1"/>
  <c r="O57" i="39"/>
  <c r="D45" i="34"/>
  <c r="D49" i="34" s="1"/>
  <c r="D53" i="34" s="1"/>
  <c r="D55" i="34" s="1"/>
  <c r="C86" i="39"/>
  <c r="C88" i="39" s="1"/>
  <c r="C90" i="39" s="1"/>
  <c r="E90" i="39" s="1"/>
  <c r="D58" i="34" l="1"/>
  <c r="D57" i="34"/>
  <c r="E88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5" authorId="0" shapeId="0" xr:uid="{00000000-0006-0000-0600-000001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 xml:space="preserve">La Casa de Bolsa brinda servicios de INTERMEDIACION 
</t>
        </r>
        <r>
          <rPr>
            <sz val="10"/>
            <color indexed="8"/>
            <rFont val="Tahoma"/>
            <family val="2"/>
          </rPr>
          <t xml:space="preserve">Por ello los ingresos netos:
</t>
        </r>
        <r>
          <rPr>
            <sz val="10"/>
            <color indexed="8"/>
            <rFont val="Tahoma"/>
            <family val="2"/>
          </rPr>
          <t xml:space="preserve">Importe reciibido de clientes mas Ingresos por intermediacion  menos pagos de clientes, costos de servicios
</t>
        </r>
      </text>
    </comment>
    <comment ref="E7" authorId="0" shapeId="0" xr:uid="{00000000-0006-0000-0600-000002000000}">
      <text>
        <r>
          <rPr>
            <b/>
            <sz val="10"/>
            <color indexed="8"/>
            <rFont val="Tahoma"/>
            <family val="2"/>
          </rPr>
          <t>Microsoft Office User:</t>
        </r>
        <r>
          <rPr>
            <sz val="10"/>
            <color indexed="8"/>
            <rFont val="Tahoma"/>
            <family val="2"/>
          </rPr>
          <t xml:space="preserve">
</t>
        </r>
        <r>
          <rPr>
            <sz val="10"/>
            <color indexed="8"/>
            <rFont val="Tahoma"/>
            <family val="2"/>
          </rPr>
          <t>Fijate siempre que los Datos correspondan al AÑO ANTERIOR....sumas globales u particulares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tc={EACBCB32-E259-4B42-BD51-69056D5CDC0B}</author>
  </authors>
  <commentList>
    <comment ref="G5" authorId="0" shapeId="0" xr:uid="{EACBCB32-E259-4B42-BD51-69056D5CDC0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Aca se registran los SALDO DEL BALANCE GENERAL, A COBRAR Y PAGAR.
Empresas y personas vinculadas</t>
      </text>
    </comment>
  </commentList>
</comments>
</file>

<file path=xl/sharedStrings.xml><?xml version="1.0" encoding="utf-8"?>
<sst xmlns="http://schemas.openxmlformats.org/spreadsheetml/2006/main" count="1897" uniqueCount="1044">
  <si>
    <t>INVESTOR CASA DE BOLSA S.A.</t>
  </si>
  <si>
    <t>Fecha Presentación:</t>
  </si>
  <si>
    <t>INDICE</t>
  </si>
  <si>
    <t>REF.</t>
  </si>
  <si>
    <t>Balance General</t>
  </si>
  <si>
    <t>Cuadro de Resultados</t>
  </si>
  <si>
    <t>Flujo de Efectivo</t>
  </si>
  <si>
    <t>Calculo de IRACIS</t>
  </si>
  <si>
    <t>Balance del Sistema</t>
  </si>
  <si>
    <t>Informe del Sindico</t>
  </si>
  <si>
    <t>Informe del Auditor Externo</t>
  </si>
  <si>
    <t>Memoria del Directorio</t>
  </si>
  <si>
    <t>Nota 1- Consideraciones de EEFF</t>
  </si>
  <si>
    <t>e. Inversiones</t>
  </si>
  <si>
    <t>i. Bienes Intangibles</t>
  </si>
  <si>
    <t>j. Otros Activos</t>
  </si>
  <si>
    <t>n. Administración de Carteras</t>
  </si>
  <si>
    <t>s. Resultados con Relacionadas</t>
  </si>
  <si>
    <t>u. Previsiones</t>
  </si>
  <si>
    <t>x. Otros Ingresos y Egresos</t>
  </si>
  <si>
    <t>y. Resultados Financieros</t>
  </si>
  <si>
    <t>z. Resultados Extraordinarios</t>
  </si>
  <si>
    <t>Nota 6- Información Referente a Contingencias</t>
  </si>
  <si>
    <t>a.Compromisios Directos</t>
  </si>
  <si>
    <t>Nota 7- Hechos posteriores</t>
  </si>
  <si>
    <t>Nota 8- Limitaciones a libre disponibilidad</t>
  </si>
  <si>
    <t>Nota 9- Cambios Contables</t>
  </si>
  <si>
    <t>Nota 10- Restricciones para Distribuir Utilidades</t>
  </si>
  <si>
    <t>Nota 11- Sanciones</t>
  </si>
  <si>
    <t>1 01</t>
  </si>
  <si>
    <t>1 01 01</t>
  </si>
  <si>
    <t xml:space="preserve"> (Expresado en Guaraníes)</t>
  </si>
  <si>
    <t>ACTIVO</t>
  </si>
  <si>
    <t>PASIVO</t>
  </si>
  <si>
    <t>1 01 01 01</t>
  </si>
  <si>
    <t>ACTIVO CORRIENTE Nota 5 a</t>
  </si>
  <si>
    <t>PASIVO CORRIENTE</t>
  </si>
  <si>
    <t>1 01 01 03</t>
  </si>
  <si>
    <t>DISPONIBILIDADES Nota 5 d</t>
  </si>
  <si>
    <t>Caja</t>
  </si>
  <si>
    <t>Recaudaciones a Depositar</t>
  </si>
  <si>
    <t>Acreedores Varios  - Nota 5 l</t>
  </si>
  <si>
    <t>Bancos</t>
  </si>
  <si>
    <t>Obligaciones por Administracion de Carteras</t>
  </si>
  <si>
    <t>1 01 03</t>
  </si>
  <si>
    <t>PRESTAMOS FINANCIEROS - Nota 5 k</t>
  </si>
  <si>
    <t>1 01 03 01</t>
  </si>
  <si>
    <t>Titulos de Renta Variable</t>
  </si>
  <si>
    <t>Sobregiros en cuenta corriente</t>
  </si>
  <si>
    <t>Titulos de Renta Fija</t>
  </si>
  <si>
    <t>Documentos a pagar</t>
  </si>
  <si>
    <t>Menos: Prevision por disminución de valor</t>
  </si>
  <si>
    <t>Intereses a Devengar</t>
  </si>
  <si>
    <t>CREDITOS Nota 5 f</t>
  </si>
  <si>
    <t>PROVISIONES</t>
  </si>
  <si>
    <t>Deudores por Intermediacion</t>
  </si>
  <si>
    <t>Impuesto a la Renta a pagar</t>
  </si>
  <si>
    <t>Documentos y  Cuentas a Cobrar</t>
  </si>
  <si>
    <t>IVA a Pagar</t>
  </si>
  <si>
    <t>Deudores Varios</t>
  </si>
  <si>
    <t>Retenciones de Impuestos</t>
  </si>
  <si>
    <t>Menos: Prevision por Incobrables</t>
  </si>
  <si>
    <t>Aportes y Retenciones a Pagar</t>
  </si>
  <si>
    <t>Cuentas por Cobrar a Personas y Emp. Relacionadas</t>
  </si>
  <si>
    <t>Provisiones Varias</t>
  </si>
  <si>
    <t>1 01 03 11</t>
  </si>
  <si>
    <t>Menos: Prevision por Incobrables a Personas y Emp Relacionadas</t>
  </si>
  <si>
    <t>1 01 03 13</t>
  </si>
  <si>
    <t>Derechos sobre titulos por Contratos de Underwiting</t>
  </si>
  <si>
    <t>1 01 03 14</t>
  </si>
  <si>
    <t>OTROS ACTIVOS</t>
  </si>
  <si>
    <t>OTROS PASIVOS</t>
  </si>
  <si>
    <t>1 01 15</t>
  </si>
  <si>
    <t>1 01 15 02</t>
  </si>
  <si>
    <t>1 01 15 03</t>
  </si>
  <si>
    <t>Dividendos a Pagar</t>
  </si>
  <si>
    <t>2 01 15 03</t>
  </si>
  <si>
    <t>Otros Pasivos Corrientes</t>
  </si>
  <si>
    <t>1 01 20</t>
  </si>
  <si>
    <t>Total Activo Corriente</t>
  </si>
  <si>
    <t>Total Pasivo Corriente</t>
  </si>
  <si>
    <t>1 01 20 01</t>
  </si>
  <si>
    <t>ACTIVO NO CORRIENTE</t>
  </si>
  <si>
    <t>PASIVOS NO CORRIENTE</t>
  </si>
  <si>
    <t>1 01 20 02</t>
  </si>
  <si>
    <t>INVERSIONES PERMANENTES Nota 5 e</t>
  </si>
  <si>
    <t>PRESTAMOS FINANCIEROS</t>
  </si>
  <si>
    <t>Préstamos en Bancos</t>
  </si>
  <si>
    <t>Titulo de Renta Fija</t>
  </si>
  <si>
    <t>Acciones en la Bolsa de Valores</t>
  </si>
  <si>
    <t>Otros Valores</t>
  </si>
  <si>
    <t>PREVISIONES</t>
  </si>
  <si>
    <t>1 02</t>
  </si>
  <si>
    <t xml:space="preserve">Instrumentos Financieros Cedidos </t>
  </si>
  <si>
    <t>1 02 01</t>
  </si>
  <si>
    <t>Prevision para Indeminzacion</t>
  </si>
  <si>
    <t>1 02 01 09</t>
  </si>
  <si>
    <t>Otras Contingencias</t>
  </si>
  <si>
    <t>CREDITOS</t>
  </si>
  <si>
    <t>Otros Pasivos No Corrientes</t>
  </si>
  <si>
    <t>1 02 02</t>
  </si>
  <si>
    <t>1 02 02 01</t>
  </si>
  <si>
    <t>Deudores por Gestion en Cobro</t>
  </si>
  <si>
    <t>Total  Pasivo no Corriente</t>
  </si>
  <si>
    <t>1 02 02 02</t>
  </si>
  <si>
    <t>Total Pasivo</t>
  </si>
  <si>
    <t>1 02 02 03</t>
  </si>
  <si>
    <t>PATRIMONIO NETO  Nota 5 t</t>
  </si>
  <si>
    <t>Capital realizado</t>
  </si>
  <si>
    <t>1 02 10</t>
  </si>
  <si>
    <t>BIENES DE USO Nota 5 g</t>
  </si>
  <si>
    <t>Reservas</t>
  </si>
  <si>
    <t>Bienes en operación</t>
  </si>
  <si>
    <t>Reserva Legal</t>
  </si>
  <si>
    <t>Depreciación acumulada</t>
  </si>
  <si>
    <t>Reserva de revalúo</t>
  </si>
  <si>
    <t>Utilidad por valuación BVPSA</t>
  </si>
  <si>
    <t>ACTIVOS INTANGIBLES  Nota 5 i</t>
  </si>
  <si>
    <t>Licencias</t>
  </si>
  <si>
    <t>Marcas</t>
  </si>
  <si>
    <t>Membresia BVPASA</t>
  </si>
  <si>
    <t>Sistemas Informaticos</t>
  </si>
  <si>
    <t>Resultados Acumulados</t>
  </si>
  <si>
    <t>Amortización Acumulada</t>
  </si>
  <si>
    <t>Resultado del Ejercicio</t>
  </si>
  <si>
    <t>1 02 10 01</t>
  </si>
  <si>
    <t>Total Patrimonio Neto</t>
  </si>
  <si>
    <t>1 02 10 02</t>
  </si>
  <si>
    <t>Total Pasivo y Patrimonio Neto</t>
  </si>
  <si>
    <t>1 02 20</t>
  </si>
  <si>
    <t>Gastos de Constitución</t>
  </si>
  <si>
    <t>1 02 20 01</t>
  </si>
  <si>
    <t>Seguros Pagados por Adelantado</t>
  </si>
  <si>
    <t>1 02 20 02</t>
  </si>
  <si>
    <t>1 02 20 03</t>
  </si>
  <si>
    <t>Total Activo no Corriente</t>
  </si>
  <si>
    <t>1 02 20 04</t>
  </si>
  <si>
    <t>Total de Activos</t>
  </si>
  <si>
    <t>1 02 30</t>
  </si>
  <si>
    <t>1 02 30 01</t>
  </si>
  <si>
    <t>1 02 30 02</t>
  </si>
  <si>
    <t>1 02 30 03</t>
  </si>
  <si>
    <t xml:space="preserve">2 01 </t>
  </si>
  <si>
    <t>2 01 01</t>
  </si>
  <si>
    <t>2 01 01 02</t>
  </si>
  <si>
    <t>2 01 01 04</t>
  </si>
  <si>
    <t>2 01 05</t>
  </si>
  <si>
    <t>2 01 05 01</t>
  </si>
  <si>
    <t>2 01 05 02</t>
  </si>
  <si>
    <t>2 01 05 04</t>
  </si>
  <si>
    <t>2 01 10</t>
  </si>
  <si>
    <t>2 01 10 01</t>
  </si>
  <si>
    <t>2 01 10 04</t>
  </si>
  <si>
    <t>2 01 10 05</t>
  </si>
  <si>
    <t>2 01 20</t>
  </si>
  <si>
    <t>2 01 20 04</t>
  </si>
  <si>
    <t>2 02</t>
  </si>
  <si>
    <t>2 02 01</t>
  </si>
  <si>
    <t>2 02 01 01</t>
  </si>
  <si>
    <t>2 02 01 02</t>
  </si>
  <si>
    <t>2 02 02</t>
  </si>
  <si>
    <t>2 02 02 01</t>
  </si>
  <si>
    <t>3 02 02 01</t>
  </si>
  <si>
    <t>2 03</t>
  </si>
  <si>
    <t>2 03 01</t>
  </si>
  <si>
    <t>2 03 01 03</t>
  </si>
  <si>
    <t>2 03 01 04</t>
  </si>
  <si>
    <t>2 03 02</t>
  </si>
  <si>
    <t>2 03 02 01</t>
  </si>
  <si>
    <t>2 03 02 03</t>
  </si>
  <si>
    <t>2 03 02 04</t>
  </si>
  <si>
    <t>2 03 02 05</t>
  </si>
  <si>
    <t>2 03 03</t>
  </si>
  <si>
    <t>2 03 03 01</t>
  </si>
  <si>
    <t>2 03 03 02</t>
  </si>
  <si>
    <t>ESTADO DE RESULTADOS</t>
  </si>
  <si>
    <t>(Expresado en guaraníes)</t>
  </si>
  <si>
    <t>Comisiones por Operaciones en Rueda</t>
  </si>
  <si>
    <t>Por intermediacion por Acciones en Rueda</t>
  </si>
  <si>
    <t>Por intermediacion de Renta Fija en Rueda</t>
  </si>
  <si>
    <t>Comisiones por Operaciones fuera de Rueda</t>
  </si>
  <si>
    <t>Por intermediacion por Acciones fuera de Rueda</t>
  </si>
  <si>
    <t>Por intermediacion de Renta Fija fuera de  Rueda</t>
  </si>
  <si>
    <t>Comisiones por Contratos de Colocaciones Primarias</t>
  </si>
  <si>
    <t>Comisiones por Contratos de Colocaciones Primarias de acciones</t>
  </si>
  <si>
    <t>Comisiones por Contratos de Colocaciones Primarias de renta fija</t>
  </si>
  <si>
    <t>Ingresos Por Asesoria Financiera</t>
  </si>
  <si>
    <t>Ingresos por Intereses y Dividendos de Cartera Propia</t>
  </si>
  <si>
    <t>Ingresos por Venta de Cartera Propia</t>
  </si>
  <si>
    <t>Ingresos por Venta de Cartera Propia a Personas y Empresas Relacionadas</t>
  </si>
  <si>
    <t>Ingresos por Operciones y Servicios a personas relacionadas</t>
  </si>
  <si>
    <t>Otros Ingresos Operativos</t>
  </si>
  <si>
    <t>Ganancia por Venta de Titulos - Bonos</t>
  </si>
  <si>
    <t>Gastos por Comisiones y Servicios</t>
  </si>
  <si>
    <t>Aranceles por negociación Bolsa de Valores</t>
  </si>
  <si>
    <t>Resultado Operativo Bruto</t>
  </si>
  <si>
    <t>Gastos de Comercialización</t>
  </si>
  <si>
    <t>Publicidad</t>
  </si>
  <si>
    <t>Folletos e impresiones</t>
  </si>
  <si>
    <t>Otros Gastos de Comercializacion</t>
  </si>
  <si>
    <t>Gastos de administración</t>
  </si>
  <si>
    <t>Aporte Patronal</t>
  </si>
  <si>
    <t>Resultado Operativo Neto</t>
  </si>
  <si>
    <t>Otros Ingresos</t>
  </si>
  <si>
    <t>Otros Egresos</t>
  </si>
  <si>
    <t>Generados por Activos</t>
  </si>
  <si>
    <t>Intereses cobrados</t>
  </si>
  <si>
    <t>Diferencia de Cambio</t>
  </si>
  <si>
    <t>Generados por Pasivos</t>
  </si>
  <si>
    <t>Intereses pagados</t>
  </si>
  <si>
    <t>Ganancias</t>
  </si>
  <si>
    <t>Pérdidas</t>
  </si>
  <si>
    <t>Ajuste de Resultados de Ejercicios Anteriores</t>
  </si>
  <si>
    <t>Ingresos</t>
  </si>
  <si>
    <t>Egresos</t>
  </si>
  <si>
    <t xml:space="preserve">Ganancias (o pérdidas) </t>
  </si>
  <si>
    <t>Impuesto a la Renta</t>
  </si>
  <si>
    <t>Ganancias (o pérdidas) netas a distribuir</t>
  </si>
  <si>
    <t>ESTADO DE FLUJO DE EFECTIVO</t>
  </si>
  <si>
    <t>Flujo de efectivo por las actividades operativas</t>
  </si>
  <si>
    <t>Importe en efectivo de comisiones y otros ingresos operativos</t>
  </si>
  <si>
    <t>Efectivo pagado a empleados</t>
  </si>
  <si>
    <t>Efectivo generado por otras actividades</t>
  </si>
  <si>
    <t xml:space="preserve">Total de efectivo de las actividades operativas antes de cambios en </t>
  </si>
  <si>
    <t>los activos de operaciones.</t>
  </si>
  <si>
    <t xml:space="preserve">(Aumento) disminución en los activos de operación </t>
  </si>
  <si>
    <t>Fondos colocados a corto plazo</t>
  </si>
  <si>
    <t>Aumento (disminución) en pasivos operativos</t>
  </si>
  <si>
    <t>Efectivo Neto de actividades de operación antes de impuestos</t>
  </si>
  <si>
    <t xml:space="preserve">Efectivo Neto de actividades de operación </t>
  </si>
  <si>
    <t>Flujo de efectivo por actividades de inversión</t>
  </si>
  <si>
    <t>Inversiones en otras empresas</t>
  </si>
  <si>
    <t>Inversiones Temporarias</t>
  </si>
  <si>
    <t>Fondos con destino especial</t>
  </si>
  <si>
    <t>Compra de propiedad, planta y equipo</t>
  </si>
  <si>
    <t>Adquisicion de acciones y titulos de deuda</t>
  </si>
  <si>
    <t>Intereses percibidos</t>
  </si>
  <si>
    <t>Dividendos percibidos</t>
  </si>
  <si>
    <t>Efectivo Neto por (o usado) en actividades de inversión</t>
  </si>
  <si>
    <t>Flujo de efectivo por actividades de financiamiento</t>
  </si>
  <si>
    <t>Aportes de capital</t>
  </si>
  <si>
    <t>Préstamos y Otras Deudas</t>
  </si>
  <si>
    <t>Dividendos pagados</t>
  </si>
  <si>
    <t>Efectivo neto en actividades financieras</t>
  </si>
  <si>
    <t>Efectos de las ganancias o pérdidas de cambio en el efectivo y sus equivalentes</t>
  </si>
  <si>
    <t xml:space="preserve">Aumento (o disminución) neto de efectivos y sus equivalentes </t>
  </si>
  <si>
    <t>Efectivo y su equivalente al comienzo del periodo</t>
  </si>
  <si>
    <t>Efectivo y su equivalente al cierre del periodo</t>
  </si>
  <si>
    <t>ESTADO DE VARIACION DEL PATRIMONIO NETO.</t>
  </si>
  <si>
    <t>CAPITAL</t>
  </si>
  <si>
    <t>RESERVAS</t>
  </si>
  <si>
    <t>RESULTADOS</t>
  </si>
  <si>
    <t>PATRIMONIO NETO</t>
  </si>
  <si>
    <t>CUENTAS</t>
  </si>
  <si>
    <t>AP. FUT. INTEGRAC.</t>
  </si>
  <si>
    <t>INTEGRADO</t>
  </si>
  <si>
    <t>LEGAL</t>
  </si>
  <si>
    <t>REVALÚO</t>
  </si>
  <si>
    <t>ACUMULADOS</t>
  </si>
  <si>
    <t>DEL EJERCICIO</t>
  </si>
  <si>
    <t>Saldo al inicio del ejercicio</t>
  </si>
  <si>
    <t>Mov. Subsecuentes</t>
  </si>
  <si>
    <t>Reserva Legal  y otros del Ejercicio</t>
  </si>
  <si>
    <t>-</t>
  </si>
  <si>
    <t>Revaluo del Ejercicio</t>
  </si>
  <si>
    <t>Aportes a Cta. Fut Capitalizaciones</t>
  </si>
  <si>
    <t>Retiros a Cta. De Utilidades</t>
  </si>
  <si>
    <t>Aporte Capital</t>
  </si>
  <si>
    <t xml:space="preserve">NOTA A LOS ESTADOS CONTABLES </t>
  </si>
  <si>
    <t>NOTA 1: CONSIDERACION DE LOS ESTADOS CONTABLES</t>
  </si>
  <si>
    <t>NOTA 2:  INFORMACIÓN BÁSICA DE LA EMPRESA</t>
  </si>
  <si>
    <t>Inscripta en la Comisión Nacional de Valores según Resolución 1275/10 de fecha 19 de mayo de 2010 y en la Bolsa de Valores y Productos de Asunción S.A. según resolución 915/10 de fecha 31 de mayo de 2010, bajo el número 021.</t>
  </si>
  <si>
    <t>La Sociedad tiene por objeto efectuar las siguientes operaciones:</t>
  </si>
  <si>
    <t>Prestar asesoría en materia de valores y operaciones de bolsa, así como brindar a sus clientes un sistema de información y procesamiento de datos;</t>
  </si>
  <si>
    <t>Suscribir transitoriamente, con recursos propios, parte o la totalidad de emisiones primaria de valores;</t>
  </si>
  <si>
    <t>Promover el lanzamiento de emisiones de valores públicos y privados y facilitar su colocación;</t>
  </si>
  <si>
    <t>Actuar como representante de los obligacionistas;</t>
  </si>
  <si>
    <t>Prestar servicios de administración de carteras y custodia de valores;</t>
  </si>
  <si>
    <t>Llevar el registro contable de valores de sus clientes con sujeción a lo establecido en la Ley del Mercado de Valores o en las reglamentaciones que dicte la Comisión Nacional de Valores al efecto;</t>
  </si>
  <si>
    <t>Otorgar créditos, con sus propios recursos, únicamente con el objeto de facilitar la adquisición de valores por sus comitentes, estén o no inscriptos en una bolsa de valores y con la garantía de tales valores;</t>
  </si>
  <si>
    <t>Recibir créditos de empresas del sistema financiero para la realización de las actividades que le son propias;</t>
  </si>
  <si>
    <t>Efectuar todas las operaciones y servicios que sean compatibles con la actividad de intermediación en el mercado de valores y que previamente y por las reglas de carácter general autorice la Comisión Nacional de Valores y la Bolsa de Valores que integra.</t>
  </si>
  <si>
    <t>NOTA 3: PRINCIPALES POLÍTICAS Y PRÁCTICAS CONTABLES APLICADAS</t>
  </si>
  <si>
    <t>3.1.  Base de preparación de los estados contables</t>
  </si>
  <si>
    <t>3.2. Criterios de valuación</t>
  </si>
  <si>
    <t>3.3. Previsión para cuentas incobrables</t>
  </si>
  <si>
    <t xml:space="preserve">La entidad no posee previsión para cuentas incobrables. </t>
  </si>
  <si>
    <t>Las depreciaciones se calculan por el método de línea recta, en base a la vida útil estimada del bien.</t>
  </si>
  <si>
    <t>3.5. Reconocimiento de ingresos y gastos</t>
  </si>
  <si>
    <t>Los ingresos y egresos son reconocidos de acuerdo al criterio contable de lo devengado. Bajo tal criterio los efectos de las transacciones y otros eventos son reconocidos cuando ocurren y no cuando el efectivo es recibido o pagado.</t>
  </si>
  <si>
    <t>3.6. Base de preparación del estado de flujos de efectivo</t>
  </si>
  <si>
    <t>La base de preparación del estado de flujo de efectivo es El Método Directo, con la clasificación de flujo de efectivo por actividades operativas, de inversión y de financiamiento.</t>
  </si>
  <si>
    <t>NOTA 4: CAMBIO DE POLITICA Y PROCEDIMIENTOS DE CONTABILIDAD</t>
  </si>
  <si>
    <t>La entidad no posee cambios de políticas y procedimientos contables en el trascurso del presente ejercicio.</t>
  </si>
  <si>
    <t>NOTA 5: CRITERIOS ESPECÍFICOS DE VALUACIÓN</t>
  </si>
  <si>
    <t>Tipos de Cambio</t>
  </si>
  <si>
    <t>Comprador</t>
  </si>
  <si>
    <t>Vendedor</t>
  </si>
  <si>
    <t>Activos y Pasivos en Moneda Extranjera</t>
  </si>
  <si>
    <t>DETALLE</t>
  </si>
  <si>
    <t>MONEDA EXTRANJERA CLASE</t>
  </si>
  <si>
    <t>MONEDA EXTRANJERA MONTO</t>
  </si>
  <si>
    <t>ACTIVO CORRIENTE</t>
  </si>
  <si>
    <t>DISPONIBILIDADES</t>
  </si>
  <si>
    <t>Dólares</t>
  </si>
  <si>
    <t>Creditos Fiscales</t>
  </si>
  <si>
    <t>Dividendos a Cobrar</t>
  </si>
  <si>
    <t>Otros Creditos</t>
  </si>
  <si>
    <t>Anticipo IRE</t>
  </si>
  <si>
    <t>ANTICIPOS</t>
  </si>
  <si>
    <t>Anticipo a Proveedores</t>
  </si>
  <si>
    <t>Anticipos Honorarios-Servicios</t>
  </si>
  <si>
    <t>Intereses a Vencer</t>
  </si>
  <si>
    <t>Seguros a Vencer</t>
  </si>
  <si>
    <t>Intereses a Cobrar</t>
  </si>
  <si>
    <t>INVERSIONES PERMANENTES</t>
  </si>
  <si>
    <t>Titulo de Renta Variables- Acciones</t>
  </si>
  <si>
    <t>Titulo de Renta Fija (Bonos+CDA)</t>
  </si>
  <si>
    <t>Acciones en la Bolsa de Valores y otras inversiones</t>
  </si>
  <si>
    <t>PROPIEDAD, PLANTA Y EQUIPO</t>
  </si>
  <si>
    <t>Bienes en Operación</t>
  </si>
  <si>
    <t>Depreciación Acumulada</t>
  </si>
  <si>
    <t>ACTIVOS INTANGIBLES</t>
  </si>
  <si>
    <t>Membresias</t>
  </si>
  <si>
    <t>Garantia de Alquiler</t>
  </si>
  <si>
    <t>CUENTAS A PAGAR</t>
  </si>
  <si>
    <t>Proveedores Varios</t>
  </si>
  <si>
    <t>Acreedores por intermediacion</t>
  </si>
  <si>
    <t>Comisiones a Pagar</t>
  </si>
  <si>
    <t>Anticipo de Clientes</t>
  </si>
  <si>
    <t>Documentos a Pagar</t>
  </si>
  <si>
    <t>Intereses a Pagar</t>
  </si>
  <si>
    <t>Impuesto a la Renta a Pagar</t>
  </si>
  <si>
    <t>Sueldos a Pagar</t>
  </si>
  <si>
    <t>Seguros a Pagar</t>
  </si>
  <si>
    <t>PASIVO NO CORRIENTE</t>
  </si>
  <si>
    <t>Ganancias a Devengar</t>
  </si>
  <si>
    <t>Cuentas a Pagar por Compra de Acciones</t>
  </si>
  <si>
    <t>CONCEPTO</t>
  </si>
  <si>
    <t>TIPO DE CAMBIO PERIODO ACTUAL</t>
  </si>
  <si>
    <t>MONTO AJUSTADO PERIODO ACTUAL</t>
  </si>
  <si>
    <t>TIPO DE CAMBIO PERIODO ANTERIOR</t>
  </si>
  <si>
    <t>MONTO AJUSTADO PERIODO ANTERIOR</t>
  </si>
  <si>
    <t>Ganancias por valuación de Activos en Moneda Extrajera</t>
  </si>
  <si>
    <t>Ganancias por valuación de Pasivos en Moneda Extrajera</t>
  </si>
  <si>
    <t>Pérdidas por valuación de Activos en Moneda Extranajera</t>
  </si>
  <si>
    <t>Pérdidas por valuación de Pasivos en Moneda Extranajera</t>
  </si>
  <si>
    <t>Efecto Neto</t>
  </si>
  <si>
    <t>Saldos de Cuentas</t>
  </si>
  <si>
    <t>Banco Familiar 22-02962092 Gs.</t>
  </si>
  <si>
    <t>Banco Familiar Comp. Usd</t>
  </si>
  <si>
    <t>Banco Gnb Gs 1-219468-002</t>
  </si>
  <si>
    <t>Banco Gnb Usd 1-219468-003</t>
  </si>
  <si>
    <t>Bancop Gs 0410022837</t>
  </si>
  <si>
    <t>Bancop Usd 0310024650</t>
  </si>
  <si>
    <t>Broker Interactive U$S</t>
  </si>
  <si>
    <t>Crisol Y Encarnacion Financiera (Cefisa) U$S</t>
  </si>
  <si>
    <t>Crisol Y Encarnacion Financiera (Cefisa)Gs</t>
  </si>
  <si>
    <t>Fic De Finanzas Gs. 0131000778</t>
  </si>
  <si>
    <t>Fic De Finanzas U$D 0131000849</t>
  </si>
  <si>
    <t>Financiera Rio 100165400-0</t>
  </si>
  <si>
    <t>Finexpar Gs 155000841</t>
  </si>
  <si>
    <t>Finexpar Usd 0192356</t>
  </si>
  <si>
    <t>Interfisa Banco Gs 874</t>
  </si>
  <si>
    <t>Interfisa Banco U$D 10208646</t>
  </si>
  <si>
    <t>Itau Cta. Cte. Gs 741</t>
  </si>
  <si>
    <t>Itau Cta. Cte. U$S -75080051-6</t>
  </si>
  <si>
    <t>Itau Cta.Cte. Gs Nº 734</t>
  </si>
  <si>
    <t>Itau Cta.Cte. U$S Nº 75080052-3</t>
  </si>
  <si>
    <t>Itau Internacional Usd 75080363-6</t>
  </si>
  <si>
    <t>Sudameris Cta. Cte. Gs 1862952</t>
  </si>
  <si>
    <t>Sudameris Cta.Cte.U$S-186295/2</t>
  </si>
  <si>
    <t>TOTAL DISPONIBILIDADES</t>
  </si>
  <si>
    <t/>
  </si>
  <si>
    <t xml:space="preserve">                INFORMACION SOBRE EL DOCUMENTO Y EL EMISOR</t>
  </si>
  <si>
    <t xml:space="preserve">TITULOS DE RENTA FIJA </t>
  </si>
  <si>
    <t>TIPO DE</t>
  </si>
  <si>
    <t>CANTIDAD DE</t>
  </si>
  <si>
    <t>VALOR</t>
  </si>
  <si>
    <t>RESULTADO</t>
  </si>
  <si>
    <t>P.NETO</t>
  </si>
  <si>
    <t>EMISOR</t>
  </si>
  <si>
    <t>TITULO</t>
  </si>
  <si>
    <t>TITULOS</t>
  </si>
  <si>
    <t>NOMINAL</t>
  </si>
  <si>
    <t>CONTABLE</t>
  </si>
  <si>
    <t>CDA</t>
  </si>
  <si>
    <t>CANTIDAD</t>
  </si>
  <si>
    <t>VALOR NOMINAL</t>
  </si>
  <si>
    <t>Inversiones Temporales</t>
  </si>
  <si>
    <t>Inversiones Permanentes</t>
  </si>
  <si>
    <t>DEUDORES POR INTERMEDIACION</t>
  </si>
  <si>
    <t>GUARANIES</t>
  </si>
  <si>
    <t>Corto Plazo Gs.</t>
  </si>
  <si>
    <t>Largo Plazo Gs.</t>
  </si>
  <si>
    <t>Deudores empresas relacionadas</t>
  </si>
  <si>
    <t>Dividendos a cobrar</t>
  </si>
  <si>
    <t xml:space="preserve"> </t>
  </si>
  <si>
    <t>DERECHO SOBRE TITULOS POR CONTRATOS DE UNDERWRITING</t>
  </si>
  <si>
    <t>INSTRUMENTO</t>
  </si>
  <si>
    <t>CANTIDAD DE  TITULOS</t>
  </si>
  <si>
    <t>FECHA DE</t>
  </si>
  <si>
    <t>VALOR DE SUSCRIPCIÓN</t>
  </si>
  <si>
    <t>UNITARIO</t>
  </si>
  <si>
    <t>VENCIMIENTO</t>
  </si>
  <si>
    <t>DEL CONTRATO</t>
  </si>
  <si>
    <t>NO APLICABLE</t>
  </si>
  <si>
    <t>Total actual G.</t>
  </si>
  <si>
    <t>Total anterior G.</t>
  </si>
  <si>
    <t>VALORES DE ORIGEN</t>
  </si>
  <si>
    <t>DEPRECIACIONES</t>
  </si>
  <si>
    <t>Valores al Inicio del Ejercicio</t>
  </si>
  <si>
    <t>Altas</t>
  </si>
  <si>
    <t>Bajas</t>
  </si>
  <si>
    <t>Revalúo del Periodo</t>
  </si>
  <si>
    <t>Valores al cierre del Periodo</t>
  </si>
  <si>
    <t>Acumuladas al inicio del Ejercicio</t>
  </si>
  <si>
    <t>Acumuladas Al Cierre</t>
  </si>
  <si>
    <t>Neto Resultante</t>
  </si>
  <si>
    <t>SALDO INICIAL</t>
  </si>
  <si>
    <t>AUMENTOS</t>
  </si>
  <si>
    <t>AMORTIZACIONES</t>
  </si>
  <si>
    <t>SALDO NETO FINAL</t>
  </si>
  <si>
    <t>CUENTA</t>
  </si>
  <si>
    <t>Marcas y Licencias</t>
  </si>
  <si>
    <t>Marca Investor C.B. S.A.</t>
  </si>
  <si>
    <t>Licencias Informáticas</t>
  </si>
  <si>
    <t>Licencias para PCS</t>
  </si>
  <si>
    <t>Sistemas Informáticos</t>
  </si>
  <si>
    <t>Sistemas: Contable y Operativo</t>
  </si>
  <si>
    <t>Licencia Actividad Bursatil</t>
  </si>
  <si>
    <t>Deudores varios</t>
  </si>
  <si>
    <t>Cupones a cobrar</t>
  </si>
  <si>
    <t>Seguros pagados por adelantado</t>
  </si>
  <si>
    <t>Anticipos a proveedores y otros</t>
  </si>
  <si>
    <t>INSTITUCION</t>
  </si>
  <si>
    <t>CORTO PLAZO GS.</t>
  </si>
  <si>
    <t>LARGO PLAZO GS.</t>
  </si>
  <si>
    <t>Prestamos por Repos</t>
  </si>
  <si>
    <t>CORRIENTE G.</t>
  </si>
  <si>
    <t>NO CORRIENTE G.</t>
  </si>
  <si>
    <t>A la fecha la entidad no registra administración de Cartera a Corto y Largo Plazo</t>
  </si>
  <si>
    <t xml:space="preserve"> No aplicable</t>
  </si>
  <si>
    <t>Corriente Gs.</t>
  </si>
  <si>
    <t>No corrientes Gs.</t>
  </si>
  <si>
    <t>r)       Saldos y Transacciones con personas y empresas relacionadas (Corriente y No Corriente)</t>
  </si>
  <si>
    <t>SALDOS (Deudores y Acreedores mantenidos)</t>
  </si>
  <si>
    <t>NOMBRE</t>
  </si>
  <si>
    <t>RELACION</t>
  </si>
  <si>
    <t>TIPO DE OPERACIÓN</t>
  </si>
  <si>
    <t>Empresa Vinculada</t>
  </si>
  <si>
    <t>Cuentas a cobrar</t>
  </si>
  <si>
    <t>Director y Accionista</t>
  </si>
  <si>
    <t>Funcionaria</t>
  </si>
  <si>
    <t>ANTIGÜEDAD DE LA DEUDA</t>
  </si>
  <si>
    <t>PERSONA O EMPRESA RELACIONADA</t>
  </si>
  <si>
    <t>Total Ingresos</t>
  </si>
  <si>
    <t>Total Egresos</t>
  </si>
  <si>
    <t>Edge S.A.</t>
  </si>
  <si>
    <t>Codesarrollos S.A.</t>
  </si>
  <si>
    <t>Investor AFPI SA</t>
  </si>
  <si>
    <t>t) Patrimonio</t>
  </si>
  <si>
    <t>SALDO AL INICIO DEL EJERCICIO</t>
  </si>
  <si>
    <t>DISMINUCIÓN</t>
  </si>
  <si>
    <t>Capital Integrado</t>
  </si>
  <si>
    <t>Aportes no capitalizados</t>
  </si>
  <si>
    <t>La entidad no registra previsiones a la fecha.</t>
  </si>
  <si>
    <t>Ingresos por Operaciones</t>
  </si>
  <si>
    <t>Por intermediación de Acciones en Rueda</t>
  </si>
  <si>
    <t>Por intermediación de Renta Fija en Rueda</t>
  </si>
  <si>
    <t>Ingresos por Asesoría Financiera</t>
  </si>
  <si>
    <t>Ingresos por venta cartera propia</t>
  </si>
  <si>
    <t>Totales</t>
  </si>
  <si>
    <t>Ganancia por venta de Titulos</t>
  </si>
  <si>
    <t xml:space="preserve">Dividendos Cobrados </t>
  </si>
  <si>
    <t>Otros ingresos</t>
  </si>
  <si>
    <t>Total</t>
  </si>
  <si>
    <t>w) Otros Gastos Operativos, de comercialización y de administración</t>
  </si>
  <si>
    <t>Otros Gastos Operativos</t>
  </si>
  <si>
    <t>Perdida por venta de valores</t>
  </si>
  <si>
    <t>Generados Por Activos</t>
  </si>
  <si>
    <t>Intereses Cobrados</t>
  </si>
  <si>
    <t>Generados Por Pasivos</t>
  </si>
  <si>
    <t>Intereses Pagados</t>
  </si>
  <si>
    <t>Ingresos Extraordinarios</t>
  </si>
  <si>
    <t>Egresos Extraordinarios</t>
  </si>
  <si>
    <t>Perdida por Venta de Activo</t>
  </si>
  <si>
    <t>NOTA 6. INFORMACION REFERENTE A CONTINGENCIAS Y COMPROMISOS</t>
  </si>
  <si>
    <t>No registra</t>
  </si>
  <si>
    <t>NOTA 7. HECHOS POSTERIORES AL CIERRE DEL EJERCICIO</t>
  </si>
  <si>
    <t>No corresponde al presente periodo.</t>
  </si>
  <si>
    <t>No registra.</t>
  </si>
  <si>
    <t>NOTA 9. CAMBIOS CONTABLES</t>
  </si>
  <si>
    <t>NOTA 10. RESTRICIONES PARA DISTRIBUCIÓN DE UTILIDADES</t>
  </si>
  <si>
    <t>NOTA 11. SANCIONES</t>
  </si>
  <si>
    <t>No Registra.</t>
  </si>
  <si>
    <t>Rolando Natalizia</t>
  </si>
  <si>
    <t>Anibal Acosta</t>
  </si>
  <si>
    <t>Ingresos por Operaciones y Servicios Extrabursatiles</t>
  </si>
  <si>
    <t>BALANCE GENERAL</t>
  </si>
  <si>
    <t>REVALORIZAC</t>
  </si>
  <si>
    <t>Investor no ha reconocido en este Ejercicio los resultados de sus subsidiarias en sus Estados de Resultado Individual.</t>
  </si>
  <si>
    <t>Banco Nacional de Fomento U$S</t>
  </si>
  <si>
    <t>Itau Cta Cte. Gs  571</t>
  </si>
  <si>
    <t>Market Data SA</t>
  </si>
  <si>
    <t xml:space="preserve">Balance Gral. Resol. </t>
  </si>
  <si>
    <t xml:space="preserve">Estado de Resultado Resol. </t>
  </si>
  <si>
    <t xml:space="preserve">Flujo de Efectivo </t>
  </si>
  <si>
    <t>Estado de Resultado Resol.</t>
  </si>
  <si>
    <t xml:space="preserve">Balance Final </t>
  </si>
  <si>
    <r>
      <t>a)</t>
    </r>
    <r>
      <rPr>
        <b/>
        <sz val="9"/>
        <color indexed="8"/>
        <rFont val="Calibri"/>
        <family val="2"/>
      </rPr>
      <t>      Valuación en moneda extranjera</t>
    </r>
  </si>
  <si>
    <r>
      <t>b)</t>
    </r>
    <r>
      <rPr>
        <b/>
        <sz val="9"/>
        <color indexed="8"/>
        <rFont val="Calibri"/>
        <family val="2"/>
      </rPr>
      <t>       Posición en moneda extranjera</t>
    </r>
  </si>
  <si>
    <r>
      <t>C)</t>
    </r>
    <r>
      <rPr>
        <b/>
        <sz val="9"/>
        <color indexed="8"/>
        <rFont val="Calibri"/>
        <family val="2"/>
      </rPr>
      <t>      Diferencia de cambio en moneda extranjera.</t>
    </r>
  </si>
  <si>
    <r>
      <t>j)</t>
    </r>
    <r>
      <rPr>
        <b/>
        <sz val="9"/>
        <color indexed="8"/>
        <rFont val="Calibri"/>
        <family val="2"/>
      </rPr>
      <t>       Otros Activos Corrientes y No Corrientes</t>
    </r>
  </si>
  <si>
    <r>
      <t>k)</t>
    </r>
    <r>
      <rPr>
        <b/>
        <sz val="9"/>
        <color indexed="8"/>
        <rFont val="Calibri"/>
        <family val="2"/>
      </rPr>
      <t>       Préstamos Financieros a corto y a largo plazo.</t>
    </r>
  </si>
  <si>
    <r>
      <t>l)</t>
    </r>
    <r>
      <rPr>
        <b/>
        <sz val="9"/>
        <color indexed="8"/>
        <rFont val="Calibri"/>
        <family val="2"/>
      </rPr>
      <t>       Documentos y cuentas por pagar (Corto y largo plazo)</t>
    </r>
  </si>
  <si>
    <r>
      <t>n)</t>
    </r>
    <r>
      <rPr>
        <b/>
        <sz val="9"/>
        <color indexed="8"/>
        <rFont val="Calibri"/>
        <family val="2"/>
      </rPr>
      <t>       Administración de Cartera (Corto y Largo Plazo)</t>
    </r>
  </si>
  <si>
    <r>
      <t>o)</t>
    </r>
    <r>
      <rPr>
        <b/>
        <sz val="9"/>
        <color indexed="8"/>
        <rFont val="Calibri"/>
        <family val="2"/>
      </rPr>
      <t>       Cuentas a Pagar a personas y empresas relacionadas (Corto y Largo plazo)</t>
    </r>
  </si>
  <si>
    <r>
      <t>p)</t>
    </r>
    <r>
      <rPr>
        <b/>
        <sz val="9"/>
        <color indexed="8"/>
        <rFont val="Calibri"/>
        <family val="2"/>
      </rPr>
      <t>       Obligaciones por contrato de Underwriting (Corto y Largo Plazo)</t>
    </r>
  </si>
  <si>
    <r>
      <t>q)</t>
    </r>
    <r>
      <rPr>
        <b/>
        <sz val="9"/>
        <color indexed="8"/>
        <rFont val="Calibri"/>
        <family val="2"/>
      </rPr>
      <t>       Otros Pasivos Corrientes y No Corrientes</t>
    </r>
  </si>
  <si>
    <r>
      <t>u)</t>
    </r>
    <r>
      <rPr>
        <b/>
        <sz val="9"/>
        <color indexed="8"/>
        <rFont val="Calibri"/>
        <family val="2"/>
      </rPr>
      <t xml:space="preserve">       Previsiones </t>
    </r>
  </si>
  <si>
    <t>Basa 139-5 Usd</t>
  </si>
  <si>
    <t>Obligaciones  por Contratos de Underwriting</t>
  </si>
  <si>
    <t>INVERSIONES TEMPORARIAS</t>
  </si>
  <si>
    <t>Ingresos por Administracion de Carteras</t>
  </si>
  <si>
    <t>Ingresos por Custodia de Valores</t>
  </si>
  <si>
    <t>Acciones</t>
  </si>
  <si>
    <r>
      <t>2.1</t>
    </r>
    <r>
      <rPr>
        <b/>
        <sz val="9"/>
        <color indexed="8"/>
        <rFont val="Calibri"/>
        <family val="2"/>
      </rPr>
      <t>              Naturaleza jurídica de las actividades de la sociedad</t>
    </r>
  </si>
  <si>
    <r>
      <t>INVESTOR CASA DE BOLSA S.A</t>
    </r>
    <r>
      <rPr>
        <sz val="9"/>
        <color indexed="8"/>
        <rFont val="Calibri"/>
        <family val="2"/>
      </rPr>
      <t>. fue constituida bajo la forma jurídica de Sociedad Anónima el 06 de Marzo de 2010 según escritura Pública Nº 205 e inscripta en el Registro Público de Comercio en el Libro Seccional respectivo y bajo en Nº 62 Y el folio Nº 696 y siguiente de fecha 23 de Marzo de 2010. La Sociedad se halla regida por las disposiciones de sus Estatutos, las Normas Legales y Reglamentarias relativas a la Sociedad y al Código Civil. La duración inicial de la Sociedad es de noventa y nueve años.</t>
    </r>
  </si>
  <si>
    <r>
      <t>2.2</t>
    </r>
    <r>
      <rPr>
        <b/>
        <sz val="9"/>
        <color indexed="8"/>
        <rFont val="Calibri"/>
        <family val="2"/>
      </rPr>
      <t>   Participación en empresas vinculadas</t>
    </r>
  </si>
  <si>
    <r>
      <t>3.4.</t>
    </r>
    <r>
      <rPr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Depreciación de bienes de uso</t>
    </r>
  </si>
  <si>
    <t xml:space="preserve"> -   </t>
  </si>
  <si>
    <t>Procampo</t>
  </si>
  <si>
    <t>Acreedores por Intermediación. Nota 5 m</t>
  </si>
  <si>
    <t>Cuentas por Pagar a Personas y Emp. Relacionadas. Nota o</t>
  </si>
  <si>
    <t>PROVISIONES. Nota q</t>
  </si>
  <si>
    <t>Provisiones varias</t>
  </si>
  <si>
    <t>Investor Afpisa</t>
  </si>
  <si>
    <t>Incubate Sa</t>
  </si>
  <si>
    <t>Albaro Acosta</t>
  </si>
  <si>
    <t>Investor Real Estate S.A</t>
  </si>
  <si>
    <t>Federico Sebastian Oporto</t>
  </si>
  <si>
    <t>Fabio Zarza</t>
  </si>
  <si>
    <t>Adrian Aponte</t>
  </si>
  <si>
    <t>Federico Callizo Pecci</t>
  </si>
  <si>
    <t xml:space="preserve">Market Data </t>
  </si>
  <si>
    <r>
      <t>a)</t>
    </r>
    <r>
      <rPr>
        <b/>
        <sz val="9"/>
        <color indexed="8"/>
        <rFont val="Calibri"/>
        <family val="2"/>
      </rPr>
      <t>        Compromisos Directos</t>
    </r>
  </si>
  <si>
    <r>
      <t>b)</t>
    </r>
    <r>
      <rPr>
        <b/>
        <sz val="9"/>
        <color indexed="8"/>
        <rFont val="Calibri"/>
        <family val="2"/>
      </rPr>
      <t>        Contingencias Legales</t>
    </r>
  </si>
  <si>
    <r>
      <t>c)</t>
    </r>
    <r>
      <rPr>
        <b/>
        <sz val="9"/>
        <color indexed="8"/>
        <rFont val="Calibri"/>
        <family val="2"/>
      </rPr>
      <t>        Garantías Constituidas</t>
    </r>
  </si>
  <si>
    <t>Identificación</t>
  </si>
  <si>
    <t>INVESTOR CASA DE BOLSA S.A., R.U.C.: 80060213-7</t>
  </si>
  <si>
    <t>E-mail: aacosta@investor.com.py</t>
  </si>
  <si>
    <t>Antecedentes de la Constitución de la Sociedad y Reformas Estatutarias</t>
  </si>
  <si>
    <t>Administración</t>
  </si>
  <si>
    <t>Auditor Externo Independiente</t>
  </si>
  <si>
    <t>Personas Vinculadas</t>
  </si>
  <si>
    <t>Nombres y Apellidos</t>
  </si>
  <si>
    <t>Cargo</t>
  </si>
  <si>
    <t>Federico Sebastián Oporto Leiva</t>
  </si>
  <si>
    <t>Accionista/Presidente</t>
  </si>
  <si>
    <t>Accionista/Vice -Presidente</t>
  </si>
  <si>
    <t>Albaro José Acosta Ferreira</t>
  </si>
  <si>
    <t>Accionista/Director Titular</t>
  </si>
  <si>
    <t>Ana Cristina Neffa Persano</t>
  </si>
  <si>
    <t>Director Titular</t>
  </si>
  <si>
    <t>Fabio Daniel Zarza</t>
  </si>
  <si>
    <t>Juan José Talavera Saguier</t>
  </si>
  <si>
    <t>Síndico titular</t>
  </si>
  <si>
    <t>Oficial de cumplimiento</t>
  </si>
  <si>
    <t>Operador</t>
  </si>
  <si>
    <t>Auditor Interno</t>
  </si>
  <si>
    <t>Acciones en Empresas</t>
  </si>
  <si>
    <t>% Participación</t>
  </si>
  <si>
    <t>Investor AFPISA</t>
  </si>
  <si>
    <t>Market Data</t>
  </si>
  <si>
    <t>Capital y Propiedad:</t>
  </si>
  <si>
    <t xml:space="preserve">Codesarrollos </t>
  </si>
  <si>
    <t>Otros Activos</t>
  </si>
  <si>
    <t>Otros Costos de Operaciones</t>
  </si>
  <si>
    <t>Los Bienes de Uso se expresan a su valor de adquisición. Ya no se revaluan a partir del Ejercicio 2020.</t>
  </si>
  <si>
    <t>Seguros a Vencer M/L</t>
  </si>
  <si>
    <t>Intereses a Vencer M/L</t>
  </si>
  <si>
    <t>Intereses a Vencer M/E</t>
  </si>
  <si>
    <t>Albaro Acosta - Director</t>
  </si>
  <si>
    <t>Federico Sebastián Oporto Leiva Espínola - Director</t>
  </si>
  <si>
    <t>Federico Callizo-Director</t>
  </si>
  <si>
    <t>Procampo SA</t>
  </si>
  <si>
    <t>Fabio Zarza Director</t>
  </si>
  <si>
    <t>Ana Neffa - Director</t>
  </si>
  <si>
    <t>Ingresos por intereses de Cartera propia - Empresas y Personas Relacionadas</t>
  </si>
  <si>
    <t>Nro.</t>
  </si>
  <si>
    <t>Accionista</t>
  </si>
  <si>
    <t>Serie</t>
  </si>
  <si>
    <t>Del Número</t>
  </si>
  <si>
    <t>Al Número</t>
  </si>
  <si>
    <t>Cantidad de Acciones</t>
  </si>
  <si>
    <t>Clase</t>
  </si>
  <si>
    <t>Votos</t>
  </si>
  <si>
    <t>Monto</t>
  </si>
  <si>
    <t>Albaro Jose Acosta Ferreira</t>
  </si>
  <si>
    <t>Ordinaria Nominativa</t>
  </si>
  <si>
    <t>Anibal David Acosta Ferreira</t>
  </si>
  <si>
    <t>Rolando Jose Natalizia Nasser</t>
  </si>
  <si>
    <t>Federico Sebastian Oporto Leiva Espinola</t>
  </si>
  <si>
    <t>Voto</t>
  </si>
  <si>
    <t>La composición de los fondos disponibles en Bancos, es como sigue:</t>
  </si>
  <si>
    <t xml:space="preserve">Otros Activos </t>
  </si>
  <si>
    <t xml:space="preserve">Investor Casa de Bolsa. S.A. posee Acciones de la Empresa Market Data S.A., constituida en Asunción-Paraguay, por valor de Gs. 499.000.000 que representan el 99,80 % del Capital Social. </t>
  </si>
  <si>
    <t>Investor Casa de Bolsa. S.A. ha adquirido Acciones de la Empresa Codesarrollos S.A., constituida en Asunción-Paraguay, por precio pagado de Gs. 5.498.595.000 que representan una participación del 70% del Capital Social.  Valor Nominal de las Acciones adquiridas Gs. 1.050.000.000-</t>
  </si>
  <si>
    <t>Domicilio</t>
  </si>
  <si>
    <t>Actividad</t>
  </si>
  <si>
    <t>Brasilia 764-Asunción</t>
  </si>
  <si>
    <t>Comunicaciones</t>
  </si>
  <si>
    <t>Admin de Fondos</t>
  </si>
  <si>
    <t>Admin. Estab. Ganad</t>
  </si>
  <si>
    <t>Cuadro del Capital Suscripto</t>
  </si>
  <si>
    <t>DOCUMENTOS Y CUENTAS A PAGAR</t>
  </si>
  <si>
    <t>INVERSIONES TEMPORARIAS  NOTA 5 E</t>
  </si>
  <si>
    <t xml:space="preserve">RESULTADOS   </t>
  </si>
  <si>
    <t>Valor Llave Compra Acciones en Emp.</t>
  </si>
  <si>
    <t>Dividendos  Cobrados</t>
  </si>
  <si>
    <t>CAMBIO CIERRE PERIODO ACTUAL GUARANIES</t>
  </si>
  <si>
    <t>CAMBIO CIERRE PERIODO ANTERIOR GUARANIES</t>
  </si>
  <si>
    <t xml:space="preserve">CAMBIO CIERRE PERIODO ACTUAL </t>
  </si>
  <si>
    <t xml:space="preserve">CAMBIO CIERRE PERIODO ANTERIOR </t>
  </si>
  <si>
    <t>TOTAL BANCOS</t>
  </si>
  <si>
    <t xml:space="preserve">BANCOS </t>
  </si>
  <si>
    <t xml:space="preserve">Caja </t>
  </si>
  <si>
    <t>Fondo Fijo</t>
  </si>
  <si>
    <t>Banco Regional Cta Comp. Usd 369</t>
  </si>
  <si>
    <t>Vision Banco Cta.Cte Usd 123</t>
  </si>
  <si>
    <t>Continental Cta.Cte.U$S 306</t>
  </si>
  <si>
    <t>Atlas Cta Comp Usd 950</t>
  </si>
  <si>
    <t>Financiera Rio Saeca U$S 009</t>
  </si>
  <si>
    <t>Solar S.A. De Ahorro Y Prestamo U$D 353</t>
  </si>
  <si>
    <t>Financiera Paraguaya Japonesa U$S 065</t>
  </si>
  <si>
    <t>Bco. Familiar Comp. Gs-761</t>
  </si>
  <si>
    <t>Vision Banco Cta.Cte.Gs 116</t>
  </si>
  <si>
    <t>Continental Cta.Cte.Gs 205</t>
  </si>
  <si>
    <t>Atlas Gs. 256</t>
  </si>
  <si>
    <t>Basa Gs 599</t>
  </si>
  <si>
    <t>Banco Nacional de Fomento Gs 626</t>
  </si>
  <si>
    <t>Solar S.A. De Ahorro Y Prestamo Gs. 352</t>
  </si>
  <si>
    <t>Financiera Paraguaya Japonesa Gs. 064</t>
  </si>
  <si>
    <t>La composición de los fondos disponibles en Caja y Recaudaciones a Depositar, es como sigue:</t>
  </si>
  <si>
    <t>TOTAL CAJA/RECAUDACIONES A DEPOSITAR</t>
  </si>
  <si>
    <r>
      <t>d)</t>
    </r>
    <r>
      <rPr>
        <b/>
        <sz val="12"/>
        <color indexed="8"/>
        <rFont val="Calibri"/>
        <family val="2"/>
      </rPr>
      <t>       Disponibilidades</t>
    </r>
  </si>
  <si>
    <t>Accion</t>
  </si>
  <si>
    <t>VALOR DE MERCADO</t>
  </si>
  <si>
    <t>TITULOS DE RENTA VARIABLE</t>
  </si>
  <si>
    <t>Acciones en  Market Data SA</t>
  </si>
  <si>
    <t>Acciones en AFPISA</t>
  </si>
  <si>
    <t>Acciones en Procampo Gerenciamientos SA</t>
  </si>
  <si>
    <t>Acciones en  Codesarrollos SA</t>
  </si>
  <si>
    <t>Accion en BVPASA</t>
  </si>
  <si>
    <t xml:space="preserve"> UNITARIO</t>
  </si>
  <si>
    <t>VALOR DE</t>
  </si>
  <si>
    <t xml:space="preserve"> COTIZACION</t>
  </si>
  <si>
    <t xml:space="preserve">VALOR NOMINAL </t>
  </si>
  <si>
    <t xml:space="preserve">VALOR </t>
  </si>
  <si>
    <t>DE COTIZACION</t>
  </si>
  <si>
    <t>DOCUMENTOS Y  CUENTAS A COBRAR</t>
  </si>
  <si>
    <t>CUENTAS POR COBRAR A PERSONAS Y EMP. RELACIONADAS</t>
  </si>
  <si>
    <t>f)       Créditos</t>
  </si>
  <si>
    <t>Balance Gral. Resol. 6'!A1</t>
  </si>
  <si>
    <t>Balance Gral. Resol. 30'!A1</t>
  </si>
  <si>
    <t xml:space="preserve">Intereses a Vencer -  </t>
  </si>
  <si>
    <t>GASTOS NO DEVENGADOS - Nota 5 h</t>
  </si>
  <si>
    <t xml:space="preserve">Seguros a Vencer </t>
  </si>
  <si>
    <t xml:space="preserve">Garantía de Alquiler  </t>
  </si>
  <si>
    <t>GASTOS NO DEVENGADOS  - Nota 5 j</t>
  </si>
  <si>
    <r>
      <t>h)</t>
    </r>
    <r>
      <rPr>
        <b/>
        <sz val="12"/>
        <color indexed="8"/>
        <rFont val="Calibri"/>
        <family val="2"/>
      </rPr>
      <t>       Cargos Diferidos</t>
    </r>
  </si>
  <si>
    <t>Se componen de la siguiente manera;</t>
  </si>
  <si>
    <t>Cuentas a cobrar a Directores y Accionistas</t>
  </si>
  <si>
    <t>DEUDORES VARIOS</t>
  </si>
  <si>
    <t>Garantia de Alquiler - Estacionamiento</t>
  </si>
  <si>
    <r>
      <t>g)</t>
    </r>
    <r>
      <rPr>
        <b/>
        <sz val="12"/>
        <color indexed="8"/>
        <rFont val="Calibri"/>
        <family val="2"/>
      </rPr>
      <t>      Bienes de Uso</t>
    </r>
  </si>
  <si>
    <t>Los saldos de la cuentas estan compuestas como siguen;</t>
  </si>
  <si>
    <t>i)   Intangibles</t>
  </si>
  <si>
    <t>Las cuentas que la componen son las siguientes;</t>
  </si>
  <si>
    <t>Valor llave por compra Acciones Codesa</t>
  </si>
  <si>
    <t>Diferencia entre el Precio de Venta y el Valor nominal</t>
  </si>
  <si>
    <t>Licencia de windows</t>
  </si>
  <si>
    <t>Prestamos Bancarios</t>
  </si>
  <si>
    <t>IPS a pagar</t>
  </si>
  <si>
    <t>S/Vcto</t>
  </si>
  <si>
    <t>Cattle SA</t>
  </si>
  <si>
    <t>Be Live SA</t>
  </si>
  <si>
    <r>
      <t>v)</t>
    </r>
    <r>
      <rPr>
        <b/>
        <sz val="12"/>
        <color indexed="8"/>
        <rFont val="Calibri"/>
        <family val="2"/>
      </rPr>
      <t>       Ingresos Operativos</t>
    </r>
  </si>
  <si>
    <t>Estado de Resultado Resol. 30'!A1</t>
  </si>
  <si>
    <t>Ingresos Operativos - Nota v</t>
  </si>
  <si>
    <t>Gastos de Comercialización -Nota w</t>
  </si>
  <si>
    <t>Gastos Operativos - Nota W</t>
  </si>
  <si>
    <r>
      <t>x)</t>
    </r>
    <r>
      <rPr>
        <b/>
        <sz val="12"/>
        <color indexed="8"/>
        <rFont val="Calibri"/>
        <family val="2"/>
      </rPr>
      <t>       Otros Ingresos y Egresos</t>
    </r>
  </si>
  <si>
    <t>Resultados financieros Nota y</t>
  </si>
  <si>
    <t>Otros ingresos y Egresos - Nota x</t>
  </si>
  <si>
    <r>
      <t>y)</t>
    </r>
    <r>
      <rPr>
        <b/>
        <sz val="12"/>
        <color indexed="8"/>
        <rFont val="Calibri"/>
        <family val="2"/>
      </rPr>
      <t>       Resultados Financieros</t>
    </r>
  </si>
  <si>
    <r>
      <t xml:space="preserve">z)  </t>
    </r>
    <r>
      <rPr>
        <b/>
        <sz val="12"/>
        <color indexed="8"/>
        <rFont val="Calibri"/>
        <family val="2"/>
      </rPr>
      <t xml:space="preserve">Resultados Extraordinarios </t>
    </r>
  </si>
  <si>
    <t>Resultados  extraordinarias -Nota z</t>
  </si>
  <si>
    <r>
      <t>S)</t>
    </r>
    <r>
      <rPr>
        <b/>
        <sz val="12"/>
        <color indexed="8"/>
        <rFont val="Calibri"/>
        <family val="2"/>
      </rPr>
      <t>       Resultados con Personas y Empresas Vinculadas</t>
    </r>
  </si>
  <si>
    <t>Intereses Diferidos M/L</t>
  </si>
  <si>
    <t>OTROS PASIVOS - Nota q</t>
  </si>
  <si>
    <t>Las 25 notas que se acompañan forman parte integrante de los Estados Financieros</t>
  </si>
  <si>
    <t>N/A</t>
  </si>
  <si>
    <t>Constructora</t>
  </si>
  <si>
    <t>N.º de Documento</t>
  </si>
  <si>
    <t>Estado de Variación Patrimonial</t>
  </si>
  <si>
    <t>Nota 2 - Información de la Empresa</t>
  </si>
  <si>
    <t>Nota 3 - Principales Políticas y Practicas Contables</t>
  </si>
  <si>
    <t>Nota 4 - Cambio de Políticas y Proceda. Contables</t>
  </si>
  <si>
    <t>Nota 5 - Criterios Específicos de Valuación</t>
  </si>
  <si>
    <t>a. Valuación Moneda Extranjera</t>
  </si>
  <si>
    <t>posición Moneda Extranjera</t>
  </si>
  <si>
    <t>diferencia de cambio</t>
  </si>
  <si>
    <t>d. Disponibilidades</t>
  </si>
  <si>
    <t>créditos</t>
  </si>
  <si>
    <t>g. Bienes de Cambio</t>
  </si>
  <si>
    <t>cargos Diferidos</t>
  </si>
  <si>
    <t xml:space="preserve">préstamos </t>
  </si>
  <si>
    <t>documentos y Ctas a Cobrar</t>
  </si>
  <si>
    <t>acreedores por Intermediación</t>
  </si>
  <si>
    <t>o. Cuentas a Pagar - Relacionadas -</t>
  </si>
  <si>
    <t>obligaciones Contrato de Underwriting</t>
  </si>
  <si>
    <t>otros Pasivos</t>
  </si>
  <si>
    <t>r. Saldos y Transacciones - Relacionadas -</t>
  </si>
  <si>
    <t>patrimonio</t>
  </si>
  <si>
    <t>ingresos Operativos</t>
  </si>
  <si>
    <t>w. Otros Gastos Operativos</t>
  </si>
  <si>
    <t>contingencias Legales</t>
  </si>
  <si>
    <t>garantías Constituidas</t>
  </si>
  <si>
    <t>ANEXO F DE LA RESOLUCION N.º 30/21</t>
  </si>
  <si>
    <t>Información Gral de la Empresa</t>
  </si>
  <si>
    <t>Nota A Los Estados Contables</t>
  </si>
  <si>
    <t>Nota 5 A-C Criterios Especif.</t>
  </si>
  <si>
    <t>Nota D - Disponibilidades</t>
  </si>
  <si>
    <t>Nota E - Inversiones</t>
  </si>
  <si>
    <t>Nota F - Creditos</t>
  </si>
  <si>
    <t>Nota G Bienes De Uso</t>
  </si>
  <si>
    <t>Nota H Cargos Diferidos</t>
  </si>
  <si>
    <t xml:space="preserve"> Nota I Intangibles</t>
  </si>
  <si>
    <t>Nota J Otros Activos Ctes Y No Corrientes</t>
  </si>
  <si>
    <t>Nota K Prestamos</t>
  </si>
  <si>
    <t>Nota L Documentos Y Ctas A Pagar</t>
  </si>
  <si>
    <t>Notas M-Q Acreedores Cto Plazo</t>
  </si>
  <si>
    <t xml:space="preserve">Nota R Saldos Y Transacciones </t>
  </si>
  <si>
    <t>Nota S Resultados Con Personas</t>
  </si>
  <si>
    <t xml:space="preserve"> Nota T Patrimonio</t>
  </si>
  <si>
    <t>Nota V Ingresos Operativos</t>
  </si>
  <si>
    <t>Nota W Otros Gastos Operativos</t>
  </si>
  <si>
    <t>Nota X Otros Ingresos Y Egresos</t>
  </si>
  <si>
    <t>Nota Y Resultados Financieros</t>
  </si>
  <si>
    <t>Nota Z Result Extraord</t>
  </si>
  <si>
    <t>Nota 6 Informacion Referente</t>
  </si>
  <si>
    <t xml:space="preserve">Calculo De Iracis </t>
  </si>
  <si>
    <t>I-Información General De Investor Casa De Bolsa Sa</t>
  </si>
  <si>
    <t>II-Estados Financieros Basicos</t>
  </si>
  <si>
    <t>III Notas a los Estados Contables</t>
  </si>
  <si>
    <t>Rendimientos de Inversiones</t>
  </si>
  <si>
    <t>Otros Prestamos</t>
  </si>
  <si>
    <t>Valuación Inversiones Permanentes</t>
  </si>
  <si>
    <t>Otros Pasivos</t>
  </si>
  <si>
    <t>APORTES DE CAPITAL A CUENTA</t>
  </si>
  <si>
    <t>Aporte a Cuenta de Futuras Capitalizaciones</t>
  </si>
  <si>
    <t>Prima de Emision Suscriptas</t>
  </si>
  <si>
    <t>Sueldos Y Otras Remuneraciones Al Person</t>
  </si>
  <si>
    <t>Sueldos Y Jornales</t>
  </si>
  <si>
    <t>Otros Beneficios Al Personal</t>
  </si>
  <si>
    <t>Capacitacion Al Personal</t>
  </si>
  <si>
    <t>Bonificación Familiar</t>
  </si>
  <si>
    <t>Gastos De Representación</t>
  </si>
  <si>
    <t>Servicios Prestados Por Terceros</t>
  </si>
  <si>
    <t>Honorarios Profesionales</t>
  </si>
  <si>
    <t>Servicios Contratados Ire</t>
  </si>
  <si>
    <t>Servicios Personales Irp</t>
  </si>
  <si>
    <t>Agua, Luz, Teléfono E Internet</t>
  </si>
  <si>
    <t>Movilidad Y Viaticos</t>
  </si>
  <si>
    <t>Combustibles Y Lubricantes</t>
  </si>
  <si>
    <t>Reparaciones Y Mantenimientos</t>
  </si>
  <si>
    <t>Seguros Devengados</t>
  </si>
  <si>
    <t>Refrigerio Y Cafeteria</t>
  </si>
  <si>
    <t>Comunicaciones Y Propagandas</t>
  </si>
  <si>
    <t>Papeleria E Impresos</t>
  </si>
  <si>
    <t>Gastos No Deducibles</t>
  </si>
  <si>
    <t>Dominios Y Suscripciones</t>
  </si>
  <si>
    <t>Gastos de encomiendas y envíos</t>
  </si>
  <si>
    <t>Gastos Informaticos</t>
  </si>
  <si>
    <t>Gastos De Impuestos</t>
  </si>
  <si>
    <t>Iva Gnd</t>
  </si>
  <si>
    <t>Impuestos, Patentes, Tasas Y Otras Contr</t>
  </si>
  <si>
    <t>Otros Beneficios Al Personal de Ventas</t>
  </si>
  <si>
    <t>Comisiones Pagadas por Ventas</t>
  </si>
  <si>
    <t>Publicidad Y Propaganda</t>
  </si>
  <si>
    <t>FLUJO DE EFECTIVO</t>
  </si>
  <si>
    <t>(+) Debe</t>
  </si>
  <si>
    <t>(+) Entrada Efectivo</t>
  </si>
  <si>
    <t>(-) Haber</t>
  </si>
  <si>
    <t>(-) Salida de Dinero</t>
  </si>
  <si>
    <t>ACTIVIDADES</t>
  </si>
  <si>
    <t>ACTIVIDADES DE</t>
  </si>
  <si>
    <t>BALANCE   Y</t>
  </si>
  <si>
    <t>ELIMINACIONES</t>
  </si>
  <si>
    <t>VARIACIÓN</t>
  </si>
  <si>
    <t>ACTIVIDADES DE OPERACIÓN</t>
  </si>
  <si>
    <t>DE INVERSION</t>
  </si>
  <si>
    <t>FINANCIAMIENTOS</t>
  </si>
  <si>
    <t>TOTAL</t>
  </si>
  <si>
    <t>DEBITOS</t>
  </si>
  <si>
    <t>RECIBIDO DE</t>
  </si>
  <si>
    <t>OTROS</t>
  </si>
  <si>
    <t>PAGOS PROVEED.</t>
  </si>
  <si>
    <t>PAGOS IMP</t>
  </si>
  <si>
    <t xml:space="preserve">PAGO A </t>
  </si>
  <si>
    <t>COBROS (PAGOS)</t>
  </si>
  <si>
    <t>(USADOS)</t>
  </si>
  <si>
    <t>AL  31/12/2021</t>
  </si>
  <si>
    <t>(CREDITOS)</t>
  </si>
  <si>
    <t>CLIENTES</t>
  </si>
  <si>
    <t>BENEFICIOS</t>
  </si>
  <si>
    <t>P/MERCAD.</t>
  </si>
  <si>
    <t>RENTA</t>
  </si>
  <si>
    <t>EMPLEADOS</t>
  </si>
  <si>
    <t>ENTES RELACIONADOS</t>
  </si>
  <si>
    <t>PROVISTOS</t>
  </si>
  <si>
    <t xml:space="preserve">ACTIVO </t>
  </si>
  <si>
    <t xml:space="preserve">CREDITOS FISCALES </t>
  </si>
  <si>
    <t>ANTICIPO DE IRACIS</t>
  </si>
  <si>
    <t>DEUDORES VARIOS Y OTROS CREDITOS</t>
  </si>
  <si>
    <t xml:space="preserve">(PREVISIÓN P/ INCOBRABLES)   </t>
  </si>
  <si>
    <t>INVERSIONES EN VALORES PUBLICOS Y PRIVADOS</t>
  </si>
  <si>
    <t xml:space="preserve">INVERSIONES EN OTRAS EMPRESAS </t>
  </si>
  <si>
    <t xml:space="preserve">BIENES DE USO                           </t>
  </si>
  <si>
    <t xml:space="preserve">(DEPRE. ACUMULADAS)              </t>
  </si>
  <si>
    <t>BIENES INTANGIBLES</t>
  </si>
  <si>
    <t>(AMORTIZACION DE INTANGIBLES)</t>
  </si>
  <si>
    <t>GASTOS DIFERIDOS O NO DEVENGADOS</t>
  </si>
  <si>
    <t>TOTAL ACTIVO</t>
  </si>
  <si>
    <t xml:space="preserve">PASIVO  </t>
  </si>
  <si>
    <t xml:space="preserve">PRESTAMOS EN BANCOS              </t>
  </si>
  <si>
    <t xml:space="preserve">ACREEDORES POR INTERMEDIACION                               </t>
  </si>
  <si>
    <t>OTRAS DEUDAS (NO INCLUIDAS ANTERIORMENTE)</t>
  </si>
  <si>
    <t>DIVIDENDOS A DISTRIBUIR</t>
  </si>
  <si>
    <t>IMPUESTO A LA RENTA A PAGAR</t>
  </si>
  <si>
    <t>SUELDOS A PAGAR Y EMPRESAS RELACIONADAS</t>
  </si>
  <si>
    <t>CAPITAL INTEGRADO</t>
  </si>
  <si>
    <t>RESERVA DE REVALUO</t>
  </si>
  <si>
    <t>RESERVA LEGAL</t>
  </si>
  <si>
    <t>REVALUO BVPASA</t>
  </si>
  <si>
    <t>RESULTADOS  ACUMULADOS</t>
  </si>
  <si>
    <t>RETIRO A CTA DE UTILIDADES</t>
  </si>
  <si>
    <t>UTILIDADES DEL EJERCICIO</t>
  </si>
  <si>
    <t>TOTAL PASIVO Y PATRIMONIO NETO</t>
  </si>
  <si>
    <t>ESTADO DE RESUTADO</t>
  </si>
  <si>
    <t>INGRESOS POR INTERMEDIACION Y COMISIONES (OPERATIVOS)</t>
  </si>
  <si>
    <t>OTROS INGRESOS OPERATIVOS</t>
  </si>
  <si>
    <t>INTERESES DEVENGADOS POSITIVO</t>
  </si>
  <si>
    <t>DIVIDENDOS COBRADOS</t>
  </si>
  <si>
    <t>COSTO DE VENTAS</t>
  </si>
  <si>
    <t>SUELDOS Y JORNALES</t>
  </si>
  <si>
    <t>GASTOS DE VENTAS</t>
  </si>
  <si>
    <t>GASTOS GENERALES</t>
  </si>
  <si>
    <t>DEPRECIACIÓN Y AMORTIZACION DEL EJERCICIO</t>
  </si>
  <si>
    <t>SEGUROS</t>
  </si>
  <si>
    <t>INTERESES PAGADOS Y DEVENGADOS PRESTAMOS</t>
  </si>
  <si>
    <t xml:space="preserve">IMPUESTO A LA RENTA  </t>
  </si>
  <si>
    <t>RESULTADO DEL EJERCICIO</t>
  </si>
  <si>
    <t>Producto de la Venta de B. Uso</t>
  </si>
  <si>
    <t>Flujos de Efectivo por Actividades de Operación</t>
  </si>
  <si>
    <t>Efectivo Recibido de Clientes</t>
  </si>
  <si>
    <t>Efectivo Recibido por Otros Beneficios</t>
  </si>
  <si>
    <t xml:space="preserve">Efectivo pagado a Proveedores </t>
  </si>
  <si>
    <t>Efectivo pagado a Empleados</t>
  </si>
  <si>
    <t>Otros pagos y cobros</t>
  </si>
  <si>
    <t>Inversiones en Otras Empresas</t>
  </si>
  <si>
    <t>Producto de la Venta de Bienes de Uso</t>
  </si>
  <si>
    <t>Efectivo neto provisto (usado) por Actividades de inversion</t>
  </si>
  <si>
    <t>Flujos de Efectivo por Actividades de Financiamiento</t>
  </si>
  <si>
    <t>Préstamos bancarios</t>
  </si>
  <si>
    <t>Proveniente de emisión de acciones</t>
  </si>
  <si>
    <t>Efectivo neto provisto (usado) por Actividades de Financiamiento</t>
  </si>
  <si>
    <t>Aumento (disminución) de efectivo y equivalente de efectivo</t>
  </si>
  <si>
    <t>Efectivo y equivalentes de efectivo al inicio</t>
  </si>
  <si>
    <t>Efectivo y equivalentes de efectivo al final de periodo</t>
  </si>
  <si>
    <t>APORTE A FUTURA CAPITALIZACION(EFECTIVO) -PRIMA DE EMISION</t>
  </si>
  <si>
    <t>Pagos a proveedores y otras obligaciones comerciales</t>
  </si>
  <si>
    <t>Otros Intereses a pagar Repos</t>
  </si>
  <si>
    <t>Prestamos Repos</t>
  </si>
  <si>
    <t xml:space="preserve">Menos Amortizacion Repos con Cupones </t>
  </si>
  <si>
    <t>Presentacion</t>
  </si>
  <si>
    <t>Periodo Actual</t>
  </si>
  <si>
    <t>Resultados</t>
  </si>
  <si>
    <t>Itau Cta. Cte. Usd 3485 - Administrativa</t>
  </si>
  <si>
    <t>Itau Cta. Cte. Administrativa 338</t>
  </si>
  <si>
    <t>BANCO RIO S.A.E.C.A.</t>
  </si>
  <si>
    <t>Total al 31/12/2021</t>
  </si>
  <si>
    <t>Acciones en  Caja de Valores del Py SA</t>
  </si>
  <si>
    <t>Clientes Locales M/L</t>
  </si>
  <si>
    <t>Clientes Locales M/E</t>
  </si>
  <si>
    <t>Documentos a Cobrar por Operaciones Propias M/L</t>
  </si>
  <si>
    <t>Anticipos de Impuesto IRE</t>
  </si>
  <si>
    <t>Retenciones De Iva</t>
  </si>
  <si>
    <t>Retenciones IDU</t>
  </si>
  <si>
    <t xml:space="preserve">IVA - Crédito a favor - DDJJ </t>
  </si>
  <si>
    <t>Anticipos A Proveedores Locales. M/L</t>
  </si>
  <si>
    <t>Anticipos al Personal M/L</t>
  </si>
  <si>
    <t>MUEBLES Y UTILES DE OFICINA</t>
  </si>
  <si>
    <t>RODADOS</t>
  </si>
  <si>
    <t>EQUIPOS DE INFORMATICA</t>
  </si>
  <si>
    <t>EQUIPOS DE OFICINA</t>
  </si>
  <si>
    <t>INSTALACIONES</t>
  </si>
  <si>
    <t>UTILES Y ENSERES</t>
  </si>
  <si>
    <t>INMUEBLES-TERRENOS</t>
  </si>
  <si>
    <t>CONSTRUCCIONES EN CURSO</t>
  </si>
  <si>
    <t>(-) Amortizaciones de Intangibles</t>
  </si>
  <si>
    <t>CONTINENTAL</t>
  </si>
  <si>
    <t>GNB FUSION</t>
  </si>
  <si>
    <t>BANCO ITAU</t>
  </si>
  <si>
    <t>Intereses a Pagar  a Bancos M/L</t>
  </si>
  <si>
    <t>Intereses a Pagar  a Bancos M/E</t>
  </si>
  <si>
    <t>Intereses sobre REPOS a Pagar - M/L</t>
  </si>
  <si>
    <t>Intereses sobre REPOS a Pagar - M/E</t>
  </si>
  <si>
    <t>Proveedores Locales M/L</t>
  </si>
  <si>
    <t>Proveedores Locales M/E</t>
  </si>
  <si>
    <t>Tarjeta de Crédito- AA</t>
  </si>
  <si>
    <t>Tarjeta de Crédito- FC</t>
  </si>
  <si>
    <t>Tarjeta de Crédito- SO</t>
  </si>
  <si>
    <t>Tarjeta de Crédito- AN</t>
  </si>
  <si>
    <t>Cuentas a pagar</t>
  </si>
  <si>
    <t>Juan Jose Talavera</t>
  </si>
  <si>
    <t>Edge SA</t>
  </si>
  <si>
    <t>In Positiva</t>
  </si>
  <si>
    <t>Incubate</t>
  </si>
  <si>
    <t>Metis</t>
  </si>
  <si>
    <t>Infi SA</t>
  </si>
  <si>
    <t>Totales Resultados Financieros</t>
  </si>
  <si>
    <t>Otros Ingresos Extraordinarios</t>
  </si>
  <si>
    <t>Amortizaciones y Depreciaciones</t>
  </si>
  <si>
    <t>De acuerdo a lo previsto en el artículo 111 de la Ley 5810/17, la entidad tiene constituida como garantía la suma de U$S 100.000- , representados por 2 Certificados de Depositos de Ahorro, de U$$ 50.000 cada uno, emitidos por BANCO RIO SAECA, corresponden a la serie del titulo UH N° 0210/211 respectivamente.</t>
  </si>
  <si>
    <t>En fecha 25/11/ 2021, se constituyo prenda de certificado de deposito de ahorro - 1 CDA- a favor de BANCO ITAU  SA, en garantia de los prestamos obtenidos  con dicho banco, de USD 1.627.000. El valor del CDA en Garantia es de Gs. 18.588.866.686 . CDA ITAU SERIE BB 5846</t>
  </si>
  <si>
    <r>
      <t>NOTA 8.</t>
    </r>
    <r>
      <rPr>
        <sz val="9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LIMITACION A LA LIBRE DISPONIBILIDAD DE LOS ACTIVOS O DEL PATRIMONIO Y DE CUALQUIER RESTRICCION AL DERECHO DE PROPIEDAD.</t>
    </r>
  </si>
  <si>
    <t xml:space="preserve">Totales Creditos </t>
  </si>
  <si>
    <t>PERIODO ANTERIOR   31/12/ 2021</t>
  </si>
  <si>
    <t xml:space="preserve">Los estados Contables han sido preparados de acuerdo a la Resolución Nro. 30/21 de la Comisión Nacional de Valores, Capitulo 9 del reglamento general del Mercado de Valores. </t>
  </si>
  <si>
    <t>Son aplicados los criterios de valuación y exposición estipulados en la reglamentación general del Mercado de Valores, atendiendo el Capitulo 9, de la Resolución 30/21 de la CNV.</t>
  </si>
  <si>
    <t>GNB en Proceso de Fusion Cta.Cte. Gs 493</t>
  </si>
  <si>
    <t>GNB en Proceso de Fusion Cta.Cte. U$S-11-1705507</t>
  </si>
  <si>
    <t>Bco Regional Comp 368</t>
  </si>
  <si>
    <t>Financiera UENO SAECA Caja De Ahorros Gs</t>
  </si>
  <si>
    <t>Financiera UENO SAECA U$D 95704003</t>
  </si>
  <si>
    <t xml:space="preserve">Tu Financiera 5688382 </t>
  </si>
  <si>
    <t>Tu Financiera 9429269 USD</t>
  </si>
  <si>
    <r>
      <t>e)</t>
    </r>
    <r>
      <rPr>
        <b/>
        <sz val="9"/>
        <color indexed="8"/>
        <rFont val="Calibri"/>
        <family val="2"/>
      </rPr>
      <t>   Inversiones  Temporales y Permanentes</t>
    </r>
  </si>
  <si>
    <t>BANCO FAMILIAR S.A.E.C.A.</t>
  </si>
  <si>
    <t>BANCO ITAÚ PARAGUAY S.A.</t>
  </si>
  <si>
    <t>MINISTERIO DE HACIENDA</t>
  </si>
  <si>
    <t>RENDIMIENTOS E  INTERESES A VENCER</t>
  </si>
  <si>
    <t xml:space="preserve">LC RISK MANAGEMENT S.A.E.C.A. </t>
  </si>
  <si>
    <t>COMPAÑIA ADMINISTRADORA DE RIESGOS SA</t>
  </si>
  <si>
    <t>Acciones en IN FI SA</t>
  </si>
  <si>
    <t>Corresponde a cuentas por cobrar a diversos clientes. Su composición actual comparado con el ejercicio anterior, es como sigue:</t>
  </si>
  <si>
    <t>Funcionario</t>
  </si>
  <si>
    <t>Camila Montserrat Camila Venialdo</t>
  </si>
  <si>
    <t>Ivan Casamayouret</t>
  </si>
  <si>
    <t>Maria Jose Araújo Vazquez</t>
  </si>
  <si>
    <t>Gastos De Administración</t>
  </si>
  <si>
    <t>Remuneración por Servicios Personales</t>
  </si>
  <si>
    <t xml:space="preserve">Servicios Personales Independientes </t>
  </si>
  <si>
    <t>Útiles De Oficina</t>
  </si>
  <si>
    <t>Insumos y Artículos de Limpieza</t>
  </si>
  <si>
    <t xml:space="preserve">Anticipos a Clientes por Intermediacón </t>
  </si>
  <si>
    <t>Amortización con Cupones</t>
  </si>
  <si>
    <t>Anticipos de Clientes por Compra de Acciones ML</t>
  </si>
  <si>
    <t>Anticipo de Cliente para Operaciones ME</t>
  </si>
  <si>
    <t>Anticipos a Devengar a Empleados</t>
  </si>
  <si>
    <t>Ingresos por intereses y dividendos de Cartera propia</t>
  </si>
  <si>
    <r>
      <t>I.</t>
    </r>
    <r>
      <rPr>
        <sz val="7"/>
        <color rgb="FF2F5496"/>
        <rFont val="Calibri"/>
        <family val="2"/>
        <scheme val="minor"/>
      </rPr>
      <t xml:space="preserve">               </t>
    </r>
    <r>
      <rPr>
        <sz val="16"/>
        <color rgb="FF2F5496"/>
        <rFont val="Calibri"/>
        <family val="2"/>
        <scheme val="minor"/>
      </rPr>
      <t>INFORMACION GENERAL DE LA ENTIDAD</t>
    </r>
  </si>
  <si>
    <r>
      <t>Actividad Principal:</t>
    </r>
    <r>
      <rPr>
        <sz val="9"/>
        <color theme="1"/>
        <rFont val="Calibri"/>
        <family val="2"/>
        <scheme val="minor"/>
      </rPr>
      <t xml:space="preserve"> (Compra y Venta de Valores - Asesoría en Materia de Valores)</t>
    </r>
  </si>
  <si>
    <r>
      <t xml:space="preserve">Registro CNV: </t>
    </r>
    <r>
      <rPr>
        <sz val="9"/>
        <color theme="1"/>
        <rFont val="Calibri"/>
        <family val="2"/>
        <scheme val="minor"/>
      </rPr>
      <t>según resolución Nro.1275/10 de fecha 19 de mayo 2010</t>
    </r>
  </si>
  <si>
    <r>
      <t>Código de Bolsa:</t>
    </r>
    <r>
      <rPr>
        <sz val="9"/>
        <color theme="1"/>
        <rFont val="Calibri"/>
        <family val="2"/>
        <scheme val="minor"/>
      </rPr>
      <t xml:space="preserve"> 021 según resolución 915/10 de fecha 31 de mayo 2010</t>
    </r>
  </si>
  <si>
    <r>
      <t>Dirección Oficina Principal:</t>
    </r>
    <r>
      <rPr>
        <sz val="9"/>
        <color theme="1"/>
        <rFont val="Calibri"/>
        <family val="2"/>
        <scheme val="minor"/>
      </rPr>
      <t xml:space="preserve"> Avenida Brasilia N° 764</t>
    </r>
  </si>
  <si>
    <r>
      <t xml:space="preserve">Teléfono/Fax:  </t>
    </r>
    <r>
      <rPr>
        <sz val="9"/>
        <color theme="1"/>
        <rFont val="Calibri"/>
        <family val="2"/>
        <scheme val="minor"/>
      </rPr>
      <t>+595981- 666670</t>
    </r>
  </si>
  <si>
    <r>
      <t xml:space="preserve">Página Web: </t>
    </r>
    <r>
      <rPr>
        <sz val="9"/>
        <color theme="1"/>
        <rFont val="Calibri"/>
        <family val="2"/>
        <scheme val="minor"/>
      </rPr>
      <t>www.investor.com.py</t>
    </r>
  </si>
  <si>
    <r>
      <t>Domicilio Legal:</t>
    </r>
    <r>
      <rPr>
        <sz val="9"/>
        <color theme="1"/>
        <rFont val="Calibri"/>
        <family val="2"/>
        <scheme val="minor"/>
      </rPr>
      <t xml:space="preserve">  Asunción- Paraguay</t>
    </r>
  </si>
  <si>
    <r>
      <t>Escritura modificada Nro.:</t>
    </r>
    <r>
      <rPr>
        <sz val="9"/>
        <color theme="1"/>
        <rFont val="Calibri"/>
        <family val="2"/>
        <scheme val="minor"/>
      </rPr>
      <t xml:space="preserve"> 18 de fecha 25 de marzo de 2022</t>
    </r>
  </si>
  <si>
    <r>
      <t>Inscripción en el Registro Público</t>
    </r>
    <r>
      <rPr>
        <sz val="9"/>
        <color theme="1"/>
        <rFont val="Calibri"/>
        <family val="2"/>
        <scheme val="minor"/>
      </rPr>
      <t>: En proceso de inscripcion.</t>
    </r>
  </si>
  <si>
    <r>
      <t>Reforma de Estatuto:</t>
    </r>
    <r>
      <rPr>
        <sz val="9"/>
        <color theme="1"/>
        <rFont val="Calibri"/>
        <family val="2"/>
        <scheme val="minor"/>
      </rPr>
      <t xml:space="preserve"> Modificación del Art. N° 6 donde se fija el Capital Social de la Sociedad a Gs. 100.000.000.000 (Guaraníes Cien mil millones)</t>
    </r>
  </si>
  <si>
    <r>
      <t xml:space="preserve">Presidente: </t>
    </r>
    <r>
      <rPr>
        <sz val="9"/>
        <color theme="1"/>
        <rFont val="Calibri"/>
        <family val="2"/>
        <scheme val="minor"/>
      </rPr>
      <t>Federico Sebastian Oporto</t>
    </r>
  </si>
  <si>
    <r>
      <t>Vice-Presidente:</t>
    </r>
    <r>
      <rPr>
        <sz val="9"/>
        <color theme="1"/>
        <rFont val="Calibri"/>
        <family val="2"/>
        <scheme val="minor"/>
      </rPr>
      <t xml:space="preserve"> Federico Callizo Pecci</t>
    </r>
  </si>
  <si>
    <r>
      <t>Director Titular:</t>
    </r>
    <r>
      <rPr>
        <sz val="9"/>
        <color theme="1"/>
        <rFont val="Calibri"/>
        <family val="2"/>
        <scheme val="minor"/>
      </rPr>
      <t xml:space="preserve"> Albaro Jose Acosta </t>
    </r>
  </si>
  <si>
    <r>
      <t>Director Titular</t>
    </r>
    <r>
      <rPr>
        <sz val="9"/>
        <color theme="1"/>
        <rFont val="Calibri"/>
        <family val="2"/>
        <scheme val="minor"/>
      </rPr>
      <t>: Ana Cristina Neffa</t>
    </r>
  </si>
  <si>
    <r>
      <t>Director Titular:</t>
    </r>
    <r>
      <rPr>
        <sz val="9"/>
        <color rgb="FF000000"/>
        <rFont val="Calibri"/>
        <family val="2"/>
        <scheme val="minor"/>
      </rPr>
      <t xml:space="preserve"> Fabio Daniel Zarza</t>
    </r>
    <r>
      <rPr>
        <sz val="9"/>
        <color theme="1"/>
        <rFont val="Calibri"/>
        <family val="2"/>
        <scheme val="minor"/>
      </rPr>
      <t xml:space="preserve"> </t>
    </r>
  </si>
  <si>
    <r>
      <t>Síndico:</t>
    </r>
    <r>
      <rPr>
        <sz val="9"/>
        <color theme="1"/>
        <rFont val="Calibri"/>
        <family val="2"/>
        <scheme val="minor"/>
      </rPr>
      <t xml:space="preserve"> Juan José Talavera Saguier</t>
    </r>
  </si>
  <si>
    <r>
      <t>Auditor Externo Independiente Asignado:</t>
    </r>
    <r>
      <rPr>
        <sz val="9"/>
        <color theme="1"/>
        <rFont val="Calibri"/>
        <family val="2"/>
        <scheme val="minor"/>
      </rPr>
      <t xml:space="preserve"> MARTI &amp; ASOCIADOS</t>
    </r>
    <r>
      <rPr>
        <b/>
        <sz val="9"/>
        <color theme="1"/>
        <rFont val="Calibri"/>
        <family val="2"/>
        <scheme val="minor"/>
      </rPr>
      <t xml:space="preserve"> </t>
    </r>
  </si>
  <si>
    <r>
      <t>Número de Inscripción en el Registro de la CNV:</t>
    </r>
    <r>
      <rPr>
        <sz val="9"/>
        <color theme="1"/>
        <rFont val="Calibri"/>
        <family val="2"/>
        <scheme val="minor"/>
      </rPr>
      <t xml:space="preserve"> Código AE-042</t>
    </r>
  </si>
  <si>
    <t>IN FI SA</t>
  </si>
  <si>
    <t>Asesoramiento</t>
  </si>
  <si>
    <r>
      <t xml:space="preserve">Capital Social de acuerdo al Artículo 6to. Del Estatuto Social es de Gs. 100.000.000.000.- (Guaraníes Cien mil millones). Representado por 100.000.- (cien mil) acciones nominativas ordinarias de </t>
    </r>
    <r>
      <rPr>
        <b/>
        <sz val="9"/>
        <color theme="1"/>
        <rFont val="Calibri"/>
        <family val="2"/>
        <scheme val="minor"/>
      </rPr>
      <t>valor nominal Gs. 1.000.000.- (Un millón) cada una.</t>
    </r>
  </si>
  <si>
    <r>
      <t>Capital Emitido: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</si>
  <si>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Suscripto: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</si>
  <si>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Capital Integrado:</t>
    </r>
    <r>
      <rPr>
        <sz val="9"/>
        <color theme="1"/>
        <rFont val="Calibri"/>
        <family val="2"/>
        <scheme val="minor"/>
      </rPr>
      <t xml:space="preserve"> Gs.42.764.000.000.- (guaraníes cuarenta y dos mil setecientos sesenta y cuatro millones).-</t>
    </r>
  </si>
  <si>
    <r>
      <t>Valor Nominal de las Acciones:</t>
    </r>
    <r>
      <rPr>
        <sz val="9"/>
        <color theme="1"/>
        <rFont val="Calibri"/>
        <family val="2"/>
        <scheme val="minor"/>
      </rPr>
      <t xml:space="preserve"> Gs. 1.000.000.- (guaraníes un millón). -</t>
    </r>
  </si>
  <si>
    <t>CUADRO DE CAPITAL INTEGRADO</t>
  </si>
  <si>
    <t>% De Participacion del Capital Integrado</t>
  </si>
  <si>
    <t>Marvin Elder Figueredo Gonzalez</t>
  </si>
  <si>
    <t>Aguinaldos</t>
  </si>
  <si>
    <t>Totales de Inversiones Temporales</t>
  </si>
  <si>
    <t>Sobregiros Bancarios</t>
  </si>
  <si>
    <t>Deudas Financieras</t>
  </si>
  <si>
    <r>
      <t>m)</t>
    </r>
    <r>
      <rPr>
        <b/>
        <sz val="9"/>
        <color indexed="8"/>
        <rFont val="Calibri"/>
        <family val="2"/>
      </rPr>
      <t>       Acreedores por Intermediación Corto y Largo Plazo. No aplicable.</t>
    </r>
  </si>
  <si>
    <t>Saldo en Cta de Clientes Pendientes de Liquidación  Por Intermediacion De Valores M/L</t>
  </si>
  <si>
    <t>Saldo en Cta de Clientes Pendientes de Liquidación  Por Intermediacion De Valores M/E</t>
  </si>
  <si>
    <t>Intereses a cobrar por Cupones de Bonos - En Repos</t>
  </si>
  <si>
    <t>Investor Casa de Bolsa. S.A. posee Acciones de la Empresa Investor Administradora de Fondos Patrimoniales de Inversión S.A., constituida en Asunción-Paraguay, por valor de Gs.4.080.000.000 que representan el 85% del Capital Social. –Ademas realizo un Aporte a Cuenta de Futuras Integraciones de Gs.1.275.000.000-</t>
  </si>
  <si>
    <t xml:space="preserve">Investor Casa de Bolsa. S.A. posee Acciones de la Empresa Procampo S.A., constituida en Asunción-Paraguay, por valor de Gs. 3.467.000.000 que representan el 70 % del Capital Social. </t>
  </si>
  <si>
    <t xml:space="preserve">Investor Casa de Bolsa. S.A. posee Acciones de la Empresa In Fi S.A., constituida en Asunción-Paraguay, por valor de Gs. 23.746.500.000 que representan el 66,40 % del Capital Social. </t>
  </si>
  <si>
    <t>*Sobregiros Bancarios Itau</t>
  </si>
  <si>
    <t xml:space="preserve"> INFORMACION SOBRE EL EMISOR </t>
  </si>
  <si>
    <t>CORRESPONDIENTE AL 30 DE SETIEMBRE DE 2022 PRESENTADO EN FORMA COMPARATIVA CON EL EJERCICIO ECONOMICO ANTERIOR  AL  31 DE DICIEMBRE DE  2021.</t>
  </si>
  <si>
    <t>PERIODO ACTUAL 30/09/ 2022</t>
  </si>
  <si>
    <t>CORRESPONDIENTE AL 30 DE SETIEMBRE DE 2022 PRESENTADO EN FORMA COMPARATIVA CON EL 30 DE SETIEMBRE DE 2021</t>
  </si>
  <si>
    <t>IVA Costo</t>
  </si>
  <si>
    <t>SALDO AL 30/09/2021</t>
  </si>
  <si>
    <t>SALDO AL 30/09/2022</t>
  </si>
  <si>
    <t>CORRESPONDIENTE AL 30 DE SETIEMBRE DE 2022 PRESENTADO EN FORMA COMPARATIVA CON EL  30 DE SETIEMBRE DE 2021</t>
  </si>
  <si>
    <t>Banco Rio 82310046006</t>
  </si>
  <si>
    <t>Total al 30/09/2022</t>
  </si>
  <si>
    <r>
      <t xml:space="preserve">Los Estados Contables (Balance General, Estado de Resultados, Estado de Flujo de Efectivo y Estado de Variación del Patrimonio Neto) correspondientes </t>
    </r>
    <r>
      <rPr>
        <b/>
        <sz val="9"/>
        <rFont val="Calibri"/>
        <family val="2"/>
      </rPr>
      <t>al  30 de Setiembre de 2022</t>
    </r>
    <r>
      <rPr>
        <sz val="9"/>
        <rFont val="Calibri"/>
        <family val="2"/>
      </rPr>
      <t xml:space="preserve"> han sido considerados y aprobados según </t>
    </r>
    <r>
      <rPr>
        <b/>
        <sz val="9"/>
        <rFont val="Calibri"/>
        <family val="2"/>
      </rPr>
      <t>Acta de Directorio N° 228/2022, de fecha 10/11/2022</t>
    </r>
    <r>
      <rPr>
        <sz val="9"/>
        <rFont val="Calibri"/>
        <family val="2"/>
      </rPr>
      <t xml:space="preserve"> .-</t>
    </r>
  </si>
  <si>
    <t>BANCO GNB</t>
  </si>
  <si>
    <t xml:space="preserve">BANCO CONTINENTAL </t>
  </si>
  <si>
    <t>CORTO PLAZO U$D.</t>
  </si>
  <si>
    <t>Nucleo S.A.E.</t>
  </si>
  <si>
    <t>BANCO NACIONAL DE FOMENTO</t>
  </si>
  <si>
    <t>Telefonica Celular Del Paraguay S.A.E (Telecel S.A.E)</t>
  </si>
  <si>
    <t>Total al 30/09/2021</t>
  </si>
  <si>
    <t>IVA Costos</t>
  </si>
  <si>
    <t>Ganancia por Venta de AF</t>
  </si>
  <si>
    <t xml:space="preserve">VISION BANCO S.A.E.C.A. </t>
  </si>
  <si>
    <t xml:space="preserve">BANCO CONTINENTAL S.A.E.C.A. </t>
  </si>
  <si>
    <t xml:space="preserve">BANCO FAMILIAR S.A.E.C.A. </t>
  </si>
  <si>
    <t xml:space="preserve">MINISTERIO DE HACIENDA </t>
  </si>
  <si>
    <t>telecel</t>
  </si>
  <si>
    <t>Bonos Financieros</t>
  </si>
  <si>
    <t>Bonos Públicos</t>
  </si>
  <si>
    <t>Bonos</t>
  </si>
  <si>
    <t>bonos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</si>
</sst>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_-;\-* #,##0_-;_-* &quot;-&quot;_-;_-@_-"/>
    <numFmt numFmtId="165" formatCode="_-* #,##0.00_-;\-* #,##0.00_-;_-* &quot;-&quot;??_-;_-@_-"/>
    <numFmt numFmtId="166" formatCode="_-* #,##0.00\ _€_-;\-* #,##0.00\ _€_-;_-* &quot;-&quot;??\ _€_-;_-@_-"/>
    <numFmt numFmtId="167" formatCode="_(* #,##0.00_);_(* \(#,##0.00\);_(* &quot;-&quot;??_);_(@_)"/>
    <numFmt numFmtId="168" formatCode="_-* #,##0\ _D_M_-;\-* #,##0\ _D_M_-;_-* &quot;-&quot;??\ _D_M_-;_-@_-"/>
    <numFmt numFmtId="169" formatCode="_-[$Gs.-3C0A]\ * #,##0.00_ ;_-[$Gs.-3C0A]\ * \-#,##0.00\ ;_-[$Gs.-3C0A]\ * &quot;-&quot;??_ ;_-@_ "/>
    <numFmt numFmtId="170" formatCode="_(* #,##0_);_(* \(#,##0\);_(* &quot;-&quot;??_);_(@_)"/>
    <numFmt numFmtId="171" formatCode="dd/mm/yyyy;@"/>
    <numFmt numFmtId="172" formatCode="_ * #,##0.00_ ;_ * \-#,##0.00_ ;_ * &quot;-&quot;_ ;_ @_ "/>
    <numFmt numFmtId="173" formatCode="_ * #,##0_ ;_ * \-#,##0_ ;_ * &quot;-&quot;??_ ;_ @_ "/>
    <numFmt numFmtId="174" formatCode="_ &quot;₲&quot;\ * #,##0_ ;_ &quot;₲&quot;\ * \-#,##0_ ;_ &quot;₲&quot;\ * &quot;-&quot;??_ ;_ @_ "/>
    <numFmt numFmtId="175" formatCode="_(* #,##0.00_);_(* \(#,##0.00\);_(* \-??_);_(@_)"/>
    <numFmt numFmtId="176" formatCode="_(* #,##0_);_(* \(#,##0\);_(* \-_);_(@_)"/>
    <numFmt numFmtId="177" formatCode="#,##0_ ;\-#,##0\ "/>
    <numFmt numFmtId="178" formatCode="* #,##0.00\ ;* \-#,##0.00\ ;* \-#\ ;@\ "/>
    <numFmt numFmtId="179" formatCode="_-* #,##0.00\ _p_t_a_-;\-* #,##0.00\ _p_t_a_-;_-* &quot;-&quot;??\ _p_t_a_-;_-@_-"/>
    <numFmt numFmtId="180" formatCode="General_)"/>
    <numFmt numFmtId="181" formatCode="_ [$€]\ * #,##0.00_ ;_ [$€]\ * \-#,##0.00_ ;_ [$€]\ * &quot;-&quot;??_ ;_ @_ "/>
    <numFmt numFmtId="182" formatCode="_-* #,##0\ _P_t_a_-;\-* #,##0\ _P_t_a_-;_-* &quot;-&quot;\ _P_t_a_-;_-@_-"/>
    <numFmt numFmtId="183" formatCode="_-* #,##0.00\ _P_t_s_-;\-* #,##0.00\ _P_t_s_-;_-* &quot;-&quot;??\ _P_t_s_-;_-@_-"/>
    <numFmt numFmtId="184" formatCode="_ &quot;Gs&quot;\ * #,##0.0_ ;_ &quot;Gs&quot;\ * \-#,##0.0_ ;_ &quot;Gs&quot;\ * &quot;-&quot;??_ ;_ @_ "/>
    <numFmt numFmtId="185" formatCode="0%_);\(0%\)"/>
    <numFmt numFmtId="186" formatCode="_-* #,##0\ _€_-;\-* #,##0\ _€_-;_-* &quot;-&quot;\ _€_-;_-@_-"/>
    <numFmt numFmtId="187" formatCode="_ * #,##0.00_-\ _G_s_._ ;_ * #,##0.00\-\ _G_s_._ ;_ * &quot;-&quot;??_-\ _G_s_._ ;_ @_ "/>
    <numFmt numFmtId="188" formatCode="#,##0;\(#,##0\)"/>
    <numFmt numFmtId="189" formatCode="_-* #,##0_-;\-* #,##0_-;_-* &quot;-&quot;??_-;_-@_-"/>
  </numFmts>
  <fonts count="1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Verdana"/>
      <family val="2"/>
    </font>
    <font>
      <sz val="8"/>
      <name val="Verdana"/>
      <family val="2"/>
    </font>
    <font>
      <sz val="12"/>
      <name val="SWISS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ourier"/>
      <family val="3"/>
    </font>
    <font>
      <sz val="11"/>
      <name val="Book Antiqua"/>
      <family val="1"/>
    </font>
    <font>
      <sz val="12"/>
      <name val="Courier"/>
    </font>
    <font>
      <u/>
      <sz val="7.5"/>
      <color indexed="12"/>
      <name val="Arial"/>
      <family val="2"/>
    </font>
    <font>
      <b/>
      <i/>
      <sz val="14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5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9C0006"/>
      <name val="Calibri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202124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u/>
      <sz val="9"/>
      <color theme="7" tint="-0.249977111117893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5"/>
      <name val="Calibri"/>
      <family val="2"/>
      <scheme val="minor"/>
    </font>
    <font>
      <u/>
      <sz val="9"/>
      <color indexed="8"/>
      <name val="Calibri"/>
      <family val="2"/>
      <scheme val="minor"/>
    </font>
    <font>
      <b/>
      <sz val="10"/>
      <color rgb="FF003F59"/>
      <name val="Calibri"/>
      <family val="2"/>
      <scheme val="minor"/>
    </font>
    <font>
      <sz val="10"/>
      <color rgb="FF003F59"/>
      <name val="Calibri"/>
      <family val="2"/>
      <scheme val="minor"/>
    </font>
    <font>
      <i/>
      <sz val="9"/>
      <name val="Calibri"/>
      <family val="2"/>
      <scheme val="minor"/>
    </font>
    <font>
      <sz val="9"/>
      <color rgb="FF003F59"/>
      <name val="Calibri"/>
      <family val="2"/>
      <scheme val="minor"/>
    </font>
    <font>
      <b/>
      <sz val="9"/>
      <color rgb="FF003F59"/>
      <name val="Calibri"/>
      <family val="2"/>
      <scheme val="minor"/>
    </font>
    <font>
      <sz val="16"/>
      <color rgb="FF2F549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theme="9"/>
      <name val="Arial"/>
      <family val="2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b/>
      <sz val="10"/>
      <color rgb="FFFF0000"/>
      <name val="Arial"/>
      <family val="2"/>
    </font>
    <font>
      <b/>
      <sz val="10"/>
      <color theme="9" tint="-0.249977111117893"/>
      <name val="Arial"/>
      <family val="2"/>
    </font>
    <font>
      <i/>
      <sz val="8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ED7D3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7"/>
      <color rgb="FF2F5496"/>
      <name val="Calibri"/>
      <family val="2"/>
      <scheme val="minor"/>
    </font>
    <font>
      <b/>
      <u val="double"/>
      <sz val="9"/>
      <name val="Calibri"/>
      <family val="2"/>
      <scheme val="minor"/>
    </font>
    <font>
      <b/>
      <i/>
      <u val="double"/>
      <sz val="9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0" tint="-4.9989318521683403E-2"/>
      <name val="Calibri"/>
      <family val="2"/>
      <scheme val="minor"/>
    </font>
    <font>
      <sz val="8"/>
      <name val="Calibri"/>
      <family val="2"/>
      <scheme val="minor"/>
    </font>
    <font>
      <i/>
      <u val="double"/>
      <sz val="9"/>
      <color theme="0" tint="-4.9989318521683403E-2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404">
    <xf numFmtId="0" fontId="0" fillId="0" borderId="0"/>
    <xf numFmtId="18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60" fillId="43" borderId="0" applyNumberFormat="0" applyBorder="0" applyAlignment="0" applyProtection="0"/>
    <xf numFmtId="0" fontId="22" fillId="13" borderId="1" applyNumberFormat="0" applyAlignment="0" applyProtection="0"/>
    <xf numFmtId="0" fontId="61" fillId="44" borderId="97" applyNumberFormat="0" applyAlignment="0" applyProtection="0"/>
    <xf numFmtId="0" fontId="62" fillId="45" borderId="98" applyNumberFormat="0" applyAlignment="0" applyProtection="0"/>
    <xf numFmtId="0" fontId="63" fillId="0" borderId="99" applyNumberFormat="0" applyFill="0" applyAlignment="0" applyProtection="0"/>
    <xf numFmtId="0" fontId="23" fillId="23" borderId="2" applyNumberFormat="0" applyAlignment="0" applyProtection="0"/>
    <xf numFmtId="175" fontId="1" fillId="0" borderId="0" applyFill="0" applyBorder="0" applyAlignment="0" applyProtection="0"/>
    <xf numFmtId="37" fontId="1" fillId="0" borderId="0" applyFont="0" applyFill="0" applyBorder="0" applyAlignment="0" applyProtection="0"/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5" fontId="1" fillId="0" borderId="0" applyFill="0" applyBorder="0" applyAlignment="0" applyProtection="0"/>
    <xf numFmtId="0" fontId="64" fillId="0" borderId="100" applyNumberFormat="0" applyFill="0" applyAlignment="0" applyProtection="0"/>
    <xf numFmtId="0" fontId="65" fillId="0" borderId="0" applyNumberFormat="0" applyFill="0" applyBorder="0" applyAlignment="0" applyProtection="0"/>
    <xf numFmtId="0" fontId="66" fillId="46" borderId="0" applyNumberFormat="0" applyBorder="0" applyAlignment="0" applyProtection="0"/>
    <xf numFmtId="0" fontId="59" fillId="46" borderId="0" applyNumberFormat="0" applyBorder="0" applyAlignment="0" applyProtection="0"/>
    <xf numFmtId="0" fontId="66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6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7" fillId="52" borderId="97" applyNumberFormat="0" applyAlignment="0" applyProtection="0"/>
    <xf numFmtId="0" fontId="68" fillId="0" borderId="0"/>
    <xf numFmtId="0" fontId="15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14" fontId="10" fillId="24" borderId="5">
      <alignment horizontal="center" vertical="center" wrapText="1"/>
    </xf>
    <xf numFmtId="0" fontId="26" fillId="0" borderId="4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14" fontId="10" fillId="24" borderId="5">
      <alignment horizontal="center" vertical="center" wrapText="1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1" fillId="53" borderId="0" applyNumberFormat="0" applyBorder="0" applyAlignment="0" applyProtection="0"/>
    <xf numFmtId="0" fontId="29" fillId="7" borderId="1" applyNumberFormat="0" applyAlignment="0" applyProtection="0"/>
    <xf numFmtId="0" fontId="30" fillId="0" borderId="3" applyNumberForma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7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18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37" fillId="0" borderId="0" applyFont="0" applyFill="0" applyBorder="0" applyAlignment="0" applyProtection="0"/>
    <xf numFmtId="176" fontId="1" fillId="0" borderId="0" applyFill="0" applyBorder="0" applyAlignment="0" applyProtection="0"/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7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7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3" fillId="0" borderId="0"/>
    <xf numFmtId="177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57" fillId="0" borderId="0" applyFont="0" applyFill="0" applyBorder="0" applyAlignment="0" applyProtection="0"/>
    <xf numFmtId="43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6" fontId="57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ill="0" applyBorder="0" applyAlignment="0" applyProtection="0"/>
    <xf numFmtId="41" fontId="57" fillId="0" borderId="0" applyFont="0" applyFill="0" applyBorder="0" applyAlignment="0" applyProtection="0"/>
    <xf numFmtId="165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5" fontId="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57" fillId="0" borderId="0" applyFont="0" applyFill="0" applyBorder="0" applyAlignment="0" applyProtection="0"/>
    <xf numFmtId="0" fontId="73" fillId="54" borderId="0" applyNumberFormat="0" applyBorder="0" applyAlignment="0" applyProtection="0"/>
    <xf numFmtId="0" fontId="31" fillId="14" borderId="0" applyNumberFormat="0" applyBorder="0" applyAlignment="0" applyProtection="0"/>
    <xf numFmtId="0" fontId="73" fillId="54" borderId="0" applyNumberFormat="0" applyBorder="0" applyAlignment="0" applyProtection="0"/>
    <xf numFmtId="0" fontId="19" fillId="0" borderId="0"/>
    <xf numFmtId="0" fontId="58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1" fillId="0" borderId="0"/>
    <xf numFmtId="0" fontId="1" fillId="0" borderId="0"/>
    <xf numFmtId="0" fontId="9" fillId="0" borderId="0"/>
    <xf numFmtId="181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57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2" fillId="0" borderId="0"/>
    <xf numFmtId="0" fontId="1" fillId="0" borderId="0"/>
    <xf numFmtId="0" fontId="8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9" fillId="0" borderId="0"/>
    <xf numFmtId="0" fontId="6" fillId="0" borderId="0"/>
    <xf numFmtId="0" fontId="1" fillId="0" borderId="0"/>
    <xf numFmtId="0" fontId="57" fillId="0" borderId="0"/>
    <xf numFmtId="37" fontId="1" fillId="0" borderId="0"/>
    <xf numFmtId="180" fontId="37" fillId="0" borderId="0"/>
    <xf numFmtId="0" fontId="16" fillId="0" borderId="0"/>
    <xf numFmtId="0" fontId="57" fillId="0" borderId="0"/>
    <xf numFmtId="0" fontId="72" fillId="0" borderId="0"/>
    <xf numFmtId="0" fontId="1" fillId="0" borderId="0"/>
    <xf numFmtId="37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4" fillId="0" borderId="0"/>
    <xf numFmtId="180" fontId="39" fillId="0" borderId="0"/>
    <xf numFmtId="0" fontId="14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55" borderId="101" applyNumberFormat="0" applyFont="0" applyAlignment="0" applyProtection="0"/>
    <xf numFmtId="0" fontId="58" fillId="55" borderId="101" applyNumberFormat="0" applyFont="0" applyAlignment="0" applyProtection="0"/>
    <xf numFmtId="0" fontId="58" fillId="55" borderId="101" applyNumberFormat="0" applyFont="0" applyAlignment="0" applyProtection="0"/>
    <xf numFmtId="0" fontId="58" fillId="55" borderId="101" applyNumberFormat="0" applyFont="0" applyAlignment="0" applyProtection="0"/>
    <xf numFmtId="0" fontId="1" fillId="8" borderId="8" applyNumberFormat="0" applyFont="0" applyAlignment="0" applyProtection="0"/>
    <xf numFmtId="0" fontId="32" fillId="13" borderId="9" applyNumberFormat="0" applyAlignment="0" applyProtection="0"/>
    <xf numFmtId="185" fontId="1" fillId="0" borderId="0" applyFont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44" borderId="102" applyNumberFormat="0" applyAlignment="0" applyProtection="0"/>
    <xf numFmtId="0" fontId="78" fillId="0" borderId="0" applyNumberFormat="0" applyFill="0" applyBorder="0" applyAlignment="0" applyProtection="0"/>
    <xf numFmtId="0" fontId="68" fillId="0" borderId="0"/>
    <xf numFmtId="0" fontId="79" fillId="0" borderId="0" applyNumberFormat="0" applyFill="0" applyBorder="0" applyAlignment="0" applyProtection="0"/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80" fillId="0" borderId="103" applyNumberFormat="0" applyFill="0" applyAlignment="0" applyProtection="0"/>
    <xf numFmtId="0" fontId="65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83" fillId="0" borderId="105" applyNumberFormat="0" applyFill="0" applyAlignment="0" applyProtection="0"/>
    <xf numFmtId="0" fontId="35" fillId="0" borderId="10" applyNumberFormat="0" applyFill="0" applyAlignment="0" applyProtection="0"/>
    <xf numFmtId="0" fontId="83" fillId="0" borderId="105" applyNumberFormat="0" applyFill="0" applyAlignment="0" applyProtection="0"/>
    <xf numFmtId="0" fontId="36" fillId="0" borderId="0" applyNumberForma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133" fillId="0" borderId="0"/>
  </cellStyleXfs>
  <cellXfs count="822">
    <xf numFmtId="0" fontId="0" fillId="0" borderId="0" xfId="0"/>
    <xf numFmtId="41" fontId="84" fillId="0" borderId="11" xfId="114" applyFont="1" applyFill="1" applyBorder="1"/>
    <xf numFmtId="0" fontId="85" fillId="0" borderId="12" xfId="0" quotePrefix="1" applyFont="1" applyFill="1" applyBorder="1" applyAlignment="1">
      <alignment horizontal="left"/>
    </xf>
    <xf numFmtId="0" fontId="86" fillId="0" borderId="12" xfId="107" quotePrefix="1" applyFont="1" applyBorder="1" applyAlignment="1">
      <alignment horizontal="left"/>
    </xf>
    <xf numFmtId="0" fontId="85" fillId="0" borderId="12" xfId="0" applyFont="1" applyFill="1" applyBorder="1" applyAlignment="1">
      <alignment horizontal="left"/>
    </xf>
    <xf numFmtId="0" fontId="85" fillId="0" borderId="0" xfId="0" applyFont="1"/>
    <xf numFmtId="0" fontId="85" fillId="0" borderId="0" xfId="0" applyFont="1" applyAlignment="1">
      <alignment horizontal="left"/>
    </xf>
    <xf numFmtId="0" fontId="85" fillId="56" borderId="0" xfId="0" applyFont="1" applyFill="1"/>
    <xf numFmtId="0" fontId="85" fillId="56" borderId="0" xfId="0" applyFont="1" applyFill="1" applyAlignment="1">
      <alignment horizontal="left"/>
    </xf>
    <xf numFmtId="0" fontId="87" fillId="0" borderId="0" xfId="0" applyFont="1" applyAlignment="1">
      <alignment horizontal="center" vertical="center"/>
    </xf>
    <xf numFmtId="0" fontId="88" fillId="57" borderId="13" xfId="0" applyFont="1" applyFill="1" applyBorder="1" applyAlignment="1">
      <alignment vertical="center"/>
    </xf>
    <xf numFmtId="0" fontId="88" fillId="57" borderId="0" xfId="0" applyFont="1" applyFill="1" applyBorder="1" applyAlignment="1">
      <alignment horizontal="center" vertical="center"/>
    </xf>
    <xf numFmtId="0" fontId="85" fillId="0" borderId="13" xfId="0" applyFont="1" applyBorder="1"/>
    <xf numFmtId="0" fontId="89" fillId="0" borderId="12" xfId="0" applyFont="1" applyBorder="1" applyAlignment="1">
      <alignment horizontal="left" vertical="center"/>
    </xf>
    <xf numFmtId="0" fontId="88" fillId="57" borderId="0" xfId="0" applyFont="1" applyFill="1" applyAlignment="1">
      <alignment vertical="center"/>
    </xf>
    <xf numFmtId="0" fontId="69" fillId="0" borderId="12" xfId="107" quotePrefix="1" applyFont="1" applyBorder="1" applyAlignment="1">
      <alignment horizontal="left"/>
    </xf>
    <xf numFmtId="0" fontId="69" fillId="0" borderId="12" xfId="107" applyFont="1" applyBorder="1" applyAlignment="1">
      <alignment horizontal="left"/>
    </xf>
    <xf numFmtId="0" fontId="85" fillId="0" borderId="12" xfId="0" applyFont="1" applyBorder="1" applyAlignment="1">
      <alignment horizontal="left"/>
    </xf>
    <xf numFmtId="0" fontId="90" fillId="0" borderId="0" xfId="0" applyFont="1"/>
    <xf numFmtId="0" fontId="85" fillId="0" borderId="14" xfId="0" applyFont="1" applyBorder="1"/>
    <xf numFmtId="0" fontId="85" fillId="0" borderId="15" xfId="0" applyFont="1" applyBorder="1"/>
    <xf numFmtId="0" fontId="69" fillId="0" borderId="16" xfId="107" applyFont="1" applyBorder="1" applyAlignment="1">
      <alignment horizontal="left" vertical="center"/>
    </xf>
    <xf numFmtId="0" fontId="89" fillId="0" borderId="0" xfId="0" applyFont="1" applyAlignment="1">
      <alignment horizontal="center"/>
    </xf>
    <xf numFmtId="0" fontId="86" fillId="0" borderId="0" xfId="107" quotePrefix="1" applyFont="1" applyBorder="1" applyAlignment="1">
      <alignment horizontal="left"/>
    </xf>
    <xf numFmtId="0" fontId="91" fillId="0" borderId="0" xfId="107" quotePrefix="1" applyFont="1"/>
    <xf numFmtId="0" fontId="92" fillId="0" borderId="0" xfId="0" applyFont="1"/>
    <xf numFmtId="0" fontId="84" fillId="0" borderId="0" xfId="0" applyFont="1" applyAlignment="1">
      <alignment vertical="center"/>
    </xf>
    <xf numFmtId="0" fontId="84" fillId="0" borderId="0" xfId="0" applyFont="1" applyAlignment="1">
      <alignment horizontal="justify" vertical="center"/>
    </xf>
    <xf numFmtId="0" fontId="92" fillId="0" borderId="0" xfId="0" applyFont="1" applyAlignment="1">
      <alignment horizontal="justify" vertical="center"/>
    </xf>
    <xf numFmtId="0" fontId="84" fillId="0" borderId="11" xfId="0" applyFont="1" applyBorder="1" applyAlignment="1">
      <alignment horizontal="center" vertical="center"/>
    </xf>
    <xf numFmtId="171" fontId="84" fillId="0" borderId="11" xfId="0" applyNumberFormat="1" applyFont="1" applyBorder="1" applyAlignment="1">
      <alignment horizontal="center" vertical="center"/>
    </xf>
    <xf numFmtId="0" fontId="92" fillId="0" borderId="11" xfId="0" applyFont="1" applyBorder="1" applyAlignment="1">
      <alignment horizontal="justify" vertical="center"/>
    </xf>
    <xf numFmtId="167" fontId="92" fillId="0" borderId="11" xfId="0" applyNumberFormat="1" applyFont="1" applyBorder="1"/>
    <xf numFmtId="0" fontId="92" fillId="0" borderId="11" xfId="0" applyFont="1" applyBorder="1"/>
    <xf numFmtId="0" fontId="93" fillId="0" borderId="0" xfId="0" applyFont="1" applyAlignment="1">
      <alignment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vertical="center"/>
    </xf>
    <xf numFmtId="0" fontId="92" fillId="0" borderId="11" xfId="0" applyFont="1" applyBorder="1" applyAlignment="1">
      <alignment vertical="center"/>
    </xf>
    <xf numFmtId="4" fontId="92" fillId="0" borderId="11" xfId="0" applyNumberFormat="1" applyFont="1" applyBorder="1" applyAlignment="1">
      <alignment horizontal="center" vertical="center"/>
    </xf>
    <xf numFmtId="41" fontId="92" fillId="0" borderId="0" xfId="114" applyFont="1"/>
    <xf numFmtId="3" fontId="92" fillId="0" borderId="11" xfId="0" applyNumberFormat="1" applyFont="1" applyBorder="1" applyAlignment="1">
      <alignment vertical="center"/>
    </xf>
    <xf numFmtId="172" fontId="92" fillId="0" borderId="11" xfId="114" applyNumberFormat="1" applyFont="1" applyBorder="1" applyAlignment="1">
      <alignment horizontal="center" vertical="center"/>
    </xf>
    <xf numFmtId="167" fontId="92" fillId="0" borderId="11" xfId="113" applyNumberFormat="1" applyFont="1" applyBorder="1" applyAlignment="1">
      <alignment horizontal="center" vertical="center"/>
    </xf>
    <xf numFmtId="0" fontId="84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vertical="center"/>
    </xf>
    <xf numFmtId="0" fontId="95" fillId="0" borderId="11" xfId="0" applyFont="1" applyBorder="1" applyAlignment="1">
      <alignment vertical="center"/>
    </xf>
    <xf numFmtId="3" fontId="95" fillId="0" borderId="11" xfId="0" applyNumberFormat="1" applyFont="1" applyBorder="1" applyAlignment="1">
      <alignment vertical="center"/>
    </xf>
    <xf numFmtId="3" fontId="84" fillId="0" borderId="11" xfId="0" applyNumberFormat="1" applyFont="1" applyBorder="1" applyAlignment="1">
      <alignment horizontal="center" vertical="center"/>
    </xf>
    <xf numFmtId="43" fontId="92" fillId="0" borderId="11" xfId="113" applyFont="1" applyBorder="1" applyAlignment="1">
      <alignment horizontal="center" vertical="center"/>
    </xf>
    <xf numFmtId="0" fontId="84" fillId="0" borderId="11" xfId="0" applyFont="1" applyBorder="1"/>
    <xf numFmtId="0" fontId="84" fillId="0" borderId="17" xfId="0" applyFont="1" applyBorder="1" applyAlignment="1">
      <alignment horizontal="center" wrapText="1"/>
    </xf>
    <xf numFmtId="0" fontId="92" fillId="0" borderId="11" xfId="0" applyFont="1" applyBorder="1" applyAlignment="1">
      <alignment wrapText="1"/>
    </xf>
    <xf numFmtId="167" fontId="92" fillId="0" borderId="11" xfId="0" applyNumberFormat="1" applyFont="1" applyBorder="1" applyAlignment="1">
      <alignment horizontal="center" vertical="center"/>
    </xf>
    <xf numFmtId="41" fontId="92" fillId="0" borderId="11" xfId="114" applyFont="1" applyBorder="1" applyAlignment="1">
      <alignment horizontal="right"/>
    </xf>
    <xf numFmtId="167" fontId="92" fillId="0" borderId="11" xfId="113" applyNumberFormat="1" applyFont="1" applyBorder="1" applyAlignment="1">
      <alignment horizontal="right"/>
    </xf>
    <xf numFmtId="41" fontId="92" fillId="0" borderId="0" xfId="0" applyNumberFormat="1" applyFont="1"/>
    <xf numFmtId="3" fontId="84" fillId="0" borderId="11" xfId="0" applyNumberFormat="1" applyFont="1" applyBorder="1" applyAlignment="1">
      <alignment horizontal="right"/>
    </xf>
    <xf numFmtId="41" fontId="92" fillId="0" borderId="0" xfId="114" applyFont="1" applyAlignment="1">
      <alignment horizontal="right"/>
    </xf>
    <xf numFmtId="41" fontId="92" fillId="0" borderId="0" xfId="114" applyFont="1" applyBorder="1"/>
    <xf numFmtId="0" fontId="92" fillId="0" borderId="0" xfId="0" applyFont="1" applyBorder="1"/>
    <xf numFmtId="0" fontId="96" fillId="0" borderId="11" xfId="0" applyFont="1" applyBorder="1" applyAlignment="1">
      <alignment horizontal="center"/>
    </xf>
    <xf numFmtId="171" fontId="96" fillId="0" borderId="11" xfId="114" applyNumberFormat="1" applyFont="1" applyBorder="1" applyAlignment="1">
      <alignment horizontal="center" vertical="center" wrapText="1"/>
    </xf>
    <xf numFmtId="171" fontId="96" fillId="0" borderId="11" xfId="114" applyNumberFormat="1" applyFont="1" applyBorder="1" applyAlignment="1">
      <alignment horizontal="center" wrapText="1"/>
    </xf>
    <xf numFmtId="0" fontId="96" fillId="0" borderId="11" xfId="0" applyFont="1" applyBorder="1"/>
    <xf numFmtId="41" fontId="87" fillId="0" borderId="11" xfId="114" applyFont="1" applyBorder="1" applyAlignment="1">
      <alignment horizontal="right" vertical="center"/>
    </xf>
    <xf numFmtId="41" fontId="87" fillId="0" borderId="11" xfId="114" applyFont="1" applyBorder="1" applyAlignment="1">
      <alignment horizontal="right"/>
    </xf>
    <xf numFmtId="41" fontId="97" fillId="0" borderId="11" xfId="114" applyFont="1" applyBorder="1" applyAlignment="1"/>
    <xf numFmtId="41" fontId="97" fillId="0" borderId="11" xfId="114" applyFont="1" applyBorder="1" applyAlignment="1">
      <alignment horizontal="right"/>
    </xf>
    <xf numFmtId="41" fontId="97" fillId="0" borderId="11" xfId="114" applyFont="1" applyFill="1" applyBorder="1" applyAlignment="1">
      <alignment horizontal="right"/>
    </xf>
    <xf numFmtId="41" fontId="97" fillId="0" borderId="0" xfId="114" applyFont="1" applyBorder="1" applyAlignment="1"/>
    <xf numFmtId="0" fontId="98" fillId="0" borderId="0" xfId="0" applyFont="1" applyBorder="1"/>
    <xf numFmtId="41" fontId="96" fillId="0" borderId="11" xfId="114" applyFont="1" applyBorder="1" applyAlignment="1">
      <alignment horizontal="right" vertical="center"/>
    </xf>
    <xf numFmtId="173" fontId="92" fillId="0" borderId="0" xfId="113" applyNumberFormat="1" applyFont="1"/>
    <xf numFmtId="0" fontId="99" fillId="0" borderId="11" xfId="0" applyFont="1" applyBorder="1" applyAlignment="1">
      <alignment horizontal="center" vertical="center"/>
    </xf>
    <xf numFmtId="0" fontId="100" fillId="0" borderId="17" xfId="0" applyFont="1" applyBorder="1" applyAlignment="1">
      <alignment horizontal="center" vertical="center"/>
    </xf>
    <xf numFmtId="173" fontId="100" fillId="0" borderId="17" xfId="113" applyNumberFormat="1" applyFont="1" applyBorder="1" applyAlignment="1">
      <alignment horizontal="center" vertical="center"/>
    </xf>
    <xf numFmtId="173" fontId="99" fillId="0" borderId="17" xfId="113" applyNumberFormat="1" applyFont="1" applyBorder="1" applyAlignment="1">
      <alignment horizontal="center" vertical="center"/>
    </xf>
    <xf numFmtId="170" fontId="92" fillId="0" borderId="0" xfId="0" applyNumberFormat="1" applyFont="1"/>
    <xf numFmtId="0" fontId="100" fillId="0" borderId="11" xfId="0" applyFont="1" applyBorder="1" applyAlignment="1">
      <alignment vertical="center"/>
    </xf>
    <xf numFmtId="0" fontId="100" fillId="0" borderId="0" xfId="0" applyFont="1" applyAlignment="1">
      <alignment vertical="center"/>
    </xf>
    <xf numFmtId="170" fontId="100" fillId="0" borderId="0" xfId="0" applyNumberFormat="1" applyFont="1" applyAlignment="1">
      <alignment vertical="center"/>
    </xf>
    <xf numFmtId="173" fontId="100" fillId="0" borderId="0" xfId="113" applyNumberFormat="1" applyFont="1" applyAlignment="1">
      <alignment vertical="center"/>
    </xf>
    <xf numFmtId="173" fontId="100" fillId="0" borderId="0" xfId="113" applyNumberFormat="1" applyFont="1" applyBorder="1" applyAlignment="1">
      <alignment horizontal="right" vertical="center"/>
    </xf>
    <xf numFmtId="173" fontId="99" fillId="0" borderId="0" xfId="113" applyNumberFormat="1" applyFont="1" applyBorder="1" applyAlignment="1">
      <alignment vertical="center"/>
    </xf>
    <xf numFmtId="0" fontId="92" fillId="0" borderId="0" xfId="0" applyFont="1" applyAlignment="1">
      <alignment vertical="center"/>
    </xf>
    <xf numFmtId="170" fontId="92" fillId="0" borderId="0" xfId="0" applyNumberFormat="1" applyFont="1" applyAlignment="1">
      <alignment vertical="center"/>
    </xf>
    <xf numFmtId="173" fontId="92" fillId="0" borderId="0" xfId="113" applyNumberFormat="1" applyFont="1" applyAlignment="1">
      <alignment vertical="center"/>
    </xf>
    <xf numFmtId="0" fontId="100" fillId="0" borderId="16" xfId="0" applyFont="1" applyBorder="1" applyAlignment="1">
      <alignment vertical="center"/>
    </xf>
    <xf numFmtId="0" fontId="100" fillId="0" borderId="11" xfId="0" applyFont="1" applyBorder="1" applyAlignment="1">
      <alignment horizontal="center" vertical="center" wrapText="1"/>
    </xf>
    <xf numFmtId="173" fontId="99" fillId="0" borderId="11" xfId="113" applyNumberFormat="1" applyFont="1" applyBorder="1" applyAlignment="1">
      <alignment horizontal="right" vertical="center"/>
    </xf>
    <xf numFmtId="173" fontId="100" fillId="0" borderId="0" xfId="113" applyNumberFormat="1" applyFont="1" applyBorder="1" applyAlignment="1">
      <alignment horizontal="right"/>
    </xf>
    <xf numFmtId="0" fontId="92" fillId="0" borderId="11" xfId="0" applyFont="1" applyBorder="1" applyAlignment="1">
      <alignment horizontal="left" vertical="center"/>
    </xf>
    <xf numFmtId="41" fontId="92" fillId="0" borderId="0" xfId="114" applyFont="1" applyFill="1" applyAlignment="1">
      <alignment horizontal="right"/>
    </xf>
    <xf numFmtId="0" fontId="92" fillId="0" borderId="0" xfId="0" applyFont="1" applyFill="1"/>
    <xf numFmtId="0" fontId="92" fillId="0" borderId="0" xfId="0" applyFont="1" applyFill="1" applyAlignment="1">
      <alignment horizontal="justify" vertical="center"/>
    </xf>
    <xf numFmtId="0" fontId="92" fillId="0" borderId="0" xfId="0" applyFont="1" applyFill="1" applyAlignment="1">
      <alignment horizontal="center" wrapText="1"/>
    </xf>
    <xf numFmtId="0" fontId="95" fillId="0" borderId="11" xfId="0" applyFont="1" applyFill="1" applyBorder="1" applyAlignment="1">
      <alignment horizontal="left"/>
    </xf>
    <xf numFmtId="41" fontId="92" fillId="0" borderId="11" xfId="114" applyFont="1" applyFill="1" applyBorder="1" applyAlignment="1">
      <alignment horizontal="right"/>
    </xf>
    <xf numFmtId="0" fontId="100" fillId="0" borderId="11" xfId="0" applyFont="1" applyFill="1" applyBorder="1"/>
    <xf numFmtId="41" fontId="84" fillId="0" borderId="11" xfId="114" applyFont="1" applyFill="1" applyBorder="1" applyAlignment="1">
      <alignment horizontal="right"/>
    </xf>
    <xf numFmtId="170" fontId="92" fillId="0" borderId="0" xfId="113" applyNumberFormat="1" applyFont="1" applyFill="1"/>
    <xf numFmtId="3" fontId="92" fillId="0" borderId="0" xfId="0" applyNumberFormat="1" applyFont="1" applyFill="1"/>
    <xf numFmtId="0" fontId="84" fillId="0" borderId="0" xfId="0" applyFont="1" applyFill="1" applyAlignment="1">
      <alignment horizontal="left"/>
    </xf>
    <xf numFmtId="41" fontId="84" fillId="0" borderId="0" xfId="114" applyFont="1" applyFill="1" applyAlignment="1">
      <alignment horizontal="right"/>
    </xf>
    <xf numFmtId="41" fontId="92" fillId="0" borderId="0" xfId="114" applyFont="1" applyFill="1"/>
    <xf numFmtId="0" fontId="92" fillId="0" borderId="0" xfId="0" applyFont="1" applyFill="1" applyAlignment="1">
      <alignment horizontal="left"/>
    </xf>
    <xf numFmtId="0" fontId="92" fillId="0" borderId="11" xfId="0" applyFont="1" applyFill="1" applyBorder="1" applyAlignment="1">
      <alignment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/>
    </xf>
    <xf numFmtId="0" fontId="84" fillId="0" borderId="0" xfId="0" applyFont="1" applyAlignment="1">
      <alignment horizontal="left" vertical="center" indent="3"/>
    </xf>
    <xf numFmtId="0" fontId="92" fillId="0" borderId="0" xfId="0" applyFont="1" applyAlignment="1">
      <alignment horizontal="right" vertical="center"/>
    </xf>
    <xf numFmtId="0" fontId="84" fillId="0" borderId="18" xfId="0" applyFont="1" applyBorder="1" applyAlignment="1">
      <alignment horizontal="center" vertical="center" wrapText="1"/>
    </xf>
    <xf numFmtId="0" fontId="92" fillId="0" borderId="0" xfId="0" applyFont="1" applyAlignment="1">
      <alignment horizontal="right"/>
    </xf>
    <xf numFmtId="0" fontId="92" fillId="0" borderId="16" xfId="0" applyFont="1" applyBorder="1" applyAlignment="1">
      <alignment horizontal="left"/>
    </xf>
    <xf numFmtId="3" fontId="92" fillId="0" borderId="0" xfId="0" applyNumberFormat="1" applyFont="1" applyAlignment="1">
      <alignment horizontal="right"/>
    </xf>
    <xf numFmtId="3" fontId="92" fillId="0" borderId="0" xfId="0" applyNumberFormat="1" applyFont="1"/>
    <xf numFmtId="0" fontId="92" fillId="0" borderId="11" xfId="0" applyFont="1" applyBorder="1" applyAlignment="1">
      <alignment horizontal="left"/>
    </xf>
    <xf numFmtId="0" fontId="100" fillId="0" borderId="11" xfId="0" applyFont="1" applyBorder="1" applyAlignment="1">
      <alignment horizontal="left"/>
    </xf>
    <xf numFmtId="41" fontId="84" fillId="0" borderId="11" xfId="114" applyFont="1" applyBorder="1" applyAlignment="1">
      <alignment horizontal="right"/>
    </xf>
    <xf numFmtId="0" fontId="84" fillId="0" borderId="11" xfId="0" applyFont="1" applyBorder="1" applyAlignment="1">
      <alignment horizontal="center"/>
    </xf>
    <xf numFmtId="166" fontId="92" fillId="0" borderId="0" xfId="0" applyNumberFormat="1" applyFont="1"/>
    <xf numFmtId="0" fontId="100" fillId="0" borderId="11" xfId="0" applyFont="1" applyBorder="1"/>
    <xf numFmtId="0" fontId="84" fillId="0" borderId="11" xfId="0" applyFont="1" applyBorder="1" applyAlignment="1">
      <alignment horizontal="center" wrapText="1"/>
    </xf>
    <xf numFmtId="167" fontId="92" fillId="0" borderId="11" xfId="156" applyFont="1" applyFill="1" applyBorder="1" applyAlignment="1">
      <alignment horizontal="right"/>
    </xf>
    <xf numFmtId="3" fontId="92" fillId="0" borderId="11" xfId="0" applyNumberFormat="1" applyFont="1" applyBorder="1"/>
    <xf numFmtId="3" fontId="84" fillId="0" borderId="11" xfId="0" applyNumberFormat="1" applyFont="1" applyBorder="1"/>
    <xf numFmtId="41" fontId="92" fillId="0" borderId="11" xfId="114" applyFont="1" applyBorder="1" applyAlignment="1"/>
    <xf numFmtId="41" fontId="84" fillId="0" borderId="11" xfId="114" applyFont="1" applyBorder="1" applyAlignment="1"/>
    <xf numFmtId="167" fontId="92" fillId="0" borderId="0" xfId="0" applyNumberFormat="1" applyFont="1"/>
    <xf numFmtId="2" fontId="84" fillId="0" borderId="11" xfId="0" applyNumberFormat="1" applyFont="1" applyBorder="1" applyAlignment="1">
      <alignment horizontal="center" vertical="center" wrapText="1"/>
    </xf>
    <xf numFmtId="167" fontId="92" fillId="0" borderId="0" xfId="156" applyFont="1"/>
    <xf numFmtId="174" fontId="92" fillId="0" borderId="0" xfId="217" applyNumberFormat="1" applyFont="1"/>
    <xf numFmtId="0" fontId="92" fillId="0" borderId="0" xfId="0" applyFont="1" applyAlignment="1">
      <alignment wrapText="1"/>
    </xf>
    <xf numFmtId="0" fontId="84" fillId="0" borderId="0" xfId="0" applyFont="1" applyAlignment="1">
      <alignment horizontal="left" vertical="center" wrapText="1"/>
    </xf>
    <xf numFmtId="0" fontId="92" fillId="0" borderId="11" xfId="0" applyFont="1" applyBorder="1" applyAlignment="1">
      <alignment horizontal="left" wrapText="1"/>
    </xf>
    <xf numFmtId="170" fontId="92" fillId="0" borderId="11" xfId="0" applyNumberFormat="1" applyFont="1" applyBorder="1" applyAlignment="1">
      <alignment horizontal="right" wrapText="1"/>
    </xf>
    <xf numFmtId="167" fontId="92" fillId="0" borderId="11" xfId="156" applyFont="1" applyBorder="1" applyAlignment="1">
      <alignment horizontal="right" wrapText="1"/>
    </xf>
    <xf numFmtId="0" fontId="100" fillId="0" borderId="11" xfId="0" applyFont="1" applyBorder="1" applyAlignment="1">
      <alignment wrapText="1"/>
    </xf>
    <xf numFmtId="3" fontId="84" fillId="0" borderId="11" xfId="0" applyNumberFormat="1" applyFont="1" applyBorder="1" applyAlignment="1">
      <alignment horizontal="right" wrapText="1"/>
    </xf>
    <xf numFmtId="170" fontId="84" fillId="0" borderId="11" xfId="156" applyNumberFormat="1" applyFont="1" applyBorder="1" applyAlignment="1">
      <alignment horizontal="right" wrapText="1"/>
    </xf>
    <xf numFmtId="0" fontId="92" fillId="0" borderId="0" xfId="0" applyFont="1" applyAlignment="1">
      <alignment horizontal="left" vertical="center" wrapText="1"/>
    </xf>
    <xf numFmtId="0" fontId="100" fillId="0" borderId="0" xfId="0" applyFont="1" applyBorder="1" applyAlignment="1">
      <alignment wrapText="1"/>
    </xf>
    <xf numFmtId="170" fontId="84" fillId="0" borderId="0" xfId="156" applyNumberFormat="1" applyFont="1" applyBorder="1" applyAlignment="1">
      <alignment horizontal="right" wrapText="1"/>
    </xf>
    <xf numFmtId="167" fontId="92" fillId="0" borderId="0" xfId="156" applyFont="1" applyBorder="1" applyAlignment="1">
      <alignment horizontal="right" wrapText="1"/>
    </xf>
    <xf numFmtId="0" fontId="92" fillId="0" borderId="17" xfId="0" applyFont="1" applyBorder="1" applyAlignment="1">
      <alignment wrapText="1"/>
    </xf>
    <xf numFmtId="3" fontId="92" fillId="0" borderId="11" xfId="0" applyNumberFormat="1" applyFont="1" applyBorder="1" applyAlignment="1">
      <alignment horizontal="right" wrapText="1"/>
    </xf>
    <xf numFmtId="167" fontId="92" fillId="0" borderId="11" xfId="156" applyFont="1" applyFill="1" applyBorder="1" applyAlignment="1">
      <alignment horizontal="right" wrapText="1"/>
    </xf>
    <xf numFmtId="41" fontId="92" fillId="0" borderId="11" xfId="114" applyFont="1" applyBorder="1" applyAlignment="1">
      <alignment horizontal="right" wrapText="1"/>
    </xf>
    <xf numFmtId="41" fontId="92" fillId="0" borderId="11" xfId="114" applyFont="1" applyFill="1" applyBorder="1" applyAlignment="1">
      <alignment wrapText="1"/>
    </xf>
    <xf numFmtId="170" fontId="84" fillId="0" borderId="11" xfId="0" applyNumberFormat="1" applyFont="1" applyBorder="1" applyAlignment="1">
      <alignment horizontal="right" wrapText="1"/>
    </xf>
    <xf numFmtId="41" fontId="92" fillId="0" borderId="0" xfId="114" applyFont="1" applyFill="1" applyAlignment="1">
      <alignment wrapText="1"/>
    </xf>
    <xf numFmtId="41" fontId="92" fillId="0" borderId="0" xfId="114" applyFont="1" applyAlignment="1">
      <alignment wrapText="1"/>
    </xf>
    <xf numFmtId="0" fontId="92" fillId="0" borderId="19" xfId="0" applyFont="1" applyBorder="1" applyAlignment="1">
      <alignment wrapText="1"/>
    </xf>
    <xf numFmtId="0" fontId="84" fillId="0" borderId="20" xfId="0" applyFont="1" applyBorder="1" applyAlignment="1">
      <alignment wrapText="1"/>
    </xf>
    <xf numFmtId="0" fontId="84" fillId="0" borderId="21" xfId="0" applyFont="1" applyBorder="1" applyAlignment="1">
      <alignment wrapText="1"/>
    </xf>
    <xf numFmtId="0" fontId="84" fillId="0" borderId="16" xfId="0" applyFont="1" applyBorder="1" applyAlignment="1">
      <alignment horizontal="center" vertical="center" wrapText="1"/>
    </xf>
    <xf numFmtId="0" fontId="92" fillId="0" borderId="17" xfId="0" applyFont="1" applyBorder="1" applyAlignment="1">
      <alignment horizontal="left" vertical="center" wrapText="1"/>
    </xf>
    <xf numFmtId="41" fontId="84" fillId="0" borderId="11" xfId="114" applyFont="1" applyFill="1" applyBorder="1" applyAlignment="1">
      <alignment horizontal="right" wrapText="1"/>
    </xf>
    <xf numFmtId="41" fontId="92" fillId="0" borderId="11" xfId="114" applyFont="1" applyFill="1" applyBorder="1" applyAlignment="1">
      <alignment horizontal="right" wrapText="1"/>
    </xf>
    <xf numFmtId="41" fontId="92" fillId="0" borderId="0" xfId="0" applyNumberFormat="1" applyFont="1" applyAlignment="1">
      <alignment wrapText="1"/>
    </xf>
    <xf numFmtId="41" fontId="100" fillId="0" borderId="11" xfId="114" applyFont="1" applyBorder="1" applyAlignment="1">
      <alignment horizontal="center" vertical="center" wrapText="1"/>
    </xf>
    <xf numFmtId="0" fontId="99" fillId="0" borderId="11" xfId="0" applyFont="1" applyBorder="1" applyAlignment="1">
      <alignment horizontal="left" vertical="center"/>
    </xf>
    <xf numFmtId="41" fontId="99" fillId="0" borderId="11" xfId="114" applyFont="1" applyFill="1" applyBorder="1" applyAlignment="1">
      <alignment horizontal="right" vertical="center"/>
    </xf>
    <xf numFmtId="41" fontId="99" fillId="0" borderId="11" xfId="114" applyFont="1" applyBorder="1" applyAlignment="1">
      <alignment horizontal="right" vertical="center"/>
    </xf>
    <xf numFmtId="170" fontId="100" fillId="0" borderId="11" xfId="156" applyNumberFormat="1" applyFont="1" applyBorder="1" applyAlignment="1">
      <alignment horizontal="right" vertical="center"/>
    </xf>
    <xf numFmtId="41" fontId="100" fillId="0" borderId="11" xfId="114" applyFont="1" applyBorder="1" applyAlignment="1">
      <alignment horizontal="right" vertical="center"/>
    </xf>
    <xf numFmtId="171" fontId="92" fillId="0" borderId="0" xfId="0" applyNumberFormat="1" applyFont="1"/>
    <xf numFmtId="170" fontId="92" fillId="0" borderId="0" xfId="156" applyNumberFormat="1" applyFont="1"/>
    <xf numFmtId="170" fontId="84" fillId="0" borderId="0" xfId="156" applyNumberFormat="1" applyFont="1"/>
    <xf numFmtId="41" fontId="92" fillId="0" borderId="11" xfId="114" applyFont="1" applyBorder="1" applyAlignment="1">
      <alignment horizontal="right" vertical="center"/>
    </xf>
    <xf numFmtId="41" fontId="92" fillId="0" borderId="11" xfId="114" applyFont="1" applyFill="1" applyBorder="1" applyAlignment="1">
      <alignment horizontal="right" vertical="center"/>
    </xf>
    <xf numFmtId="41" fontId="92" fillId="0" borderId="0" xfId="0" applyNumberFormat="1" applyFont="1" applyAlignment="1">
      <alignment vertical="center"/>
    </xf>
    <xf numFmtId="41" fontId="92" fillId="0" borderId="0" xfId="114" applyFont="1" applyFill="1" applyAlignment="1">
      <alignment vertical="center"/>
    </xf>
    <xf numFmtId="3" fontId="92" fillId="0" borderId="0" xfId="0" applyNumberFormat="1" applyFont="1" applyAlignment="1">
      <alignment vertical="center"/>
    </xf>
    <xf numFmtId="41" fontId="84" fillId="0" borderId="11" xfId="114" applyFont="1" applyBorder="1" applyAlignment="1">
      <alignment horizontal="right" vertical="center"/>
    </xf>
    <xf numFmtId="41" fontId="84" fillId="0" borderId="11" xfId="114" applyFont="1" applyFill="1" applyBorder="1" applyAlignment="1">
      <alignment horizontal="right" vertical="center"/>
    </xf>
    <xf numFmtId="41" fontId="92" fillId="0" borderId="0" xfId="114" applyFont="1" applyAlignment="1">
      <alignment vertical="center"/>
    </xf>
    <xf numFmtId="0" fontId="92" fillId="0" borderId="0" xfId="0" applyFont="1" applyAlignment="1">
      <alignment horizontal="left" vertical="center" indent="3"/>
    </xf>
    <xf numFmtId="41" fontId="92" fillId="0" borderId="11" xfId="114" applyFont="1" applyFill="1" applyBorder="1" applyAlignment="1"/>
    <xf numFmtId="0" fontId="101" fillId="0" borderId="0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41" fontId="92" fillId="0" borderId="11" xfId="114" applyFont="1" applyFill="1" applyBorder="1" applyAlignment="1">
      <alignment horizontal="center"/>
    </xf>
    <xf numFmtId="0" fontId="92" fillId="0" borderId="12" xfId="0" applyFont="1" applyBorder="1"/>
    <xf numFmtId="170" fontId="92" fillId="0" borderId="11" xfId="114" applyNumberFormat="1" applyFont="1" applyFill="1" applyBorder="1" applyAlignment="1"/>
    <xf numFmtId="41" fontId="84" fillId="0" borderId="11" xfId="114" applyFont="1" applyFill="1" applyBorder="1" applyAlignment="1">
      <alignment horizontal="center"/>
    </xf>
    <xf numFmtId="41" fontId="84" fillId="0" borderId="11" xfId="114" applyFont="1" applyBorder="1" applyAlignment="1">
      <alignment horizontal="center"/>
    </xf>
    <xf numFmtId="41" fontId="92" fillId="0" borderId="11" xfId="114" applyFont="1" applyBorder="1" applyAlignment="1">
      <alignment horizontal="center"/>
    </xf>
    <xf numFmtId="41" fontId="92" fillId="0" borderId="11" xfId="114" applyFont="1" applyBorder="1"/>
    <xf numFmtId="41" fontId="84" fillId="0" borderId="11" xfId="0" applyNumberFormat="1" applyFont="1" applyBorder="1"/>
    <xf numFmtId="41" fontId="92" fillId="0" borderId="11" xfId="114" applyNumberFormat="1" applyFont="1" applyBorder="1" applyAlignment="1">
      <alignment horizontal="center" vertical="center"/>
    </xf>
    <xf numFmtId="4" fontId="92" fillId="0" borderId="0" xfId="0" applyNumberFormat="1" applyFont="1" applyBorder="1"/>
    <xf numFmtId="0" fontId="84" fillId="0" borderId="11" xfId="0" applyFont="1" applyFill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4" fillId="0" borderId="11" xfId="0" applyFont="1" applyBorder="1" applyAlignment="1">
      <alignment horizontal="center"/>
    </xf>
    <xf numFmtId="0" fontId="92" fillId="0" borderId="15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41" fontId="84" fillId="0" borderId="11" xfId="114" applyFont="1" applyFill="1" applyBorder="1" applyAlignment="1">
      <alignment horizontal="right" vertical="center" wrapText="1"/>
    </xf>
    <xf numFmtId="0" fontId="0" fillId="0" borderId="0" xfId="0" quotePrefix="1" applyFill="1"/>
    <xf numFmtId="0" fontId="95" fillId="0" borderId="0" xfId="0" applyFont="1"/>
    <xf numFmtId="0" fontId="102" fillId="0" borderId="24" xfId="0" applyFont="1" applyBorder="1" applyAlignment="1">
      <alignment horizontal="left" wrapText="1"/>
    </xf>
    <xf numFmtId="0" fontId="95" fillId="0" borderId="0" xfId="0" applyFont="1" applyAlignment="1">
      <alignment wrapText="1"/>
    </xf>
    <xf numFmtId="1" fontId="102" fillId="0" borderId="0" xfId="0" applyNumberFormat="1" applyFont="1" applyAlignment="1">
      <alignment wrapText="1"/>
    </xf>
    <xf numFmtId="0" fontId="102" fillId="0" borderId="0" xfId="0" applyFont="1" applyAlignment="1">
      <alignment wrapText="1"/>
    </xf>
    <xf numFmtId="0" fontId="103" fillId="0" borderId="12" xfId="0" applyFont="1" applyBorder="1"/>
    <xf numFmtId="173" fontId="103" fillId="0" borderId="25" xfId="113" applyNumberFormat="1" applyFont="1" applyFill="1" applyBorder="1" applyAlignment="1">
      <alignment horizontal="right"/>
    </xf>
    <xf numFmtId="173" fontId="94" fillId="0" borderId="12" xfId="113" applyNumberFormat="1" applyFont="1" applyFill="1" applyBorder="1" applyAlignment="1">
      <alignment horizontal="right"/>
    </xf>
    <xf numFmtId="0" fontId="103" fillId="0" borderId="25" xfId="0" applyFont="1" applyBorder="1"/>
    <xf numFmtId="173" fontId="102" fillId="0" borderId="12" xfId="113" applyNumberFormat="1" applyFont="1" applyFill="1" applyBorder="1" applyAlignment="1">
      <alignment horizontal="right"/>
    </xf>
    <xf numFmtId="173" fontId="95" fillId="0" borderId="12" xfId="113" applyNumberFormat="1" applyFont="1" applyFill="1" applyBorder="1" applyAlignment="1">
      <alignment horizontal="right"/>
    </xf>
    <xf numFmtId="173" fontId="102" fillId="0" borderId="25" xfId="113" applyNumberFormat="1" applyFont="1" applyFill="1" applyBorder="1" applyAlignment="1">
      <alignment horizontal="right"/>
    </xf>
    <xf numFmtId="0" fontId="102" fillId="0" borderId="25" xfId="0" applyFont="1" applyBorder="1" applyAlignment="1">
      <alignment horizontal="left"/>
    </xf>
    <xf numFmtId="173" fontId="95" fillId="0" borderId="25" xfId="113" applyNumberFormat="1" applyFont="1" applyFill="1" applyBorder="1" applyAlignment="1">
      <alignment horizontal="right"/>
    </xf>
    <xf numFmtId="0" fontId="102" fillId="0" borderId="12" xfId="0" applyFont="1" applyBorder="1"/>
    <xf numFmtId="173" fontId="103" fillId="0" borderId="26" xfId="113" applyNumberFormat="1" applyFont="1" applyFill="1" applyBorder="1" applyAlignment="1">
      <alignment horizontal="right"/>
    </xf>
    <xf numFmtId="173" fontId="95" fillId="0" borderId="27" xfId="113" applyNumberFormat="1" applyFont="1" applyFill="1" applyBorder="1" applyAlignment="1">
      <alignment horizontal="right"/>
    </xf>
    <xf numFmtId="173" fontId="103" fillId="0" borderId="28" xfId="113" applyNumberFormat="1" applyFont="1" applyFill="1" applyBorder="1" applyAlignment="1">
      <alignment horizontal="right"/>
    </xf>
    <xf numFmtId="0" fontId="102" fillId="0" borderId="25" xfId="0" applyFont="1" applyBorder="1"/>
    <xf numFmtId="41" fontId="95" fillId="0" borderId="0" xfId="114" applyFont="1" applyAlignment="1">
      <alignment wrapText="1"/>
    </xf>
    <xf numFmtId="41" fontId="95" fillId="0" borderId="0" xfId="0" applyNumberFormat="1" applyFont="1" applyAlignment="1">
      <alignment wrapText="1"/>
    </xf>
    <xf numFmtId="0" fontId="103" fillId="0" borderId="25" xfId="0" applyFont="1" applyBorder="1" applyAlignment="1">
      <alignment horizontal="left"/>
    </xf>
    <xf numFmtId="173" fontId="103" fillId="0" borderId="12" xfId="113" applyNumberFormat="1" applyFont="1" applyFill="1" applyBorder="1" applyAlignment="1">
      <alignment horizontal="right"/>
    </xf>
    <xf numFmtId="173" fontId="103" fillId="0" borderId="30" xfId="113" applyNumberFormat="1" applyFont="1" applyFill="1" applyBorder="1" applyAlignment="1">
      <alignment horizontal="right"/>
    </xf>
    <xf numFmtId="0" fontId="103" fillId="0" borderId="31" xfId="0" applyFont="1" applyBorder="1"/>
    <xf numFmtId="173" fontId="105" fillId="0" borderId="25" xfId="113" applyNumberFormat="1" applyFont="1" applyFill="1" applyBorder="1" applyAlignment="1">
      <alignment horizontal="right"/>
    </xf>
    <xf numFmtId="41" fontId="102" fillId="0" borderId="25" xfId="0" applyNumberFormat="1" applyFont="1" applyBorder="1"/>
    <xf numFmtId="49" fontId="102" fillId="0" borderId="0" xfId="0" applyNumberFormat="1" applyFont="1" applyAlignment="1">
      <alignment wrapText="1"/>
    </xf>
    <xf numFmtId="0" fontId="103" fillId="0" borderId="32" xfId="0" applyFont="1" applyBorder="1"/>
    <xf numFmtId="173" fontId="103" fillId="0" borderId="33" xfId="113" applyNumberFormat="1" applyFont="1" applyFill="1" applyBorder="1" applyAlignment="1">
      <alignment horizontal="right"/>
    </xf>
    <xf numFmtId="173" fontId="102" fillId="0" borderId="29" xfId="113" applyNumberFormat="1" applyFont="1" applyFill="1" applyBorder="1" applyAlignment="1">
      <alignment horizontal="right"/>
    </xf>
    <xf numFmtId="173" fontId="95" fillId="0" borderId="16" xfId="113" applyNumberFormat="1" applyFont="1" applyFill="1" applyBorder="1" applyAlignment="1">
      <alignment horizontal="right"/>
    </xf>
    <xf numFmtId="173" fontId="103" fillId="0" borderId="27" xfId="113" applyNumberFormat="1" applyFont="1" applyFill="1" applyBorder="1" applyAlignment="1">
      <alignment horizontal="right"/>
    </xf>
    <xf numFmtId="0" fontId="103" fillId="0" borderId="34" xfId="0" applyFont="1" applyBorder="1"/>
    <xf numFmtId="173" fontId="103" fillId="0" borderId="35" xfId="113" applyNumberFormat="1" applyFont="1" applyFill="1" applyBorder="1" applyAlignment="1">
      <alignment horizontal="right"/>
    </xf>
    <xf numFmtId="173" fontId="103" fillId="0" borderId="16" xfId="113" applyNumberFormat="1" applyFont="1" applyFill="1" applyBorder="1" applyAlignment="1">
      <alignment horizontal="right"/>
    </xf>
    <xf numFmtId="0" fontId="102" fillId="0" borderId="0" xfId="0" applyFont="1"/>
    <xf numFmtId="173" fontId="94" fillId="0" borderId="36" xfId="113" applyNumberFormat="1" applyFont="1" applyFill="1" applyBorder="1" applyAlignment="1">
      <alignment horizontal="right"/>
    </xf>
    <xf numFmtId="41" fontId="95" fillId="0" borderId="0" xfId="114" applyFont="1"/>
    <xf numFmtId="173" fontId="95" fillId="0" borderId="0" xfId="0" applyNumberFormat="1" applyFont="1"/>
    <xf numFmtId="0" fontId="102" fillId="0" borderId="24" xfId="0" applyFont="1" applyBorder="1" applyAlignment="1">
      <alignment horizontal="left"/>
    </xf>
    <xf numFmtId="0" fontId="102" fillId="0" borderId="0" xfId="0" applyFont="1" applyAlignment="1">
      <alignment horizontal="left"/>
    </xf>
    <xf numFmtId="0" fontId="103" fillId="0" borderId="0" xfId="0" applyFont="1"/>
    <xf numFmtId="168" fontId="103" fillId="0" borderId="0" xfId="113" applyNumberFormat="1" applyFont="1" applyFill="1"/>
    <xf numFmtId="168" fontId="95" fillId="0" borderId="0" xfId="0" applyNumberFormat="1" applyFont="1"/>
    <xf numFmtId="168" fontId="95" fillId="0" borderId="0" xfId="113" applyNumberFormat="1" applyFont="1" applyFill="1"/>
    <xf numFmtId="168" fontId="95" fillId="0" borderId="0" xfId="113" applyNumberFormat="1" applyFont="1" applyFill="1" applyProtection="1">
      <protection hidden="1"/>
    </xf>
    <xf numFmtId="3" fontId="95" fillId="0" borderId="0" xfId="0" applyNumberFormat="1" applyFont="1"/>
    <xf numFmtId="0" fontId="95" fillId="0" borderId="0" xfId="0" applyFont="1" applyAlignment="1">
      <alignment horizontal="justify" vertical="center"/>
    </xf>
    <xf numFmtId="0" fontId="92" fillId="0" borderId="0" xfId="0" applyFont="1" applyAlignment="1">
      <alignment horizontal="left" vertical="center" indent="5"/>
    </xf>
    <xf numFmtId="0" fontId="106" fillId="0" borderId="0" xfId="0" applyFont="1"/>
    <xf numFmtId="41" fontId="95" fillId="0" borderId="0" xfId="114" applyFont="1" applyFill="1"/>
    <xf numFmtId="3" fontId="94" fillId="0" borderId="0" xfId="0" applyNumberFormat="1" applyFont="1"/>
    <xf numFmtId="169" fontId="95" fillId="0" borderId="0" xfId="0" applyNumberFormat="1" applyFont="1"/>
    <xf numFmtId="169" fontId="95" fillId="0" borderId="0" xfId="113" applyNumberFormat="1" applyFont="1" applyFill="1"/>
    <xf numFmtId="0" fontId="92" fillId="0" borderId="0" xfId="0" applyFont="1" applyAlignment="1">
      <alignment horizontal="center" vertical="center" wrapText="1"/>
    </xf>
    <xf numFmtId="0" fontId="103" fillId="0" borderId="19" xfId="0" applyFont="1" applyBorder="1" applyAlignment="1">
      <alignment horizontal="center"/>
    </xf>
    <xf numFmtId="0" fontId="103" fillId="0" borderId="37" xfId="0" applyFont="1" applyBorder="1" applyAlignment="1">
      <alignment horizontal="center" wrapText="1"/>
    </xf>
    <xf numFmtId="0" fontId="103" fillId="0" borderId="38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103" fillId="0" borderId="39" xfId="0" applyFont="1" applyBorder="1" applyAlignment="1">
      <alignment horizontal="center"/>
    </xf>
    <xf numFmtId="0" fontId="103" fillId="0" borderId="38" xfId="0" applyFont="1" applyBorder="1" applyAlignment="1">
      <alignment horizontal="center" wrapText="1"/>
    </xf>
    <xf numFmtId="168" fontId="102" fillId="0" borderId="40" xfId="113" applyNumberFormat="1" applyFont="1" applyBorder="1"/>
    <xf numFmtId="41" fontId="102" fillId="0" borderId="41" xfId="114" applyFont="1" applyBorder="1" applyAlignment="1">
      <alignment horizontal="right"/>
    </xf>
    <xf numFmtId="41" fontId="102" fillId="0" borderId="42" xfId="114" applyFont="1" applyBorder="1" applyAlignment="1">
      <alignment horizontal="right"/>
    </xf>
    <xf numFmtId="41" fontId="102" fillId="0" borderId="43" xfId="114" applyFont="1" applyBorder="1" applyAlignment="1">
      <alignment horizontal="right"/>
    </xf>
    <xf numFmtId="41" fontId="102" fillId="0" borderId="44" xfId="114" applyFont="1" applyBorder="1" applyAlignment="1">
      <alignment horizontal="right"/>
    </xf>
    <xf numFmtId="41" fontId="103" fillId="0" borderId="41" xfId="114" applyFont="1" applyBorder="1" applyAlignment="1">
      <alignment horizontal="right"/>
    </xf>
    <xf numFmtId="41" fontId="103" fillId="0" borderId="42" xfId="114" applyFont="1" applyBorder="1" applyAlignment="1">
      <alignment horizontal="right"/>
    </xf>
    <xf numFmtId="168" fontId="107" fillId="0" borderId="40" xfId="113" applyNumberFormat="1" applyFont="1" applyBorder="1"/>
    <xf numFmtId="41" fontId="102" fillId="0" borderId="45" xfId="114" applyFont="1" applyBorder="1" applyAlignment="1">
      <alignment horizontal="right"/>
    </xf>
    <xf numFmtId="41" fontId="102" fillId="0" borderId="46" xfId="114" applyFont="1" applyBorder="1" applyAlignment="1">
      <alignment horizontal="right"/>
    </xf>
    <xf numFmtId="41" fontId="102" fillId="0" borderId="25" xfId="114" applyFont="1" applyBorder="1" applyAlignment="1">
      <alignment horizontal="right"/>
    </xf>
    <xf numFmtId="41" fontId="102" fillId="0" borderId="47" xfId="114" applyFont="1" applyBorder="1" applyAlignment="1">
      <alignment horizontal="right"/>
    </xf>
    <xf numFmtId="41" fontId="102" fillId="0" borderId="48" xfId="114" applyFont="1" applyBorder="1" applyAlignment="1">
      <alignment horizontal="right"/>
    </xf>
    <xf numFmtId="41" fontId="102" fillId="0" borderId="5" xfId="114" applyFont="1" applyBorder="1" applyAlignment="1">
      <alignment horizontal="right"/>
    </xf>
    <xf numFmtId="41" fontId="102" fillId="0" borderId="49" xfId="114" applyFont="1" applyBorder="1" applyAlignment="1">
      <alignment horizontal="right"/>
    </xf>
    <xf numFmtId="41" fontId="103" fillId="0" borderId="50" xfId="114" applyFont="1" applyBorder="1" applyAlignment="1">
      <alignment horizontal="right"/>
    </xf>
    <xf numFmtId="0" fontId="103" fillId="0" borderId="37" xfId="0" applyFont="1" applyBorder="1"/>
    <xf numFmtId="41" fontId="103" fillId="0" borderId="51" xfId="114" applyFont="1" applyBorder="1" applyAlignment="1">
      <alignment horizontal="right"/>
    </xf>
    <xf numFmtId="41" fontId="103" fillId="0" borderId="52" xfId="114" applyFont="1" applyBorder="1" applyAlignment="1">
      <alignment horizontal="right"/>
    </xf>
    <xf numFmtId="41" fontId="103" fillId="0" borderId="20" xfId="114" applyFont="1" applyBorder="1" applyAlignment="1">
      <alignment horizontal="right"/>
    </xf>
    <xf numFmtId="41" fontId="103" fillId="0" borderId="53" xfId="114" applyFont="1" applyBorder="1" applyAlignment="1">
      <alignment horizontal="right"/>
    </xf>
    <xf numFmtId="41" fontId="94" fillId="0" borderId="52" xfId="114" applyFont="1" applyBorder="1" applyAlignment="1">
      <alignment horizontal="right"/>
    </xf>
    <xf numFmtId="41" fontId="94" fillId="0" borderId="21" xfId="114" applyFont="1" applyBorder="1" applyAlignment="1">
      <alignment horizontal="right"/>
    </xf>
    <xf numFmtId="0" fontId="103" fillId="0" borderId="54" xfId="0" applyFont="1" applyBorder="1"/>
    <xf numFmtId="41" fontId="103" fillId="0" borderId="55" xfId="114" applyFont="1" applyBorder="1" applyAlignment="1">
      <alignment horizontal="right"/>
    </xf>
    <xf numFmtId="0" fontId="0" fillId="0" borderId="0" xfId="0" quotePrefix="1" applyFont="1" applyFill="1"/>
    <xf numFmtId="3" fontId="108" fillId="0" borderId="0" xfId="0" applyNumberFormat="1" applyFont="1"/>
    <xf numFmtId="3" fontId="109" fillId="0" borderId="0" xfId="0" applyNumberFormat="1" applyFont="1"/>
    <xf numFmtId="3" fontId="84" fillId="0" borderId="11" xfId="0" applyNumberFormat="1" applyFont="1" applyBorder="1" applyAlignment="1"/>
    <xf numFmtId="0" fontId="95" fillId="0" borderId="19" xfId="0" applyFont="1" applyBorder="1"/>
    <xf numFmtId="3" fontId="95" fillId="0" borderId="20" xfId="0" applyNumberFormat="1" applyFont="1" applyBorder="1"/>
    <xf numFmtId="14" fontId="94" fillId="0" borderId="52" xfId="114" applyNumberFormat="1" applyFont="1" applyFill="1" applyBorder="1" applyAlignment="1">
      <alignment horizontal="center" wrapText="1"/>
    </xf>
    <xf numFmtId="0" fontId="94" fillId="0" borderId="40" xfId="0" applyFont="1" applyBorder="1"/>
    <xf numFmtId="3" fontId="94" fillId="0" borderId="0" xfId="0" applyNumberFormat="1" applyFont="1" applyBorder="1"/>
    <xf numFmtId="0" fontId="95" fillId="0" borderId="0" xfId="0" applyFont="1" applyBorder="1"/>
    <xf numFmtId="173" fontId="95" fillId="0" borderId="46" xfId="113" applyNumberFormat="1" applyFont="1" applyFill="1" applyBorder="1" applyAlignment="1">
      <alignment horizontal="right"/>
    </xf>
    <xf numFmtId="173" fontId="94" fillId="0" borderId="0" xfId="113" applyNumberFormat="1" applyFont="1" applyFill="1" applyBorder="1" applyAlignment="1">
      <alignment horizontal="right"/>
    </xf>
    <xf numFmtId="41" fontId="94" fillId="0" borderId="46" xfId="114" applyFont="1" applyFill="1" applyBorder="1" applyAlignment="1">
      <alignment horizontal="right"/>
    </xf>
    <xf numFmtId="0" fontId="95" fillId="0" borderId="40" xfId="0" applyFont="1" applyBorder="1"/>
    <xf numFmtId="173" fontId="95" fillId="0" borderId="0" xfId="113" applyNumberFormat="1" applyFont="1" applyFill="1" applyBorder="1" applyAlignment="1">
      <alignment horizontal="right"/>
    </xf>
    <xf numFmtId="41" fontId="95" fillId="0" borderId="46" xfId="114" applyFont="1" applyFill="1" applyBorder="1" applyAlignment="1">
      <alignment horizontal="right"/>
    </xf>
    <xf numFmtId="49" fontId="95" fillId="0" borderId="40" xfId="0" applyNumberFormat="1" applyFont="1" applyBorder="1"/>
    <xf numFmtId="0" fontId="94" fillId="0" borderId="56" xfId="0" applyFont="1" applyBorder="1"/>
    <xf numFmtId="3" fontId="95" fillId="0" borderId="23" xfId="0" applyNumberFormat="1" applyFont="1" applyBorder="1"/>
    <xf numFmtId="49" fontId="94" fillId="0" borderId="40" xfId="0" applyNumberFormat="1" applyFont="1" applyBorder="1"/>
    <xf numFmtId="3" fontId="95" fillId="0" borderId="15" xfId="0" applyNumberFormat="1" applyFont="1" applyBorder="1"/>
    <xf numFmtId="3" fontId="95" fillId="0" borderId="0" xfId="0" applyNumberFormat="1" applyFont="1" applyBorder="1"/>
    <xf numFmtId="41" fontId="95" fillId="0" borderId="0" xfId="0" applyNumberFormat="1" applyFont="1"/>
    <xf numFmtId="0" fontId="102" fillId="0" borderId="17" xfId="0" applyFont="1" applyBorder="1"/>
    <xf numFmtId="41" fontId="102" fillId="0" borderId="57" xfId="114" applyFont="1" applyBorder="1" applyAlignment="1">
      <alignment horizontal="right"/>
    </xf>
    <xf numFmtId="41" fontId="102" fillId="0" borderId="58" xfId="114" applyFont="1" applyBorder="1" applyAlignment="1">
      <alignment horizontal="right"/>
    </xf>
    <xf numFmtId="41" fontId="102" fillId="0" borderId="12" xfId="114" applyFont="1" applyBorder="1" applyAlignment="1">
      <alignment horizontal="right"/>
    </xf>
    <xf numFmtId="0" fontId="94" fillId="0" borderId="12" xfId="0" applyFont="1" applyBorder="1"/>
    <xf numFmtId="41" fontId="95" fillId="0" borderId="12" xfId="114" applyFont="1" applyBorder="1" applyAlignment="1">
      <alignment horizontal="right"/>
    </xf>
    <xf numFmtId="41" fontId="94" fillId="0" borderId="26" xfId="114" applyFont="1" applyBorder="1" applyAlignment="1">
      <alignment horizontal="right"/>
    </xf>
    <xf numFmtId="0" fontId="95" fillId="0" borderId="12" xfId="0" applyFont="1" applyBorder="1"/>
    <xf numFmtId="41" fontId="94" fillId="0" borderId="12" xfId="114" applyFont="1" applyBorder="1" applyAlignment="1">
      <alignment horizontal="right"/>
    </xf>
    <xf numFmtId="0" fontId="110" fillId="0" borderId="12" xfId="0" applyFont="1" applyBorder="1"/>
    <xf numFmtId="41" fontId="110" fillId="0" borderId="12" xfId="114" applyFont="1" applyBorder="1" applyAlignment="1">
      <alignment horizontal="right"/>
    </xf>
    <xf numFmtId="0" fontId="102" fillId="0" borderId="16" xfId="0" applyFont="1" applyBorder="1"/>
    <xf numFmtId="41" fontId="103" fillId="0" borderId="59" xfId="114" applyFont="1" applyBorder="1" applyAlignment="1">
      <alignment horizontal="right"/>
    </xf>
    <xf numFmtId="3" fontId="111" fillId="0" borderId="0" xfId="0" applyNumberFormat="1" applyFont="1"/>
    <xf numFmtId="3" fontId="112" fillId="0" borderId="0" xfId="0" applyNumberFormat="1" applyFont="1"/>
    <xf numFmtId="3" fontId="0" fillId="0" borderId="0" xfId="0" applyNumberFormat="1" applyFont="1"/>
    <xf numFmtId="0" fontId="92" fillId="0" borderId="0" xfId="0" applyFont="1" applyAlignment="1"/>
    <xf numFmtId="0" fontId="113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4" fillId="0" borderId="60" xfId="0" applyFont="1" applyBorder="1"/>
    <xf numFmtId="173" fontId="94" fillId="0" borderId="46" xfId="113" applyNumberFormat="1" applyFont="1" applyFill="1" applyBorder="1" applyAlignment="1">
      <alignment horizontal="right"/>
    </xf>
    <xf numFmtId="0" fontId="94" fillId="0" borderId="61" xfId="0" applyFont="1" applyBorder="1"/>
    <xf numFmtId="41" fontId="94" fillId="0" borderId="23" xfId="114" applyFont="1" applyBorder="1"/>
    <xf numFmtId="3" fontId="95" fillId="0" borderId="62" xfId="0" applyNumberFormat="1" applyFont="1" applyBorder="1"/>
    <xf numFmtId="41" fontId="94" fillId="0" borderId="62" xfId="114" applyFont="1" applyBorder="1"/>
    <xf numFmtId="41" fontId="92" fillId="0" borderId="11" xfId="114" applyFont="1" applyFill="1" applyBorder="1"/>
    <xf numFmtId="41" fontId="6" fillId="0" borderId="26" xfId="114" applyFont="1" applyBorder="1" applyAlignment="1"/>
    <xf numFmtId="0" fontId="92" fillId="0" borderId="63" xfId="0" applyFont="1" applyBorder="1" applyAlignment="1">
      <alignment horizontal="left"/>
    </xf>
    <xf numFmtId="0" fontId="84" fillId="0" borderId="65" xfId="0" applyFont="1" applyBorder="1" applyAlignment="1">
      <alignment horizontal="left"/>
    </xf>
    <xf numFmtId="41" fontId="84" fillId="0" borderId="11" xfId="114" applyFont="1" applyBorder="1" applyAlignment="1">
      <alignment horizontal="right" wrapText="1"/>
    </xf>
    <xf numFmtId="0" fontId="100" fillId="0" borderId="11" xfId="0" applyFont="1" applyBorder="1" applyAlignment="1">
      <alignment horizontal="center" vertical="center"/>
    </xf>
    <xf numFmtId="173" fontId="100" fillId="0" borderId="11" xfId="113" applyNumberFormat="1" applyFont="1" applyBorder="1" applyAlignment="1">
      <alignment horizontal="center" vertical="center"/>
    </xf>
    <xf numFmtId="0" fontId="84" fillId="0" borderId="11" xfId="0" applyFont="1" applyFill="1" applyBorder="1" applyAlignment="1">
      <alignment horizontal="center" vertical="center" wrapText="1"/>
    </xf>
    <xf numFmtId="41" fontId="84" fillId="0" borderId="11" xfId="114" applyFont="1" applyFill="1" applyBorder="1" applyAlignment="1">
      <alignment horizontal="right" vertical="center" wrapText="1"/>
    </xf>
    <xf numFmtId="0" fontId="0" fillId="0" borderId="0" xfId="0" applyFill="1"/>
    <xf numFmtId="0" fontId="84" fillId="0" borderId="0" xfId="0" applyFont="1" applyAlignment="1">
      <alignment horizontal="center" vertical="center"/>
    </xf>
    <xf numFmtId="0" fontId="0" fillId="0" borderId="0" xfId="0" quotePrefix="1" applyFill="1"/>
    <xf numFmtId="14" fontId="103" fillId="0" borderId="37" xfId="0" applyNumberFormat="1" applyFont="1" applyBorder="1" applyAlignment="1">
      <alignment horizontal="center" wrapText="1"/>
    </xf>
    <xf numFmtId="14" fontId="103" fillId="0" borderId="38" xfId="0" applyNumberFormat="1" applyFont="1" applyBorder="1" applyAlignment="1">
      <alignment horizontal="center" wrapText="1"/>
    </xf>
    <xf numFmtId="0" fontId="99" fillId="0" borderId="13" xfId="0" applyFont="1" applyBorder="1" applyAlignment="1">
      <alignment horizontal="left" vertical="center"/>
    </xf>
    <xf numFmtId="0" fontId="99" fillId="0" borderId="12" xfId="0" applyFont="1" applyBorder="1" applyAlignment="1">
      <alignment horizontal="left" vertical="center"/>
    </xf>
    <xf numFmtId="0" fontId="100" fillId="0" borderId="22" xfId="0" applyFont="1" applyBorder="1" applyAlignment="1">
      <alignment horizontal="left" vertical="center"/>
    </xf>
    <xf numFmtId="0" fontId="100" fillId="0" borderId="11" xfId="0" applyFont="1" applyBorder="1" applyAlignment="1">
      <alignment horizontal="left" vertical="center"/>
    </xf>
    <xf numFmtId="0" fontId="100" fillId="0" borderId="18" xfId="0" applyFont="1" applyBorder="1" applyAlignment="1">
      <alignment horizontal="left" vertical="center"/>
    </xf>
    <xf numFmtId="3" fontId="99" fillId="0" borderId="25" xfId="0" applyNumberFormat="1" applyFont="1" applyBorder="1" applyAlignment="1">
      <alignment horizontal="left" vertical="center"/>
    </xf>
    <xf numFmtId="0" fontId="99" fillId="0" borderId="67" xfId="0" applyFont="1" applyBorder="1" applyAlignment="1">
      <alignment horizontal="left" vertical="center"/>
    </xf>
    <xf numFmtId="0" fontId="99" fillId="0" borderId="17" xfId="0" applyFont="1" applyBorder="1" applyAlignment="1">
      <alignment horizontal="left" vertical="center"/>
    </xf>
    <xf numFmtId="0" fontId="100" fillId="0" borderId="70" xfId="0" applyFont="1" applyBorder="1" applyAlignment="1">
      <alignment horizontal="left" vertical="center"/>
    </xf>
    <xf numFmtId="10" fontId="99" fillId="0" borderId="69" xfId="0" applyNumberFormat="1" applyFont="1" applyBorder="1" applyAlignment="1">
      <alignment horizontal="right" vertical="center"/>
    </xf>
    <xf numFmtId="10" fontId="99" fillId="0" borderId="46" xfId="0" applyNumberFormat="1" applyFont="1" applyBorder="1" applyAlignment="1">
      <alignment horizontal="right" vertical="center"/>
    </xf>
    <xf numFmtId="41" fontId="84" fillId="0" borderId="0" xfId="114" applyFont="1" applyAlignment="1"/>
    <xf numFmtId="41" fontId="92" fillId="0" borderId="0" xfId="114" applyFont="1" applyAlignment="1"/>
    <xf numFmtId="0" fontId="84" fillId="0" borderId="0" xfId="0" applyFont="1" applyAlignment="1">
      <alignment wrapText="1"/>
    </xf>
    <xf numFmtId="0" fontId="114" fillId="0" borderId="0" xfId="0" applyFont="1" applyAlignment="1">
      <alignment horizontal="center" vertical="center"/>
    </xf>
    <xf numFmtId="3" fontId="94" fillId="0" borderId="63" xfId="0" applyNumberFormat="1" applyFont="1" applyBorder="1"/>
    <xf numFmtId="0" fontId="95" fillId="0" borderId="63" xfId="0" applyFont="1" applyBorder="1"/>
    <xf numFmtId="173" fontId="95" fillId="0" borderId="64" xfId="113" applyNumberFormat="1" applyFont="1" applyFill="1" applyBorder="1" applyAlignment="1">
      <alignment horizontal="right"/>
    </xf>
    <xf numFmtId="41" fontId="92" fillId="0" borderId="11" xfId="114" applyFont="1" applyBorder="1" applyAlignment="1">
      <alignment horizontal="center" vertical="center"/>
    </xf>
    <xf numFmtId="41" fontId="84" fillId="0" borderId="11" xfId="114" applyFont="1" applyBorder="1" applyAlignment="1">
      <alignment horizontal="center" vertical="center" wrapText="1"/>
    </xf>
    <xf numFmtId="41" fontId="92" fillId="0" borderId="11" xfId="114" applyFont="1" applyBorder="1" applyAlignment="1">
      <alignment vertical="center"/>
    </xf>
    <xf numFmtId="41" fontId="84" fillId="0" borderId="11" xfId="114" applyFont="1" applyBorder="1" applyAlignment="1">
      <alignment horizontal="center" vertical="center"/>
    </xf>
    <xf numFmtId="41" fontId="84" fillId="0" borderId="17" xfId="114" applyFont="1" applyBorder="1" applyAlignment="1">
      <alignment horizontal="center" wrapText="1"/>
    </xf>
    <xf numFmtId="41" fontId="84" fillId="0" borderId="16" xfId="114" applyFont="1" applyBorder="1" applyAlignment="1">
      <alignment horizontal="center" vertical="center" wrapText="1"/>
    </xf>
    <xf numFmtId="0" fontId="87" fillId="0" borderId="11" xfId="0" applyFont="1" applyBorder="1"/>
    <xf numFmtId="0" fontId="115" fillId="0" borderId="11" xfId="0" applyFont="1" applyBorder="1" applyAlignment="1">
      <alignment vertical="center"/>
    </xf>
    <xf numFmtId="0" fontId="100" fillId="0" borderId="21" xfId="0" applyFont="1" applyBorder="1" applyAlignment="1">
      <alignment horizontal="center" vertical="center" wrapText="1"/>
    </xf>
    <xf numFmtId="0" fontId="94" fillId="0" borderId="16" xfId="0" applyFont="1" applyBorder="1" applyAlignment="1">
      <alignment vertical="center"/>
    </xf>
    <xf numFmtId="41" fontId="95" fillId="0" borderId="16" xfId="114" applyFont="1" applyBorder="1" applyAlignment="1">
      <alignment vertical="center"/>
    </xf>
    <xf numFmtId="41" fontId="100" fillId="0" borderId="16" xfId="114" applyFont="1" applyBorder="1" applyAlignment="1">
      <alignment vertical="center"/>
    </xf>
    <xf numFmtId="0" fontId="100" fillId="0" borderId="0" xfId="0" applyFont="1" applyAlignment="1">
      <alignment horizontal="center" vertical="center" wrapText="1"/>
    </xf>
    <xf numFmtId="41" fontId="95" fillId="0" borderId="0" xfId="114" applyFont="1" applyFill="1" applyBorder="1" applyAlignment="1">
      <alignment horizontal="right" vertical="center"/>
    </xf>
    <xf numFmtId="0" fontId="110" fillId="0" borderId="11" xfId="0" applyFont="1" applyBorder="1" applyAlignment="1">
      <alignment vertical="center"/>
    </xf>
    <xf numFmtId="0" fontId="99" fillId="0" borderId="17" xfId="0" applyFont="1" applyBorder="1" applyAlignment="1">
      <alignment horizontal="center" vertical="center"/>
    </xf>
    <xf numFmtId="173" fontId="99" fillId="0" borderId="17" xfId="113" applyNumberFormat="1" applyFont="1" applyFill="1" applyBorder="1" applyAlignment="1">
      <alignment horizontal="center" vertical="center"/>
    </xf>
    <xf numFmtId="41" fontId="95" fillId="0" borderId="16" xfId="114" applyFont="1" applyBorder="1"/>
    <xf numFmtId="0" fontId="100" fillId="0" borderId="21" xfId="0" applyFont="1" applyBorder="1" applyAlignment="1">
      <alignment horizontal="center" vertical="center"/>
    </xf>
    <xf numFmtId="0" fontId="100" fillId="0" borderId="72" xfId="0" applyFont="1" applyBorder="1" applyAlignment="1">
      <alignment vertical="center"/>
    </xf>
    <xf numFmtId="0" fontId="100" fillId="0" borderId="73" xfId="0" applyFont="1" applyBorder="1" applyAlignment="1">
      <alignment vertical="center"/>
    </xf>
    <xf numFmtId="0" fontId="100" fillId="0" borderId="74" xfId="0" applyFont="1" applyBorder="1" applyAlignment="1">
      <alignment vertical="center"/>
    </xf>
    <xf numFmtId="41" fontId="100" fillId="0" borderId="74" xfId="114" applyFont="1" applyBorder="1" applyAlignment="1">
      <alignment vertical="center"/>
    </xf>
    <xf numFmtId="173" fontId="100" fillId="0" borderId="74" xfId="113" applyNumberFormat="1" applyFont="1" applyBorder="1" applyAlignment="1">
      <alignment horizontal="right"/>
    </xf>
    <xf numFmtId="173" fontId="100" fillId="0" borderId="75" xfId="113" applyNumberFormat="1" applyFont="1" applyBorder="1" applyAlignment="1">
      <alignment horizontal="right"/>
    </xf>
    <xf numFmtId="0" fontId="100" fillId="0" borderId="76" xfId="0" applyFont="1" applyBorder="1" applyAlignment="1">
      <alignment horizontal="center" vertical="center" wrapText="1"/>
    </xf>
    <xf numFmtId="0" fontId="100" fillId="0" borderId="71" xfId="0" applyFont="1" applyBorder="1" applyAlignment="1">
      <alignment horizontal="center" vertical="center" wrapText="1"/>
    </xf>
    <xf numFmtId="0" fontId="100" fillId="0" borderId="77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69" fillId="0" borderId="0" xfId="107" quotePrefix="1" applyFill="1"/>
    <xf numFmtId="0" fontId="69" fillId="0" borderId="15" xfId="107" quotePrefix="1" applyBorder="1" applyAlignment="1">
      <alignment horizontal="center" vertical="center"/>
    </xf>
    <xf numFmtId="0" fontId="69" fillId="0" borderId="0" xfId="107" quotePrefix="1" applyAlignment="1">
      <alignment horizontal="center" vertical="center"/>
    </xf>
    <xf numFmtId="0" fontId="95" fillId="0" borderId="22" xfId="0" applyFont="1" applyFill="1" applyBorder="1" applyAlignment="1">
      <alignment horizontal="left"/>
    </xf>
    <xf numFmtId="41" fontId="92" fillId="0" borderId="23" xfId="114" applyFont="1" applyFill="1" applyBorder="1" applyAlignment="1">
      <alignment horizontal="right"/>
    </xf>
    <xf numFmtId="41" fontId="92" fillId="0" borderId="18" xfId="114" applyFont="1" applyFill="1" applyBorder="1" applyAlignment="1">
      <alignment horizontal="right"/>
    </xf>
    <xf numFmtId="0" fontId="92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69" fillId="0" borderId="0" xfId="107" quotePrefix="1" applyAlignment="1">
      <alignment horizontal="left"/>
    </xf>
    <xf numFmtId="0" fontId="69" fillId="0" borderId="0" xfId="107" quotePrefix="1"/>
    <xf numFmtId="41" fontId="84" fillId="0" borderId="11" xfId="114" applyFont="1" applyFill="1" applyBorder="1" applyAlignment="1"/>
    <xf numFmtId="41" fontId="84" fillId="0" borderId="11" xfId="0" applyNumberFormat="1" applyFont="1" applyFill="1" applyBorder="1" applyAlignment="1">
      <alignment horizontal="center" vertical="center"/>
    </xf>
    <xf numFmtId="0" fontId="69" fillId="0" borderId="0" xfId="107" quotePrefix="1" applyAlignment="1">
      <alignment wrapText="1"/>
    </xf>
    <xf numFmtId="41" fontId="92" fillId="0" borderId="11" xfId="114" applyFont="1" applyBorder="1" applyAlignment="1">
      <alignment horizontal="left" wrapText="1"/>
    </xf>
    <xf numFmtId="41" fontId="100" fillId="0" borderId="11" xfId="114" applyFont="1" applyBorder="1" applyAlignment="1">
      <alignment wrapText="1"/>
    </xf>
    <xf numFmtId="0" fontId="69" fillId="0" borderId="25" xfId="107" applyBorder="1" applyAlignment="1">
      <alignment horizontal="left"/>
    </xf>
    <xf numFmtId="0" fontId="69" fillId="0" borderId="25" xfId="107" applyBorder="1"/>
    <xf numFmtId="14" fontId="92" fillId="0" borderId="0" xfId="0" applyNumberFormat="1" applyFont="1" applyAlignment="1">
      <alignment wrapText="1"/>
    </xf>
    <xf numFmtId="0" fontId="114" fillId="0" borderId="0" xfId="0" applyFont="1" applyAlignment="1">
      <alignment horizontal="center"/>
    </xf>
    <xf numFmtId="0" fontId="69" fillId="0" borderId="0" xfId="107" quotePrefix="1" applyAlignment="1">
      <alignment vertical="center"/>
    </xf>
    <xf numFmtId="0" fontId="69" fillId="0" borderId="65" xfId="107" applyBorder="1"/>
    <xf numFmtId="41" fontId="94" fillId="0" borderId="68" xfId="114" applyFont="1" applyBorder="1"/>
    <xf numFmtId="0" fontId="69" fillId="0" borderId="15" xfId="107" quotePrefix="1" applyBorder="1" applyAlignment="1">
      <alignment horizontal="center"/>
    </xf>
    <xf numFmtId="49" fontId="69" fillId="0" borderId="40" xfId="107" applyNumberFormat="1" applyBorder="1"/>
    <xf numFmtId="0" fontId="69" fillId="0" borderId="40" xfId="107" applyBorder="1"/>
    <xf numFmtId="0" fontId="114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 wrapText="1"/>
    </xf>
    <xf numFmtId="0" fontId="110" fillId="0" borderId="0" xfId="0" applyFont="1" applyAlignment="1">
      <alignment vertical="center" wrapText="1"/>
    </xf>
    <xf numFmtId="0" fontId="95" fillId="0" borderId="0" xfId="0" applyFont="1" applyAlignment="1"/>
    <xf numFmtId="173" fontId="100" fillId="0" borderId="0" xfId="113" applyNumberFormat="1" applyFont="1" applyFill="1" applyBorder="1" applyAlignment="1">
      <alignment horizontal="right" vertical="center"/>
    </xf>
    <xf numFmtId="173" fontId="99" fillId="0" borderId="11" xfId="113" applyNumberFormat="1" applyFont="1" applyBorder="1" applyAlignment="1">
      <alignment horizontal="center" vertical="center"/>
    </xf>
    <xf numFmtId="173" fontId="95" fillId="0" borderId="11" xfId="113" applyNumberFormat="1" applyFont="1" applyFill="1" applyBorder="1" applyAlignment="1">
      <alignment vertical="center"/>
    </xf>
    <xf numFmtId="0" fontId="92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14" fontId="84" fillId="0" borderId="11" xfId="0" applyNumberFormat="1" applyFont="1" applyBorder="1" applyAlignment="1">
      <alignment horizontal="center"/>
    </xf>
    <xf numFmtId="0" fontId="89" fillId="0" borderId="78" xfId="0" applyFont="1" applyBorder="1" applyAlignment="1">
      <alignment horizontal="center" vertical="center"/>
    </xf>
    <xf numFmtId="0" fontId="114" fillId="0" borderId="52" xfId="0" applyFont="1" applyBorder="1" applyAlignment="1">
      <alignment horizontal="center" wrapText="1"/>
    </xf>
    <xf numFmtId="0" fontId="0" fillId="0" borderId="0" xfId="0" quotePrefix="1" applyFill="1"/>
    <xf numFmtId="168" fontId="94" fillId="0" borderId="0" xfId="113" applyNumberFormat="1" applyFont="1" applyFill="1"/>
    <xf numFmtId="0" fontId="94" fillId="0" borderId="0" xfId="0" applyFont="1"/>
    <xf numFmtId="188" fontId="41" fillId="0" borderId="0" xfId="247" applyNumberFormat="1" applyFont="1"/>
    <xf numFmtId="188" fontId="1" fillId="0" borderId="0" xfId="247" applyNumberFormat="1"/>
    <xf numFmtId="0" fontId="1" fillId="0" borderId="0" xfId="247"/>
    <xf numFmtId="188" fontId="10" fillId="0" borderId="65" xfId="247" applyNumberFormat="1" applyFont="1" applyBorder="1"/>
    <xf numFmtId="188" fontId="10" fillId="0" borderId="79" xfId="247" applyNumberFormat="1" applyFont="1" applyBorder="1"/>
    <xf numFmtId="188" fontId="10" fillId="0" borderId="65" xfId="247" applyNumberFormat="1" applyFont="1" applyBorder="1" applyAlignment="1">
      <alignment horizontal="centerContinuous"/>
    </xf>
    <xf numFmtId="188" fontId="10" fillId="0" borderId="64" xfId="247" applyNumberFormat="1" applyFont="1" applyBorder="1" applyAlignment="1">
      <alignment horizontal="centerContinuous"/>
    </xf>
    <xf numFmtId="188" fontId="10" fillId="0" borderId="63" xfId="247" applyNumberFormat="1" applyFont="1" applyBorder="1"/>
    <xf numFmtId="188" fontId="42" fillId="0" borderId="79" xfId="247" applyNumberFormat="1" applyFont="1" applyBorder="1" applyAlignment="1">
      <alignment horizontal="center"/>
    </xf>
    <xf numFmtId="188" fontId="10" fillId="0" borderId="64" xfId="247" applyNumberFormat="1" applyFont="1" applyBorder="1"/>
    <xf numFmtId="188" fontId="10" fillId="0" borderId="40" xfId="247" applyNumberFormat="1" applyFont="1" applyBorder="1" applyAlignment="1">
      <alignment horizontal="center"/>
    </xf>
    <xf numFmtId="188" fontId="42" fillId="0" borderId="80" xfId="247" applyNumberFormat="1" applyFont="1" applyBorder="1" applyAlignment="1">
      <alignment horizontal="center"/>
    </xf>
    <xf numFmtId="188" fontId="42" fillId="0" borderId="66" xfId="247" applyNumberFormat="1" applyFont="1" applyBorder="1" applyAlignment="1">
      <alignment horizontal="centerContinuous"/>
    </xf>
    <xf numFmtId="188" fontId="10" fillId="0" borderId="71" xfId="247" applyNumberFormat="1" applyFont="1" applyBorder="1" applyAlignment="1">
      <alignment horizontal="centerContinuous"/>
    </xf>
    <xf numFmtId="188" fontId="10" fillId="0" borderId="40" xfId="247" applyNumberFormat="1" applyFont="1" applyBorder="1" applyAlignment="1">
      <alignment horizontal="centerContinuous"/>
    </xf>
    <xf numFmtId="188" fontId="10" fillId="0" borderId="0" xfId="247" applyNumberFormat="1" applyFont="1" applyAlignment="1">
      <alignment horizontal="centerContinuous"/>
    </xf>
    <xf numFmtId="188" fontId="6" fillId="0" borderId="80" xfId="247" applyNumberFormat="1" applyFont="1" applyBorder="1" applyAlignment="1">
      <alignment horizontal="center"/>
    </xf>
    <xf numFmtId="188" fontId="10" fillId="0" borderId="46" xfId="247" applyNumberFormat="1" applyFont="1" applyBorder="1" applyAlignment="1">
      <alignment horizontal="center"/>
    </xf>
    <xf numFmtId="188" fontId="10" fillId="0" borderId="40" xfId="247" applyNumberFormat="1" applyFont="1" applyBorder="1"/>
    <xf numFmtId="188" fontId="42" fillId="0" borderId="64" xfId="247" applyNumberFormat="1" applyFont="1" applyBorder="1" applyAlignment="1">
      <alignment horizontal="center"/>
    </xf>
    <xf numFmtId="188" fontId="42" fillId="0" borderId="65" xfId="247" applyNumberFormat="1" applyFont="1" applyBorder="1" applyAlignment="1">
      <alignment horizontal="center"/>
    </xf>
    <xf numFmtId="188" fontId="6" fillId="0" borderId="79" xfId="247" applyNumberFormat="1" applyFont="1" applyBorder="1" applyAlignment="1">
      <alignment horizontal="center"/>
    </xf>
    <xf numFmtId="188" fontId="6" fillId="0" borderId="64" xfId="247" applyNumberFormat="1" applyFont="1" applyBorder="1" applyAlignment="1">
      <alignment horizontal="center"/>
    </xf>
    <xf numFmtId="188" fontId="43" fillId="0" borderId="64" xfId="247" applyNumberFormat="1" applyFont="1" applyBorder="1" applyAlignment="1">
      <alignment horizontal="center"/>
    </xf>
    <xf numFmtId="188" fontId="10" fillId="0" borderId="66" xfId="247" applyNumberFormat="1" applyFont="1" applyBorder="1" applyAlignment="1">
      <alignment horizontal="center"/>
    </xf>
    <xf numFmtId="188" fontId="116" fillId="0" borderId="81" xfId="247" applyNumberFormat="1" applyFont="1" applyBorder="1" applyAlignment="1">
      <alignment horizontal="center"/>
    </xf>
    <xf numFmtId="188" fontId="42" fillId="0" borderId="81" xfId="247" applyNumberFormat="1" applyFont="1" applyBorder="1" applyAlignment="1">
      <alignment horizontal="center"/>
    </xf>
    <xf numFmtId="188" fontId="42" fillId="0" borderId="71" xfId="247" applyNumberFormat="1" applyFont="1" applyBorder="1" applyAlignment="1">
      <alignment horizontal="center"/>
    </xf>
    <xf numFmtId="188" fontId="42" fillId="0" borderId="66" xfId="247" applyNumberFormat="1" applyFont="1" applyBorder="1" applyAlignment="1">
      <alignment horizontal="center"/>
    </xf>
    <xf numFmtId="188" fontId="6" fillId="0" borderId="81" xfId="247" applyNumberFormat="1" applyFont="1" applyBorder="1" applyAlignment="1">
      <alignment horizontal="center"/>
    </xf>
    <xf numFmtId="188" fontId="6" fillId="0" borderId="71" xfId="247" applyNumberFormat="1" applyFont="1" applyBorder="1" applyAlignment="1">
      <alignment horizontal="center"/>
    </xf>
    <xf numFmtId="188" fontId="44" fillId="0" borderId="71" xfId="247" applyNumberFormat="1" applyFont="1" applyBorder="1" applyAlignment="1">
      <alignment horizontal="center"/>
    </xf>
    <xf numFmtId="188" fontId="10" fillId="0" borderId="71" xfId="247" applyNumberFormat="1" applyFont="1" applyBorder="1"/>
    <xf numFmtId="188" fontId="45" fillId="0" borderId="72" xfId="247" applyNumberFormat="1" applyFont="1" applyBorder="1"/>
    <xf numFmtId="188" fontId="1" fillId="0" borderId="73" xfId="247" applyNumberFormat="1" applyBorder="1"/>
    <xf numFmtId="188" fontId="1" fillId="0" borderId="73" xfId="247" applyNumberFormat="1" applyBorder="1" applyAlignment="1">
      <alignment horizontal="center"/>
    </xf>
    <xf numFmtId="188" fontId="1" fillId="0" borderId="82" xfId="247" applyNumberFormat="1" applyBorder="1"/>
    <xf numFmtId="188" fontId="33" fillId="0" borderId="83" xfId="247" applyNumberFormat="1" applyFont="1" applyBorder="1"/>
    <xf numFmtId="188" fontId="33" fillId="0" borderId="16" xfId="247" applyNumberFormat="1" applyFont="1" applyBorder="1"/>
    <xf numFmtId="188" fontId="33" fillId="0" borderId="16" xfId="247" applyNumberFormat="1" applyFont="1" applyBorder="1" applyAlignment="1">
      <alignment horizontal="center"/>
    </xf>
    <xf numFmtId="188" fontId="33" fillId="0" borderId="84" xfId="247" applyNumberFormat="1" applyFont="1" applyBorder="1"/>
    <xf numFmtId="170" fontId="117" fillId="0" borderId="0" xfId="157" applyNumberFormat="1" applyFont="1"/>
    <xf numFmtId="188" fontId="33" fillId="58" borderId="83" xfId="247" applyNumberFormat="1" applyFont="1" applyFill="1" applyBorder="1"/>
    <xf numFmtId="188" fontId="33" fillId="58" borderId="16" xfId="247" applyNumberFormat="1" applyFont="1" applyFill="1" applyBorder="1"/>
    <xf numFmtId="188" fontId="33" fillId="58" borderId="16" xfId="247" applyNumberFormat="1" applyFont="1" applyFill="1" applyBorder="1" applyAlignment="1">
      <alignment horizontal="center"/>
    </xf>
    <xf numFmtId="188" fontId="1" fillId="0" borderId="85" xfId="247" applyNumberFormat="1" applyBorder="1"/>
    <xf numFmtId="188" fontId="1" fillId="0" borderId="11" xfId="247" applyNumberFormat="1" applyBorder="1"/>
    <xf numFmtId="188" fontId="1" fillId="0" borderId="11" xfId="247" applyNumberFormat="1" applyBorder="1" applyAlignment="1">
      <alignment horizontal="center"/>
    </xf>
    <xf numFmtId="188" fontId="1" fillId="0" borderId="84" xfId="247" applyNumberFormat="1" applyBorder="1"/>
    <xf numFmtId="188" fontId="33" fillId="0" borderId="85" xfId="247" applyNumberFormat="1" applyFont="1" applyBorder="1"/>
    <xf numFmtId="188" fontId="33" fillId="0" borderId="11" xfId="247" applyNumberFormat="1" applyFont="1" applyBorder="1"/>
    <xf numFmtId="188" fontId="1" fillId="59" borderId="11" xfId="247" applyNumberFormat="1" applyFill="1" applyBorder="1"/>
    <xf numFmtId="188" fontId="1" fillId="59" borderId="84" xfId="247" applyNumberFormat="1" applyFill="1" applyBorder="1"/>
    <xf numFmtId="188" fontId="118" fillId="0" borderId="11" xfId="247" applyNumberFormat="1" applyFont="1" applyBorder="1"/>
    <xf numFmtId="188" fontId="33" fillId="60" borderId="85" xfId="247" applyNumberFormat="1" applyFont="1" applyFill="1" applyBorder="1"/>
    <xf numFmtId="188" fontId="33" fillId="60" borderId="11" xfId="247" applyNumberFormat="1" applyFont="1" applyFill="1" applyBorder="1"/>
    <xf numFmtId="188" fontId="118" fillId="60" borderId="11" xfId="247" applyNumberFormat="1" applyFont="1" applyFill="1" applyBorder="1"/>
    <xf numFmtId="188" fontId="33" fillId="60" borderId="16" xfId="247" applyNumberFormat="1" applyFont="1" applyFill="1" applyBorder="1"/>
    <xf numFmtId="188" fontId="1" fillId="58" borderId="11" xfId="247" applyNumberFormat="1" applyFill="1" applyBorder="1"/>
    <xf numFmtId="3" fontId="1" fillId="0" borderId="0" xfId="247" applyNumberFormat="1"/>
    <xf numFmtId="0" fontId="1" fillId="61" borderId="0" xfId="247" applyFill="1"/>
    <xf numFmtId="188" fontId="46" fillId="0" borderId="85" xfId="247" applyNumberFormat="1" applyFont="1" applyBorder="1" applyAlignment="1">
      <alignment horizontal="center"/>
    </xf>
    <xf numFmtId="188" fontId="10" fillId="0" borderId="86" xfId="247" applyNumberFormat="1" applyFont="1" applyBorder="1"/>
    <xf numFmtId="188" fontId="45" fillId="0" borderId="85" xfId="247" applyNumberFormat="1" applyFont="1" applyBorder="1"/>
    <xf numFmtId="3" fontId="119" fillId="0" borderId="0" xfId="247" applyNumberFormat="1" applyFont="1"/>
    <xf numFmtId="188" fontId="119" fillId="0" borderId="11" xfId="247" applyNumberFormat="1" applyFont="1" applyBorder="1"/>
    <xf numFmtId="188" fontId="119" fillId="0" borderId="16" xfId="247" applyNumberFormat="1" applyFont="1" applyBorder="1"/>
    <xf numFmtId="188" fontId="1" fillId="0" borderId="17" xfId="247" applyNumberFormat="1" applyBorder="1"/>
    <xf numFmtId="188" fontId="120" fillId="0" borderId="11" xfId="247" applyNumberFormat="1" applyFont="1" applyBorder="1"/>
    <xf numFmtId="188" fontId="1" fillId="60" borderId="85" xfId="247" applyNumberFormat="1" applyFill="1" applyBorder="1"/>
    <xf numFmtId="188" fontId="1" fillId="60" borderId="11" xfId="247" applyNumberFormat="1" applyFill="1" applyBorder="1"/>
    <xf numFmtId="188" fontId="120" fillId="60" borderId="11" xfId="247" applyNumberFormat="1" applyFont="1" applyFill="1" applyBorder="1"/>
    <xf numFmtId="188" fontId="33" fillId="60" borderId="17" xfId="247" applyNumberFormat="1" applyFont="1" applyFill="1" applyBorder="1"/>
    <xf numFmtId="0" fontId="1" fillId="59" borderId="0" xfId="247" applyFill="1"/>
    <xf numFmtId="188" fontId="33" fillId="60" borderId="74" xfId="247" applyNumberFormat="1" applyFont="1" applyFill="1" applyBorder="1"/>
    <xf numFmtId="188" fontId="119" fillId="60" borderId="11" xfId="247" applyNumberFormat="1" applyFont="1" applyFill="1" applyBorder="1"/>
    <xf numFmtId="188" fontId="45" fillId="0" borderId="85" xfId="247" applyNumberFormat="1" applyFont="1" applyBorder="1" applyAlignment="1">
      <alignment horizontal="center"/>
    </xf>
    <xf numFmtId="188" fontId="10" fillId="0" borderId="17" xfId="247" applyNumberFormat="1" applyFont="1" applyBorder="1"/>
    <xf numFmtId="188" fontId="121" fillId="0" borderId="11" xfId="247" applyNumberFormat="1" applyFont="1" applyBorder="1"/>
    <xf numFmtId="188" fontId="1" fillId="58" borderId="85" xfId="247" applyNumberFormat="1" applyFill="1" applyBorder="1"/>
    <xf numFmtId="188" fontId="1" fillId="58" borderId="17" xfId="247" applyNumberFormat="1" applyFill="1" applyBorder="1"/>
    <xf numFmtId="188" fontId="121" fillId="58" borderId="11" xfId="247" applyNumberFormat="1" applyFont="1" applyFill="1" applyBorder="1"/>
    <xf numFmtId="188" fontId="120" fillId="58" borderId="85" xfId="247" applyNumberFormat="1" applyFont="1" applyFill="1" applyBorder="1"/>
    <xf numFmtId="188" fontId="120" fillId="58" borderId="17" xfId="247" applyNumberFormat="1" applyFont="1" applyFill="1" applyBorder="1"/>
    <xf numFmtId="188" fontId="47" fillId="58" borderId="85" xfId="247" applyNumberFormat="1" applyFont="1" applyFill="1" applyBorder="1"/>
    <xf numFmtId="188" fontId="1" fillId="0" borderId="12" xfId="247" applyNumberFormat="1" applyBorder="1"/>
    <xf numFmtId="188" fontId="120" fillId="58" borderId="87" xfId="247" applyNumberFormat="1" applyFont="1" applyFill="1" applyBorder="1"/>
    <xf numFmtId="188" fontId="120" fillId="58" borderId="11" xfId="247" applyNumberFormat="1" applyFont="1" applyFill="1" applyBorder="1"/>
    <xf numFmtId="188" fontId="119" fillId="58" borderId="11" xfId="247" applyNumberFormat="1" applyFont="1" applyFill="1" applyBorder="1"/>
    <xf numFmtId="188" fontId="122" fillId="58" borderId="11" xfId="247" applyNumberFormat="1" applyFont="1" applyFill="1" applyBorder="1"/>
    <xf numFmtId="188" fontId="33" fillId="59" borderId="16" xfId="247" applyNumberFormat="1" applyFont="1" applyFill="1" applyBorder="1"/>
    <xf numFmtId="188" fontId="46" fillId="58" borderId="85" xfId="247" applyNumberFormat="1" applyFont="1" applyFill="1" applyBorder="1" applyAlignment="1">
      <alignment horizontal="centerContinuous"/>
    </xf>
    <xf numFmtId="188" fontId="10" fillId="58" borderId="11" xfId="247" applyNumberFormat="1" applyFont="1" applyFill="1" applyBorder="1"/>
    <xf numFmtId="188" fontId="33" fillId="0" borderId="44" xfId="247" applyNumberFormat="1" applyFont="1" applyBorder="1" applyAlignment="1">
      <alignment horizontal="left"/>
    </xf>
    <xf numFmtId="188" fontId="33" fillId="0" borderId="12" xfId="247" applyNumberFormat="1" applyFont="1" applyBorder="1"/>
    <xf numFmtId="188" fontId="1" fillId="0" borderId="88" xfId="247" applyNumberFormat="1" applyBorder="1"/>
    <xf numFmtId="188" fontId="1" fillId="0" borderId="89" xfId="247" applyNumberFormat="1" applyBorder="1"/>
    <xf numFmtId="188" fontId="48" fillId="59" borderId="88" xfId="247" applyNumberFormat="1" applyFont="1" applyFill="1" applyBorder="1"/>
    <xf numFmtId="188" fontId="33" fillId="0" borderId="88" xfId="247" applyNumberFormat="1" applyFont="1" applyBorder="1"/>
    <xf numFmtId="41" fontId="1" fillId="0" borderId="0" xfId="247" applyNumberFormat="1"/>
    <xf numFmtId="188" fontId="10" fillId="0" borderId="0" xfId="247" applyNumberFormat="1" applyFont="1"/>
    <xf numFmtId="188" fontId="49" fillId="59" borderId="0" xfId="247" applyNumberFormat="1" applyFont="1" applyFill="1" applyAlignment="1">
      <alignment horizontal="center"/>
    </xf>
    <xf numFmtId="0" fontId="50" fillId="0" borderId="0" xfId="247" applyFont="1" applyAlignment="1">
      <alignment horizontal="right"/>
    </xf>
    <xf numFmtId="0" fontId="51" fillId="59" borderId="0" xfId="247" applyFont="1" applyFill="1"/>
    <xf numFmtId="0" fontId="52" fillId="59" borderId="0" xfId="247" applyFont="1" applyFill="1" applyAlignment="1">
      <alignment horizontal="right"/>
    </xf>
    <xf numFmtId="0" fontId="9" fillId="59" borderId="0" xfId="247" applyFont="1" applyFill="1"/>
    <xf numFmtId="0" fontId="52" fillId="0" borderId="0" xfId="247" applyFont="1" applyAlignment="1">
      <alignment horizontal="right"/>
    </xf>
    <xf numFmtId="0" fontId="9" fillId="0" borderId="0" xfId="247" applyFont="1"/>
    <xf numFmtId="0" fontId="52" fillId="0" borderId="0" xfId="247" applyFont="1"/>
    <xf numFmtId="3" fontId="52" fillId="0" borderId="0" xfId="247" applyNumberFormat="1" applyFont="1"/>
    <xf numFmtId="3" fontId="52" fillId="0" borderId="0" xfId="247" applyNumberFormat="1" applyFont="1" applyAlignment="1">
      <alignment horizontal="right"/>
    </xf>
    <xf numFmtId="0" fontId="53" fillId="0" borderId="0" xfId="247" applyFont="1"/>
    <xf numFmtId="3" fontId="53" fillId="59" borderId="0" xfId="247" applyNumberFormat="1" applyFont="1" applyFill="1" applyAlignment="1">
      <alignment horizontal="right"/>
    </xf>
    <xf numFmtId="188" fontId="9" fillId="0" borderId="0" xfId="247" applyNumberFormat="1" applyFont="1"/>
    <xf numFmtId="3" fontId="54" fillId="0" borderId="0" xfId="247" applyNumberFormat="1" applyFont="1" applyAlignment="1">
      <alignment horizontal="center"/>
    </xf>
    <xf numFmtId="3" fontId="53" fillId="0" borderId="0" xfId="247" applyNumberFormat="1" applyFont="1" applyAlignment="1">
      <alignment horizontal="right"/>
    </xf>
    <xf numFmtId="3" fontId="9" fillId="0" borderId="0" xfId="247" applyNumberFormat="1" applyFont="1"/>
    <xf numFmtId="14" fontId="85" fillId="0" borderId="0" xfId="0" applyNumberFormat="1" applyFont="1"/>
    <xf numFmtId="0" fontId="66" fillId="46" borderId="0" xfId="87"/>
    <xf numFmtId="14" fontId="66" fillId="46" borderId="0" xfId="87" applyNumberFormat="1"/>
    <xf numFmtId="0" fontId="66" fillId="49" borderId="0" xfId="92"/>
    <xf numFmtId="14" fontId="66" fillId="49" borderId="0" xfId="92" applyNumberFormat="1"/>
    <xf numFmtId="41" fontId="123" fillId="0" borderId="11" xfId="114" applyFont="1" applyBorder="1" applyAlignment="1"/>
    <xf numFmtId="0" fontId="91" fillId="0" borderId="0" xfId="107" quotePrefix="1" applyFont="1" applyAlignment="1">
      <alignment horizontal="center" vertical="center" wrapText="1"/>
    </xf>
    <xf numFmtId="41" fontId="92" fillId="0" borderId="0" xfId="0" applyNumberFormat="1" applyFont="1" applyAlignment="1">
      <alignment horizontal="right"/>
    </xf>
    <xf numFmtId="41" fontId="92" fillId="0" borderId="17" xfId="114" applyFont="1" applyBorder="1"/>
    <xf numFmtId="14" fontId="84" fillId="0" borderId="16" xfId="114" applyNumberFormat="1" applyFont="1" applyFill="1" applyBorder="1" applyAlignment="1">
      <alignment horizontal="center" vertical="center" wrapText="1"/>
    </xf>
    <xf numFmtId="14" fontId="84" fillId="0" borderId="11" xfId="0" applyNumberFormat="1" applyFont="1" applyBorder="1" applyAlignment="1">
      <alignment horizontal="center" vertical="center" wrapText="1"/>
    </xf>
    <xf numFmtId="49" fontId="92" fillId="0" borderId="11" xfId="0" applyNumberFormat="1" applyFont="1" applyBorder="1"/>
    <xf numFmtId="3" fontId="115" fillId="0" borderId="0" xfId="0" applyNumberFormat="1" applyFont="1"/>
    <xf numFmtId="168" fontId="115" fillId="0" borderId="0" xfId="113" applyNumberFormat="1" applyFont="1" applyFill="1"/>
    <xf numFmtId="0" fontId="115" fillId="0" borderId="0" xfId="0" applyFont="1"/>
    <xf numFmtId="41" fontId="103" fillId="62" borderId="92" xfId="114" applyFont="1" applyFill="1" applyBorder="1" applyAlignment="1">
      <alignment horizontal="right"/>
    </xf>
    <xf numFmtId="41" fontId="111" fillId="0" borderId="0" xfId="114" applyFont="1"/>
    <xf numFmtId="41" fontId="94" fillId="0" borderId="16" xfId="114" applyFont="1" applyBorder="1" applyAlignment="1">
      <alignment vertical="center"/>
    </xf>
    <xf numFmtId="41" fontId="94" fillId="0" borderId="16" xfId="114" applyFont="1" applyBorder="1"/>
    <xf numFmtId="170" fontId="92" fillId="0" borderId="0" xfId="0" applyNumberFormat="1" applyFont="1" applyAlignment="1">
      <alignment wrapText="1"/>
    </xf>
    <xf numFmtId="0" fontId="84" fillId="0" borderId="0" xfId="0" applyFont="1" applyAlignment="1">
      <alignment horizontal="center" vertical="center" wrapText="1"/>
    </xf>
    <xf numFmtId="14" fontId="84" fillId="0" borderId="11" xfId="0" applyNumberFormat="1" applyFont="1" applyBorder="1" applyAlignment="1">
      <alignment horizontal="center"/>
    </xf>
    <xf numFmtId="0" fontId="84" fillId="0" borderId="40" xfId="0" applyFont="1" applyBorder="1" applyAlignment="1">
      <alignment horizontal="left" vertical="center"/>
    </xf>
    <xf numFmtId="0" fontId="92" fillId="0" borderId="40" xfId="0" applyFont="1" applyBorder="1" applyAlignment="1">
      <alignment horizontal="left" vertical="top"/>
    </xf>
    <xf numFmtId="0" fontId="92" fillId="0" borderId="25" xfId="0" applyFont="1" applyBorder="1" applyAlignment="1">
      <alignment horizontal="left" vertical="top"/>
    </xf>
    <xf numFmtId="0" fontId="92" fillId="0" borderId="66" xfId="0" applyFont="1" applyBorder="1" applyAlignment="1">
      <alignment horizontal="left" vertical="top"/>
    </xf>
    <xf numFmtId="41" fontId="99" fillId="0" borderId="17" xfId="114" applyFont="1" applyBorder="1" applyAlignment="1">
      <alignment horizontal="center" vertical="center"/>
    </xf>
    <xf numFmtId="41" fontId="99" fillId="0" borderId="17" xfId="113" applyNumberFormat="1" applyFont="1" applyBorder="1" applyAlignment="1">
      <alignment horizontal="center" vertical="center"/>
    </xf>
    <xf numFmtId="41" fontId="99" fillId="0" borderId="17" xfId="113" applyNumberFormat="1" applyFont="1" applyFill="1" applyBorder="1" applyAlignment="1">
      <alignment horizontal="center" vertical="center"/>
    </xf>
    <xf numFmtId="0" fontId="95" fillId="0" borderId="17" xfId="0" applyFont="1" applyBorder="1" applyAlignment="1">
      <alignment horizontal="center" vertical="center"/>
    </xf>
    <xf numFmtId="41" fontId="95" fillId="0" borderId="17" xfId="114" applyFont="1" applyBorder="1" applyAlignment="1">
      <alignment horizontal="center" vertical="center"/>
    </xf>
    <xf numFmtId="41" fontId="95" fillId="0" borderId="17" xfId="113" applyNumberFormat="1" applyFont="1" applyBorder="1" applyAlignment="1">
      <alignment horizontal="center" vertical="center"/>
    </xf>
    <xf numFmtId="41" fontId="95" fillId="0" borderId="17" xfId="113" applyNumberFormat="1" applyFont="1" applyFill="1" applyBorder="1" applyAlignment="1">
      <alignment horizontal="center" vertical="center"/>
    </xf>
    <xf numFmtId="173" fontId="95" fillId="0" borderId="17" xfId="113" applyNumberFormat="1" applyFont="1" applyFill="1" applyBorder="1" applyAlignment="1">
      <alignment horizontal="center" vertical="center"/>
    </xf>
    <xf numFmtId="173" fontId="95" fillId="0" borderId="17" xfId="113" applyNumberFormat="1" applyFont="1" applyBorder="1" applyAlignment="1">
      <alignment horizontal="center" vertical="center"/>
    </xf>
    <xf numFmtId="189" fontId="99" fillId="0" borderId="17" xfId="113" applyNumberFormat="1" applyFont="1" applyBorder="1" applyAlignment="1">
      <alignment horizontal="center" vertical="center"/>
    </xf>
    <xf numFmtId="173" fontId="95" fillId="0" borderId="11" xfId="113" applyNumberFormat="1" applyFont="1" applyBorder="1" applyAlignment="1">
      <alignment horizontal="center" vertical="center"/>
    </xf>
    <xf numFmtId="173" fontId="95" fillId="0" borderId="11" xfId="113" applyNumberFormat="1" applyFont="1" applyBorder="1" applyAlignment="1">
      <alignment horizontal="right" vertical="center"/>
    </xf>
    <xf numFmtId="173" fontId="95" fillId="0" borderId="0" xfId="0" applyNumberFormat="1" applyFont="1" applyAlignment="1">
      <alignment wrapText="1"/>
    </xf>
    <xf numFmtId="41" fontId="84" fillId="0" borderId="11" xfId="114" applyFon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64" xfId="0" applyBorder="1"/>
    <xf numFmtId="0" fontId="0" fillId="0" borderId="46" xfId="0" applyBorder="1"/>
    <xf numFmtId="0" fontId="0" fillId="0" borderId="68" xfId="0" applyBorder="1"/>
    <xf numFmtId="0" fontId="0" fillId="0" borderId="69" xfId="0" applyBorder="1"/>
    <xf numFmtId="0" fontId="95" fillId="0" borderId="13" xfId="0" applyFont="1" applyBorder="1" applyAlignment="1">
      <alignment horizontal="left" vertical="center"/>
    </xf>
    <xf numFmtId="0" fontId="95" fillId="0" borderId="12" xfId="0" applyFont="1" applyBorder="1" applyAlignment="1">
      <alignment horizontal="left" vertical="center"/>
    </xf>
    <xf numFmtId="3" fontId="95" fillId="0" borderId="25" xfId="0" applyNumberFormat="1" applyFont="1" applyBorder="1" applyAlignment="1">
      <alignment horizontal="left" vertical="center"/>
    </xf>
    <xf numFmtId="16" fontId="0" fillId="0" borderId="46" xfId="0" applyNumberFormat="1" applyBorder="1"/>
    <xf numFmtId="41" fontId="0" fillId="0" borderId="0" xfId="114" applyFont="1" applyAlignment="1"/>
    <xf numFmtId="0" fontId="95" fillId="0" borderId="14" xfId="0" applyFont="1" applyBorder="1" applyAlignment="1">
      <alignment horizontal="left" vertical="center"/>
    </xf>
    <xf numFmtId="0" fontId="95" fillId="0" borderId="16" xfId="0" applyFont="1" applyBorder="1" applyAlignment="1">
      <alignment horizontal="left" vertical="center"/>
    </xf>
    <xf numFmtId="3" fontId="95" fillId="0" borderId="34" xfId="0" applyNumberFormat="1" applyFont="1" applyBorder="1" applyAlignment="1">
      <alignment horizontal="left" vertical="center"/>
    </xf>
    <xf numFmtId="41" fontId="0" fillId="0" borderId="0" xfId="114" applyFont="1"/>
    <xf numFmtId="10" fontId="95" fillId="0" borderId="46" xfId="0" applyNumberFormat="1" applyFont="1" applyBorder="1" applyAlignment="1">
      <alignment horizontal="right" vertical="center"/>
    </xf>
    <xf numFmtId="0" fontId="0" fillId="0" borderId="71" xfId="0" applyBorder="1"/>
    <xf numFmtId="0" fontId="92" fillId="0" borderId="89" xfId="0" applyFont="1" applyBorder="1" applyAlignment="1">
      <alignment horizontal="center" wrapText="1"/>
    </xf>
    <xf numFmtId="0" fontId="92" fillId="0" borderId="88" xfId="0" applyFont="1" applyBorder="1" applyAlignment="1">
      <alignment horizontal="center" wrapText="1"/>
    </xf>
    <xf numFmtId="0" fontId="92" fillId="0" borderId="78" xfId="0" applyFont="1" applyBorder="1" applyAlignment="1">
      <alignment horizontal="center" wrapText="1"/>
    </xf>
    <xf numFmtId="0" fontId="92" fillId="0" borderId="83" xfId="0" applyFont="1" applyBorder="1"/>
    <xf numFmtId="0" fontId="92" fillId="0" borderId="16" xfId="0" applyFont="1" applyBorder="1"/>
    <xf numFmtId="41" fontId="92" fillId="0" borderId="16" xfId="114" applyFont="1" applyBorder="1"/>
    <xf numFmtId="0" fontId="92" fillId="0" borderId="84" xfId="0" applyFont="1" applyBorder="1"/>
    <xf numFmtId="0" fontId="92" fillId="0" borderId="85" xfId="0" applyFont="1" applyBorder="1"/>
    <xf numFmtId="0" fontId="95" fillId="0" borderId="85" xfId="0" applyFont="1" applyBorder="1"/>
    <xf numFmtId="0" fontId="95" fillId="0" borderId="11" xfId="0" applyFont="1" applyBorder="1"/>
    <xf numFmtId="41" fontId="95" fillId="0" borderId="11" xfId="114" applyFont="1" applyBorder="1"/>
    <xf numFmtId="0" fontId="95" fillId="0" borderId="11" xfId="114" applyNumberFormat="1" applyFont="1" applyBorder="1"/>
    <xf numFmtId="0" fontId="105" fillId="0" borderId="0" xfId="0" applyFont="1"/>
    <xf numFmtId="0" fontId="92" fillId="0" borderId="89" xfId="0" applyFont="1" applyBorder="1"/>
    <xf numFmtId="0" fontId="92" fillId="0" borderId="88" xfId="0" applyFont="1" applyBorder="1"/>
    <xf numFmtId="41" fontId="92" fillId="0" borderId="88" xfId="114" applyFont="1" applyBorder="1"/>
    <xf numFmtId="41" fontId="92" fillId="0" borderId="88" xfId="114" applyFont="1" applyFill="1" applyBorder="1"/>
    <xf numFmtId="0" fontId="92" fillId="0" borderId="78" xfId="0" applyFont="1" applyBorder="1"/>
    <xf numFmtId="0" fontId="92" fillId="0" borderId="63" xfId="0" applyFont="1" applyBorder="1"/>
    <xf numFmtId="0" fontId="92" fillId="0" borderId="64" xfId="0" applyFont="1" applyBorder="1"/>
    <xf numFmtId="41" fontId="92" fillId="0" borderId="16" xfId="0" applyNumberFormat="1" applyFont="1" applyBorder="1"/>
    <xf numFmtId="2" fontId="92" fillId="0" borderId="84" xfId="114" applyNumberFormat="1" applyFont="1" applyBorder="1"/>
    <xf numFmtId="41" fontId="92" fillId="0" borderId="11" xfId="0" applyNumberFormat="1" applyFont="1" applyBorder="1"/>
    <xf numFmtId="41" fontId="92" fillId="0" borderId="88" xfId="0" applyNumberFormat="1" applyFont="1" applyBorder="1"/>
    <xf numFmtId="2" fontId="92" fillId="0" borderId="78" xfId="0" applyNumberFormat="1" applyFont="1" applyBorder="1"/>
    <xf numFmtId="188" fontId="1" fillId="0" borderId="0" xfId="247" applyNumberFormat="1" applyFont="1"/>
    <xf numFmtId="188" fontId="1" fillId="0" borderId="73" xfId="247" applyNumberFormat="1" applyFont="1" applyBorder="1"/>
    <xf numFmtId="188" fontId="10" fillId="0" borderId="16" xfId="247" applyNumberFormat="1" applyFont="1" applyBorder="1"/>
    <xf numFmtId="188" fontId="1" fillId="0" borderId="11" xfId="247" applyNumberFormat="1" applyFont="1" applyBorder="1"/>
    <xf numFmtId="188" fontId="1" fillId="59" borderId="11" xfId="247" applyNumberFormat="1" applyFont="1" applyFill="1" applyBorder="1"/>
    <xf numFmtId="0" fontId="1" fillId="0" borderId="0" xfId="247" applyFont="1"/>
    <xf numFmtId="0" fontId="94" fillId="0" borderId="94" xfId="0" applyFont="1" applyBorder="1"/>
    <xf numFmtId="3" fontId="95" fillId="0" borderId="90" xfId="0" applyNumberFormat="1" applyFont="1" applyBorder="1"/>
    <xf numFmtId="41" fontId="94" fillId="0" borderId="90" xfId="114" applyFont="1" applyBorder="1"/>
    <xf numFmtId="41" fontId="94" fillId="0" borderId="15" xfId="114" applyFont="1" applyBorder="1"/>
    <xf numFmtId="0" fontId="95" fillId="0" borderId="65" xfId="0" applyFont="1" applyBorder="1"/>
    <xf numFmtId="3" fontId="95" fillId="0" borderId="63" xfId="0" applyNumberFormat="1" applyFont="1" applyBorder="1"/>
    <xf numFmtId="173" fontId="95" fillId="0" borderId="63" xfId="113" applyNumberFormat="1" applyFont="1" applyFill="1" applyBorder="1" applyAlignment="1">
      <alignment horizontal="right"/>
    </xf>
    <xf numFmtId="49" fontId="95" fillId="0" borderId="66" xfId="0" applyNumberFormat="1" applyFont="1" applyBorder="1"/>
    <xf numFmtId="3" fontId="95" fillId="0" borderId="5" xfId="0" applyNumberFormat="1" applyFont="1" applyBorder="1"/>
    <xf numFmtId="173" fontId="95" fillId="0" borderId="5" xfId="113" applyNumberFormat="1" applyFont="1" applyFill="1" applyBorder="1" applyAlignment="1">
      <alignment horizontal="right"/>
    </xf>
    <xf numFmtId="173" fontId="95" fillId="0" borderId="71" xfId="113" applyNumberFormat="1" applyFont="1" applyFill="1" applyBorder="1" applyAlignment="1">
      <alignment horizontal="right"/>
    </xf>
    <xf numFmtId="14" fontId="103" fillId="0" borderId="36" xfId="113" applyNumberFormat="1" applyFont="1" applyBorder="1" applyAlignment="1">
      <alignment horizontal="center" vertical="center" wrapText="1"/>
    </xf>
    <xf numFmtId="14" fontId="116" fillId="0" borderId="81" xfId="247" applyNumberFormat="1" applyFont="1" applyBorder="1" applyAlignment="1">
      <alignment horizontal="center"/>
    </xf>
    <xf numFmtId="0" fontId="0" fillId="0" borderId="0" xfId="0" applyFont="1"/>
    <xf numFmtId="0" fontId="130" fillId="0" borderId="0" xfId="0" applyFont="1"/>
    <xf numFmtId="0" fontId="131" fillId="0" borderId="11" xfId="0" applyFont="1" applyBorder="1" applyAlignment="1">
      <alignment vertical="center"/>
    </xf>
    <xf numFmtId="0" fontId="130" fillId="0" borderId="17" xfId="0" applyFont="1" applyBorder="1" applyAlignment="1">
      <alignment horizontal="center" vertical="center"/>
    </xf>
    <xf numFmtId="41" fontId="130" fillId="0" borderId="17" xfId="114" applyFont="1" applyBorder="1" applyAlignment="1">
      <alignment horizontal="center" vertical="center"/>
    </xf>
    <xf numFmtId="173" fontId="130" fillId="0" borderId="17" xfId="113" applyNumberFormat="1" applyFont="1" applyBorder="1" applyAlignment="1">
      <alignment horizontal="center" vertical="center"/>
    </xf>
    <xf numFmtId="0" fontId="132" fillId="0" borderId="0" xfId="0" applyFont="1"/>
    <xf numFmtId="41" fontId="92" fillId="0" borderId="11" xfId="0" applyNumberFormat="1" applyFont="1" applyBorder="1" applyAlignment="1">
      <alignment horizontal="left" vertical="center"/>
    </xf>
    <xf numFmtId="41" fontId="92" fillId="0" borderId="11" xfId="0" applyNumberFormat="1" applyFont="1" applyBorder="1" applyAlignment="1">
      <alignment horizontal="left"/>
    </xf>
    <xf numFmtId="0" fontId="88" fillId="57" borderId="19" xfId="0" applyFont="1" applyFill="1" applyBorder="1" applyAlignment="1">
      <alignment horizontal="center" vertical="center"/>
    </xf>
    <xf numFmtId="0" fontId="88" fillId="57" borderId="93" xfId="0" applyFont="1" applyFill="1" applyBorder="1" applyAlignment="1">
      <alignment horizontal="center" vertical="center"/>
    </xf>
    <xf numFmtId="14" fontId="124" fillId="63" borderId="19" xfId="0" applyNumberFormat="1" applyFont="1" applyFill="1" applyBorder="1" applyAlignment="1">
      <alignment horizontal="center"/>
    </xf>
    <xf numFmtId="14" fontId="124" fillId="63" borderId="21" xfId="0" applyNumberFormat="1" applyFont="1" applyFill="1" applyBorder="1" applyAlignment="1">
      <alignment horizontal="center"/>
    </xf>
    <xf numFmtId="0" fontId="12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65" xfId="0" applyFont="1" applyBorder="1" applyAlignment="1">
      <alignment horizontal="left" vertical="center"/>
    </xf>
    <xf numFmtId="0" fontId="84" fillId="0" borderId="95" xfId="0" applyFont="1" applyBorder="1" applyAlignment="1">
      <alignment horizontal="left" vertical="center"/>
    </xf>
    <xf numFmtId="0" fontId="84" fillId="0" borderId="40" xfId="0" applyFont="1" applyBorder="1" applyAlignment="1">
      <alignment horizontal="left" vertical="center"/>
    </xf>
    <xf numFmtId="0" fontId="84" fillId="0" borderId="25" xfId="0" applyFont="1" applyBorder="1" applyAlignment="1">
      <alignment horizontal="left" vertical="center"/>
    </xf>
    <xf numFmtId="0" fontId="84" fillId="0" borderId="60" xfId="0" applyFont="1" applyBorder="1" applyAlignment="1">
      <alignment horizontal="left" vertical="center"/>
    </xf>
    <xf numFmtId="0" fontId="84" fillId="0" borderId="34" xfId="0" applyFont="1" applyBorder="1" applyAlignment="1">
      <alignment horizontal="left" vertical="center"/>
    </xf>
    <xf numFmtId="0" fontId="84" fillId="0" borderId="63" xfId="0" applyFont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91" fillId="0" borderId="0" xfId="107" applyFont="1" applyBorder="1" applyAlignment="1">
      <alignment horizontal="left" vertical="center"/>
    </xf>
    <xf numFmtId="0" fontId="84" fillId="0" borderId="15" xfId="0" applyFont="1" applyBorder="1" applyAlignment="1">
      <alignment horizontal="left" vertical="center"/>
    </xf>
    <xf numFmtId="0" fontId="84" fillId="0" borderId="94" xfId="0" applyFont="1" applyBorder="1" applyAlignment="1">
      <alignment horizontal="left" vertical="center"/>
    </xf>
    <xf numFmtId="0" fontId="84" fillId="0" borderId="91" xfId="0" applyFont="1" applyBorder="1" applyAlignment="1">
      <alignment horizontal="left" vertical="center"/>
    </xf>
    <xf numFmtId="0" fontId="84" fillId="0" borderId="90" xfId="0" applyFont="1" applyBorder="1" applyAlignment="1">
      <alignment horizontal="left" vertical="center"/>
    </xf>
    <xf numFmtId="0" fontId="84" fillId="0" borderId="15" xfId="0" applyFont="1" applyBorder="1" applyAlignment="1">
      <alignment horizontal="left" vertical="center" wrapText="1"/>
    </xf>
    <xf numFmtId="0" fontId="92" fillId="0" borderId="40" xfId="0" applyFont="1" applyBorder="1" applyAlignment="1">
      <alignment horizontal="left" vertical="top"/>
    </xf>
    <xf numFmtId="0" fontId="92" fillId="0" borderId="25" xfId="0" applyFont="1" applyBorder="1" applyAlignment="1">
      <alignment horizontal="left" vertical="top"/>
    </xf>
    <xf numFmtId="0" fontId="92" fillId="0" borderId="15" xfId="0" applyFont="1" applyBorder="1" applyAlignment="1">
      <alignment horizontal="left" vertical="center"/>
    </xf>
    <xf numFmtId="0" fontId="126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2" fillId="0" borderId="66" xfId="0" applyFont="1" applyBorder="1" applyAlignment="1">
      <alignment horizontal="left" vertical="top"/>
    </xf>
    <xf numFmtId="0" fontId="92" fillId="0" borderId="65" xfId="0" applyFont="1" applyBorder="1" applyAlignment="1">
      <alignment horizontal="left" vertical="center"/>
    </xf>
    <xf numFmtId="0" fontId="92" fillId="0" borderId="63" xfId="0" applyFont="1" applyBorder="1" applyAlignment="1">
      <alignment horizontal="left" vertical="center"/>
    </xf>
    <xf numFmtId="0" fontId="92" fillId="0" borderId="40" xfId="0" applyFont="1" applyBorder="1" applyAlignment="1">
      <alignment horizontal="left" vertical="center" wrapText="1"/>
    </xf>
    <xf numFmtId="0" fontId="92" fillId="0" borderId="0" xfId="0" applyFont="1" applyAlignment="1">
      <alignment horizontal="left" vertical="center" wrapText="1"/>
    </xf>
    <xf numFmtId="0" fontId="82" fillId="0" borderId="65" xfId="0" applyFont="1" applyBorder="1" applyAlignment="1">
      <alignment horizontal="center"/>
    </xf>
    <xf numFmtId="0" fontId="82" fillId="0" borderId="63" xfId="0" applyFont="1" applyBorder="1" applyAlignment="1">
      <alignment horizontal="center"/>
    </xf>
    <xf numFmtId="0" fontId="82" fillId="0" borderId="64" xfId="0" applyFont="1" applyBorder="1" applyAlignment="1">
      <alignment horizontal="center"/>
    </xf>
    <xf numFmtId="0" fontId="92" fillId="0" borderId="19" xfId="0" applyFont="1" applyBorder="1" applyAlignment="1">
      <alignment horizontal="center"/>
    </xf>
    <xf numFmtId="0" fontId="92" fillId="0" borderId="20" xfId="0" applyFont="1" applyBorder="1" applyAlignment="1">
      <alignment horizontal="center"/>
    </xf>
    <xf numFmtId="0" fontId="92" fillId="0" borderId="21" xfId="0" applyFont="1" applyBorder="1" applyAlignment="1">
      <alignment horizontal="center"/>
    </xf>
    <xf numFmtId="0" fontId="92" fillId="0" borderId="40" xfId="0" applyFont="1" applyBorder="1" applyAlignment="1">
      <alignment horizontal="left" vertical="center"/>
    </xf>
    <xf numFmtId="0" fontId="84" fillId="0" borderId="66" xfId="0" applyFont="1" applyBorder="1" applyAlignment="1">
      <alignment horizontal="left" vertical="center"/>
    </xf>
    <xf numFmtId="0" fontId="84" fillId="0" borderId="5" xfId="0" applyFont="1" applyBorder="1" applyAlignment="1">
      <alignment horizontal="left" vertical="center"/>
    </xf>
    <xf numFmtId="0" fontId="84" fillId="0" borderId="0" xfId="0" applyFont="1" applyAlignment="1">
      <alignment horizontal="center" vertical="center" wrapText="1"/>
    </xf>
    <xf numFmtId="0" fontId="92" fillId="0" borderId="0" xfId="0" applyFont="1" applyAlignment="1">
      <alignment horizontal="center" vertical="center"/>
    </xf>
    <xf numFmtId="0" fontId="110" fillId="0" borderId="63" xfId="0" applyFont="1" applyBorder="1" applyAlignment="1">
      <alignment horizontal="center"/>
    </xf>
    <xf numFmtId="0" fontId="92" fillId="0" borderId="5" xfId="0" applyFont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2" fillId="0" borderId="15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92" fillId="0" borderId="63" xfId="0" applyFont="1" applyBorder="1" applyAlignment="1">
      <alignment horizontal="center"/>
    </xf>
    <xf numFmtId="0" fontId="114" fillId="0" borderId="0" xfId="0" applyFont="1" applyAlignment="1">
      <alignment horizontal="center" vertical="center"/>
    </xf>
    <xf numFmtId="0" fontId="103" fillId="0" borderId="19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3" fillId="0" borderId="21" xfId="0" applyFont="1" applyBorder="1" applyAlignment="1">
      <alignment horizontal="center" vertical="center"/>
    </xf>
    <xf numFmtId="0" fontId="103" fillId="0" borderId="53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14" fontId="84" fillId="0" borderId="11" xfId="0" applyNumberFormat="1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0" fontId="84" fillId="0" borderId="65" xfId="0" applyFont="1" applyBorder="1" applyAlignment="1">
      <alignment horizontal="center"/>
    </xf>
    <xf numFmtId="0" fontId="84" fillId="0" borderId="63" xfId="0" applyFont="1" applyBorder="1" applyAlignment="1">
      <alignment horizontal="center"/>
    </xf>
    <xf numFmtId="0" fontId="84" fillId="0" borderId="64" xfId="0" applyFont="1" applyBorder="1" applyAlignment="1">
      <alignment horizontal="center"/>
    </xf>
    <xf numFmtId="0" fontId="84" fillId="0" borderId="66" xfId="0" applyFont="1" applyBorder="1" applyAlignment="1">
      <alignment horizontal="center"/>
    </xf>
    <xf numFmtId="0" fontId="84" fillId="0" borderId="5" xfId="0" applyFont="1" applyBorder="1" applyAlignment="1">
      <alignment horizontal="center"/>
    </xf>
    <xf numFmtId="0" fontId="84" fillId="0" borderId="71" xfId="0" applyFont="1" applyBorder="1" applyAlignment="1">
      <alignment horizontal="center"/>
    </xf>
    <xf numFmtId="0" fontId="110" fillId="0" borderId="19" xfId="0" applyFont="1" applyBorder="1" applyAlignment="1">
      <alignment horizontal="center" vertical="center"/>
    </xf>
    <xf numFmtId="0" fontId="110" fillId="0" borderId="20" xfId="0" applyFont="1" applyBorder="1" applyAlignment="1">
      <alignment horizontal="center" vertical="center"/>
    </xf>
    <xf numFmtId="0" fontId="110" fillId="0" borderId="21" xfId="0" applyFont="1" applyBorder="1" applyAlignment="1">
      <alignment horizontal="center" vertical="center"/>
    </xf>
    <xf numFmtId="0" fontId="100" fillId="0" borderId="22" xfId="0" applyFont="1" applyBorder="1" applyAlignment="1">
      <alignment horizontal="center" vertical="center"/>
    </xf>
    <xf numFmtId="0" fontId="100" fillId="0" borderId="23" xfId="0" applyFont="1" applyBorder="1" applyAlignment="1">
      <alignment horizontal="center" vertical="center"/>
    </xf>
    <xf numFmtId="0" fontId="100" fillId="0" borderId="18" xfId="0" applyFont="1" applyBorder="1" applyAlignment="1">
      <alignment horizontal="center" vertical="center"/>
    </xf>
    <xf numFmtId="0" fontId="100" fillId="64" borderId="22" xfId="0" applyFont="1" applyFill="1" applyBorder="1" applyAlignment="1">
      <alignment horizontal="center" vertical="center"/>
    </xf>
    <xf numFmtId="0" fontId="100" fillId="64" borderId="23" xfId="0" applyFont="1" applyFill="1" applyBorder="1" applyAlignment="1">
      <alignment horizontal="center" vertical="center"/>
    </xf>
    <xf numFmtId="0" fontId="100" fillId="64" borderId="18" xfId="0" applyFont="1" applyFill="1" applyBorder="1" applyAlignment="1">
      <alignment horizontal="center" vertical="center"/>
    </xf>
    <xf numFmtId="0" fontId="100" fillId="64" borderId="67" xfId="0" applyFont="1" applyFill="1" applyBorder="1" applyAlignment="1">
      <alignment horizontal="center" vertical="center"/>
    </xf>
    <xf numFmtId="0" fontId="100" fillId="64" borderId="90" xfId="0" applyFont="1" applyFill="1" applyBorder="1" applyAlignment="1">
      <alignment horizontal="center" vertical="center"/>
    </xf>
    <xf numFmtId="0" fontId="100" fillId="64" borderId="91" xfId="0" applyFont="1" applyFill="1" applyBorder="1" applyAlignment="1">
      <alignment horizontal="center" vertical="center"/>
    </xf>
    <xf numFmtId="0" fontId="114" fillId="0" borderId="0" xfId="0" applyFont="1" applyFill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84" fillId="0" borderId="18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horizontal="center" vertical="center" wrapText="1"/>
    </xf>
    <xf numFmtId="0" fontId="84" fillId="0" borderId="11" xfId="0" applyFont="1" applyFill="1" applyBorder="1" applyAlignment="1">
      <alignment horizontal="center"/>
    </xf>
    <xf numFmtId="41" fontId="84" fillId="0" borderId="11" xfId="114" applyFont="1" applyFill="1" applyBorder="1" applyAlignment="1">
      <alignment horizontal="right" vertical="center" wrapText="1"/>
    </xf>
    <xf numFmtId="0" fontId="84" fillId="0" borderId="22" xfId="0" applyFont="1" applyBorder="1" applyAlignment="1">
      <alignment horizontal="center" vertical="center"/>
    </xf>
    <xf numFmtId="0" fontId="84" fillId="0" borderId="23" xfId="0" applyFont="1" applyBorder="1" applyAlignment="1">
      <alignment horizontal="center" vertical="center"/>
    </xf>
    <xf numFmtId="0" fontId="0" fillId="0" borderId="0" xfId="0" applyFill="1"/>
    <xf numFmtId="0" fontId="127" fillId="0" borderId="0" xfId="0" applyFont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84" fillId="0" borderId="0" xfId="0" applyFont="1" applyAlignment="1">
      <alignment horizontal="left" vertical="center" wrapText="1"/>
    </xf>
    <xf numFmtId="0" fontId="84" fillId="0" borderId="19" xfId="0" applyFont="1" applyBorder="1" applyAlignment="1">
      <alignment horizontal="center" wrapText="1"/>
    </xf>
    <xf numFmtId="0" fontId="84" fillId="0" borderId="21" xfId="0" applyFont="1" applyBorder="1" applyAlignment="1">
      <alignment horizontal="center" wrapText="1"/>
    </xf>
    <xf numFmtId="0" fontId="127" fillId="0" borderId="0" xfId="0" applyFont="1" applyAlignment="1">
      <alignment horizontal="center" vertical="center" wrapText="1"/>
    </xf>
    <xf numFmtId="0" fontId="114" fillId="0" borderId="0" xfId="0" applyFont="1" applyAlignment="1">
      <alignment horizontal="center"/>
    </xf>
    <xf numFmtId="0" fontId="128" fillId="0" borderId="15" xfId="0" applyFont="1" applyBorder="1" applyAlignment="1">
      <alignment horizontal="center"/>
    </xf>
    <xf numFmtId="0" fontId="0" fillId="0" borderId="0" xfId="0" quotePrefix="1" applyFill="1"/>
    <xf numFmtId="0" fontId="72" fillId="0" borderId="0" xfId="0" applyFont="1" applyAlignment="1">
      <alignment horizontal="center"/>
    </xf>
    <xf numFmtId="173" fontId="95" fillId="0" borderId="0" xfId="0" applyNumberFormat="1" applyFont="1" applyFill="1" applyAlignment="1">
      <alignment wrapText="1"/>
    </xf>
    <xf numFmtId="41" fontId="134" fillId="0" borderId="0" xfId="0" applyNumberFormat="1" applyFont="1" applyFill="1"/>
    <xf numFmtId="41" fontId="94" fillId="0" borderId="0" xfId="0" applyNumberFormat="1" applyFont="1" applyBorder="1"/>
    <xf numFmtId="41" fontId="94" fillId="0" borderId="69" xfId="114" applyFont="1" applyBorder="1"/>
    <xf numFmtId="41" fontId="94" fillId="0" borderId="70" xfId="114" applyFont="1" applyBorder="1"/>
    <xf numFmtId="41" fontId="94" fillId="0" borderId="106" xfId="114" applyFont="1" applyBorder="1"/>
    <xf numFmtId="0" fontId="110" fillId="0" borderId="0" xfId="0" applyFont="1" applyBorder="1" applyAlignment="1">
      <alignment horizontal="center"/>
    </xf>
    <xf numFmtId="0" fontId="103" fillId="0" borderId="72" xfId="0" applyFont="1" applyBorder="1" applyAlignment="1">
      <alignment vertical="center"/>
    </xf>
    <xf numFmtId="168" fontId="94" fillId="0" borderId="73" xfId="113" applyNumberFormat="1" applyFont="1" applyFill="1" applyBorder="1" applyAlignment="1">
      <alignment horizontal="center" vertical="center" wrapText="1"/>
    </xf>
    <xf numFmtId="0" fontId="103" fillId="0" borderId="73" xfId="0" applyFont="1" applyBorder="1" applyAlignment="1">
      <alignment vertical="center"/>
    </xf>
    <xf numFmtId="168" fontId="94" fillId="0" borderId="82" xfId="113" applyNumberFormat="1" applyFont="1" applyFill="1" applyBorder="1" applyAlignment="1">
      <alignment horizontal="center" vertical="center" wrapText="1"/>
    </xf>
    <xf numFmtId="0" fontId="69" fillId="0" borderId="44" xfId="107" applyBorder="1"/>
    <xf numFmtId="173" fontId="95" fillId="0" borderId="107" xfId="113" applyNumberFormat="1" applyFont="1" applyFill="1" applyBorder="1" applyAlignment="1">
      <alignment horizontal="right"/>
    </xf>
    <xf numFmtId="0" fontId="102" fillId="0" borderId="44" xfId="0" applyFont="1" applyBorder="1" applyAlignment="1">
      <alignment horizontal="left"/>
    </xf>
    <xf numFmtId="0" fontId="102" fillId="0" borderId="44" xfId="0" applyFont="1" applyBorder="1"/>
    <xf numFmtId="173" fontId="103" fillId="0" borderId="108" xfId="113" applyNumberFormat="1" applyFont="1" applyFill="1" applyBorder="1" applyAlignment="1">
      <alignment horizontal="right"/>
    </xf>
    <xf numFmtId="0" fontId="104" fillId="0" borderId="44" xfId="0" applyFont="1" applyBorder="1"/>
    <xf numFmtId="173" fontId="103" fillId="0" borderId="109" xfId="113" applyNumberFormat="1" applyFont="1" applyFill="1" applyBorder="1" applyAlignment="1">
      <alignment horizontal="right"/>
    </xf>
    <xf numFmtId="0" fontId="103" fillId="0" borderId="44" xfId="0" applyFont="1" applyBorder="1"/>
    <xf numFmtId="0" fontId="69" fillId="0" borderId="44" xfId="107" applyBorder="1" applyAlignment="1">
      <alignment horizontal="left"/>
    </xf>
    <xf numFmtId="173" fontId="94" fillId="0" borderId="107" xfId="113" applyNumberFormat="1" applyFont="1" applyFill="1" applyBorder="1" applyAlignment="1">
      <alignment horizontal="right"/>
    </xf>
    <xf numFmtId="173" fontId="95" fillId="0" borderId="110" xfId="113" applyNumberFormat="1" applyFont="1" applyFill="1" applyBorder="1" applyAlignment="1">
      <alignment horizontal="right"/>
    </xf>
    <xf numFmtId="173" fontId="103" fillId="0" borderId="111" xfId="113" applyNumberFormat="1" applyFont="1" applyFill="1" applyBorder="1" applyAlignment="1">
      <alignment horizontal="right"/>
    </xf>
    <xf numFmtId="0" fontId="103" fillId="0" borderId="112" xfId="0" applyFont="1" applyBorder="1"/>
    <xf numFmtId="173" fontId="103" fillId="0" borderId="113" xfId="113" applyNumberFormat="1" applyFont="1" applyFill="1" applyBorder="1" applyAlignment="1">
      <alignment horizontal="right"/>
    </xf>
    <xf numFmtId="173" fontId="103" fillId="0" borderId="114" xfId="113" applyNumberFormat="1" applyFont="1" applyFill="1" applyBorder="1" applyAlignment="1">
      <alignment horizontal="right"/>
    </xf>
    <xf numFmtId="173" fontId="103" fillId="0" borderId="115" xfId="113" applyNumberFormat="1" applyFont="1" applyFill="1" applyBorder="1" applyAlignment="1">
      <alignment horizontal="right"/>
    </xf>
    <xf numFmtId="173" fontId="102" fillId="0" borderId="46" xfId="113" applyNumberFormat="1" applyFont="1" applyFill="1" applyBorder="1" applyAlignment="1">
      <alignment horizontal="right"/>
    </xf>
    <xf numFmtId="0" fontId="95" fillId="0" borderId="0" xfId="0" applyFont="1" applyBorder="1" applyAlignment="1">
      <alignment wrapText="1"/>
    </xf>
    <xf numFmtId="173" fontId="95" fillId="0" borderId="84" xfId="113" applyNumberFormat="1" applyFont="1" applyFill="1" applyBorder="1" applyAlignment="1">
      <alignment horizontal="right"/>
    </xf>
    <xf numFmtId="173" fontId="103" fillId="0" borderId="110" xfId="113" applyNumberFormat="1" applyFont="1" applyFill="1" applyBorder="1" applyAlignment="1">
      <alignment horizontal="right"/>
    </xf>
    <xf numFmtId="0" fontId="103" fillId="0" borderId="83" xfId="0" applyFont="1" applyBorder="1"/>
    <xf numFmtId="173" fontId="103" fillId="0" borderId="116" xfId="113" applyNumberFormat="1" applyFont="1" applyFill="1" applyBorder="1" applyAlignment="1">
      <alignment horizontal="right"/>
    </xf>
    <xf numFmtId="0" fontId="103" fillId="0" borderId="49" xfId="0" applyFont="1" applyBorder="1"/>
    <xf numFmtId="173" fontId="103" fillId="0" borderId="87" xfId="113" applyNumberFormat="1" applyFont="1" applyFill="1" applyBorder="1" applyAlignment="1">
      <alignment horizontal="right"/>
    </xf>
    <xf numFmtId="0" fontId="103" fillId="0" borderId="77" xfId="0" applyFont="1" applyBorder="1"/>
    <xf numFmtId="173" fontId="103" fillId="0" borderId="76" xfId="113" applyNumberFormat="1" applyFont="1" applyFill="1" applyBorder="1" applyAlignment="1">
      <alignment horizontal="right"/>
    </xf>
    <xf numFmtId="41" fontId="135" fillId="0" borderId="11" xfId="114" applyFont="1" applyBorder="1" applyAlignment="1"/>
    <xf numFmtId="41" fontId="135" fillId="0" borderId="11" xfId="114" applyFont="1" applyBorder="1" applyAlignment="1">
      <alignment horizontal="right"/>
    </xf>
    <xf numFmtId="41" fontId="135" fillId="0" borderId="0" xfId="114" applyFont="1" applyBorder="1" applyAlignment="1"/>
    <xf numFmtId="0" fontId="117" fillId="0" borderId="0" xfId="0" applyFont="1" applyBorder="1"/>
    <xf numFmtId="0" fontId="136" fillId="0" borderId="0" xfId="0" applyFont="1" applyFill="1"/>
    <xf numFmtId="41" fontId="136" fillId="0" borderId="0" xfId="114" applyFont="1" applyFill="1" applyAlignment="1">
      <alignment horizontal="right"/>
    </xf>
    <xf numFmtId="0" fontId="84" fillId="0" borderId="0" xfId="0" applyFont="1" applyFill="1"/>
    <xf numFmtId="41" fontId="134" fillId="0" borderId="0" xfId="114" applyFont="1"/>
    <xf numFmtId="0" fontId="95" fillId="0" borderId="17" xfId="0" applyFont="1" applyBorder="1" applyAlignment="1">
      <alignment horizontal="left" vertical="center" wrapText="1"/>
    </xf>
    <xf numFmtId="14" fontId="95" fillId="0" borderId="17" xfId="0" applyNumberFormat="1" applyFont="1" applyBorder="1" applyAlignment="1">
      <alignment horizontal="left" vertical="center" wrapText="1"/>
    </xf>
    <xf numFmtId="173" fontId="95" fillId="0" borderId="11" xfId="114" applyNumberFormat="1" applyFont="1" applyFill="1" applyBorder="1" applyAlignment="1">
      <alignment horizontal="left" wrapText="1"/>
    </xf>
    <xf numFmtId="41" fontId="95" fillId="0" borderId="11" xfId="114" applyFont="1" applyFill="1" applyBorder="1" applyAlignment="1">
      <alignment horizontal="left" wrapText="1"/>
    </xf>
    <xf numFmtId="43" fontId="95" fillId="0" borderId="11" xfId="114" applyNumberFormat="1" applyFont="1" applyFill="1" applyBorder="1" applyAlignment="1">
      <alignment horizontal="left" wrapText="1"/>
    </xf>
    <xf numFmtId="14" fontId="95" fillId="0" borderId="17" xfId="114" applyNumberFormat="1" applyFont="1" applyFill="1" applyBorder="1" applyAlignment="1">
      <alignment horizontal="left" vertical="center" wrapText="1"/>
    </xf>
    <xf numFmtId="0" fontId="95" fillId="0" borderId="17" xfId="0" applyFont="1" applyBorder="1" applyAlignment="1">
      <alignment wrapText="1"/>
    </xf>
    <xf numFmtId="41" fontId="95" fillId="0" borderId="17" xfId="114" applyFont="1" applyFill="1" applyBorder="1" applyAlignment="1">
      <alignment horizontal="left" vertical="center" wrapText="1"/>
    </xf>
    <xf numFmtId="49" fontId="95" fillId="0" borderId="11" xfId="0" applyNumberFormat="1" applyFont="1" applyBorder="1" applyAlignment="1">
      <alignment wrapText="1"/>
    </xf>
    <xf numFmtId="41" fontId="95" fillId="0" borderId="0" xfId="114" applyFont="1" applyFill="1" applyAlignment="1">
      <alignment wrapText="1"/>
    </xf>
    <xf numFmtId="0" fontId="0" fillId="0" borderId="0" xfId="0" quotePrefix="1"/>
    <xf numFmtId="49" fontId="84" fillId="0" borderId="11" xfId="0" applyNumberFormat="1" applyFont="1" applyBorder="1"/>
    <xf numFmtId="0" fontId="84" fillId="0" borderId="0" xfId="0" applyFont="1"/>
    <xf numFmtId="41" fontId="84" fillId="0" borderId="0" xfId="0" applyNumberFormat="1" applyFont="1"/>
    <xf numFmtId="0" fontId="137" fillId="0" borderId="11" xfId="0" applyFont="1" applyBorder="1"/>
    <xf numFmtId="41" fontId="137" fillId="0" borderId="11" xfId="114" applyFont="1" applyFill="1" applyBorder="1" applyAlignment="1">
      <alignment horizontal="center"/>
    </xf>
    <xf numFmtId="173" fontId="134" fillId="62" borderId="17" xfId="113" applyNumberFormat="1" applyFont="1" applyFill="1" applyBorder="1" applyAlignment="1">
      <alignment horizontal="center" vertical="center"/>
    </xf>
  </cellXfs>
  <cellStyles count="404">
    <cellStyle name="          _x000d__x000a_386grabber=VGA.3GR_x000d__x000a_ 3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20% - Énfasis1 2" xfId="8" xr:uid="{00000000-0005-0000-0000-000007000000}"/>
    <cellStyle name="20% - Énfasis1 3" xfId="9" xr:uid="{00000000-0005-0000-0000-000008000000}"/>
    <cellStyle name="20% - Énfasis1 4" xfId="10" xr:uid="{00000000-0005-0000-0000-000009000000}"/>
    <cellStyle name="20% - Énfasis2 2" xfId="11" xr:uid="{00000000-0005-0000-0000-00000A000000}"/>
    <cellStyle name="20% - Énfasis2 3" xfId="12" xr:uid="{00000000-0005-0000-0000-00000B000000}"/>
    <cellStyle name="20% - Énfasis2 4" xfId="13" xr:uid="{00000000-0005-0000-0000-00000C000000}"/>
    <cellStyle name="20% - Énfasis3 2" xfId="14" xr:uid="{00000000-0005-0000-0000-00000D000000}"/>
    <cellStyle name="20% - Énfasis3 3" xfId="15" xr:uid="{00000000-0005-0000-0000-00000E000000}"/>
    <cellStyle name="20% - Énfasis3 4" xfId="16" xr:uid="{00000000-0005-0000-0000-00000F000000}"/>
    <cellStyle name="20% - Énfasis4 2" xfId="17" xr:uid="{00000000-0005-0000-0000-000010000000}"/>
    <cellStyle name="20% - Énfasis4 3" xfId="18" xr:uid="{00000000-0005-0000-0000-000011000000}"/>
    <cellStyle name="20% - Énfasis4 4" xfId="19" xr:uid="{00000000-0005-0000-0000-000012000000}"/>
    <cellStyle name="20% - Énfasis5 2" xfId="20" xr:uid="{00000000-0005-0000-0000-000013000000}"/>
    <cellStyle name="20% - Énfasis5 3" xfId="21" xr:uid="{00000000-0005-0000-0000-000014000000}"/>
    <cellStyle name="20% - Énfasis5 4" xfId="22" xr:uid="{00000000-0005-0000-0000-000015000000}"/>
    <cellStyle name="20% - Énfasis6 2" xfId="23" xr:uid="{00000000-0005-0000-0000-000016000000}"/>
    <cellStyle name="20% - Énfasis6 3" xfId="24" xr:uid="{00000000-0005-0000-0000-000017000000}"/>
    <cellStyle name="20% - Énfasis6 4" xfId="25" xr:uid="{00000000-0005-0000-0000-000018000000}"/>
    <cellStyle name="40% - Accent1" xfId="26" xr:uid="{00000000-0005-0000-0000-000019000000}"/>
    <cellStyle name="40% - Accent2" xfId="27" xr:uid="{00000000-0005-0000-0000-00001A000000}"/>
    <cellStyle name="40% - Accent3" xfId="28" xr:uid="{00000000-0005-0000-0000-00001B000000}"/>
    <cellStyle name="40% - Accent4" xfId="29" xr:uid="{00000000-0005-0000-0000-00001C000000}"/>
    <cellStyle name="40% - Accent5" xfId="30" xr:uid="{00000000-0005-0000-0000-00001D000000}"/>
    <cellStyle name="40% - Accent6" xfId="31" xr:uid="{00000000-0005-0000-0000-00001E000000}"/>
    <cellStyle name="40% - Énfasis1 2" xfId="32" xr:uid="{00000000-0005-0000-0000-00001F000000}"/>
    <cellStyle name="40% - Énfasis1 3" xfId="33" xr:uid="{00000000-0005-0000-0000-000020000000}"/>
    <cellStyle name="40% - Énfasis1 4" xfId="34" xr:uid="{00000000-0005-0000-0000-000021000000}"/>
    <cellStyle name="40% - Énfasis2 2" xfId="35" xr:uid="{00000000-0005-0000-0000-000022000000}"/>
    <cellStyle name="40% - Énfasis2 3" xfId="36" xr:uid="{00000000-0005-0000-0000-000023000000}"/>
    <cellStyle name="40% - Énfasis2 4" xfId="37" xr:uid="{00000000-0005-0000-0000-000024000000}"/>
    <cellStyle name="40% - Énfasis3 2" xfId="38" xr:uid="{00000000-0005-0000-0000-000025000000}"/>
    <cellStyle name="40% - Énfasis3 3" xfId="39" xr:uid="{00000000-0005-0000-0000-000026000000}"/>
    <cellStyle name="40% - Énfasis3 4" xfId="40" xr:uid="{00000000-0005-0000-0000-000027000000}"/>
    <cellStyle name="40% - Énfasis4 2" xfId="41" xr:uid="{00000000-0005-0000-0000-000028000000}"/>
    <cellStyle name="40% - Énfasis4 3" xfId="42" xr:uid="{00000000-0005-0000-0000-000029000000}"/>
    <cellStyle name="40% - Énfasis4 4" xfId="43" xr:uid="{00000000-0005-0000-0000-00002A000000}"/>
    <cellStyle name="40% - Énfasis5 2" xfId="44" xr:uid="{00000000-0005-0000-0000-00002B000000}"/>
    <cellStyle name="40% - Énfasis5 3" xfId="45" xr:uid="{00000000-0005-0000-0000-00002C000000}"/>
    <cellStyle name="40% - Énfasis5 4" xfId="46" xr:uid="{00000000-0005-0000-0000-00002D000000}"/>
    <cellStyle name="40% - Énfasis6 2" xfId="47" xr:uid="{00000000-0005-0000-0000-00002E000000}"/>
    <cellStyle name="40% - Énfasis6 3" xfId="48" xr:uid="{00000000-0005-0000-0000-00002F000000}"/>
    <cellStyle name="40% - Énfasis6 4" xfId="49" xr:uid="{00000000-0005-0000-0000-000030000000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 2" xfId="56" xr:uid="{00000000-0005-0000-0000-000037000000}"/>
    <cellStyle name="60% - Énfasis2 2" xfId="57" xr:uid="{00000000-0005-0000-0000-000038000000}"/>
    <cellStyle name="60% - Énfasis3 2" xfId="58" xr:uid="{00000000-0005-0000-0000-000039000000}"/>
    <cellStyle name="60% - Énfasis4 2" xfId="59" xr:uid="{00000000-0005-0000-0000-00003A000000}"/>
    <cellStyle name="60% - Énfasis5 2" xfId="60" xr:uid="{00000000-0005-0000-0000-00003B000000}"/>
    <cellStyle name="60% - Énfasis6 2" xfId="61" xr:uid="{00000000-0005-0000-0000-00003C000000}"/>
    <cellStyle name="Accent1" xfId="62" xr:uid="{00000000-0005-0000-0000-00003D000000}"/>
    <cellStyle name="Accent2" xfId="63" xr:uid="{00000000-0005-0000-0000-00003E000000}"/>
    <cellStyle name="Accent3" xfId="64" xr:uid="{00000000-0005-0000-0000-00003F000000}"/>
    <cellStyle name="Accent4" xfId="65" xr:uid="{00000000-0005-0000-0000-000040000000}"/>
    <cellStyle name="Accent5" xfId="66" xr:uid="{00000000-0005-0000-0000-000041000000}"/>
    <cellStyle name="Accent6" xfId="67" xr:uid="{00000000-0005-0000-0000-000042000000}"/>
    <cellStyle name="Bad" xfId="68" xr:uid="{00000000-0005-0000-0000-000043000000}"/>
    <cellStyle name="Bueno 2" xfId="69" xr:uid="{00000000-0005-0000-0000-000044000000}"/>
    <cellStyle name="Calculation" xfId="70" xr:uid="{00000000-0005-0000-0000-000045000000}"/>
    <cellStyle name="Cálculo 2" xfId="71" xr:uid="{00000000-0005-0000-0000-000046000000}"/>
    <cellStyle name="Celda de comprobación 2" xfId="72" xr:uid="{00000000-0005-0000-0000-000047000000}"/>
    <cellStyle name="Celda vinculada 2" xfId="73" xr:uid="{00000000-0005-0000-0000-000048000000}"/>
    <cellStyle name="Check Cell" xfId="74" xr:uid="{00000000-0005-0000-0000-000049000000}"/>
    <cellStyle name="Comma 2" xfId="75" xr:uid="{00000000-0005-0000-0000-00004A000000}"/>
    <cellStyle name="Comma 2 2" xfId="76" xr:uid="{00000000-0005-0000-0000-00004B000000}"/>
    <cellStyle name="Comma 2 3" xfId="77" xr:uid="{00000000-0005-0000-0000-00004C000000}"/>
    <cellStyle name="Comma 3" xfId="78" xr:uid="{00000000-0005-0000-0000-00004D000000}"/>
    <cellStyle name="Comma 4" xfId="79" xr:uid="{00000000-0005-0000-0000-00004E000000}"/>
    <cellStyle name="Comma 4 2" xfId="80" xr:uid="{00000000-0005-0000-0000-00004F000000}"/>
    <cellStyle name="Comma 4 2 2" xfId="81" xr:uid="{00000000-0005-0000-0000-000050000000}"/>
    <cellStyle name="Comma 4 2 2 2" xfId="82" xr:uid="{00000000-0005-0000-0000-000051000000}"/>
    <cellStyle name="Comma 5" xfId="83" xr:uid="{00000000-0005-0000-0000-000052000000}"/>
    <cellStyle name="Comma_Comparativo 2004" xfId="84" xr:uid="{00000000-0005-0000-0000-000053000000}"/>
    <cellStyle name="Encabezado 1 2" xfId="85" xr:uid="{00000000-0005-0000-0000-000054000000}"/>
    <cellStyle name="Encabezado 4 2" xfId="86" xr:uid="{00000000-0005-0000-0000-000055000000}"/>
    <cellStyle name="Énfasis1" xfId="87" builtinId="29"/>
    <cellStyle name="Énfasis1 2" xfId="88" xr:uid="{00000000-0005-0000-0000-000057000000}"/>
    <cellStyle name="Énfasis2 2" xfId="89" xr:uid="{00000000-0005-0000-0000-000058000000}"/>
    <cellStyle name="Énfasis2 3" xfId="90" xr:uid="{00000000-0005-0000-0000-000059000000}"/>
    <cellStyle name="Énfasis3 2" xfId="91" xr:uid="{00000000-0005-0000-0000-00005A000000}"/>
    <cellStyle name="Énfasis4" xfId="92" builtinId="41"/>
    <cellStyle name="Énfasis4 2" xfId="93" xr:uid="{00000000-0005-0000-0000-00005C000000}"/>
    <cellStyle name="Énfasis5 2" xfId="94" xr:uid="{00000000-0005-0000-0000-00005D000000}"/>
    <cellStyle name="Énfasis6 2" xfId="95" xr:uid="{00000000-0005-0000-0000-00005E000000}"/>
    <cellStyle name="Entrada 2" xfId="96" xr:uid="{00000000-0005-0000-0000-00005F000000}"/>
    <cellStyle name="Excel Built-in Normal" xfId="97" xr:uid="{00000000-0005-0000-0000-000060000000}"/>
    <cellStyle name="Excel Built-in Normal 2" xfId="98" xr:uid="{00000000-0005-0000-0000-000061000000}"/>
    <cellStyle name="Explanatory Text" xfId="99" xr:uid="{00000000-0005-0000-0000-000062000000}"/>
    <cellStyle name="Good" xfId="100" xr:uid="{00000000-0005-0000-0000-000063000000}"/>
    <cellStyle name="Heading" xfId="101" xr:uid="{00000000-0005-0000-0000-000064000000}"/>
    <cellStyle name="Heading 1" xfId="102" xr:uid="{00000000-0005-0000-0000-000065000000}"/>
    <cellStyle name="Heading 2" xfId="103" xr:uid="{00000000-0005-0000-0000-000066000000}"/>
    <cellStyle name="Heading 3" xfId="104" xr:uid="{00000000-0005-0000-0000-000067000000}"/>
    <cellStyle name="Heading 4" xfId="105" xr:uid="{00000000-0005-0000-0000-000068000000}"/>
    <cellStyle name="Heading 5" xfId="106" xr:uid="{00000000-0005-0000-0000-000069000000}"/>
    <cellStyle name="Hipervínculo" xfId="107" builtinId="8"/>
    <cellStyle name="Hipervínculo 2" xfId="108" xr:uid="{00000000-0005-0000-0000-00006B000000}"/>
    <cellStyle name="Hipervínculo 3" xfId="109" xr:uid="{00000000-0005-0000-0000-00006C000000}"/>
    <cellStyle name="Incorrecto 2" xfId="110" xr:uid="{00000000-0005-0000-0000-00006D000000}"/>
    <cellStyle name="Input" xfId="111" xr:uid="{00000000-0005-0000-0000-00006E000000}"/>
    <cellStyle name="Linked Cell" xfId="112" xr:uid="{00000000-0005-0000-0000-00006F000000}"/>
    <cellStyle name="Millares" xfId="113" builtinId="3"/>
    <cellStyle name="Millares [0]" xfId="114" builtinId="6"/>
    <cellStyle name="Millares [0] 2" xfId="115" xr:uid="{00000000-0005-0000-0000-000072000000}"/>
    <cellStyle name="Millares [0] 2 2" xfId="116" xr:uid="{00000000-0005-0000-0000-000073000000}"/>
    <cellStyle name="Millares [0] 2 2 2" xfId="117" xr:uid="{00000000-0005-0000-0000-000074000000}"/>
    <cellStyle name="Millares [0] 2 2 3" xfId="118" xr:uid="{00000000-0005-0000-0000-000075000000}"/>
    <cellStyle name="Millares [0] 2 3" xfId="119" xr:uid="{00000000-0005-0000-0000-000076000000}"/>
    <cellStyle name="Millares [0] 2 3 2" xfId="120" xr:uid="{00000000-0005-0000-0000-000077000000}"/>
    <cellStyle name="Millares [0] 2 4" xfId="121" xr:uid="{00000000-0005-0000-0000-000078000000}"/>
    <cellStyle name="Millares [0] 2 5" xfId="122" xr:uid="{00000000-0005-0000-0000-000079000000}"/>
    <cellStyle name="Millares [0] 3" xfId="123" xr:uid="{00000000-0005-0000-0000-00007A000000}"/>
    <cellStyle name="Millares [0] 3 2" xfId="124" xr:uid="{00000000-0005-0000-0000-00007B000000}"/>
    <cellStyle name="Millares [0] 3 2 2" xfId="125" xr:uid="{00000000-0005-0000-0000-00007C000000}"/>
    <cellStyle name="Millares [0] 3 2 3" xfId="126" xr:uid="{00000000-0005-0000-0000-00007D000000}"/>
    <cellStyle name="Millares [0] 3 3" xfId="127" xr:uid="{00000000-0005-0000-0000-00007E000000}"/>
    <cellStyle name="Millares [0] 3 4" xfId="128" xr:uid="{00000000-0005-0000-0000-00007F000000}"/>
    <cellStyle name="Millares [0] 3 5" xfId="129" xr:uid="{00000000-0005-0000-0000-000080000000}"/>
    <cellStyle name="Millares [0] 4" xfId="130" xr:uid="{00000000-0005-0000-0000-000081000000}"/>
    <cellStyle name="Millares [0] 4 2" xfId="131" xr:uid="{00000000-0005-0000-0000-000082000000}"/>
    <cellStyle name="Millares [0] 4 3" xfId="132" xr:uid="{00000000-0005-0000-0000-000083000000}"/>
    <cellStyle name="Millares [0] 4 4" xfId="133" xr:uid="{00000000-0005-0000-0000-000084000000}"/>
    <cellStyle name="Millares [0] 5" xfId="134" xr:uid="{00000000-0005-0000-0000-000085000000}"/>
    <cellStyle name="Millares [0] 6" xfId="135" xr:uid="{00000000-0005-0000-0000-000086000000}"/>
    <cellStyle name="Millares [0] 7" xfId="136" xr:uid="{00000000-0005-0000-0000-000087000000}"/>
    <cellStyle name="Millares [0] 8" xfId="137" xr:uid="{00000000-0005-0000-0000-000088000000}"/>
    <cellStyle name="Millares [0] 9" xfId="402" xr:uid="{F3897145-4C69-4063-BBA2-7D2614677C20}"/>
    <cellStyle name="Millares 10" xfId="138" xr:uid="{00000000-0005-0000-0000-000089000000}"/>
    <cellStyle name="Millares 10 2" xfId="139" xr:uid="{00000000-0005-0000-0000-00008A000000}"/>
    <cellStyle name="Millares 100 11" xfId="140" xr:uid="{00000000-0005-0000-0000-00008B000000}"/>
    <cellStyle name="Millares 100 11 2" xfId="141" xr:uid="{00000000-0005-0000-0000-00008C000000}"/>
    <cellStyle name="Millares 100 11 2 2" xfId="142" xr:uid="{00000000-0005-0000-0000-00008D000000}"/>
    <cellStyle name="Millares 11" xfId="143" xr:uid="{00000000-0005-0000-0000-00008E000000}"/>
    <cellStyle name="Millares 11 2" xfId="144" xr:uid="{00000000-0005-0000-0000-00008F000000}"/>
    <cellStyle name="Millares 12" xfId="145" xr:uid="{00000000-0005-0000-0000-000090000000}"/>
    <cellStyle name="Millares 13" xfId="146" xr:uid="{00000000-0005-0000-0000-000091000000}"/>
    <cellStyle name="Millares 14" xfId="147" xr:uid="{00000000-0005-0000-0000-000092000000}"/>
    <cellStyle name="Millares 15" xfId="148" xr:uid="{00000000-0005-0000-0000-000093000000}"/>
    <cellStyle name="Millares 16" xfId="149" xr:uid="{00000000-0005-0000-0000-000094000000}"/>
    <cellStyle name="Millares 17" xfId="150" xr:uid="{00000000-0005-0000-0000-000095000000}"/>
    <cellStyle name="Millares 174 2" xfId="151" xr:uid="{00000000-0005-0000-0000-000096000000}"/>
    <cellStyle name="Millares 174 2 2" xfId="152" xr:uid="{00000000-0005-0000-0000-000097000000}"/>
    <cellStyle name="Millares 174 2 2 2" xfId="153" xr:uid="{00000000-0005-0000-0000-000098000000}"/>
    <cellStyle name="Millares 18" xfId="154" xr:uid="{00000000-0005-0000-0000-000099000000}"/>
    <cellStyle name="Millares 19" xfId="155" xr:uid="{00000000-0005-0000-0000-00009A000000}"/>
    <cellStyle name="Millares 2" xfId="156" xr:uid="{00000000-0005-0000-0000-00009B000000}"/>
    <cellStyle name="Millares 2 2" xfId="157" xr:uid="{00000000-0005-0000-0000-00009C000000}"/>
    <cellStyle name="Millares 2 2 2" xfId="158" xr:uid="{00000000-0005-0000-0000-00009D000000}"/>
    <cellStyle name="Millares 2 2 2 2" xfId="159" xr:uid="{00000000-0005-0000-0000-00009E000000}"/>
    <cellStyle name="Millares 2 2 3" xfId="160" xr:uid="{00000000-0005-0000-0000-00009F000000}"/>
    <cellStyle name="Millares 2 2 3 2" xfId="161" xr:uid="{00000000-0005-0000-0000-0000A0000000}"/>
    <cellStyle name="Millares 2 2 4" xfId="162" xr:uid="{00000000-0005-0000-0000-0000A1000000}"/>
    <cellStyle name="Millares 2 2 5" xfId="163" xr:uid="{00000000-0005-0000-0000-0000A2000000}"/>
    <cellStyle name="Millares 2 2 6" xfId="164" xr:uid="{00000000-0005-0000-0000-0000A3000000}"/>
    <cellStyle name="Millares 2 2 7" xfId="165" xr:uid="{00000000-0005-0000-0000-0000A4000000}"/>
    <cellStyle name="Millares 2 3" xfId="166" xr:uid="{00000000-0005-0000-0000-0000A5000000}"/>
    <cellStyle name="Millares 2 3 2" xfId="167" xr:uid="{00000000-0005-0000-0000-0000A6000000}"/>
    <cellStyle name="Millares 2 3 3" xfId="168" xr:uid="{00000000-0005-0000-0000-0000A7000000}"/>
    <cellStyle name="Millares 2 4" xfId="169" xr:uid="{00000000-0005-0000-0000-0000A8000000}"/>
    <cellStyle name="Millares 2 4 2" xfId="170" xr:uid="{00000000-0005-0000-0000-0000A9000000}"/>
    <cellStyle name="Millares 2 5" xfId="171" xr:uid="{00000000-0005-0000-0000-0000AA000000}"/>
    <cellStyle name="Millares 2 6" xfId="172" xr:uid="{00000000-0005-0000-0000-0000AB000000}"/>
    <cellStyle name="Millares 2 7" xfId="173" xr:uid="{00000000-0005-0000-0000-0000AC000000}"/>
    <cellStyle name="Millares 20" xfId="174" xr:uid="{00000000-0005-0000-0000-0000AD000000}"/>
    <cellStyle name="Millares 21" xfId="175" xr:uid="{00000000-0005-0000-0000-0000AE000000}"/>
    <cellStyle name="Millares 212" xfId="176" xr:uid="{00000000-0005-0000-0000-0000AF000000}"/>
    <cellStyle name="Millares 212 2" xfId="177" xr:uid="{00000000-0005-0000-0000-0000B0000000}"/>
    <cellStyle name="Millares 22" xfId="178" xr:uid="{00000000-0005-0000-0000-0000B1000000}"/>
    <cellStyle name="Millares 23" xfId="179" xr:uid="{00000000-0005-0000-0000-0000B2000000}"/>
    <cellStyle name="Millares 24" xfId="401" xr:uid="{056A9CFD-2213-45E4-AA09-C4BA9DF3A458}"/>
    <cellStyle name="Millares 3" xfId="180" xr:uid="{00000000-0005-0000-0000-0000B3000000}"/>
    <cellStyle name="Millares 3 11" xfId="181" xr:uid="{00000000-0005-0000-0000-0000B4000000}"/>
    <cellStyle name="Millares 3 11 2" xfId="182" xr:uid="{00000000-0005-0000-0000-0000B5000000}"/>
    <cellStyle name="Millares 3 11 2 2" xfId="183" xr:uid="{00000000-0005-0000-0000-0000B6000000}"/>
    <cellStyle name="Millares 3 2" xfId="184" xr:uid="{00000000-0005-0000-0000-0000B7000000}"/>
    <cellStyle name="Millares 3 2 2" xfId="185" xr:uid="{00000000-0005-0000-0000-0000B8000000}"/>
    <cellStyle name="Millares 3 3" xfId="186" xr:uid="{00000000-0005-0000-0000-0000B9000000}"/>
    <cellStyle name="Millares 3 4" xfId="187" xr:uid="{00000000-0005-0000-0000-0000BA000000}"/>
    <cellStyle name="Millares 3 5" xfId="188" xr:uid="{00000000-0005-0000-0000-0000BB000000}"/>
    <cellStyle name="Millares 3 6" xfId="189" xr:uid="{00000000-0005-0000-0000-0000BC000000}"/>
    <cellStyle name="Millares 4" xfId="190" xr:uid="{00000000-0005-0000-0000-0000BD000000}"/>
    <cellStyle name="Millares 4 2" xfId="191" xr:uid="{00000000-0005-0000-0000-0000BE000000}"/>
    <cellStyle name="Millares 4 2 2" xfId="192" xr:uid="{00000000-0005-0000-0000-0000BF000000}"/>
    <cellStyle name="Millares 4 2 3" xfId="193" xr:uid="{00000000-0005-0000-0000-0000C0000000}"/>
    <cellStyle name="Millares 4 3" xfId="194" xr:uid="{00000000-0005-0000-0000-0000C1000000}"/>
    <cellStyle name="Millares 4 3 2" xfId="195" xr:uid="{00000000-0005-0000-0000-0000C2000000}"/>
    <cellStyle name="Millares 4 4" xfId="196" xr:uid="{00000000-0005-0000-0000-0000C3000000}"/>
    <cellStyle name="Millares 5" xfId="197" xr:uid="{00000000-0005-0000-0000-0000C4000000}"/>
    <cellStyle name="Millares 5 2" xfId="198" xr:uid="{00000000-0005-0000-0000-0000C5000000}"/>
    <cellStyle name="Millares 5 3" xfId="199" xr:uid="{00000000-0005-0000-0000-0000C6000000}"/>
    <cellStyle name="Millares 6" xfId="200" xr:uid="{00000000-0005-0000-0000-0000C7000000}"/>
    <cellStyle name="Millares 6 2" xfId="201" xr:uid="{00000000-0005-0000-0000-0000C8000000}"/>
    <cellStyle name="Millares 654 2 2" xfId="202" xr:uid="{00000000-0005-0000-0000-0000C9000000}"/>
    <cellStyle name="Millares 656" xfId="203" xr:uid="{00000000-0005-0000-0000-0000CA000000}"/>
    <cellStyle name="Millares 656 2" xfId="204" xr:uid="{00000000-0005-0000-0000-0000CB000000}"/>
    <cellStyle name="Millares 656 2 2" xfId="205" xr:uid="{00000000-0005-0000-0000-0000CC000000}"/>
    <cellStyle name="Millares 657" xfId="206" xr:uid="{00000000-0005-0000-0000-0000CD000000}"/>
    <cellStyle name="Millares 657 2" xfId="207" xr:uid="{00000000-0005-0000-0000-0000CE000000}"/>
    <cellStyle name="Millares 657 2 2" xfId="208" xr:uid="{00000000-0005-0000-0000-0000CF000000}"/>
    <cellStyle name="Millares 7" xfId="209" xr:uid="{00000000-0005-0000-0000-0000D0000000}"/>
    <cellStyle name="Millares 7 2" xfId="210" xr:uid="{00000000-0005-0000-0000-0000D1000000}"/>
    <cellStyle name="Millares 7 3" xfId="211" xr:uid="{00000000-0005-0000-0000-0000D2000000}"/>
    <cellStyle name="Millares 8" xfId="212" xr:uid="{00000000-0005-0000-0000-0000D3000000}"/>
    <cellStyle name="Millares 8 2" xfId="213" xr:uid="{00000000-0005-0000-0000-0000D4000000}"/>
    <cellStyle name="Millares 9" xfId="214" xr:uid="{00000000-0005-0000-0000-0000D5000000}"/>
    <cellStyle name="Millares 9 2" xfId="215" xr:uid="{00000000-0005-0000-0000-0000D6000000}"/>
    <cellStyle name="Millares 9 3" xfId="216" xr:uid="{00000000-0005-0000-0000-0000D7000000}"/>
    <cellStyle name="Moneda" xfId="217" builtinId="4"/>
    <cellStyle name="Neutral 2" xfId="218" xr:uid="{00000000-0005-0000-0000-0000D9000000}"/>
    <cellStyle name="Neutral 3" xfId="219" xr:uid="{00000000-0005-0000-0000-0000DA000000}"/>
    <cellStyle name="Neutral 4" xfId="220" xr:uid="{00000000-0005-0000-0000-0000DB000000}"/>
    <cellStyle name="No-definido" xfId="221" xr:uid="{00000000-0005-0000-0000-0000DC000000}"/>
    <cellStyle name="Normal" xfId="0" builtinId="0"/>
    <cellStyle name="Normal 10" xfId="222" xr:uid="{00000000-0005-0000-0000-0000DE000000}"/>
    <cellStyle name="Normal 10 10 2 2 2" xfId="223" xr:uid="{00000000-0005-0000-0000-0000DF000000}"/>
    <cellStyle name="Normal 1016" xfId="224" xr:uid="{00000000-0005-0000-0000-0000E0000000}"/>
    <cellStyle name="Normal 1018" xfId="225" xr:uid="{00000000-0005-0000-0000-0000E1000000}"/>
    <cellStyle name="Normal 1022" xfId="226" xr:uid="{00000000-0005-0000-0000-0000E2000000}"/>
    <cellStyle name="Normal 1024" xfId="227" xr:uid="{00000000-0005-0000-0000-0000E3000000}"/>
    <cellStyle name="Normal 1025" xfId="228" xr:uid="{00000000-0005-0000-0000-0000E4000000}"/>
    <cellStyle name="Normal 1026" xfId="229" xr:uid="{00000000-0005-0000-0000-0000E5000000}"/>
    <cellStyle name="Normal 1027" xfId="230" xr:uid="{00000000-0005-0000-0000-0000E6000000}"/>
    <cellStyle name="Normal 105" xfId="231" xr:uid="{00000000-0005-0000-0000-0000E7000000}"/>
    <cellStyle name="Normal 107" xfId="232" xr:uid="{00000000-0005-0000-0000-0000E8000000}"/>
    <cellStyle name="Normal 109" xfId="233" xr:uid="{00000000-0005-0000-0000-0000E9000000}"/>
    <cellStyle name="Normal 11" xfId="234" xr:uid="{00000000-0005-0000-0000-0000EA000000}"/>
    <cellStyle name="Normal 11 2" xfId="235" xr:uid="{00000000-0005-0000-0000-0000EB000000}"/>
    <cellStyle name="Normal 11 2 2" xfId="236" xr:uid="{00000000-0005-0000-0000-0000EC000000}"/>
    <cellStyle name="Normal 11 3" xfId="237" xr:uid="{00000000-0005-0000-0000-0000ED000000}"/>
    <cellStyle name="Normal 12" xfId="238" xr:uid="{00000000-0005-0000-0000-0000EE000000}"/>
    <cellStyle name="Normal 12 10" xfId="239" xr:uid="{00000000-0005-0000-0000-0000EF000000}"/>
    <cellStyle name="Normal 12 2 10" xfId="240" xr:uid="{00000000-0005-0000-0000-0000F0000000}"/>
    <cellStyle name="Normal 12 2 2 4" xfId="241" xr:uid="{00000000-0005-0000-0000-0000F1000000}"/>
    <cellStyle name="Normal 125" xfId="242" xr:uid="{00000000-0005-0000-0000-0000F2000000}"/>
    <cellStyle name="Normal 126" xfId="243" xr:uid="{00000000-0005-0000-0000-0000F3000000}"/>
    <cellStyle name="Normal 15 2" xfId="244" xr:uid="{00000000-0005-0000-0000-0000F4000000}"/>
    <cellStyle name="Normal 17 2" xfId="245" xr:uid="{00000000-0005-0000-0000-0000F5000000}"/>
    <cellStyle name="Normal 199 2 2" xfId="246" xr:uid="{00000000-0005-0000-0000-0000F6000000}"/>
    <cellStyle name="Normal 2" xfId="247" xr:uid="{00000000-0005-0000-0000-0000F7000000}"/>
    <cellStyle name="Normal 2 10" xfId="248" xr:uid="{00000000-0005-0000-0000-0000F8000000}"/>
    <cellStyle name="Normal 2 10 2 2 2" xfId="249" xr:uid="{00000000-0005-0000-0000-0000F9000000}"/>
    <cellStyle name="Normal 2 11" xfId="250" xr:uid="{00000000-0005-0000-0000-0000FA000000}"/>
    <cellStyle name="Normal 2 12" xfId="251" xr:uid="{00000000-0005-0000-0000-0000FB000000}"/>
    <cellStyle name="Normal 2 13" xfId="252" xr:uid="{00000000-0005-0000-0000-0000FC000000}"/>
    <cellStyle name="Normal 2 14" xfId="253" xr:uid="{00000000-0005-0000-0000-0000FD000000}"/>
    <cellStyle name="Normal 2 15" xfId="254" xr:uid="{00000000-0005-0000-0000-0000FE000000}"/>
    <cellStyle name="Normal 2 16" xfId="255" xr:uid="{00000000-0005-0000-0000-0000FF000000}"/>
    <cellStyle name="Normal 2 17" xfId="256" xr:uid="{00000000-0005-0000-0000-000000010000}"/>
    <cellStyle name="Normal 2 18" xfId="257" xr:uid="{00000000-0005-0000-0000-000001010000}"/>
    <cellStyle name="Normal 2 19" xfId="258" xr:uid="{00000000-0005-0000-0000-000002010000}"/>
    <cellStyle name="Normal 2 2" xfId="259" xr:uid="{00000000-0005-0000-0000-000003010000}"/>
    <cellStyle name="Normal 2 2 2" xfId="260" xr:uid="{00000000-0005-0000-0000-000004010000}"/>
    <cellStyle name="Normal 2 2 2 3" xfId="261" xr:uid="{00000000-0005-0000-0000-000005010000}"/>
    <cellStyle name="Normal 2 2 3" xfId="262" xr:uid="{00000000-0005-0000-0000-000006010000}"/>
    <cellStyle name="Normal 2 20" xfId="263" xr:uid="{00000000-0005-0000-0000-000007010000}"/>
    <cellStyle name="Normal 2 21" xfId="264" xr:uid="{00000000-0005-0000-0000-000008010000}"/>
    <cellStyle name="Normal 2 22" xfId="265" xr:uid="{00000000-0005-0000-0000-000009010000}"/>
    <cellStyle name="Normal 2 23" xfId="266" xr:uid="{00000000-0005-0000-0000-00000A010000}"/>
    <cellStyle name="Normal 2 24" xfId="267" xr:uid="{00000000-0005-0000-0000-00000B010000}"/>
    <cellStyle name="Normal 2 25" xfId="268" xr:uid="{00000000-0005-0000-0000-00000C010000}"/>
    <cellStyle name="Normal 2 26" xfId="269" xr:uid="{00000000-0005-0000-0000-00000D010000}"/>
    <cellStyle name="Normal 2 27" xfId="270" xr:uid="{00000000-0005-0000-0000-00000E010000}"/>
    <cellStyle name="Normal 2 3" xfId="271" xr:uid="{00000000-0005-0000-0000-00000F010000}"/>
    <cellStyle name="Normal 2 3 2" xfId="272" xr:uid="{00000000-0005-0000-0000-000010010000}"/>
    <cellStyle name="Normal 2 3 3" xfId="273" xr:uid="{00000000-0005-0000-0000-000011010000}"/>
    <cellStyle name="Normal 2 3 4" xfId="403" xr:uid="{0FC2FBA5-A5C7-4B4A-A42E-0F2B873D4828}"/>
    <cellStyle name="Normal 2 4" xfId="274" xr:uid="{00000000-0005-0000-0000-000012010000}"/>
    <cellStyle name="Normal 2 4 2" xfId="275" xr:uid="{00000000-0005-0000-0000-000013010000}"/>
    <cellStyle name="Normal 2 4 3" xfId="276" xr:uid="{00000000-0005-0000-0000-000014010000}"/>
    <cellStyle name="Normal 2 5" xfId="277" xr:uid="{00000000-0005-0000-0000-000015010000}"/>
    <cellStyle name="Normal 2 5 2" xfId="278" xr:uid="{00000000-0005-0000-0000-000016010000}"/>
    <cellStyle name="Normal 2 6" xfId="279" xr:uid="{00000000-0005-0000-0000-000017010000}"/>
    <cellStyle name="Normal 2 6 2" xfId="280" xr:uid="{00000000-0005-0000-0000-000018010000}"/>
    <cellStyle name="Normal 2 7" xfId="281" xr:uid="{00000000-0005-0000-0000-000019010000}"/>
    <cellStyle name="Normal 2 8" xfId="282" xr:uid="{00000000-0005-0000-0000-00001A010000}"/>
    <cellStyle name="Normal 2 9" xfId="283" xr:uid="{00000000-0005-0000-0000-00001B010000}"/>
    <cellStyle name="Normal 3" xfId="284" xr:uid="{00000000-0005-0000-0000-00001C010000}"/>
    <cellStyle name="Normal 3 2" xfId="285" xr:uid="{00000000-0005-0000-0000-00001D010000}"/>
    <cellStyle name="Normal 3 2 2" xfId="286" xr:uid="{00000000-0005-0000-0000-00001E010000}"/>
    <cellStyle name="Normal 3 2 3" xfId="287" xr:uid="{00000000-0005-0000-0000-00001F010000}"/>
    <cellStyle name="Normal 3 3" xfId="288" xr:uid="{00000000-0005-0000-0000-000020010000}"/>
    <cellStyle name="Normal 3 4" xfId="289" xr:uid="{00000000-0005-0000-0000-000021010000}"/>
    <cellStyle name="Normal 3 5" xfId="290" xr:uid="{00000000-0005-0000-0000-000022010000}"/>
    <cellStyle name="Normal 3 6" xfId="291" xr:uid="{00000000-0005-0000-0000-000023010000}"/>
    <cellStyle name="Normal 3 7" xfId="292" xr:uid="{00000000-0005-0000-0000-000024010000}"/>
    <cellStyle name="Normal 34 2 2" xfId="293" xr:uid="{00000000-0005-0000-0000-000025010000}"/>
    <cellStyle name="Normal 4" xfId="294" xr:uid="{00000000-0005-0000-0000-000026010000}"/>
    <cellStyle name="Normal 4 2" xfId="295" xr:uid="{00000000-0005-0000-0000-000027010000}"/>
    <cellStyle name="Normal 4 2 2" xfId="296" xr:uid="{00000000-0005-0000-0000-000028010000}"/>
    <cellStyle name="Normal 4 3" xfId="297" xr:uid="{00000000-0005-0000-0000-000029010000}"/>
    <cellStyle name="Normal 4 4" xfId="298" xr:uid="{00000000-0005-0000-0000-00002A010000}"/>
    <cellStyle name="Normal 4 5" xfId="299" xr:uid="{00000000-0005-0000-0000-00002B010000}"/>
    <cellStyle name="Normal 5" xfId="300" xr:uid="{00000000-0005-0000-0000-00002C010000}"/>
    <cellStyle name="Normal 5 2" xfId="301" xr:uid="{00000000-0005-0000-0000-00002D010000}"/>
    <cellStyle name="Normal 5 3" xfId="302" xr:uid="{00000000-0005-0000-0000-00002E010000}"/>
    <cellStyle name="Normal 5 4" xfId="303" xr:uid="{00000000-0005-0000-0000-00002F010000}"/>
    <cellStyle name="Normal 6" xfId="304" xr:uid="{00000000-0005-0000-0000-000030010000}"/>
    <cellStyle name="Normal 6 2" xfId="305" xr:uid="{00000000-0005-0000-0000-000031010000}"/>
    <cellStyle name="Normal 6 3" xfId="306" xr:uid="{00000000-0005-0000-0000-000032010000}"/>
    <cellStyle name="Normal 601" xfId="307" xr:uid="{00000000-0005-0000-0000-000033010000}"/>
    <cellStyle name="Normal 605" xfId="308" xr:uid="{00000000-0005-0000-0000-000034010000}"/>
    <cellStyle name="Normal 606" xfId="309" xr:uid="{00000000-0005-0000-0000-000035010000}"/>
    <cellStyle name="Normal 636" xfId="310" xr:uid="{00000000-0005-0000-0000-000036010000}"/>
    <cellStyle name="Normal 640" xfId="311" xr:uid="{00000000-0005-0000-0000-000037010000}"/>
    <cellStyle name="Normal 643" xfId="312" xr:uid="{00000000-0005-0000-0000-000038010000}"/>
    <cellStyle name="Normal 646" xfId="313" xr:uid="{00000000-0005-0000-0000-000039010000}"/>
    <cellStyle name="Normal 647" xfId="314" xr:uid="{00000000-0005-0000-0000-00003A010000}"/>
    <cellStyle name="Normal 649" xfId="315" xr:uid="{00000000-0005-0000-0000-00003B010000}"/>
    <cellStyle name="Normal 650" xfId="316" xr:uid="{00000000-0005-0000-0000-00003C010000}"/>
    <cellStyle name="Normal 651" xfId="317" xr:uid="{00000000-0005-0000-0000-00003D010000}"/>
    <cellStyle name="Normal 652" xfId="318" xr:uid="{00000000-0005-0000-0000-00003E010000}"/>
    <cellStyle name="Normal 653" xfId="319" xr:uid="{00000000-0005-0000-0000-00003F010000}"/>
    <cellStyle name="Normal 654" xfId="320" xr:uid="{00000000-0005-0000-0000-000040010000}"/>
    <cellStyle name="Normal 655" xfId="321" xr:uid="{00000000-0005-0000-0000-000041010000}"/>
    <cellStyle name="Normal 656" xfId="322" xr:uid="{00000000-0005-0000-0000-000042010000}"/>
    <cellStyle name="Normal 657" xfId="323" xr:uid="{00000000-0005-0000-0000-000043010000}"/>
    <cellStyle name="Normal 658" xfId="324" xr:uid="{00000000-0005-0000-0000-000044010000}"/>
    <cellStyle name="Normal 659" xfId="325" xr:uid="{00000000-0005-0000-0000-000045010000}"/>
    <cellStyle name="Normal 660" xfId="326" xr:uid="{00000000-0005-0000-0000-000046010000}"/>
    <cellStyle name="Normal 662" xfId="327" xr:uid="{00000000-0005-0000-0000-000047010000}"/>
    <cellStyle name="Normal 663" xfId="328" xr:uid="{00000000-0005-0000-0000-000048010000}"/>
    <cellStyle name="Normal 664" xfId="329" xr:uid="{00000000-0005-0000-0000-000049010000}"/>
    <cellStyle name="Normal 665" xfId="330" xr:uid="{00000000-0005-0000-0000-00004A010000}"/>
    <cellStyle name="Normal 667" xfId="331" xr:uid="{00000000-0005-0000-0000-00004B010000}"/>
    <cellStyle name="Normal 673" xfId="332" xr:uid="{00000000-0005-0000-0000-00004C010000}"/>
    <cellStyle name="Normal 674" xfId="333" xr:uid="{00000000-0005-0000-0000-00004D010000}"/>
    <cellStyle name="Normal 675" xfId="334" xr:uid="{00000000-0005-0000-0000-00004E010000}"/>
    <cellStyle name="Normal 676" xfId="335" xr:uid="{00000000-0005-0000-0000-00004F010000}"/>
    <cellStyle name="Normal 677" xfId="336" xr:uid="{00000000-0005-0000-0000-000050010000}"/>
    <cellStyle name="Normal 678" xfId="337" xr:uid="{00000000-0005-0000-0000-000051010000}"/>
    <cellStyle name="Normal 679" xfId="338" xr:uid="{00000000-0005-0000-0000-000052010000}"/>
    <cellStyle name="Normal 684" xfId="339" xr:uid="{00000000-0005-0000-0000-000053010000}"/>
    <cellStyle name="Normal 7" xfId="340" xr:uid="{00000000-0005-0000-0000-000054010000}"/>
    <cellStyle name="Normal 713" xfId="341" xr:uid="{00000000-0005-0000-0000-000055010000}"/>
    <cellStyle name="Normal 714" xfId="342" xr:uid="{00000000-0005-0000-0000-000056010000}"/>
    <cellStyle name="Normal 715" xfId="343" xr:uid="{00000000-0005-0000-0000-000057010000}"/>
    <cellStyle name="Normal 744" xfId="344" xr:uid="{00000000-0005-0000-0000-000058010000}"/>
    <cellStyle name="Normal 8" xfId="345" xr:uid="{00000000-0005-0000-0000-000059010000}"/>
    <cellStyle name="Normal 802" xfId="346" xr:uid="{00000000-0005-0000-0000-00005A010000}"/>
    <cellStyle name="Normal 9" xfId="347" xr:uid="{00000000-0005-0000-0000-00005B010000}"/>
    <cellStyle name="Normal 944" xfId="348" xr:uid="{00000000-0005-0000-0000-00005C010000}"/>
    <cellStyle name="Normal 947" xfId="349" xr:uid="{00000000-0005-0000-0000-00005D010000}"/>
    <cellStyle name="Normal 952" xfId="350" xr:uid="{00000000-0005-0000-0000-00005E010000}"/>
    <cellStyle name="Normal 957" xfId="351" xr:uid="{00000000-0005-0000-0000-00005F010000}"/>
    <cellStyle name="Normal 958" xfId="352" xr:uid="{00000000-0005-0000-0000-000060010000}"/>
    <cellStyle name="Normal 959" xfId="353" xr:uid="{00000000-0005-0000-0000-000061010000}"/>
    <cellStyle name="Normal 960" xfId="354" xr:uid="{00000000-0005-0000-0000-000062010000}"/>
    <cellStyle name="Normal 961" xfId="355" xr:uid="{00000000-0005-0000-0000-000063010000}"/>
    <cellStyle name="Normal 962" xfId="356" xr:uid="{00000000-0005-0000-0000-000064010000}"/>
    <cellStyle name="Normal 963" xfId="357" xr:uid="{00000000-0005-0000-0000-000065010000}"/>
    <cellStyle name="Normal 964" xfId="358" xr:uid="{00000000-0005-0000-0000-000066010000}"/>
    <cellStyle name="Normal 965" xfId="359" xr:uid="{00000000-0005-0000-0000-000067010000}"/>
    <cellStyle name="Normal 966" xfId="360" xr:uid="{00000000-0005-0000-0000-000068010000}"/>
    <cellStyle name="Normal 967" xfId="361" xr:uid="{00000000-0005-0000-0000-000069010000}"/>
    <cellStyle name="Normal 971" xfId="362" xr:uid="{00000000-0005-0000-0000-00006A010000}"/>
    <cellStyle name="Normal 986" xfId="363" xr:uid="{00000000-0005-0000-0000-00006B010000}"/>
    <cellStyle name="Notas 2" xfId="364" xr:uid="{00000000-0005-0000-0000-00006C010000}"/>
    <cellStyle name="Notas 2 2" xfId="365" xr:uid="{00000000-0005-0000-0000-00006D010000}"/>
    <cellStyle name="Notas 3" xfId="366" xr:uid="{00000000-0005-0000-0000-00006E010000}"/>
    <cellStyle name="Notas 4" xfId="367" xr:uid="{00000000-0005-0000-0000-00006F010000}"/>
    <cellStyle name="Note" xfId="368" xr:uid="{00000000-0005-0000-0000-000070010000}"/>
    <cellStyle name="Output" xfId="369" xr:uid="{00000000-0005-0000-0000-000071010000}"/>
    <cellStyle name="Percent (0)" xfId="370" xr:uid="{00000000-0005-0000-0000-000072010000}"/>
    <cellStyle name="Percent 2" xfId="371" xr:uid="{00000000-0005-0000-0000-000073010000}"/>
    <cellStyle name="Percent 2 2" xfId="372" xr:uid="{00000000-0005-0000-0000-000074010000}"/>
    <cellStyle name="Percent 3" xfId="373" xr:uid="{00000000-0005-0000-0000-000075010000}"/>
    <cellStyle name="Percent 4" xfId="374" xr:uid="{00000000-0005-0000-0000-000076010000}"/>
    <cellStyle name="Porcentaje 2" xfId="375" xr:uid="{00000000-0005-0000-0000-000077010000}"/>
    <cellStyle name="Porcentaje 2 2" xfId="376" xr:uid="{00000000-0005-0000-0000-000078010000}"/>
    <cellStyle name="Porcentaje 2 3" xfId="377" xr:uid="{00000000-0005-0000-0000-000079010000}"/>
    <cellStyle name="Porcentaje 3" xfId="378" xr:uid="{00000000-0005-0000-0000-00007A010000}"/>
    <cellStyle name="Porcentaje 3 2" xfId="379" xr:uid="{00000000-0005-0000-0000-00007B010000}"/>
    <cellStyle name="Porcentaje 3 3" xfId="380" xr:uid="{00000000-0005-0000-0000-00007C010000}"/>
    <cellStyle name="Porcentaje 4" xfId="381" xr:uid="{00000000-0005-0000-0000-00007D010000}"/>
    <cellStyle name="Porcentual 2" xfId="382" xr:uid="{00000000-0005-0000-0000-00007E010000}"/>
    <cellStyle name="Porcentual 2 2" xfId="383" xr:uid="{00000000-0005-0000-0000-00007F010000}"/>
    <cellStyle name="Porcentual 2 3" xfId="384" xr:uid="{00000000-0005-0000-0000-000080010000}"/>
    <cellStyle name="Porcentual 2 4" xfId="385" xr:uid="{00000000-0005-0000-0000-000081010000}"/>
    <cellStyle name="Porcentual 3" xfId="386" xr:uid="{00000000-0005-0000-0000-000082010000}"/>
    <cellStyle name="Porcentual 3 2" xfId="387" xr:uid="{00000000-0005-0000-0000-000083010000}"/>
    <cellStyle name="Salida 2" xfId="388" xr:uid="{00000000-0005-0000-0000-000084010000}"/>
    <cellStyle name="Texto de advertencia 2" xfId="389" xr:uid="{00000000-0005-0000-0000-000085010000}"/>
    <cellStyle name="Texto explicativo 2" xfId="390" xr:uid="{00000000-0005-0000-0000-000086010000}"/>
    <cellStyle name="Texto explicativo 3" xfId="391" xr:uid="{00000000-0005-0000-0000-000087010000}"/>
    <cellStyle name="Tickmark" xfId="392" xr:uid="{00000000-0005-0000-0000-000088010000}"/>
    <cellStyle name="Title" xfId="393" xr:uid="{00000000-0005-0000-0000-000089010000}"/>
    <cellStyle name="Título 2 2" xfId="394" xr:uid="{00000000-0005-0000-0000-00008A010000}"/>
    <cellStyle name="Título 3 2" xfId="395" xr:uid="{00000000-0005-0000-0000-00008B010000}"/>
    <cellStyle name="Título 4" xfId="396" xr:uid="{00000000-0005-0000-0000-00008C010000}"/>
    <cellStyle name="Total 2" xfId="397" xr:uid="{00000000-0005-0000-0000-00008D010000}"/>
    <cellStyle name="Total 3" xfId="398" xr:uid="{00000000-0005-0000-0000-00008E010000}"/>
    <cellStyle name="Total 4" xfId="399" xr:uid="{00000000-0005-0000-0000-00008F010000}"/>
    <cellStyle name="Warning Text" xfId="400" xr:uid="{00000000-0005-0000-0000-00009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6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41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externalLink" Target="externalLinks/externalLink9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externalLink" Target="externalLinks/externalLink7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5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53340</xdr:rowOff>
    </xdr:from>
    <xdr:to>
      <xdr:col>2</xdr:col>
      <xdr:colOff>53340</xdr:colOff>
      <xdr:row>4</xdr:row>
      <xdr:rowOff>55245</xdr:rowOff>
    </xdr:to>
    <xdr:pic>
      <xdr:nvPicPr>
        <xdr:cNvPr id="1036" name="Imagen 3">
          <a:extLst>
            <a:ext uri="{FF2B5EF4-FFF2-40B4-BE49-F238E27FC236}">
              <a16:creationId xmlns:a16="http://schemas.microsoft.com/office/drawing/2014/main" id="{F29337E2-08E6-6A20-2326-46D855687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60020" y="53340"/>
          <a:ext cx="17221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1</xdr:col>
      <xdr:colOff>1562100</xdr:colOff>
      <xdr:row>3</xdr:row>
      <xdr:rowOff>45508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85D36BDE-2330-4EB1-90B9-C22D2EC4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0"/>
          <a:ext cx="1485900" cy="59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22860</xdr:rowOff>
    </xdr:from>
    <xdr:to>
      <xdr:col>1</xdr:col>
      <xdr:colOff>1242060</xdr:colOff>
      <xdr:row>2</xdr:row>
      <xdr:rowOff>137160</xdr:rowOff>
    </xdr:to>
    <xdr:pic>
      <xdr:nvPicPr>
        <xdr:cNvPr id="34828" name="Imagen 3">
          <a:extLst>
            <a:ext uri="{FF2B5EF4-FFF2-40B4-BE49-F238E27FC236}">
              <a16:creationId xmlns:a16="http://schemas.microsoft.com/office/drawing/2014/main" id="{4097C60B-DBA0-3F12-9DE0-E4711B036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90500" y="22860"/>
          <a:ext cx="14173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114300</xdr:rowOff>
    </xdr:from>
    <xdr:to>
      <xdr:col>2</xdr:col>
      <xdr:colOff>167640</xdr:colOff>
      <xdr:row>5</xdr:row>
      <xdr:rowOff>45720</xdr:rowOff>
    </xdr:to>
    <xdr:pic>
      <xdr:nvPicPr>
        <xdr:cNvPr id="35852" name="Imagen 3">
          <a:extLst>
            <a:ext uri="{FF2B5EF4-FFF2-40B4-BE49-F238E27FC236}">
              <a16:creationId xmlns:a16="http://schemas.microsoft.com/office/drawing/2014/main" id="{82EC3179-A731-034E-AD47-81A121894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36220" y="114300"/>
          <a:ext cx="16764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53340</xdr:rowOff>
    </xdr:from>
    <xdr:to>
      <xdr:col>1</xdr:col>
      <xdr:colOff>1104900</xdr:colOff>
      <xdr:row>1</xdr:row>
      <xdr:rowOff>114300</xdr:rowOff>
    </xdr:to>
    <xdr:pic>
      <xdr:nvPicPr>
        <xdr:cNvPr id="36876" name="Imagen 3">
          <a:extLst>
            <a:ext uri="{FF2B5EF4-FFF2-40B4-BE49-F238E27FC236}">
              <a16:creationId xmlns:a16="http://schemas.microsoft.com/office/drawing/2014/main" id="{1645A6F2-CA8A-8144-56F3-4A6371FBA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1940" y="5334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114300</xdr:rowOff>
    </xdr:from>
    <xdr:to>
      <xdr:col>1</xdr:col>
      <xdr:colOff>1303020</xdr:colOff>
      <xdr:row>3</xdr:row>
      <xdr:rowOff>76200</xdr:rowOff>
    </xdr:to>
    <xdr:pic>
      <xdr:nvPicPr>
        <xdr:cNvPr id="37900" name="Imagen 3">
          <a:extLst>
            <a:ext uri="{FF2B5EF4-FFF2-40B4-BE49-F238E27FC236}">
              <a16:creationId xmlns:a16="http://schemas.microsoft.com/office/drawing/2014/main" id="{0F91CDD4-DF7D-4C00-C9FF-DD69D9BA4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114300"/>
          <a:ext cx="14325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83820</xdr:rowOff>
    </xdr:from>
    <xdr:to>
      <xdr:col>1</xdr:col>
      <xdr:colOff>922020</xdr:colOff>
      <xdr:row>2</xdr:row>
      <xdr:rowOff>0</xdr:rowOff>
    </xdr:to>
    <xdr:pic>
      <xdr:nvPicPr>
        <xdr:cNvPr id="38924" name="Imagen 3">
          <a:extLst>
            <a:ext uri="{FF2B5EF4-FFF2-40B4-BE49-F238E27FC236}">
              <a16:creationId xmlns:a16="http://schemas.microsoft.com/office/drawing/2014/main" id="{B487D649-46BD-B860-80E9-9D2BC60A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13360" y="83820"/>
          <a:ext cx="128016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83820</xdr:rowOff>
    </xdr:from>
    <xdr:to>
      <xdr:col>1</xdr:col>
      <xdr:colOff>1021080</xdr:colOff>
      <xdr:row>3</xdr:row>
      <xdr:rowOff>0</xdr:rowOff>
    </xdr:to>
    <xdr:pic>
      <xdr:nvPicPr>
        <xdr:cNvPr id="39948" name="Imagen 3">
          <a:extLst>
            <a:ext uri="{FF2B5EF4-FFF2-40B4-BE49-F238E27FC236}">
              <a16:creationId xmlns:a16="http://schemas.microsoft.com/office/drawing/2014/main" id="{8D462282-41B7-7C74-7641-2FCC950B0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83820"/>
          <a:ext cx="112014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22860</xdr:rowOff>
    </xdr:from>
    <xdr:to>
      <xdr:col>1</xdr:col>
      <xdr:colOff>1089660</xdr:colOff>
      <xdr:row>1</xdr:row>
      <xdr:rowOff>137160</xdr:rowOff>
    </xdr:to>
    <xdr:pic>
      <xdr:nvPicPr>
        <xdr:cNvPr id="40972" name="Imagen 3">
          <a:extLst>
            <a:ext uri="{FF2B5EF4-FFF2-40B4-BE49-F238E27FC236}">
              <a16:creationId xmlns:a16="http://schemas.microsoft.com/office/drawing/2014/main" id="{8C08E7AF-D09F-20B4-A136-5EB1BCE1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52400" y="22860"/>
          <a:ext cx="125730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1150620</xdr:colOff>
      <xdr:row>1</xdr:row>
      <xdr:rowOff>38100</xdr:rowOff>
    </xdr:to>
    <xdr:pic>
      <xdr:nvPicPr>
        <xdr:cNvPr id="41996" name="Imagen 3">
          <a:extLst>
            <a:ext uri="{FF2B5EF4-FFF2-40B4-BE49-F238E27FC236}">
              <a16:creationId xmlns:a16="http://schemas.microsoft.com/office/drawing/2014/main" id="{536D6497-50E6-F1FF-131D-49E95B70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76200" y="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129540</xdr:rowOff>
    </xdr:from>
    <xdr:ext cx="1666516" cy="672321"/>
    <xdr:pic>
      <xdr:nvPicPr>
        <xdr:cNvPr id="2" name="Imagen 3">
          <a:extLst>
            <a:ext uri="{FF2B5EF4-FFF2-40B4-BE49-F238E27FC236}">
              <a16:creationId xmlns:a16="http://schemas.microsoft.com/office/drawing/2014/main" id="{71D5C455-0FDC-4C95-9B3C-41F83A659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09550" y="133350"/>
          <a:ext cx="1666516" cy="672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24848</xdr:colOff>
      <xdr:row>0</xdr:row>
      <xdr:rowOff>132521</xdr:rowOff>
    </xdr:from>
    <xdr:to>
      <xdr:col>1</xdr:col>
      <xdr:colOff>314740</xdr:colOff>
      <xdr:row>0</xdr:row>
      <xdr:rowOff>687456</xdr:rowOff>
    </xdr:to>
    <xdr:pic>
      <xdr:nvPicPr>
        <xdr:cNvPr id="2" name="WordPictureWatermark785624567">
          <a:extLst>
            <a:ext uri="{FF2B5EF4-FFF2-40B4-BE49-F238E27FC236}">
              <a16:creationId xmlns:a16="http://schemas.microsoft.com/office/drawing/2014/main" id="{0EB1FD77-DC24-464F-95FA-BD20793D8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29" t="6877" r="70445" b="88060"/>
        <a:stretch/>
      </xdr:blipFill>
      <xdr:spPr bwMode="auto">
        <a:xfrm>
          <a:off x="24848" y="132521"/>
          <a:ext cx="1562432" cy="554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198120</xdr:rowOff>
    </xdr:from>
    <xdr:to>
      <xdr:col>1</xdr:col>
      <xdr:colOff>1440180</xdr:colOff>
      <xdr:row>1</xdr:row>
      <xdr:rowOff>358140</xdr:rowOff>
    </xdr:to>
    <xdr:pic>
      <xdr:nvPicPr>
        <xdr:cNvPr id="44044" name="Imagen 3">
          <a:extLst>
            <a:ext uri="{FF2B5EF4-FFF2-40B4-BE49-F238E27FC236}">
              <a16:creationId xmlns:a16="http://schemas.microsoft.com/office/drawing/2014/main" id="{C07BA481-888A-914E-9DF8-0077FE28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198120"/>
          <a:ext cx="13716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76200</xdr:rowOff>
    </xdr:from>
    <xdr:to>
      <xdr:col>1</xdr:col>
      <xdr:colOff>1348740</xdr:colOff>
      <xdr:row>2</xdr:row>
      <xdr:rowOff>68580</xdr:rowOff>
    </xdr:to>
    <xdr:pic>
      <xdr:nvPicPr>
        <xdr:cNvPr id="45068" name="Imagen 3">
          <a:extLst>
            <a:ext uri="{FF2B5EF4-FFF2-40B4-BE49-F238E27FC236}">
              <a16:creationId xmlns:a16="http://schemas.microsoft.com/office/drawing/2014/main" id="{F4152ECA-352D-FD82-ED34-BF3D7EC7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88620" y="76200"/>
          <a:ext cx="12801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0</xdr:row>
      <xdr:rowOff>45720</xdr:rowOff>
    </xdr:from>
    <xdr:to>
      <xdr:col>1</xdr:col>
      <xdr:colOff>1295400</xdr:colOff>
      <xdr:row>3</xdr:row>
      <xdr:rowOff>76200</xdr:rowOff>
    </xdr:to>
    <xdr:pic>
      <xdr:nvPicPr>
        <xdr:cNvPr id="46092" name="Imagen 3">
          <a:extLst>
            <a:ext uri="{FF2B5EF4-FFF2-40B4-BE49-F238E27FC236}">
              <a16:creationId xmlns:a16="http://schemas.microsoft.com/office/drawing/2014/main" id="{99B3778D-48F7-B68B-FB01-EB6347A5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20980" y="45720"/>
          <a:ext cx="13944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15240</xdr:rowOff>
    </xdr:from>
    <xdr:to>
      <xdr:col>1</xdr:col>
      <xdr:colOff>1066800</xdr:colOff>
      <xdr:row>3</xdr:row>
      <xdr:rowOff>99060</xdr:rowOff>
    </xdr:to>
    <xdr:pic>
      <xdr:nvPicPr>
        <xdr:cNvPr id="47116" name="Imagen 3">
          <a:extLst>
            <a:ext uri="{FF2B5EF4-FFF2-40B4-BE49-F238E27FC236}">
              <a16:creationId xmlns:a16="http://schemas.microsoft.com/office/drawing/2014/main" id="{1FA19D54-52D4-63B0-0B52-DBC770D5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15240"/>
          <a:ext cx="12420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38100</xdr:rowOff>
    </xdr:from>
    <xdr:to>
      <xdr:col>1</xdr:col>
      <xdr:colOff>1158240</xdr:colOff>
      <xdr:row>1</xdr:row>
      <xdr:rowOff>99060</xdr:rowOff>
    </xdr:to>
    <xdr:pic>
      <xdr:nvPicPr>
        <xdr:cNvPr id="48140" name="Imagen 3">
          <a:extLst>
            <a:ext uri="{FF2B5EF4-FFF2-40B4-BE49-F238E27FC236}">
              <a16:creationId xmlns:a16="http://schemas.microsoft.com/office/drawing/2014/main" id="{C225B088-547F-847E-57FC-A00951D66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83820" y="38100"/>
          <a:ext cx="13944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60960</xdr:rowOff>
    </xdr:from>
    <xdr:to>
      <xdr:col>1</xdr:col>
      <xdr:colOff>1013460</xdr:colOff>
      <xdr:row>2</xdr:row>
      <xdr:rowOff>60960</xdr:rowOff>
    </xdr:to>
    <xdr:pic>
      <xdr:nvPicPr>
        <xdr:cNvPr id="49164" name="Imagen 3">
          <a:extLst>
            <a:ext uri="{FF2B5EF4-FFF2-40B4-BE49-F238E27FC236}">
              <a16:creationId xmlns:a16="http://schemas.microsoft.com/office/drawing/2014/main" id="{C0F431A0-FA07-217F-2936-FA71E582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096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53340</xdr:rowOff>
    </xdr:from>
    <xdr:to>
      <xdr:col>1</xdr:col>
      <xdr:colOff>1173480</xdr:colOff>
      <xdr:row>3</xdr:row>
      <xdr:rowOff>15240</xdr:rowOff>
    </xdr:to>
    <xdr:pic>
      <xdr:nvPicPr>
        <xdr:cNvPr id="50188" name="Imagen 3">
          <a:extLst>
            <a:ext uri="{FF2B5EF4-FFF2-40B4-BE49-F238E27FC236}">
              <a16:creationId xmlns:a16="http://schemas.microsoft.com/office/drawing/2014/main" id="{A0C18785-620D-30AB-1AF5-DDC2BBF8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99060" y="53340"/>
          <a:ext cx="13944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0</xdr:row>
      <xdr:rowOff>83820</xdr:rowOff>
    </xdr:from>
    <xdr:to>
      <xdr:col>1</xdr:col>
      <xdr:colOff>1501140</xdr:colOff>
      <xdr:row>3</xdr:row>
      <xdr:rowOff>15240</xdr:rowOff>
    </xdr:to>
    <xdr:pic>
      <xdr:nvPicPr>
        <xdr:cNvPr id="51212" name="Imagen 3">
          <a:extLst>
            <a:ext uri="{FF2B5EF4-FFF2-40B4-BE49-F238E27FC236}">
              <a16:creationId xmlns:a16="http://schemas.microsoft.com/office/drawing/2014/main" id="{FE4064B3-6AFE-A2B9-F335-777E2CEBC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342900" y="83820"/>
          <a:ext cx="14782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53340</xdr:rowOff>
    </xdr:from>
    <xdr:to>
      <xdr:col>2</xdr:col>
      <xdr:colOff>1158240</xdr:colOff>
      <xdr:row>3</xdr:row>
      <xdr:rowOff>137160</xdr:rowOff>
    </xdr:to>
    <xdr:pic>
      <xdr:nvPicPr>
        <xdr:cNvPr id="2073" name="Imagen 3">
          <a:extLst>
            <a:ext uri="{FF2B5EF4-FFF2-40B4-BE49-F238E27FC236}">
              <a16:creationId xmlns:a16="http://schemas.microsoft.com/office/drawing/2014/main" id="{A030B923-EEFE-3854-9CFE-7D478FC7D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37160" y="5334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259080</xdr:colOff>
      <xdr:row>0</xdr:row>
      <xdr:rowOff>91440</xdr:rowOff>
    </xdr:from>
    <xdr:to>
      <xdr:col>1</xdr:col>
      <xdr:colOff>1203960</xdr:colOff>
      <xdr:row>4</xdr:row>
      <xdr:rowOff>45720</xdr:rowOff>
    </xdr:to>
    <xdr:pic>
      <xdr:nvPicPr>
        <xdr:cNvPr id="5132" name="Imagen 3">
          <a:extLst>
            <a:ext uri="{FF2B5EF4-FFF2-40B4-BE49-F238E27FC236}">
              <a16:creationId xmlns:a16="http://schemas.microsoft.com/office/drawing/2014/main" id="{50995BA6-3D89-C834-A00B-756D3968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59080" y="91440"/>
          <a:ext cx="133350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106680</xdr:rowOff>
    </xdr:from>
    <xdr:to>
      <xdr:col>2</xdr:col>
      <xdr:colOff>441960</xdr:colOff>
      <xdr:row>2</xdr:row>
      <xdr:rowOff>137160</xdr:rowOff>
    </xdr:to>
    <xdr:pic>
      <xdr:nvPicPr>
        <xdr:cNvPr id="6156" name="Imagen 3">
          <a:extLst>
            <a:ext uri="{FF2B5EF4-FFF2-40B4-BE49-F238E27FC236}">
              <a16:creationId xmlns:a16="http://schemas.microsoft.com/office/drawing/2014/main" id="{B5E2B183-4CA5-7C2F-2E03-5D92C9AB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21920" y="106680"/>
          <a:ext cx="14935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68580</xdr:rowOff>
    </xdr:from>
    <xdr:to>
      <xdr:col>1</xdr:col>
      <xdr:colOff>1158240</xdr:colOff>
      <xdr:row>0</xdr:row>
      <xdr:rowOff>617220</xdr:rowOff>
    </xdr:to>
    <xdr:pic>
      <xdr:nvPicPr>
        <xdr:cNvPr id="7180" name="Imagen 3">
          <a:extLst>
            <a:ext uri="{FF2B5EF4-FFF2-40B4-BE49-F238E27FC236}">
              <a16:creationId xmlns:a16="http://schemas.microsoft.com/office/drawing/2014/main" id="{F61E1AFC-7B35-ED2E-431B-E872D33A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14300" y="68580"/>
          <a:ext cx="14097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</xdr:colOff>
      <xdr:row>0</xdr:row>
      <xdr:rowOff>60960</xdr:rowOff>
    </xdr:from>
    <xdr:to>
      <xdr:col>1</xdr:col>
      <xdr:colOff>922020</xdr:colOff>
      <xdr:row>1</xdr:row>
      <xdr:rowOff>45720</xdr:rowOff>
    </xdr:to>
    <xdr:pic>
      <xdr:nvPicPr>
        <xdr:cNvPr id="30732" name="Imagen 3">
          <a:extLst>
            <a:ext uri="{FF2B5EF4-FFF2-40B4-BE49-F238E27FC236}">
              <a16:creationId xmlns:a16="http://schemas.microsoft.com/office/drawing/2014/main" id="{AAA937C4-2B9A-44E9-B14B-7910C8DA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75260" y="60960"/>
          <a:ext cx="113538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83820</xdr:rowOff>
    </xdr:from>
    <xdr:to>
      <xdr:col>2</xdr:col>
      <xdr:colOff>1104900</xdr:colOff>
      <xdr:row>2</xdr:row>
      <xdr:rowOff>99060</xdr:rowOff>
    </xdr:to>
    <xdr:pic>
      <xdr:nvPicPr>
        <xdr:cNvPr id="31756" name="Imagen 3">
          <a:extLst>
            <a:ext uri="{FF2B5EF4-FFF2-40B4-BE49-F238E27FC236}">
              <a16:creationId xmlns:a16="http://schemas.microsoft.com/office/drawing/2014/main" id="{6F95D3A6-F21D-0A0E-11E0-2AFDAA5D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289560" y="8382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38100</xdr:rowOff>
    </xdr:from>
    <xdr:to>
      <xdr:col>1</xdr:col>
      <xdr:colOff>1165860</xdr:colOff>
      <xdr:row>4</xdr:row>
      <xdr:rowOff>60960</xdr:rowOff>
    </xdr:to>
    <xdr:pic>
      <xdr:nvPicPr>
        <xdr:cNvPr id="32783" name="Imagen 2">
          <a:extLst>
            <a:ext uri="{FF2B5EF4-FFF2-40B4-BE49-F238E27FC236}">
              <a16:creationId xmlns:a16="http://schemas.microsoft.com/office/drawing/2014/main" id="{15F59C06-8C9B-FEB5-0D20-A475141C3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1" t="21613" r="12936" b="18315"/>
        <a:stretch>
          <a:fillRect/>
        </a:stretch>
      </xdr:blipFill>
      <xdr:spPr bwMode="auto">
        <a:xfrm>
          <a:off x="144780" y="38100"/>
          <a:ext cx="14097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C11E68\Plantilla%20Exel%20EEFF%20cnv_SE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Users/ROCIO-INV/Desktop/Informe%201er%20Semestre%2006-2018/Res%20173%20INVESTOR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C:/Users/ROCIO-INV/Desktop/Informe%201er%20Semestre%2006-2018/Res%20173%20INVESTOR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personal/sady_pereira_inpositiva_com_py/Documents/10.Investor%20SA/Contabilidad/Conformaciones%20de%20Cuentas%20Contables/Conformaciones%202022/06.%20COMPOSICION%20%20JUNIO%20modificado%20SS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ositivapy-my.sharepoint.com/personal/sady_pereira_inpositiva_com_py/Documents/10.Investor%20SA/Contabilidad/CNV_EEFF_Informes/2022/CNV_Informes/03.2022/Balance%20del%20Sistema%20para%20Informe%2031%2003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onformaciones%20de%20Cuentas%20Contables\Conformaciones%202022\09.%20COMPOSICION%20FINAL%20SETIEMBRE%20(00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NV_EEFF_Informes\2021\Informes%20Basicos%20Setiembre%202021\Investor%20CBSA_Notas%20EEFF%2030.09.2021_Presentado%2015%2011%20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OneDrive%20-%20Inpositiva\10.Investor%20SA\Contabilidad\Conformaciones%20de%20Cuentas%20Contables\Conformaciones%202022\Conformado%20MAJO\09.Composicion%20Final%20MAJO\Check%20List%20Cierres%20Contables%2030.09.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Resol 950"/>
      <sheetName val="Estado de Resultados Resol 950"/>
      <sheetName val="Flujos de efectivo (950)"/>
      <sheetName val="Estado variacion PN (2)"/>
      <sheetName val="BalanceSistema_Set_19"/>
      <sheetName val="CR Sistema_Set_19"/>
      <sheetName val="activo pasivo"/>
      <sheetName val="2018 (2)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istema_Dic_13"/>
      <sheetName val="CR Sistema_DIC_13"/>
      <sheetName val="Balance General"/>
      <sheetName val="Estado de Resultados"/>
      <sheetName val="Flujos de efectivo"/>
      <sheetName val="Estado variacion PN"/>
      <sheetName val="anexos"/>
      <sheetName val="2012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"/>
      <sheetName val="EERR "/>
      <sheetName val="1010101 RECAUDACIONES A DEP ML"/>
      <sheetName val="1010102 CAJA"/>
      <sheetName val="101010201 CAJA"/>
      <sheetName val="101010301 FONDO FIJO"/>
      <sheetName val="1010104 BANCO OPERACIONES"/>
      <sheetName val="1010105 BANCOS ADMINISTRATIVOS"/>
      <sheetName val="BROKER "/>
      <sheetName val="RESUMEN PORTAFOLIO"/>
      <sheetName val="Bonos GS"/>
      <sheetName val="CDA Gs 06 2022"/>
      <sheetName val="Bonos$ 06 2022"/>
      <sheetName val="CDA $ 06 2022"/>
      <sheetName val="Acciones 06 2022"/>
      <sheetName val="Repos Pendientes 06 2022"/>
      <sheetName val="CDA GS Garantia"/>
      <sheetName val="2 CDAS $ BVPASA"/>
      <sheetName val="1010301 CLIENTES ML"/>
      <sheetName val="1010302 CLIENTES ME"/>
      <sheetName val="DOCUM A COBRAR OP PROPIAS ML"/>
      <sheetName val="DOCUM A COBRAR OP PROPIAS ME"/>
      <sheetName val="1010302101 ANTICIPOS IRE"/>
      <sheetName val="101030102 RETENCIONES IVA"/>
      <sheetName val="101030105 RETENCIONES IDU"/>
      <sheetName val="101030020106 IVA CF"/>
      <sheetName val="101030202 ANTICIPO PROVEEDORES"/>
      <sheetName val="101030203 ANTICIPOS AL PERSONAL"/>
      <sheetName val="1010303102 GARANTIAS DE ALQUILE"/>
      <sheetName val="101030401 CTAS A COBRAR DIRECT"/>
      <sheetName val="101030405 CTAS A COBRAR PR ML 2"/>
      <sheetName val="101030406 CTAS A COBRAR PR ME"/>
      <sheetName val="1010502 SEGUROS A DEVENGAR"/>
      <sheetName val="1010503 INTERERES A DEVENGAR"/>
      <sheetName val="INVERSIONES PERMANENTES"/>
      <sheetName val="OTRAS INVERSIONES BVPASA"/>
      <sheetName val="OTRAS INVERSIONES CAJA DE VALOR"/>
      <sheetName val="BIENES DE USO 2021 Actualizar"/>
      <sheetName val="BIENES INTANGIBLES 2021"/>
      <sheetName val="ACREEDORES POR INTERMED ME"/>
      <sheetName val="201010102 DOC POR OP PROPIAS ML"/>
      <sheetName val="ACREEDORES POR INTERMED ML"/>
      <sheetName val="201010202 DOC POR OP PROPIAS ME"/>
      <sheetName val="201010301 CTAS A PAGAR ER ML"/>
      <sheetName val="201010302 CTAS A PAGAR ER ME"/>
      <sheetName val="201020101 PRESTAMOS BANCARIOS"/>
      <sheetName val="INTERESES A PAGAR A BANCOS ML"/>
      <sheetName val="INTERESES A PAGAR BANCOS ME"/>
      <sheetName val="IMP A PAGAR"/>
      <sheetName val="Repos Pendientes 06 2022 (2)"/>
      <sheetName val="201030501 PROVEEDORES ML "/>
      <sheetName val="201030502 PROVEEDORES ME"/>
      <sheetName val="201030506 TARJETAS DE CREDITO"/>
      <sheetName val="2010405 IPS A PAGAR"/>
      <sheetName val="2010501 ANTIC CLIENT INTE ML "/>
      <sheetName val="2010502 ANTIC CLIENT INTE ME"/>
      <sheetName val="2010507INGRESOS DIFERIDOS ADM"/>
      <sheetName val="2010508 ANTIC CLIENTES ADM"/>
      <sheetName val="EMISION CON PRIMA_ACTA DIRECT"/>
      <sheetName val="ACTA 25 03 2022"/>
      <sheetName val="ACTA 25 02 2021"/>
      <sheetName val="CAPITALIZ UTILID AFPISA"/>
    </sheetNames>
    <sheetDataSet>
      <sheetData sheetId="0">
        <row r="7">
          <cell r="B7">
            <v>-149000</v>
          </cell>
        </row>
        <row r="57">
          <cell r="B57">
            <v>1500000000</v>
          </cell>
        </row>
        <row r="78">
          <cell r="B78">
            <v>12102212443</v>
          </cell>
        </row>
        <row r="79">
          <cell r="B79">
            <v>210957210</v>
          </cell>
        </row>
        <row r="80">
          <cell r="B80">
            <v>487067851</v>
          </cell>
        </row>
        <row r="81">
          <cell r="B81">
            <v>413778448</v>
          </cell>
        </row>
        <row r="82">
          <cell r="B82">
            <v>31158573</v>
          </cell>
        </row>
        <row r="83">
          <cell r="B83">
            <v>93566364</v>
          </cell>
        </row>
        <row r="84">
          <cell r="B84">
            <v>11010456</v>
          </cell>
        </row>
        <row r="87">
          <cell r="B87">
            <v>46295765</v>
          </cell>
        </row>
        <row r="126">
          <cell r="B126">
            <v>2541190411</v>
          </cell>
        </row>
      </sheetData>
      <sheetData sheetId="1">
        <row r="5">
          <cell r="B5">
            <v>274569801710</v>
          </cell>
        </row>
      </sheetData>
      <sheetData sheetId="2"/>
      <sheetData sheetId="3"/>
      <sheetData sheetId="4"/>
      <sheetData sheetId="5"/>
      <sheetData sheetId="6">
        <row r="4">
          <cell r="F4">
            <v>27354745.434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31 03 2022"/>
      <sheetName val="EERR 31 03 2022"/>
    </sheetNames>
    <sheetDataSet>
      <sheetData sheetId="0">
        <row r="6">
          <cell r="B6">
            <v>597000</v>
          </cell>
        </row>
        <row r="134">
          <cell r="B134">
            <v>42764000001</v>
          </cell>
        </row>
      </sheetData>
      <sheetData sheetId="1">
        <row r="3">
          <cell r="B3">
            <v>134763062723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 "/>
      <sheetName val="EERR "/>
      <sheetName val="1010101 RECAUDACIONES A DEP ML"/>
      <sheetName val="1010102 CAJA"/>
      <sheetName val="101010201 CAJA"/>
      <sheetName val="101010301 FONDO FIJO"/>
      <sheetName val="1010104 BANCO OPERACIONES"/>
      <sheetName val="1010105 BANCOS ADMINISTRATIVOS"/>
      <sheetName val="BROKER "/>
      <sheetName val="RESUMEN PORTAFOLIO"/>
      <sheetName val="Bonos GS"/>
      <sheetName val="BONOS REPOS GS"/>
      <sheetName val="CDA GS REPOS"/>
      <sheetName val="CDA GS"/>
      <sheetName val="CDA GS GARANTIA (2)"/>
      <sheetName val="Bonos$ 09 2022"/>
      <sheetName val="CDA $ - VER"/>
      <sheetName val="CDA $ 09 2022"/>
      <sheetName val="ACCIONES"/>
      <sheetName val="REPOS - AL 30 09 PENDIENTES"/>
      <sheetName val="1010301 CLIENTES ML"/>
      <sheetName val="1010302 CLIENTES ME"/>
      <sheetName val="DOCUM A COBRAR OP PROPIAS ML"/>
      <sheetName val="DOCUM A COBRAR OP PROPIAS ME"/>
      <sheetName val="1010302101 ANTICIPOS IRE"/>
      <sheetName val="101030102 RETENCIONES IVA"/>
      <sheetName val="101030105 RETENCIONES IDU"/>
      <sheetName val="101030020106 IVA CF"/>
      <sheetName val="SET - VISION INTEGRL"/>
      <sheetName val="101030202 ANTICIPO PROVEEDORES"/>
      <sheetName val="101030203 ANTICIPOS AL PERSONAL"/>
      <sheetName val="1010303102 GARANTIAS DE ALQUILE"/>
      <sheetName val="101030401 CTAS A COBRAR DIRECT"/>
      <sheetName val="101030405 CTAS A COBRAR PR ML 2"/>
      <sheetName val="101030406 CTAS A COBRAR PR ME"/>
      <sheetName val="1010502 SEGUROS A DEVENGAR"/>
      <sheetName val="1010503 INTERERES A DEVENGAR"/>
      <sheetName val="INVERSIONES PERMANENTES"/>
      <sheetName val="OTRAS INVERSIONES BVPASA"/>
      <sheetName val="OTRAS INVERSIONES CAJA DE VALOR"/>
      <sheetName val="BIENES DE USO 2021 Actualizar"/>
      <sheetName val="BIENES INTANGIBLES 2021"/>
      <sheetName val="09_Acreedores x Intemed Gs"/>
      <sheetName val="201010102 DOC POR OP PROPIAS ML"/>
      <sheetName val="201010202 DOC POR OP PROPIAS ME"/>
      <sheetName val="201010301 CTAS A PAGAR ER ML"/>
      <sheetName val="201010302 CTAS A PAGAR ER ME"/>
      <sheetName val="09_Acreedores x Intemed $"/>
      <sheetName val="201020101 PRESTAMOS BANCARIOS"/>
      <sheetName val="INTERESES A PAGAR A BANCOS ML"/>
      <sheetName val="INTERESES A PAGAR BANCOS ME"/>
      <sheetName val="IMP A PAGAR"/>
      <sheetName val="201030501 PROVEEDORES ML "/>
      <sheetName val="201030502 PROVEEDORES ME"/>
      <sheetName val="201030506 TARJETAS DE CREDITO"/>
      <sheetName val="2010405 IPS A PAGAR"/>
      <sheetName val="2010501 ANTIC CLIENT INTE ML "/>
      <sheetName val="2010502 ANTIC CLIENT INTE ME"/>
      <sheetName val="2010507INGRESOS DIFERIDOS ADM"/>
      <sheetName val="2010508 ANTIC CLIENTES ADM"/>
      <sheetName val="EMISION CON PRIMA_ACTA DIRECT"/>
      <sheetName val="ACTA 25 03 2022"/>
      <sheetName val="ACTA 25 02 2021"/>
      <sheetName val="CAPITALIZ UTILID AFPISA"/>
    </sheetNames>
    <sheetDataSet>
      <sheetData sheetId="0">
        <row r="8">
          <cell r="B8">
            <v>1000000</v>
          </cell>
        </row>
        <row r="9">
          <cell r="B9">
            <v>-20980613514</v>
          </cell>
        </row>
        <row r="11">
          <cell r="B11">
            <v>-2351445857</v>
          </cell>
        </row>
        <row r="14">
          <cell r="B14">
            <v>7901067</v>
          </cell>
        </row>
        <row r="16">
          <cell r="B16">
            <v>7866961</v>
          </cell>
        </row>
        <row r="19">
          <cell r="B19">
            <v>31677519</v>
          </cell>
        </row>
        <row r="20">
          <cell r="B20">
            <v>31677519</v>
          </cell>
        </row>
        <row r="24">
          <cell r="B24">
            <v>3064830000</v>
          </cell>
        </row>
        <row r="25">
          <cell r="B25">
            <v>72331753685</v>
          </cell>
        </row>
        <row r="28">
          <cell r="B28">
            <v>707887000</v>
          </cell>
        </row>
        <row r="29">
          <cell r="B29">
            <v>2057578369</v>
          </cell>
        </row>
        <row r="31">
          <cell r="B31">
            <v>2848908957</v>
          </cell>
        </row>
        <row r="33">
          <cell r="B33">
            <v>202893526</v>
          </cell>
        </row>
        <row r="35">
          <cell r="B35">
            <v>17570920280</v>
          </cell>
        </row>
        <row r="36">
          <cell r="B36">
            <v>11652182245</v>
          </cell>
        </row>
        <row r="37">
          <cell r="B37">
            <v>255511388</v>
          </cell>
        </row>
        <row r="38">
          <cell r="B38">
            <v>5663226648</v>
          </cell>
        </row>
        <row r="39">
          <cell r="B39">
            <v>2297561930</v>
          </cell>
        </row>
        <row r="41">
          <cell r="B41">
            <v>1542232659</v>
          </cell>
        </row>
        <row r="42">
          <cell r="B42">
            <v>258305930</v>
          </cell>
        </row>
        <row r="43">
          <cell r="B43">
            <v>50204968</v>
          </cell>
        </row>
        <row r="44">
          <cell r="B44">
            <v>17690047</v>
          </cell>
        </row>
        <row r="46">
          <cell r="B46">
            <v>275646045</v>
          </cell>
        </row>
        <row r="48">
          <cell r="B48">
            <v>153482281</v>
          </cell>
        </row>
        <row r="49">
          <cell r="B49">
            <v>3200000</v>
          </cell>
        </row>
        <row r="52">
          <cell r="B52">
            <v>2929043298</v>
          </cell>
        </row>
        <row r="54">
          <cell r="B54">
            <v>1006738089</v>
          </cell>
        </row>
        <row r="55">
          <cell r="B55">
            <v>422305209</v>
          </cell>
        </row>
        <row r="57">
          <cell r="B57">
            <v>14674893</v>
          </cell>
        </row>
        <row r="58">
          <cell r="B58">
            <v>119583477</v>
          </cell>
        </row>
        <row r="59">
          <cell r="B59">
            <v>212522552</v>
          </cell>
        </row>
        <row r="62">
          <cell r="B62">
            <v>41332500000</v>
          </cell>
        </row>
        <row r="68">
          <cell r="B68">
            <v>47451703</v>
          </cell>
        </row>
        <row r="71">
          <cell r="B71">
            <v>900000000</v>
          </cell>
        </row>
        <row r="72">
          <cell r="B72">
            <v>4000000000</v>
          </cell>
        </row>
        <row r="73">
          <cell r="B73">
            <v>12483542298</v>
          </cell>
        </row>
        <row r="81">
          <cell r="B81">
            <v>-957359047</v>
          </cell>
        </row>
        <row r="83">
          <cell r="B83">
            <v>62443852</v>
          </cell>
        </row>
        <row r="86">
          <cell r="B86">
            <v>104084949</v>
          </cell>
        </row>
        <row r="87">
          <cell r="B87">
            <v>76495056</v>
          </cell>
        </row>
        <row r="95">
          <cell r="B95">
            <v>26495875400</v>
          </cell>
        </row>
        <row r="97">
          <cell r="B97">
            <v>15789875400</v>
          </cell>
        </row>
        <row r="98">
          <cell r="B98">
            <v>626363472</v>
          </cell>
        </row>
        <row r="99">
          <cell r="B99">
            <v>357929917</v>
          </cell>
        </row>
        <row r="100">
          <cell r="B100">
            <v>268433554</v>
          </cell>
        </row>
        <row r="101">
          <cell r="B101">
            <v>54006546707</v>
          </cell>
        </row>
        <row r="106">
          <cell r="B106">
            <v>210971585</v>
          </cell>
        </row>
        <row r="107">
          <cell r="B107">
            <v>114242857</v>
          </cell>
        </row>
        <row r="108">
          <cell r="B108">
            <v>86126290</v>
          </cell>
        </row>
        <row r="109">
          <cell r="B109">
            <v>3101982</v>
          </cell>
        </row>
        <row r="110">
          <cell r="B110">
            <v>3337703</v>
          </cell>
        </row>
        <row r="111">
          <cell r="B111">
            <v>1158596</v>
          </cell>
        </row>
        <row r="112">
          <cell r="B112">
            <v>3004156</v>
          </cell>
        </row>
        <row r="114">
          <cell r="B114">
            <v>61343110</v>
          </cell>
        </row>
        <row r="116">
          <cell r="B116">
            <v>10682000000</v>
          </cell>
        </row>
        <row r="117">
          <cell r="B117">
            <v>2384121918</v>
          </cell>
        </row>
        <row r="118">
          <cell r="B118">
            <v>14488055</v>
          </cell>
        </row>
        <row r="119">
          <cell r="B119">
            <v>1243000</v>
          </cell>
        </row>
        <row r="133">
          <cell r="B133">
            <v>241757977</v>
          </cell>
        </row>
        <row r="136">
          <cell r="B136">
            <v>7018513809.9700003</v>
          </cell>
        </row>
      </sheetData>
      <sheetData sheetId="1">
        <row r="5">
          <cell r="B5">
            <v>359336410372</v>
          </cell>
        </row>
        <row r="6">
          <cell r="B6">
            <v>917791510</v>
          </cell>
        </row>
        <row r="12">
          <cell r="B12">
            <v>1010189028</v>
          </cell>
        </row>
        <row r="13">
          <cell r="B13">
            <v>382861765</v>
          </cell>
        </row>
        <row r="14">
          <cell r="B14">
            <v>5703325</v>
          </cell>
        </row>
        <row r="16">
          <cell r="B16">
            <v>334433355354</v>
          </cell>
        </row>
        <row r="22">
          <cell r="B22">
            <v>5550447</v>
          </cell>
        </row>
        <row r="23">
          <cell r="B23">
            <v>2565587562</v>
          </cell>
        </row>
        <row r="24">
          <cell r="B24">
            <v>17584742</v>
          </cell>
        </row>
        <row r="25">
          <cell r="B25">
            <v>4022966834</v>
          </cell>
        </row>
        <row r="26">
          <cell r="B26">
            <v>773701074</v>
          </cell>
        </row>
        <row r="28">
          <cell r="B28">
            <v>14467000000</v>
          </cell>
        </row>
        <row r="29">
          <cell r="B29">
            <v>734118732</v>
          </cell>
        </row>
        <row r="34">
          <cell r="B34">
            <v>546864563</v>
          </cell>
        </row>
        <row r="36">
          <cell r="B36">
            <v>9706027</v>
          </cell>
        </row>
        <row r="37">
          <cell r="B37">
            <v>537158536</v>
          </cell>
        </row>
        <row r="39">
          <cell r="B39">
            <v>345315022499</v>
          </cell>
        </row>
        <row r="42">
          <cell r="B42">
            <v>360690661</v>
          </cell>
        </row>
        <row r="43">
          <cell r="B43">
            <v>3741803</v>
          </cell>
        </row>
        <row r="44">
          <cell r="B44">
            <v>146092773870</v>
          </cell>
        </row>
        <row r="45">
          <cell r="B45">
            <v>180185920190</v>
          </cell>
        </row>
        <row r="46">
          <cell r="B46">
            <v>4133301144</v>
          </cell>
        </row>
        <row r="47">
          <cell r="B47">
            <v>308829084</v>
          </cell>
        </row>
        <row r="48">
          <cell r="B48">
            <v>7246000000</v>
          </cell>
        </row>
        <row r="49">
          <cell r="B49">
            <v>587500</v>
          </cell>
        </row>
        <row r="50">
          <cell r="B50">
            <v>6910530848</v>
          </cell>
        </row>
        <row r="54">
          <cell r="B54">
            <v>220439299</v>
          </cell>
        </row>
        <row r="59">
          <cell r="B59">
            <v>1986936746</v>
          </cell>
        </row>
        <row r="76">
          <cell r="B76">
            <v>18375285</v>
          </cell>
        </row>
        <row r="90">
          <cell r="B90">
            <v>1187829481</v>
          </cell>
        </row>
        <row r="92">
          <cell r="B92">
            <v>1084100609</v>
          </cell>
        </row>
        <row r="94">
          <cell r="B94">
            <v>941706</v>
          </cell>
        </row>
        <row r="96">
          <cell r="B96">
            <v>-782983791</v>
          </cell>
        </row>
        <row r="98">
          <cell r="B98">
            <v>-2198941046</v>
          </cell>
        </row>
        <row r="99">
          <cell r="B99">
            <v>1415957255</v>
          </cell>
        </row>
        <row r="100">
          <cell r="B100">
            <v>9758357</v>
          </cell>
        </row>
        <row r="102">
          <cell r="B102">
            <v>9758357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0">
          <cell r="N220">
            <v>2057578368.96</v>
          </cell>
          <cell r="O220">
            <v>2384121917.7999997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7">
          <cell r="D7">
            <v>4080000000</v>
          </cell>
        </row>
        <row r="10">
          <cell r="D10">
            <v>32236500000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.Infomac Gral Emp"/>
      <sheetName val="Balance Gral. Resol. 30"/>
      <sheetName val="Estado de Resultado Resol. 30"/>
      <sheetName val="Flujo de Efectivo Resol. Res 30"/>
      <sheetName val="Estado de Variacion PN "/>
      <sheetName val="NOTA A LOS ESTADOS CONTA. 1-4"/>
      <sheetName val="NOTA 5 A-C CRITERIOS ESPECIF."/>
      <sheetName val="NOTA D - DISPONIBILIDADES"/>
      <sheetName val="NOTA E - INVERSIONES"/>
      <sheetName val="NOTA F - CREDITOS"/>
      <sheetName val="NOTA G BIENES DE USO"/>
      <sheetName val="NOTA H CARGOS DIFERIDOS"/>
      <sheetName val=" NOTA I INTANGIBLES"/>
      <sheetName val="NOTA J OTROS ACTIVOS CTES y NO "/>
      <sheetName val="NOTA K PRESTAMOS"/>
      <sheetName val="NOTA L DOCUM y CTAS A PAG"/>
      <sheetName val="NOTAS M-Q ACREED y CTAS A PAG"/>
      <sheetName val="NOTA R SALDOS Y TRANSACC"/>
      <sheetName val="NOTA S RESULTADOS CON PERS"/>
      <sheetName val=" NOTA T PATRIMONIO Y PREVIS"/>
      <sheetName val="NOTA V INGRESOS OPERATIVOS"/>
      <sheetName val="NOTA W OTROS GASTOS OPER"/>
      <sheetName val="NOTA X OTROS INGRESOS Y EGR"/>
      <sheetName val="NOTA Y RESULTADOS FINANC"/>
      <sheetName val="NOTA Z RESULT EXTRA"/>
      <sheetName val="NOTA 6 INFORMACION REFERENTE"/>
    </sheetNames>
    <sheetDataSet>
      <sheetData sheetId="0"/>
      <sheetData sheetId="1"/>
      <sheetData sheetId="2">
        <row r="77">
          <cell r="G77">
            <v>36897443898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os para Cierres"/>
      <sheetName val="NOTA E - INVERSIONES."/>
      <sheetName val="NOTA D - DISPONIBILIDADES"/>
      <sheetName val="NOTA S RESULTADOS CON PERS"/>
      <sheetName val="NOTA 6 INFORMACION REFERENT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Resol. 30"/>
    </sheetNames>
    <sheetDataSet>
      <sheetData sheetId="0">
        <row r="99">
          <cell r="D99">
            <v>-52330</v>
          </cell>
        </row>
        <row r="100">
          <cell r="D100">
            <v>9706027</v>
          </cell>
        </row>
        <row r="101">
          <cell r="D101">
            <v>9758357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ady Pereira" id="{7E019D68-714F-43B1-8D27-771F5D71F20E}" userId="Sady Pereira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22-04-11T02:26:16.17" personId="{7E019D68-714F-43B1-8D27-771F5D71F20E}" id="{EACBCB32-E259-4B42-BD51-69056D5CDC0B}">
    <text>Aca se registran los SALDO DEL BALANCE GENERAL, A COBRAR Y PAGAR.
Empresas y personas vinculadas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acosta@investor.com.py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H69"/>
  <sheetViews>
    <sheetView showGridLines="0" zoomScale="120" zoomScaleNormal="120" workbookViewId="0">
      <selection activeCell="B77" sqref="B77"/>
    </sheetView>
  </sheetViews>
  <sheetFormatPr baseColWidth="10" defaultColWidth="11.33203125" defaultRowHeight="13.8"/>
  <cols>
    <col min="1" max="1" width="4.6640625" style="5" customWidth="1"/>
    <col min="2" max="2" width="22.109375" style="5" customWidth="1"/>
    <col min="3" max="3" width="42" style="5" bestFit="1" customWidth="1"/>
    <col min="4" max="4" width="39.33203125" style="6" bestFit="1" customWidth="1"/>
    <col min="5" max="5" width="16.6640625" style="5" customWidth="1"/>
    <col min="6" max="6" width="12.77734375" style="5" customWidth="1"/>
    <col min="7" max="7" width="12.6640625" style="5" customWidth="1"/>
    <col min="8" max="8" width="11" style="5" bestFit="1" customWidth="1"/>
    <col min="9" max="16384" width="11.33203125" style="5"/>
  </cols>
  <sheetData>
    <row r="4" spans="1:8" ht="14.4">
      <c r="F4" s="559" t="s">
        <v>887</v>
      </c>
      <c r="G4" s="560">
        <v>44834</v>
      </c>
    </row>
    <row r="5" spans="1:8" ht="18">
      <c r="B5" s="670" t="s">
        <v>0</v>
      </c>
      <c r="C5" s="670"/>
      <c r="D5" s="670"/>
      <c r="F5" s="5" t="s">
        <v>888</v>
      </c>
      <c r="G5" s="556">
        <f>+G4</f>
        <v>44834</v>
      </c>
    </row>
    <row r="6" spans="1:8" ht="14.4" customHeight="1">
      <c r="B6" s="671" t="s">
        <v>730</v>
      </c>
      <c r="C6" s="671"/>
      <c r="D6" s="671"/>
      <c r="F6" s="557" t="s">
        <v>4</v>
      </c>
      <c r="G6" s="558">
        <v>44834</v>
      </c>
      <c r="H6" s="558">
        <v>44561</v>
      </c>
    </row>
    <row r="7" spans="1:8" ht="15" customHeight="1" thickBot="1">
      <c r="F7" s="557" t="s">
        <v>889</v>
      </c>
      <c r="G7" s="558">
        <f>+G6</f>
        <v>44834</v>
      </c>
      <c r="H7" s="558">
        <v>44469</v>
      </c>
    </row>
    <row r="8" spans="1:8" ht="15" customHeight="1" thickBot="1">
      <c r="B8" s="435" t="s">
        <v>1</v>
      </c>
      <c r="C8" s="668">
        <f>+G4</f>
        <v>44834</v>
      </c>
      <c r="D8" s="669"/>
    </row>
    <row r="9" spans="1:8" ht="13.95" hidden="1" customHeight="1">
      <c r="A9" s="7"/>
      <c r="B9" s="7"/>
      <c r="C9" s="7"/>
      <c r="D9" s="8"/>
    </row>
    <row r="10" spans="1:8" ht="14.4" thickBot="1">
      <c r="A10" s="9"/>
    </row>
    <row r="11" spans="1:8" ht="26.25" customHeight="1" thickBot="1">
      <c r="B11" s="666" t="s">
        <v>2</v>
      </c>
      <c r="C11" s="667"/>
      <c r="D11" s="434" t="s">
        <v>3</v>
      </c>
    </row>
    <row r="12" spans="1:8" ht="26.25" customHeight="1">
      <c r="B12" s="10" t="s">
        <v>754</v>
      </c>
      <c r="C12" s="11"/>
      <c r="D12" s="4" t="s">
        <v>731</v>
      </c>
    </row>
    <row r="13" spans="1:8" ht="26.25" customHeight="1">
      <c r="B13" s="10" t="s">
        <v>755</v>
      </c>
      <c r="C13" s="14"/>
      <c r="D13" s="13"/>
    </row>
    <row r="14" spans="1:8">
      <c r="A14" s="6"/>
      <c r="B14" s="12"/>
      <c r="C14" s="5" t="s">
        <v>4</v>
      </c>
      <c r="D14" s="2" t="s">
        <v>505</v>
      </c>
      <c r="E14" s="5" t="str">
        <f>PROPER(B14)</f>
        <v/>
      </c>
    </row>
    <row r="15" spans="1:8">
      <c r="A15" s="6"/>
      <c r="B15" s="12"/>
      <c r="C15" s="5" t="s">
        <v>5</v>
      </c>
      <c r="D15" s="2" t="s">
        <v>506</v>
      </c>
      <c r="E15" s="5" t="str">
        <f>PROPER(B15)</f>
        <v/>
      </c>
    </row>
    <row r="16" spans="1:8">
      <c r="A16" s="6"/>
      <c r="B16" s="12"/>
      <c r="C16" s="5" t="s">
        <v>6</v>
      </c>
      <c r="D16" s="2" t="s">
        <v>507</v>
      </c>
    </row>
    <row r="17" spans="1:4">
      <c r="A17" s="6"/>
      <c r="B17" s="12"/>
      <c r="C17" s="5" t="s">
        <v>706</v>
      </c>
      <c r="D17" s="2" t="s">
        <v>508</v>
      </c>
    </row>
    <row r="18" spans="1:4">
      <c r="A18" s="6"/>
      <c r="B18" s="12"/>
      <c r="C18" s="5" t="s">
        <v>7</v>
      </c>
      <c r="D18" s="2" t="s">
        <v>753</v>
      </c>
    </row>
    <row r="19" spans="1:4">
      <c r="A19" s="6"/>
      <c r="B19" s="12"/>
      <c r="C19" s="5" t="s">
        <v>8</v>
      </c>
      <c r="D19" s="2" t="s">
        <v>509</v>
      </c>
    </row>
    <row r="20" spans="1:4" ht="14.4">
      <c r="A20" s="6"/>
      <c r="B20" s="12"/>
      <c r="C20" s="5" t="s">
        <v>9</v>
      </c>
      <c r="D20" s="15"/>
    </row>
    <row r="21" spans="1:4" ht="14.4">
      <c r="A21" s="6"/>
      <c r="B21" s="12"/>
      <c r="C21" s="5" t="s">
        <v>10</v>
      </c>
      <c r="D21" s="15"/>
    </row>
    <row r="22" spans="1:4" ht="14.4">
      <c r="A22" s="6"/>
      <c r="B22" s="12"/>
      <c r="C22" s="5" t="s">
        <v>11</v>
      </c>
      <c r="D22" s="15"/>
    </row>
    <row r="23" spans="1:4" ht="14.4">
      <c r="A23" s="6"/>
      <c r="B23" s="12"/>
      <c r="D23" s="15"/>
    </row>
    <row r="24" spans="1:4" ht="14.4">
      <c r="A24" s="6"/>
      <c r="B24" s="10" t="s">
        <v>756</v>
      </c>
      <c r="D24" s="16"/>
    </row>
    <row r="25" spans="1:4">
      <c r="A25" s="6"/>
      <c r="B25" s="12"/>
      <c r="D25" s="17"/>
    </row>
    <row r="26" spans="1:4">
      <c r="A26" s="6"/>
      <c r="B26" s="12"/>
      <c r="C26" s="18" t="s">
        <v>12</v>
      </c>
      <c r="D26" s="2" t="s">
        <v>732</v>
      </c>
    </row>
    <row r="27" spans="1:4">
      <c r="A27" s="6"/>
      <c r="B27" s="12"/>
      <c r="C27" s="18" t="s">
        <v>707</v>
      </c>
      <c r="D27" s="2" t="s">
        <v>732</v>
      </c>
    </row>
    <row r="28" spans="1:4">
      <c r="A28" s="6"/>
      <c r="B28" s="12"/>
      <c r="C28" s="18" t="s">
        <v>708</v>
      </c>
      <c r="D28" s="2" t="s">
        <v>732</v>
      </c>
    </row>
    <row r="29" spans="1:4">
      <c r="A29" s="6"/>
      <c r="B29" s="12"/>
      <c r="C29" s="18" t="s">
        <v>709</v>
      </c>
      <c r="D29" s="2" t="s">
        <v>732</v>
      </c>
    </row>
    <row r="30" spans="1:4">
      <c r="A30" s="6"/>
      <c r="B30" s="12"/>
      <c r="C30" s="18" t="s">
        <v>710</v>
      </c>
      <c r="D30" s="3" t="s">
        <v>373</v>
      </c>
    </row>
    <row r="31" spans="1:4">
      <c r="A31" s="6"/>
      <c r="B31" s="12"/>
      <c r="C31" s="5" t="s">
        <v>711</v>
      </c>
      <c r="D31" s="2" t="s">
        <v>733</v>
      </c>
    </row>
    <row r="32" spans="1:4">
      <c r="A32" s="6"/>
      <c r="B32" s="12"/>
      <c r="C32" s="5" t="s">
        <v>712</v>
      </c>
      <c r="D32" s="2" t="s">
        <v>733</v>
      </c>
    </row>
    <row r="33" spans="1:4">
      <c r="A33" s="6"/>
      <c r="B33" s="12"/>
      <c r="C33" s="5" t="s">
        <v>713</v>
      </c>
      <c r="D33" s="2" t="s">
        <v>733</v>
      </c>
    </row>
    <row r="34" spans="1:4">
      <c r="A34" s="6"/>
      <c r="B34" s="12"/>
      <c r="C34" s="5" t="s">
        <v>714</v>
      </c>
      <c r="D34" s="2" t="s">
        <v>734</v>
      </c>
    </row>
    <row r="35" spans="1:4">
      <c r="A35" s="6"/>
      <c r="B35" s="12"/>
      <c r="C35" s="5" t="s">
        <v>13</v>
      </c>
      <c r="D35" s="2" t="s">
        <v>735</v>
      </c>
    </row>
    <row r="36" spans="1:4">
      <c r="A36" s="6"/>
      <c r="B36" s="12"/>
      <c r="C36" s="5" t="s">
        <v>715</v>
      </c>
      <c r="D36" s="2" t="s">
        <v>736</v>
      </c>
    </row>
    <row r="37" spans="1:4">
      <c r="A37" s="6"/>
      <c r="B37" s="12"/>
      <c r="C37" s="5" t="s">
        <v>716</v>
      </c>
      <c r="D37" s="2" t="s">
        <v>737</v>
      </c>
    </row>
    <row r="38" spans="1:4">
      <c r="A38" s="6"/>
      <c r="B38" s="12"/>
      <c r="C38" s="5" t="s">
        <v>717</v>
      </c>
      <c r="D38" s="2" t="s">
        <v>738</v>
      </c>
    </row>
    <row r="39" spans="1:4">
      <c r="A39" s="6"/>
      <c r="B39" s="12"/>
      <c r="C39" s="5" t="s">
        <v>14</v>
      </c>
      <c r="D39" s="2" t="s">
        <v>739</v>
      </c>
    </row>
    <row r="40" spans="1:4">
      <c r="A40" s="6"/>
      <c r="B40" s="12"/>
      <c r="C40" s="5" t="s">
        <v>15</v>
      </c>
      <c r="D40" s="2" t="s">
        <v>740</v>
      </c>
    </row>
    <row r="41" spans="1:4">
      <c r="A41" s="6"/>
      <c r="B41" s="12"/>
      <c r="C41" s="5" t="s">
        <v>718</v>
      </c>
      <c r="D41" s="2" t="s">
        <v>741</v>
      </c>
    </row>
    <row r="42" spans="1:4">
      <c r="A42" s="6"/>
      <c r="B42" s="12"/>
      <c r="C42" s="5" t="s">
        <v>719</v>
      </c>
      <c r="D42" s="2" t="s">
        <v>742</v>
      </c>
    </row>
    <row r="43" spans="1:4">
      <c r="A43" s="6"/>
      <c r="B43" s="12"/>
      <c r="C43" s="5" t="s">
        <v>720</v>
      </c>
      <c r="D43" s="2" t="s">
        <v>743</v>
      </c>
    </row>
    <row r="44" spans="1:4">
      <c r="A44" s="6"/>
      <c r="B44" s="12"/>
      <c r="C44" s="5" t="s">
        <v>16</v>
      </c>
      <c r="D44" s="2" t="s">
        <v>743</v>
      </c>
    </row>
    <row r="45" spans="1:4">
      <c r="A45" s="6"/>
      <c r="B45" s="12"/>
      <c r="C45" s="5" t="s">
        <v>721</v>
      </c>
      <c r="D45" s="2" t="s">
        <v>743</v>
      </c>
    </row>
    <row r="46" spans="1:4">
      <c r="A46" s="6"/>
      <c r="B46" s="12"/>
      <c r="C46" s="5" t="s">
        <v>722</v>
      </c>
      <c r="D46" s="2" t="s">
        <v>743</v>
      </c>
    </row>
    <row r="47" spans="1:4">
      <c r="A47" s="6"/>
      <c r="B47" s="12"/>
      <c r="C47" s="5" t="s">
        <v>723</v>
      </c>
      <c r="D47" s="2" t="s">
        <v>743</v>
      </c>
    </row>
    <row r="48" spans="1:4">
      <c r="A48" s="6"/>
      <c r="B48" s="12"/>
      <c r="C48" s="5" t="s">
        <v>724</v>
      </c>
      <c r="D48" s="2" t="s">
        <v>744</v>
      </c>
    </row>
    <row r="49" spans="1:4">
      <c r="A49" s="6"/>
      <c r="B49" s="12"/>
      <c r="C49" s="5" t="s">
        <v>17</v>
      </c>
      <c r="D49" s="2" t="s">
        <v>745</v>
      </c>
    </row>
    <row r="50" spans="1:4">
      <c r="A50" s="6"/>
      <c r="B50" s="12"/>
      <c r="C50" s="5" t="s">
        <v>725</v>
      </c>
      <c r="D50" s="2" t="s">
        <v>746</v>
      </c>
    </row>
    <row r="51" spans="1:4">
      <c r="A51" s="6"/>
      <c r="B51" s="12"/>
      <c r="C51" s="5" t="s">
        <v>18</v>
      </c>
      <c r="D51" s="2" t="s">
        <v>746</v>
      </c>
    </row>
    <row r="52" spans="1:4">
      <c r="A52" s="6"/>
      <c r="B52" s="12"/>
      <c r="C52" s="5" t="s">
        <v>726</v>
      </c>
      <c r="D52" s="2" t="s">
        <v>747</v>
      </c>
    </row>
    <row r="53" spans="1:4">
      <c r="A53" s="6"/>
      <c r="B53" s="10"/>
      <c r="C53" s="5" t="s">
        <v>727</v>
      </c>
      <c r="D53" s="2" t="s">
        <v>748</v>
      </c>
    </row>
    <row r="54" spans="1:4">
      <c r="A54" s="6"/>
      <c r="B54" s="12"/>
      <c r="C54" s="5" t="s">
        <v>19</v>
      </c>
      <c r="D54" s="2" t="s">
        <v>749</v>
      </c>
    </row>
    <row r="55" spans="1:4">
      <c r="A55" s="6"/>
      <c r="B55" s="12"/>
      <c r="C55" s="5" t="s">
        <v>20</v>
      </c>
      <c r="D55" s="2" t="s">
        <v>750</v>
      </c>
    </row>
    <row r="56" spans="1:4">
      <c r="A56" s="6"/>
      <c r="B56" s="12"/>
      <c r="C56" s="5" t="s">
        <v>21</v>
      </c>
      <c r="D56" s="2" t="s">
        <v>751</v>
      </c>
    </row>
    <row r="57" spans="1:4">
      <c r="A57" s="6"/>
      <c r="B57" s="12"/>
      <c r="D57" s="3" t="s">
        <v>373</v>
      </c>
    </row>
    <row r="58" spans="1:4">
      <c r="A58" s="6"/>
      <c r="B58" s="12"/>
      <c r="C58" s="18" t="s">
        <v>22</v>
      </c>
      <c r="D58" s="2" t="s">
        <v>752</v>
      </c>
    </row>
    <row r="59" spans="1:4">
      <c r="A59" s="6"/>
      <c r="B59" s="12"/>
      <c r="C59" s="5" t="s">
        <v>23</v>
      </c>
      <c r="D59" s="3"/>
    </row>
    <row r="60" spans="1:4">
      <c r="A60" s="6"/>
      <c r="B60" s="12"/>
      <c r="C60" s="5" t="s">
        <v>728</v>
      </c>
      <c r="D60" s="3"/>
    </row>
    <row r="61" spans="1:4" ht="14.4">
      <c r="A61" s="6"/>
      <c r="B61" s="12"/>
      <c r="C61" s="5" t="s">
        <v>729</v>
      </c>
      <c r="D61" s="15"/>
    </row>
    <row r="62" spans="1:4" ht="14.4">
      <c r="A62" s="6"/>
      <c r="B62" s="12"/>
      <c r="C62" s="5" t="s">
        <v>24</v>
      </c>
      <c r="D62" s="15"/>
    </row>
    <row r="63" spans="1:4" ht="14.4">
      <c r="A63" s="6"/>
      <c r="B63" s="12"/>
      <c r="C63" s="5" t="s">
        <v>25</v>
      </c>
      <c r="D63" s="15"/>
    </row>
    <row r="64" spans="1:4" ht="14.4">
      <c r="A64" s="6"/>
      <c r="B64" s="12"/>
      <c r="C64" s="5" t="s">
        <v>26</v>
      </c>
      <c r="D64" s="15"/>
    </row>
    <row r="65" spans="1:4" ht="14.4">
      <c r="A65" s="6"/>
      <c r="B65" s="12"/>
      <c r="C65" s="5" t="s">
        <v>27</v>
      </c>
      <c r="D65" s="15"/>
    </row>
    <row r="66" spans="1:4" ht="14.4">
      <c r="A66" s="6"/>
      <c r="B66" s="12"/>
      <c r="C66" s="5" t="s">
        <v>28</v>
      </c>
      <c r="D66" s="15"/>
    </row>
    <row r="67" spans="1:4" ht="14.4">
      <c r="A67" s="6"/>
      <c r="B67" s="12"/>
      <c r="D67" s="15"/>
    </row>
    <row r="68" spans="1:4" ht="14.4">
      <c r="A68" s="6"/>
      <c r="B68" s="19"/>
      <c r="C68" s="20"/>
      <c r="D68" s="21"/>
    </row>
    <row r="69" spans="1:4" ht="21" customHeight="1">
      <c r="A69" s="22"/>
      <c r="D69" s="23"/>
    </row>
  </sheetData>
  <mergeCells count="4">
    <mergeCell ref="B11:C11"/>
    <mergeCell ref="C8:D8"/>
    <mergeCell ref="B5:D5"/>
    <mergeCell ref="B6:D6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tabColor rgb="FF002060"/>
  </sheetPr>
  <dimension ref="B1:I109"/>
  <sheetViews>
    <sheetView showGridLines="0" zoomScale="125" workbookViewId="0">
      <selection activeCell="B77" sqref="B77"/>
    </sheetView>
  </sheetViews>
  <sheetFormatPr baseColWidth="10" defaultColWidth="11.44140625" defaultRowHeight="12"/>
  <cols>
    <col min="1" max="1" width="5.6640625" style="25" customWidth="1"/>
    <col min="2" max="2" width="47.6640625" style="25" customWidth="1"/>
    <col min="3" max="3" width="14.6640625" style="57" bestFit="1" customWidth="1"/>
    <col min="4" max="4" width="14.109375" style="57" bestFit="1" customWidth="1"/>
    <col min="5" max="5" width="15.44140625" style="25" customWidth="1"/>
    <col min="6" max="6" width="17.44140625" style="39" customWidth="1"/>
    <col min="7" max="7" width="28.109375" style="25" customWidth="1"/>
    <col min="8" max="8" width="22.21875" style="25" customWidth="1"/>
    <col min="9" max="9" width="12.33203125" style="25" bestFit="1" customWidth="1"/>
    <col min="10" max="16384" width="11.44140625" style="25"/>
  </cols>
  <sheetData>
    <row r="1" spans="2:8" ht="14.4">
      <c r="B1" s="289"/>
    </row>
    <row r="5" spans="2:8" ht="15.6">
      <c r="B5" s="713" t="s">
        <v>646</v>
      </c>
      <c r="C5" s="713"/>
      <c r="D5" s="713"/>
    </row>
    <row r="6" spans="2:8">
      <c r="B6" s="710" t="s">
        <v>605</v>
      </c>
      <c r="C6" s="710"/>
      <c r="D6" s="710"/>
      <c r="F6" s="58"/>
      <c r="G6" s="59"/>
      <c r="H6" s="59"/>
    </row>
    <row r="7" spans="2:8" ht="14.4">
      <c r="B7" s="400" t="s">
        <v>665</v>
      </c>
      <c r="C7" s="195"/>
      <c r="D7" s="195"/>
      <c r="F7" s="58"/>
      <c r="G7" s="59"/>
      <c r="H7" s="59"/>
    </row>
    <row r="8" spans="2:8">
      <c r="B8" s="60" t="s">
        <v>348</v>
      </c>
      <c r="C8" s="61">
        <f>+Indice!G5</f>
        <v>44834</v>
      </c>
      <c r="D8" s="62">
        <v>44561</v>
      </c>
      <c r="F8" s="58"/>
      <c r="G8" s="59"/>
      <c r="H8" s="59"/>
    </row>
    <row r="9" spans="2:8">
      <c r="B9" s="63" t="s">
        <v>626</v>
      </c>
      <c r="C9" s="64">
        <v>0</v>
      </c>
      <c r="D9" s="65">
        <v>0</v>
      </c>
      <c r="F9" s="58"/>
      <c r="G9" s="59"/>
      <c r="H9" s="59"/>
    </row>
    <row r="10" spans="2:8" ht="13.8">
      <c r="B10" s="66" t="s">
        <v>521</v>
      </c>
      <c r="C10" s="67">
        <v>52907474.380000003</v>
      </c>
      <c r="D10" s="68">
        <v>72919906.530000001</v>
      </c>
      <c r="F10" s="69"/>
      <c r="G10" s="59"/>
      <c r="H10" s="70"/>
    </row>
    <row r="11" spans="2:8" ht="13.8">
      <c r="B11" s="66" t="s">
        <v>640</v>
      </c>
      <c r="C11" s="67">
        <v>4000000</v>
      </c>
      <c r="D11" s="67">
        <v>5200343</v>
      </c>
      <c r="F11" s="69"/>
      <c r="G11" s="59"/>
      <c r="H11" s="70"/>
    </row>
    <row r="12" spans="2:8" ht="13.8">
      <c r="B12" s="66" t="s">
        <v>632</v>
      </c>
      <c r="C12" s="67">
        <v>3540638.4079</v>
      </c>
      <c r="D12" s="67">
        <v>3437534.9511000002</v>
      </c>
      <c r="F12" s="69"/>
      <c r="G12" s="59"/>
      <c r="H12" s="70"/>
    </row>
    <row r="13" spans="2:8" ht="13.8">
      <c r="B13" s="66" t="s">
        <v>639</v>
      </c>
      <c r="C13" s="67">
        <v>300769</v>
      </c>
      <c r="D13" s="67">
        <v>6303820</v>
      </c>
      <c r="F13" s="69"/>
      <c r="G13" s="59"/>
      <c r="H13" s="70"/>
    </row>
    <row r="14" spans="2:8" ht="13.8">
      <c r="B14" s="66" t="s">
        <v>349</v>
      </c>
      <c r="C14" s="67">
        <v>4722700</v>
      </c>
      <c r="D14" s="67">
        <v>24423</v>
      </c>
      <c r="F14" s="69"/>
      <c r="G14" s="59"/>
      <c r="H14" s="70"/>
    </row>
    <row r="15" spans="2:8" ht="13.8">
      <c r="B15" s="66" t="s">
        <v>350</v>
      </c>
      <c r="C15" s="67">
        <v>28318736.280200001</v>
      </c>
      <c r="D15" s="67">
        <v>27483171.291900001</v>
      </c>
      <c r="F15" s="69"/>
      <c r="G15" s="59"/>
      <c r="H15" s="70"/>
    </row>
    <row r="16" spans="2:8" ht="13.8">
      <c r="B16" s="66" t="s">
        <v>351</v>
      </c>
      <c r="C16" s="67">
        <v>10000000</v>
      </c>
      <c r="D16" s="67">
        <v>21000000</v>
      </c>
      <c r="F16" s="69"/>
      <c r="G16" s="59"/>
      <c r="H16" s="70"/>
    </row>
    <row r="17" spans="2:9">
      <c r="B17" s="66" t="s">
        <v>352</v>
      </c>
      <c r="C17" s="67">
        <v>98900874.85360001</v>
      </c>
      <c r="D17" s="68">
        <v>128390016.903</v>
      </c>
      <c r="F17" s="69"/>
      <c r="G17" s="190"/>
      <c r="I17" s="39"/>
    </row>
    <row r="18" spans="2:9">
      <c r="B18" s="66" t="s">
        <v>641</v>
      </c>
      <c r="C18" s="67">
        <v>3088513</v>
      </c>
      <c r="D18" s="67">
        <v>3241810</v>
      </c>
      <c r="F18" s="69"/>
      <c r="G18" s="190"/>
      <c r="I18" s="39"/>
    </row>
    <row r="19" spans="2:9">
      <c r="B19" s="66" t="s">
        <v>502</v>
      </c>
      <c r="C19" s="67">
        <v>21577032.8583</v>
      </c>
      <c r="D19" s="67">
        <v>20994447.036000002</v>
      </c>
      <c r="F19" s="69"/>
      <c r="G19" s="59"/>
      <c r="I19" s="39"/>
    </row>
    <row r="20" spans="2:9">
      <c r="B20" s="66" t="s">
        <v>629</v>
      </c>
      <c r="C20" s="67">
        <v>1415915.5774000001</v>
      </c>
      <c r="D20" s="67">
        <v>1374299.4162000001</v>
      </c>
      <c r="F20" s="69"/>
      <c r="G20" s="59"/>
      <c r="I20" s="39"/>
    </row>
    <row r="21" spans="2:9">
      <c r="B21" s="66" t="s">
        <v>353</v>
      </c>
      <c r="C21" s="67">
        <v>339656</v>
      </c>
      <c r="D21" s="67">
        <v>17014656</v>
      </c>
      <c r="F21" s="69"/>
      <c r="G21" s="190"/>
      <c r="I21" s="39"/>
    </row>
    <row r="22" spans="2:9">
      <c r="B22" s="66" t="s">
        <v>354</v>
      </c>
      <c r="C22" s="67">
        <v>9170605.2962999996</v>
      </c>
      <c r="D22" s="67">
        <v>47913112.578300007</v>
      </c>
      <c r="F22" s="69"/>
      <c r="G22" s="190"/>
      <c r="I22" s="39"/>
    </row>
    <row r="23" spans="2:9">
      <c r="B23" s="66" t="s">
        <v>943</v>
      </c>
      <c r="C23" s="67">
        <v>11007818</v>
      </c>
      <c r="D23" s="67">
        <v>1725001</v>
      </c>
      <c r="F23" s="69"/>
      <c r="G23" s="190"/>
      <c r="I23" s="39"/>
    </row>
    <row r="24" spans="2:9">
      <c r="B24" s="66" t="s">
        <v>944</v>
      </c>
      <c r="C24" s="67">
        <v>49792700.791299999</v>
      </c>
      <c r="D24" s="67">
        <v>10121733.751500001</v>
      </c>
      <c r="F24" s="69"/>
      <c r="G24" s="190"/>
      <c r="I24" s="39"/>
    </row>
    <row r="25" spans="2:9">
      <c r="B25" s="66" t="s">
        <v>945</v>
      </c>
      <c r="C25" s="67">
        <v>1000000</v>
      </c>
      <c r="D25" s="67">
        <v>500000</v>
      </c>
      <c r="F25" s="69"/>
      <c r="G25" s="190"/>
      <c r="I25" s="39"/>
    </row>
    <row r="26" spans="2:9">
      <c r="B26" s="66" t="s">
        <v>636</v>
      </c>
      <c r="C26" s="67">
        <v>5000003</v>
      </c>
      <c r="D26" s="67">
        <v>5000015</v>
      </c>
      <c r="F26" s="69"/>
      <c r="G26" s="190"/>
      <c r="I26" s="39"/>
    </row>
    <row r="27" spans="2:9">
      <c r="B27" s="66" t="s">
        <v>355</v>
      </c>
      <c r="C27" s="67">
        <f>+'[6]EEFF '!$B$20</f>
        <v>31677519</v>
      </c>
      <c r="D27" s="67">
        <v>30133517.541300002</v>
      </c>
      <c r="F27" s="69"/>
      <c r="G27" s="190"/>
      <c r="I27" s="39"/>
    </row>
    <row r="28" spans="2:9">
      <c r="B28" s="66" t="s">
        <v>638</v>
      </c>
      <c r="C28" s="67">
        <v>22890157</v>
      </c>
      <c r="D28" s="67">
        <v>41450020</v>
      </c>
      <c r="F28" s="69"/>
      <c r="G28" s="190"/>
      <c r="I28" s="39"/>
    </row>
    <row r="29" spans="2:9">
      <c r="B29" s="66" t="s">
        <v>631</v>
      </c>
      <c r="C29" s="67">
        <v>39392566.5647</v>
      </c>
      <c r="D29" s="67">
        <v>37460137.076700002</v>
      </c>
      <c r="F29" s="69"/>
      <c r="G29" s="190"/>
      <c r="I29" s="39"/>
    </row>
    <row r="30" spans="2:9">
      <c r="B30" s="66" t="s">
        <v>356</v>
      </c>
      <c r="C30" s="67">
        <v>36598819.730499998</v>
      </c>
      <c r="D30" s="67">
        <v>10461564.0141</v>
      </c>
      <c r="F30" s="69"/>
      <c r="G30" s="190"/>
      <c r="I30" s="39"/>
    </row>
    <row r="31" spans="2:9">
      <c r="B31" s="66" t="s">
        <v>357</v>
      </c>
      <c r="C31" s="67">
        <v>570619</v>
      </c>
      <c r="D31" s="67">
        <v>26074595</v>
      </c>
      <c r="F31" s="69"/>
      <c r="G31" s="190"/>
      <c r="I31" s="39"/>
    </row>
    <row r="32" spans="2:9">
      <c r="B32" s="66" t="s">
        <v>358</v>
      </c>
      <c r="C32" s="67">
        <v>11475767</v>
      </c>
      <c r="D32" s="67">
        <v>11605398</v>
      </c>
      <c r="F32" s="69"/>
      <c r="G32" s="190"/>
      <c r="I32" s="39"/>
    </row>
    <row r="33" spans="2:9">
      <c r="B33" s="66" t="s">
        <v>359</v>
      </c>
      <c r="C33" s="67">
        <v>42425154.4727</v>
      </c>
      <c r="D33" s="67">
        <v>43616176.712400004</v>
      </c>
      <c r="F33" s="69"/>
      <c r="G33" s="190"/>
      <c r="I33" s="39"/>
    </row>
    <row r="34" spans="2:9">
      <c r="B34" s="66" t="s">
        <v>946</v>
      </c>
      <c r="C34" s="67">
        <v>41649425</v>
      </c>
      <c r="D34" s="67">
        <v>2511730</v>
      </c>
      <c r="F34" s="69"/>
      <c r="G34" s="190"/>
      <c r="I34" s="39"/>
    </row>
    <row r="35" spans="2:9">
      <c r="B35" s="66" t="s">
        <v>947</v>
      </c>
      <c r="C35" s="67">
        <v>25229092.68</v>
      </c>
      <c r="D35" s="67">
        <v>25156096.653000001</v>
      </c>
      <c r="F35" s="69"/>
      <c r="G35" s="190"/>
      <c r="I35" s="39"/>
    </row>
    <row r="36" spans="2:9">
      <c r="B36" s="66" t="s">
        <v>643</v>
      </c>
      <c r="C36" s="67">
        <v>6190281</v>
      </c>
      <c r="D36" s="67">
        <v>1004540</v>
      </c>
      <c r="F36" s="69"/>
      <c r="G36" s="190"/>
      <c r="I36" s="39"/>
    </row>
    <row r="37" spans="2:9">
      <c r="B37" s="66" t="s">
        <v>635</v>
      </c>
      <c r="C37" s="67">
        <v>42669021.544199996</v>
      </c>
      <c r="D37" s="67">
        <v>1379315.1075000002</v>
      </c>
      <c r="F37" s="69"/>
      <c r="G37" s="190"/>
      <c r="I37" s="39"/>
    </row>
    <row r="38" spans="2:9">
      <c r="B38" s="66" t="s">
        <v>360</v>
      </c>
      <c r="C38" s="67">
        <v>3444</v>
      </c>
      <c r="D38" s="68">
        <v>4463041</v>
      </c>
      <c r="F38" s="69"/>
      <c r="G38" s="190"/>
      <c r="I38" s="39"/>
    </row>
    <row r="39" spans="2:9">
      <c r="B39" s="66" t="s">
        <v>1023</v>
      </c>
      <c r="C39" s="65">
        <v>-17772741638</v>
      </c>
      <c r="D39" s="68">
        <v>0</v>
      </c>
      <c r="F39" s="69"/>
      <c r="G39" s="190"/>
      <c r="I39" s="39"/>
    </row>
    <row r="40" spans="2:9">
      <c r="B40" s="66" t="s">
        <v>633</v>
      </c>
      <c r="C40" s="65">
        <v>-3130912562.8355999</v>
      </c>
      <c r="D40" s="68">
        <v>6208395.2079000007</v>
      </c>
      <c r="F40" s="69"/>
      <c r="G40" s="190"/>
      <c r="I40" s="39"/>
    </row>
    <row r="41" spans="2:9">
      <c r="B41" s="66" t="s">
        <v>633</v>
      </c>
      <c r="C41" s="67">
        <v>28881.7896</v>
      </c>
      <c r="D41" s="68"/>
      <c r="F41" s="69"/>
      <c r="G41" s="190"/>
      <c r="I41" s="39"/>
    </row>
    <row r="42" spans="2:9">
      <c r="B42" s="66" t="s">
        <v>361</v>
      </c>
      <c r="C42" s="67">
        <v>824797</v>
      </c>
      <c r="D42" s="67">
        <v>30690754</v>
      </c>
      <c r="F42" s="69"/>
      <c r="G42" s="59"/>
      <c r="I42" s="39"/>
    </row>
    <row r="43" spans="2:9" ht="13.8">
      <c r="B43" s="66" t="s">
        <v>362</v>
      </c>
      <c r="C43" s="67">
        <v>15559497.837400001</v>
      </c>
      <c r="D43" s="67">
        <v>12535655.428800002</v>
      </c>
      <c r="F43" s="69"/>
      <c r="G43" s="190"/>
      <c r="H43" s="70"/>
    </row>
    <row r="44" spans="2:9" ht="13.8">
      <c r="B44" s="66" t="s">
        <v>363</v>
      </c>
      <c r="C44" s="67">
        <v>4340843</v>
      </c>
      <c r="D44" s="67">
        <v>5696670</v>
      </c>
      <c r="F44" s="69"/>
      <c r="G44" s="190"/>
      <c r="H44" s="70"/>
    </row>
    <row r="45" spans="2:9" ht="13.8">
      <c r="B45" s="66" t="s">
        <v>364</v>
      </c>
      <c r="C45" s="798">
        <v>29795318</v>
      </c>
      <c r="D45" s="67">
        <v>93368673.835800007</v>
      </c>
      <c r="F45" s="69"/>
      <c r="G45" s="59"/>
      <c r="H45" s="70"/>
    </row>
    <row r="46" spans="2:9" s="202" customFormat="1" ht="13.8">
      <c r="B46" s="797" t="s">
        <v>503</v>
      </c>
      <c r="C46" s="67">
        <v>-1050829282</v>
      </c>
      <c r="D46" s="798">
        <v>-793559012</v>
      </c>
      <c r="F46" s="799"/>
      <c r="G46" s="298"/>
      <c r="H46" s="800"/>
    </row>
    <row r="47" spans="2:9" ht="13.8">
      <c r="B47" s="561" t="s">
        <v>891</v>
      </c>
      <c r="C47" s="67">
        <v>34106</v>
      </c>
      <c r="D47" s="67">
        <v>38444377</v>
      </c>
      <c r="F47" s="69"/>
      <c r="G47" s="59"/>
      <c r="H47" s="70"/>
    </row>
    <row r="48" spans="2:9" ht="13.8">
      <c r="B48" s="66" t="s">
        <v>365</v>
      </c>
      <c r="C48" s="67">
        <v>21315338</v>
      </c>
      <c r="D48" s="67">
        <v>2048449363</v>
      </c>
      <c r="F48" s="69"/>
      <c r="G48" s="59"/>
      <c r="H48" s="70"/>
    </row>
    <row r="49" spans="2:8" ht="13.8">
      <c r="B49" s="66" t="s">
        <v>366</v>
      </c>
      <c r="C49" s="67">
        <v>112650660</v>
      </c>
      <c r="D49" s="68">
        <v>720473.13660000009</v>
      </c>
      <c r="F49" s="69"/>
      <c r="G49" s="59"/>
      <c r="H49" s="70"/>
    </row>
    <row r="50" spans="2:8" ht="13.8">
      <c r="B50" s="561" t="s">
        <v>890</v>
      </c>
      <c r="C50" s="67">
        <v>7866960.597099999</v>
      </c>
      <c r="D50" s="68">
        <v>5370981</v>
      </c>
      <c r="F50" s="69"/>
      <c r="G50" s="59"/>
      <c r="H50" s="70"/>
    </row>
    <row r="51" spans="2:8" ht="13.8">
      <c r="B51" s="66" t="s">
        <v>367</v>
      </c>
      <c r="C51" s="67">
        <v>999998</v>
      </c>
      <c r="D51" s="67">
        <v>99998</v>
      </c>
      <c r="F51" s="69"/>
      <c r="G51" s="59"/>
      <c r="H51" s="70"/>
    </row>
    <row r="52" spans="2:8" ht="13.8">
      <c r="B52" s="66" t="s">
        <v>368</v>
      </c>
      <c r="C52" s="798">
        <v>3548708</v>
      </c>
      <c r="D52" s="67">
        <v>696081.7611</v>
      </c>
      <c r="F52" s="69"/>
      <c r="G52" s="59"/>
      <c r="H52" s="70"/>
    </row>
    <row r="53" spans="2:8" s="202" customFormat="1" ht="13.8">
      <c r="B53" s="797" t="s">
        <v>369</v>
      </c>
      <c r="C53" s="67">
        <v>3541629.4496999998</v>
      </c>
      <c r="D53" s="798">
        <v>-101612065.54950002</v>
      </c>
      <c r="F53" s="799"/>
      <c r="G53" s="298"/>
      <c r="H53" s="800"/>
    </row>
    <row r="54" spans="2:8" ht="13.8">
      <c r="B54" s="66" t="s">
        <v>642</v>
      </c>
      <c r="C54" s="67">
        <v>20439372</v>
      </c>
      <c r="D54" s="67">
        <v>8245972</v>
      </c>
      <c r="F54" s="69"/>
      <c r="G54" s="59"/>
      <c r="H54" s="70"/>
    </row>
    <row r="55" spans="2:8" ht="13.8">
      <c r="B55" s="66" t="s">
        <v>634</v>
      </c>
      <c r="C55" s="67">
        <v>4392226.4688999997</v>
      </c>
      <c r="D55" s="67">
        <v>107876870.1075</v>
      </c>
      <c r="F55" s="69"/>
      <c r="G55" s="59"/>
      <c r="H55" s="70"/>
    </row>
    <row r="56" spans="2:8" ht="13.8">
      <c r="B56" s="66" t="s">
        <v>370</v>
      </c>
      <c r="C56" s="67">
        <v>5000000</v>
      </c>
      <c r="D56" s="67">
        <v>5781808</v>
      </c>
      <c r="F56" s="69"/>
      <c r="G56" s="59"/>
      <c r="H56" s="70"/>
    </row>
    <row r="57" spans="2:8" ht="13.8">
      <c r="B57" s="66" t="s">
        <v>371</v>
      </c>
      <c r="C57" s="67">
        <v>57507536.472099997</v>
      </c>
      <c r="D57" s="67">
        <v>111043763.85270001</v>
      </c>
      <c r="F57" s="69"/>
      <c r="G57" s="59"/>
      <c r="H57" s="70"/>
    </row>
    <row r="58" spans="2:8" ht="13.8">
      <c r="B58" s="66" t="s">
        <v>948</v>
      </c>
      <c r="C58" s="67">
        <f>31888114.9003+13</f>
        <v>31888127.9003</v>
      </c>
      <c r="D58" s="67">
        <v>34413489</v>
      </c>
      <c r="F58" s="69"/>
      <c r="G58" s="59"/>
      <c r="H58" s="70"/>
    </row>
    <row r="59" spans="2:8" ht="13.8">
      <c r="B59" s="66" t="s">
        <v>949</v>
      </c>
      <c r="C59" s="67">
        <v>16243763</v>
      </c>
      <c r="D59" s="67">
        <v>0</v>
      </c>
      <c r="F59" s="69"/>
      <c r="G59" s="59"/>
      <c r="H59" s="70"/>
    </row>
    <row r="60" spans="2:8" ht="13.8">
      <c r="B60" s="66" t="s">
        <v>630</v>
      </c>
      <c r="C60" s="67">
        <v>68615486.909999996</v>
      </c>
      <c r="D60" s="67">
        <v>1374163</v>
      </c>
      <c r="F60" s="69"/>
      <c r="G60" s="59"/>
      <c r="H60" s="70"/>
    </row>
    <row r="61" spans="2:8" ht="13.8">
      <c r="B61" s="66" t="s">
        <v>637</v>
      </c>
      <c r="C61" s="67">
        <v>3000000</v>
      </c>
      <c r="D61" s="67">
        <v>3000000</v>
      </c>
      <c r="F61" s="69"/>
      <c r="G61" s="59"/>
      <c r="H61" s="70"/>
    </row>
    <row r="62" spans="2:8" ht="13.8">
      <c r="B62" s="66"/>
      <c r="C62" s="67"/>
      <c r="D62" s="67"/>
      <c r="F62" s="69"/>
      <c r="G62" s="59"/>
      <c r="H62" s="70"/>
    </row>
    <row r="63" spans="2:8">
      <c r="B63" s="63" t="s">
        <v>625</v>
      </c>
      <c r="C63" s="71">
        <f>SUM(C9:C62)</f>
        <v>-20941034927.973404</v>
      </c>
      <c r="D63" s="71">
        <v>2226806832.3439002</v>
      </c>
      <c r="F63" s="59"/>
      <c r="G63" s="59"/>
      <c r="H63" s="59"/>
    </row>
    <row r="64" spans="2:8">
      <c r="F64" s="25"/>
    </row>
    <row r="65" spans="2:6">
      <c r="B65" s="710" t="s">
        <v>644</v>
      </c>
      <c r="C65" s="710"/>
      <c r="D65" s="710"/>
      <c r="F65" s="25"/>
    </row>
    <row r="66" spans="2:6">
      <c r="B66" s="60" t="s">
        <v>348</v>
      </c>
      <c r="C66" s="61">
        <f>+C8</f>
        <v>44834</v>
      </c>
      <c r="D66" s="62">
        <v>44561</v>
      </c>
      <c r="F66" s="25"/>
    </row>
    <row r="67" spans="2:6">
      <c r="B67" s="375" t="s">
        <v>40</v>
      </c>
      <c r="C67" s="64">
        <v>0</v>
      </c>
      <c r="D67" s="65">
        <v>3820258968</v>
      </c>
      <c r="F67" s="25"/>
    </row>
    <row r="68" spans="2:6">
      <c r="B68" s="66" t="s">
        <v>627</v>
      </c>
      <c r="C68" s="67">
        <v>0</v>
      </c>
      <c r="D68" s="68">
        <v>-2168020</v>
      </c>
      <c r="F68" s="25"/>
    </row>
    <row r="69" spans="2:6">
      <c r="B69" s="66" t="s">
        <v>628</v>
      </c>
      <c r="C69" s="67">
        <v>1000000</v>
      </c>
      <c r="D69" s="67">
        <v>964400</v>
      </c>
    </row>
    <row r="70" spans="2:6">
      <c r="B70" s="63" t="s">
        <v>645</v>
      </c>
      <c r="C70" s="71">
        <f>SUM(C67:C69)</f>
        <v>1000000</v>
      </c>
      <c r="D70" s="71">
        <v>3819055348</v>
      </c>
    </row>
    <row r="72" spans="2:6">
      <c r="B72" s="63" t="s">
        <v>372</v>
      </c>
      <c r="C72" s="71">
        <f>+C63+C70</f>
        <v>-20940034927.973404</v>
      </c>
      <c r="D72" s="71">
        <f>+D63+D70</f>
        <v>6045862180.3439007</v>
      </c>
    </row>
    <row r="73" spans="2:6">
      <c r="B73" s="25" t="s">
        <v>373</v>
      </c>
    </row>
    <row r="74" spans="2:6">
      <c r="B74" s="801" t="s">
        <v>1014</v>
      </c>
      <c r="C74" s="802">
        <f>+C72-'Balance Gral. Resol. 30'!D14</f>
        <v>2.65960693359375E-2</v>
      </c>
      <c r="D74" s="802">
        <f>+D72-'Balance Gral. Resol. 30'!E14</f>
        <v>0.34390068054199219</v>
      </c>
      <c r="E74" s="39"/>
    </row>
    <row r="75" spans="2:6">
      <c r="B75" s="25" t="s">
        <v>373</v>
      </c>
    </row>
    <row r="76" spans="2:6">
      <c r="B76" s="25" t="s">
        <v>373</v>
      </c>
    </row>
    <row r="77" spans="2:6">
      <c r="B77" s="25" t="s">
        <v>373</v>
      </c>
    </row>
    <row r="78" spans="2:6">
      <c r="B78" s="25" t="s">
        <v>373</v>
      </c>
    </row>
    <row r="79" spans="2:6">
      <c r="B79" s="25" t="s">
        <v>373</v>
      </c>
    </row>
    <row r="80" spans="2:6">
      <c r="B80" s="25" t="s">
        <v>373</v>
      </c>
    </row>
    <row r="81" spans="2:2">
      <c r="B81" s="25" t="s">
        <v>373</v>
      </c>
    </row>
    <row r="82" spans="2:2">
      <c r="B82" s="25" t="s">
        <v>373</v>
      </c>
    </row>
    <row r="83" spans="2:2">
      <c r="B83" s="25" t="s">
        <v>373</v>
      </c>
    </row>
    <row r="84" spans="2:2">
      <c r="B84" s="25" t="s">
        <v>373</v>
      </c>
    </row>
    <row r="85" spans="2:2">
      <c r="B85" s="25" t="s">
        <v>373</v>
      </c>
    </row>
    <row r="86" spans="2:2">
      <c r="B86" s="25" t="s">
        <v>373</v>
      </c>
    </row>
    <row r="87" spans="2:2">
      <c r="B87" s="25" t="s">
        <v>373</v>
      </c>
    </row>
    <row r="88" spans="2:2">
      <c r="B88" s="25" t="s">
        <v>373</v>
      </c>
    </row>
    <row r="89" spans="2:2">
      <c r="B89" s="25" t="s">
        <v>373</v>
      </c>
    </row>
    <row r="90" spans="2:2">
      <c r="B90" s="25" t="s">
        <v>373</v>
      </c>
    </row>
    <row r="91" spans="2:2">
      <c r="B91" s="25" t="s">
        <v>373</v>
      </c>
    </row>
    <row r="108" spans="5:5">
      <c r="E108" s="25" t="s">
        <v>373</v>
      </c>
    </row>
    <row r="109" spans="5:5">
      <c r="E109" s="25" t="s">
        <v>373</v>
      </c>
    </row>
  </sheetData>
  <autoFilter ref="B8:D70" xr:uid="{00000000-0009-0000-0000-000009000000}"/>
  <mergeCells count="3">
    <mergeCell ref="B6:D6"/>
    <mergeCell ref="B65:D65"/>
    <mergeCell ref="B5:D5"/>
  </mergeCells>
  <hyperlinks>
    <hyperlink ref="B7" location="'Balance Gral. Resol. 30'!A1" display="'Balance Gral. Resol. 30'!A1" xr:uid="{00000000-0004-0000-0900-000000000000}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K114"/>
  <sheetViews>
    <sheetView workbookViewId="0">
      <selection activeCell="B77" sqref="B77"/>
    </sheetView>
  </sheetViews>
  <sheetFormatPr baseColWidth="10" defaultRowHeight="14.4"/>
  <cols>
    <col min="1" max="1" width="4.5546875" customWidth="1"/>
    <col min="2" max="2" width="50.109375" customWidth="1"/>
    <col min="3" max="3" width="15.109375" bestFit="1" customWidth="1"/>
    <col min="4" max="4" width="19.6640625" bestFit="1" customWidth="1"/>
    <col min="5" max="5" width="15.44140625" customWidth="1"/>
    <col min="6" max="6" width="17.21875" customWidth="1"/>
    <col min="7" max="7" width="13.109375" bestFit="1" customWidth="1"/>
    <col min="8" max="8" width="14.77734375" bestFit="1" customWidth="1"/>
    <col min="9" max="9" width="18" bestFit="1" customWidth="1"/>
    <col min="10" max="10" width="17" bestFit="1" customWidth="1"/>
    <col min="11" max="11" width="18" bestFit="1" customWidth="1"/>
  </cols>
  <sheetData>
    <row r="1" spans="1:11">
      <c r="A1" s="25"/>
      <c r="B1" s="25"/>
      <c r="C1" s="25"/>
      <c r="D1" s="72"/>
      <c r="E1" s="72"/>
      <c r="F1" s="72"/>
      <c r="G1" s="72"/>
      <c r="H1" s="72"/>
      <c r="I1" s="72"/>
      <c r="J1" s="72"/>
      <c r="K1" s="72"/>
    </row>
    <row r="2" spans="1:11">
      <c r="A2" s="25"/>
      <c r="B2" s="28"/>
      <c r="C2" s="25"/>
      <c r="D2" s="72"/>
      <c r="E2" s="72"/>
      <c r="F2" s="72"/>
      <c r="G2" s="72"/>
      <c r="H2" s="72"/>
      <c r="I2" s="72"/>
      <c r="J2" s="72"/>
      <c r="K2" s="72"/>
    </row>
    <row r="3" spans="1:11">
      <c r="A3" s="25"/>
      <c r="B3" s="705" t="s">
        <v>950</v>
      </c>
      <c r="C3" s="705"/>
      <c r="D3" s="705"/>
      <c r="E3" s="705"/>
      <c r="F3" s="705"/>
      <c r="G3" s="705"/>
      <c r="H3" s="705"/>
      <c r="I3" s="705"/>
      <c r="J3" s="705"/>
      <c r="K3" s="705"/>
    </row>
    <row r="4" spans="1:11">
      <c r="A4" s="25"/>
      <c r="B4" s="562" t="s">
        <v>665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11">
      <c r="A5" s="25"/>
      <c r="B5" s="730" t="s">
        <v>374</v>
      </c>
      <c r="C5" s="731"/>
      <c r="D5" s="731"/>
      <c r="E5" s="731"/>
      <c r="F5" s="732"/>
      <c r="G5" s="730" t="s">
        <v>1015</v>
      </c>
      <c r="H5" s="731"/>
      <c r="I5" s="731"/>
      <c r="J5" s="731"/>
      <c r="K5" s="732"/>
    </row>
    <row r="6" spans="1:11" ht="15" thickBot="1">
      <c r="A6" s="25"/>
      <c r="B6" s="733" t="s">
        <v>375</v>
      </c>
      <c r="C6" s="734"/>
      <c r="D6" s="734"/>
      <c r="E6" s="734"/>
      <c r="F6" s="734"/>
      <c r="G6" s="734"/>
      <c r="H6" s="734"/>
      <c r="I6" s="734"/>
      <c r="J6" s="734"/>
      <c r="K6" s="735"/>
    </row>
    <row r="7" spans="1:11" ht="15" thickBot="1">
      <c r="A7" s="25"/>
      <c r="B7" s="73"/>
      <c r="C7" s="342" t="s">
        <v>376</v>
      </c>
      <c r="D7" s="343" t="s">
        <v>377</v>
      </c>
      <c r="E7" s="343" t="s">
        <v>378</v>
      </c>
      <c r="F7" s="343" t="s">
        <v>378</v>
      </c>
      <c r="G7" s="387" t="s">
        <v>388</v>
      </c>
      <c r="H7" s="377" t="s">
        <v>656</v>
      </c>
      <c r="I7" s="343" t="s">
        <v>249</v>
      </c>
      <c r="J7" s="343" t="s">
        <v>379</v>
      </c>
      <c r="K7" s="343" t="s">
        <v>380</v>
      </c>
    </row>
    <row r="8" spans="1:11">
      <c r="A8" s="25"/>
      <c r="B8" s="44" t="s">
        <v>381</v>
      </c>
      <c r="C8" s="74" t="s">
        <v>382</v>
      </c>
      <c r="D8" s="75" t="s">
        <v>383</v>
      </c>
      <c r="E8" s="75" t="s">
        <v>384</v>
      </c>
      <c r="F8" s="75" t="s">
        <v>385</v>
      </c>
      <c r="G8" s="75" t="s">
        <v>655</v>
      </c>
      <c r="H8" s="75" t="s">
        <v>657</v>
      </c>
      <c r="I8" s="821"/>
      <c r="J8" s="821"/>
      <c r="K8" s="821"/>
    </row>
    <row r="9" spans="1:11">
      <c r="A9" s="25"/>
      <c r="B9" s="376" t="s">
        <v>389</v>
      </c>
      <c r="C9" s="74"/>
      <c r="D9" s="75">
        <f>SUM(D10:D62)</f>
        <v>41538</v>
      </c>
      <c r="E9" s="75">
        <f>SUM(E10:E62)</f>
        <v>72331753686</v>
      </c>
      <c r="F9" s="75">
        <f>SUM(F10:F62)</f>
        <v>77238241012</v>
      </c>
      <c r="G9" s="75"/>
      <c r="H9" s="75">
        <f>SUM(H10:H62)</f>
        <v>0</v>
      </c>
      <c r="I9" s="75"/>
      <c r="J9" s="75"/>
      <c r="K9" s="75"/>
    </row>
    <row r="10" spans="1:11">
      <c r="A10" s="25"/>
      <c r="B10" s="45" t="s">
        <v>1037</v>
      </c>
      <c r="C10" s="384" t="s">
        <v>1040</v>
      </c>
      <c r="D10" s="582">
        <v>5</v>
      </c>
      <c r="E10" s="583">
        <v>5000000</v>
      </c>
      <c r="F10" s="584">
        <f>+E10</f>
        <v>5000000</v>
      </c>
      <c r="G10" s="385">
        <v>1000000</v>
      </c>
      <c r="H10" s="385"/>
      <c r="I10" s="76"/>
      <c r="J10" s="76"/>
      <c r="K10" s="76"/>
    </row>
    <row r="11" spans="1:11">
      <c r="A11" s="25"/>
      <c r="B11" s="45" t="s">
        <v>1037</v>
      </c>
      <c r="C11" s="384" t="s">
        <v>1040</v>
      </c>
      <c r="D11" s="582">
        <v>305</v>
      </c>
      <c r="E11" s="583">
        <v>305000000</v>
      </c>
      <c r="F11" s="584">
        <f t="shared" ref="F11:F22" si="0">+E11</f>
        <v>305000000</v>
      </c>
      <c r="G11" s="385">
        <v>1000000</v>
      </c>
      <c r="H11" s="385"/>
      <c r="I11" s="76"/>
      <c r="J11" s="76"/>
      <c r="K11" s="76"/>
    </row>
    <row r="12" spans="1:11">
      <c r="A12" s="25"/>
      <c r="B12" s="45" t="s">
        <v>1037</v>
      </c>
      <c r="C12" s="384" t="s">
        <v>1040</v>
      </c>
      <c r="D12" s="582">
        <v>400</v>
      </c>
      <c r="E12" s="583">
        <v>400000000</v>
      </c>
      <c r="F12" s="584">
        <f t="shared" si="0"/>
        <v>400000000</v>
      </c>
      <c r="G12" s="385">
        <v>1000000</v>
      </c>
      <c r="H12" s="385"/>
      <c r="I12" s="76"/>
      <c r="J12" s="76"/>
      <c r="K12" s="76"/>
    </row>
    <row r="13" spans="1:11">
      <c r="A13" s="25"/>
      <c r="B13" s="45" t="s">
        <v>1037</v>
      </c>
      <c r="C13" s="384" t="s">
        <v>1040</v>
      </c>
      <c r="D13" s="582">
        <v>3390</v>
      </c>
      <c r="E13" s="583">
        <v>3390000000</v>
      </c>
      <c r="F13" s="584">
        <f t="shared" si="0"/>
        <v>3390000000</v>
      </c>
      <c r="G13" s="385">
        <v>1000000</v>
      </c>
      <c r="H13" s="385"/>
      <c r="I13" s="76"/>
      <c r="J13" s="76"/>
      <c r="K13" s="76"/>
    </row>
    <row r="14" spans="1:11">
      <c r="A14" s="25"/>
      <c r="B14" s="45" t="s">
        <v>1037</v>
      </c>
      <c r="C14" s="384" t="s">
        <v>1040</v>
      </c>
      <c r="D14" s="582">
        <v>1010</v>
      </c>
      <c r="E14" s="583">
        <v>1010000000</v>
      </c>
      <c r="F14" s="584">
        <f t="shared" si="0"/>
        <v>1010000000</v>
      </c>
      <c r="G14" s="385">
        <v>1000000</v>
      </c>
      <c r="H14" s="385"/>
      <c r="I14" s="76"/>
      <c r="J14" s="76"/>
      <c r="K14" s="76"/>
    </row>
    <row r="15" spans="1:11">
      <c r="A15" s="25"/>
      <c r="B15" s="45" t="s">
        <v>1037</v>
      </c>
      <c r="C15" s="384" t="s">
        <v>1040</v>
      </c>
      <c r="D15" s="582">
        <v>140</v>
      </c>
      <c r="E15" s="583">
        <v>140000000</v>
      </c>
      <c r="F15" s="584">
        <f t="shared" si="0"/>
        <v>140000000</v>
      </c>
      <c r="G15" s="385">
        <v>1000000</v>
      </c>
      <c r="H15" s="385"/>
      <c r="I15" s="429"/>
      <c r="J15" s="429"/>
      <c r="K15" s="429"/>
    </row>
    <row r="16" spans="1:11">
      <c r="A16" s="25"/>
      <c r="B16" s="45" t="s">
        <v>1037</v>
      </c>
      <c r="C16" s="384" t="s">
        <v>1040</v>
      </c>
      <c r="D16" s="582">
        <v>500</v>
      </c>
      <c r="E16" s="583">
        <v>500000000</v>
      </c>
      <c r="F16" s="584">
        <f t="shared" si="0"/>
        <v>500000000</v>
      </c>
      <c r="G16" s="385">
        <v>1000000</v>
      </c>
      <c r="H16" s="385"/>
      <c r="I16" s="76"/>
      <c r="J16" s="76"/>
      <c r="K16" s="76"/>
    </row>
    <row r="17" spans="1:11">
      <c r="A17" s="25"/>
      <c r="B17" s="383" t="s">
        <v>1037</v>
      </c>
      <c r="C17" s="384" t="s">
        <v>1040</v>
      </c>
      <c r="D17" s="582">
        <v>2000</v>
      </c>
      <c r="E17" s="583">
        <v>2000000000</v>
      </c>
      <c r="F17" s="584">
        <f t="shared" si="0"/>
        <v>2000000000</v>
      </c>
      <c r="G17" s="385">
        <v>1000000</v>
      </c>
      <c r="H17" s="385"/>
      <c r="I17" s="76"/>
      <c r="J17" s="76"/>
      <c r="K17" s="76"/>
    </row>
    <row r="18" spans="1:11">
      <c r="A18" s="202"/>
      <c r="B18" s="383" t="s">
        <v>952</v>
      </c>
      <c r="C18" s="585" t="s">
        <v>1040</v>
      </c>
      <c r="D18" s="586">
        <v>5000</v>
      </c>
      <c r="E18" s="587">
        <v>5000000000</v>
      </c>
      <c r="F18" s="584">
        <f t="shared" si="0"/>
        <v>5000000000</v>
      </c>
      <c r="G18" s="589">
        <v>1000000</v>
      </c>
      <c r="H18" s="385"/>
      <c r="I18" s="590"/>
      <c r="J18" s="590"/>
      <c r="K18" s="590"/>
    </row>
    <row r="19" spans="1:11">
      <c r="A19" s="25"/>
      <c r="B19" s="383" t="s">
        <v>952</v>
      </c>
      <c r="C19" s="384" t="s">
        <v>1040</v>
      </c>
      <c r="D19" s="582">
        <v>7500</v>
      </c>
      <c r="E19" s="587">
        <v>7500000000</v>
      </c>
      <c r="F19" s="584">
        <f t="shared" si="0"/>
        <v>7500000000</v>
      </c>
      <c r="G19" s="385">
        <v>1000000</v>
      </c>
      <c r="H19" s="385"/>
      <c r="I19" s="590"/>
      <c r="J19" s="590"/>
      <c r="K19" s="590"/>
    </row>
    <row r="20" spans="1:11" s="657" customFormat="1">
      <c r="A20" s="25"/>
      <c r="B20" s="383" t="s">
        <v>1038</v>
      </c>
      <c r="C20" s="384" t="s">
        <v>1041</v>
      </c>
      <c r="D20" s="582">
        <v>5000</v>
      </c>
      <c r="E20" s="583">
        <v>5000000000</v>
      </c>
      <c r="F20" s="584">
        <f t="shared" si="0"/>
        <v>5000000000</v>
      </c>
      <c r="G20" s="385">
        <v>1000000</v>
      </c>
      <c r="H20" s="385"/>
      <c r="I20" s="76"/>
      <c r="J20" s="76"/>
      <c r="K20" s="76"/>
    </row>
    <row r="21" spans="1:11">
      <c r="A21" s="25"/>
      <c r="B21" s="383" t="s">
        <v>1029</v>
      </c>
      <c r="C21" s="384" t="s">
        <v>1042</v>
      </c>
      <c r="D21" s="582">
        <v>10000</v>
      </c>
      <c r="E21" s="583">
        <v>10000000000</v>
      </c>
      <c r="F21" s="584">
        <f t="shared" si="0"/>
        <v>10000000000</v>
      </c>
      <c r="G21" s="385">
        <v>1000000</v>
      </c>
      <c r="H21" s="385"/>
      <c r="I21" s="76"/>
      <c r="J21" s="76"/>
      <c r="K21" s="76"/>
    </row>
    <row r="22" spans="1:11">
      <c r="A22" s="25"/>
      <c r="B22" s="383" t="s">
        <v>1029</v>
      </c>
      <c r="C22" s="384" t="s">
        <v>1042</v>
      </c>
      <c r="D22" s="582">
        <v>1500</v>
      </c>
      <c r="E22" s="583">
        <v>1500000000</v>
      </c>
      <c r="F22" s="584">
        <f t="shared" si="0"/>
        <v>1500000000</v>
      </c>
      <c r="G22" s="385">
        <v>1000000</v>
      </c>
      <c r="H22" s="385"/>
      <c r="I22" s="76"/>
      <c r="J22" s="76"/>
      <c r="K22" s="76"/>
    </row>
    <row r="23" spans="1:11">
      <c r="A23" s="25"/>
      <c r="B23" s="383" t="s">
        <v>1039</v>
      </c>
      <c r="C23" s="384" t="s">
        <v>1043</v>
      </c>
      <c r="D23" s="582">
        <v>4750</v>
      </c>
      <c r="E23" s="583">
        <v>4750000000</v>
      </c>
      <c r="F23" s="584">
        <f t="shared" ref="F23:F58" si="1">+E23</f>
        <v>4750000000</v>
      </c>
      <c r="G23" s="385">
        <v>1000000</v>
      </c>
      <c r="H23" s="385"/>
      <c r="I23" s="76"/>
      <c r="J23" s="76"/>
      <c r="K23" s="76"/>
    </row>
    <row r="24" spans="1:11">
      <c r="A24" s="25"/>
      <c r="B24" s="383" t="s">
        <v>1030</v>
      </c>
      <c r="C24" s="384" t="s">
        <v>386</v>
      </c>
      <c r="D24" s="582">
        <v>1</v>
      </c>
      <c r="E24" s="583">
        <v>501000000</v>
      </c>
      <c r="F24" s="584">
        <f t="shared" si="1"/>
        <v>501000000</v>
      </c>
      <c r="G24" s="385">
        <f>+F24</f>
        <v>501000000</v>
      </c>
      <c r="H24" s="385"/>
      <c r="I24" s="76"/>
      <c r="J24" s="76"/>
      <c r="K24" s="76"/>
    </row>
    <row r="25" spans="1:11">
      <c r="A25" s="25"/>
      <c r="B25" s="383" t="s">
        <v>1030</v>
      </c>
      <c r="C25" s="384" t="s">
        <v>386</v>
      </c>
      <c r="D25" s="582">
        <v>1</v>
      </c>
      <c r="E25" s="583">
        <v>501000000</v>
      </c>
      <c r="F25" s="584">
        <f t="shared" si="1"/>
        <v>501000000</v>
      </c>
      <c r="G25" s="385">
        <f t="shared" ref="G25:G58" si="2">+F25</f>
        <v>501000000</v>
      </c>
      <c r="H25" s="385"/>
      <c r="I25" s="76"/>
      <c r="J25" s="76"/>
      <c r="K25" s="76"/>
    </row>
    <row r="26" spans="1:11">
      <c r="A26" s="25"/>
      <c r="B26" s="383" t="s">
        <v>1030</v>
      </c>
      <c r="C26" s="384" t="s">
        <v>386</v>
      </c>
      <c r="D26" s="582">
        <v>1</v>
      </c>
      <c r="E26" s="583">
        <v>501000000</v>
      </c>
      <c r="F26" s="584">
        <f t="shared" si="1"/>
        <v>501000000</v>
      </c>
      <c r="G26" s="385">
        <f t="shared" si="2"/>
        <v>501000000</v>
      </c>
      <c r="H26" s="385"/>
      <c r="I26" s="76"/>
      <c r="J26" s="76"/>
      <c r="K26" s="76"/>
    </row>
    <row r="27" spans="1:11">
      <c r="A27" s="25"/>
      <c r="B27" s="383" t="s">
        <v>1030</v>
      </c>
      <c r="C27" s="384" t="s">
        <v>386</v>
      </c>
      <c r="D27" s="582">
        <v>1</v>
      </c>
      <c r="E27" s="583">
        <v>501000000</v>
      </c>
      <c r="F27" s="584">
        <f t="shared" si="1"/>
        <v>501000000</v>
      </c>
      <c r="G27" s="385">
        <f t="shared" si="2"/>
        <v>501000000</v>
      </c>
      <c r="H27" s="385"/>
      <c r="I27" s="76"/>
      <c r="J27" s="76"/>
      <c r="K27" s="76"/>
    </row>
    <row r="28" spans="1:11">
      <c r="A28" s="25"/>
      <c r="B28" s="383" t="s">
        <v>1030</v>
      </c>
      <c r="C28" s="384" t="s">
        <v>386</v>
      </c>
      <c r="D28" s="582">
        <v>1</v>
      </c>
      <c r="E28" s="583">
        <v>501000000</v>
      </c>
      <c r="F28" s="584">
        <f t="shared" si="1"/>
        <v>501000000</v>
      </c>
      <c r="G28" s="385">
        <f t="shared" si="2"/>
        <v>501000000</v>
      </c>
      <c r="H28" s="385"/>
      <c r="I28" s="76"/>
      <c r="J28" s="76"/>
      <c r="K28" s="76"/>
    </row>
    <row r="29" spans="1:11">
      <c r="A29" s="25"/>
      <c r="B29" s="383" t="s">
        <v>1030</v>
      </c>
      <c r="C29" s="384" t="s">
        <v>386</v>
      </c>
      <c r="D29" s="582">
        <v>1</v>
      </c>
      <c r="E29" s="583">
        <v>501000000</v>
      </c>
      <c r="F29" s="584">
        <f t="shared" si="1"/>
        <v>501000000</v>
      </c>
      <c r="G29" s="385">
        <f t="shared" si="2"/>
        <v>501000000</v>
      </c>
      <c r="H29" s="385"/>
      <c r="I29" s="76"/>
      <c r="J29" s="76"/>
      <c r="K29" s="76"/>
    </row>
    <row r="30" spans="1:11">
      <c r="A30" s="25"/>
      <c r="B30" s="383" t="s">
        <v>1030</v>
      </c>
      <c r="C30" s="384" t="s">
        <v>386</v>
      </c>
      <c r="D30" s="582">
        <v>1</v>
      </c>
      <c r="E30" s="583">
        <v>501000000</v>
      </c>
      <c r="F30" s="584">
        <f t="shared" si="1"/>
        <v>501000000</v>
      </c>
      <c r="G30" s="385">
        <f t="shared" si="2"/>
        <v>501000000</v>
      </c>
      <c r="H30" s="385"/>
      <c r="I30" s="76"/>
      <c r="J30" s="76"/>
      <c r="K30" s="76"/>
    </row>
    <row r="31" spans="1:11">
      <c r="A31" s="25"/>
      <c r="B31" s="383" t="s">
        <v>1030</v>
      </c>
      <c r="C31" s="384" t="s">
        <v>386</v>
      </c>
      <c r="D31" s="582">
        <v>1</v>
      </c>
      <c r="E31" s="583">
        <v>501000000</v>
      </c>
      <c r="F31" s="584">
        <f t="shared" si="1"/>
        <v>501000000</v>
      </c>
      <c r="G31" s="385">
        <f t="shared" si="2"/>
        <v>501000000</v>
      </c>
      <c r="H31" s="385"/>
      <c r="I31" s="76"/>
      <c r="J31" s="76"/>
      <c r="K31" s="76"/>
    </row>
    <row r="32" spans="1:11">
      <c r="A32" s="25"/>
      <c r="B32" s="383" t="s">
        <v>1030</v>
      </c>
      <c r="C32" s="384" t="s">
        <v>386</v>
      </c>
      <c r="D32" s="582">
        <v>1</v>
      </c>
      <c r="E32" s="583">
        <v>501000000</v>
      </c>
      <c r="F32" s="584">
        <f t="shared" si="1"/>
        <v>501000000</v>
      </c>
      <c r="G32" s="385">
        <f t="shared" si="2"/>
        <v>501000000</v>
      </c>
      <c r="H32" s="385"/>
      <c r="I32" s="76"/>
      <c r="J32" s="76"/>
      <c r="K32" s="76"/>
    </row>
    <row r="33" spans="1:11">
      <c r="A33" s="25"/>
      <c r="B33" s="383" t="s">
        <v>1030</v>
      </c>
      <c r="C33" s="384" t="s">
        <v>386</v>
      </c>
      <c r="D33" s="582">
        <v>1</v>
      </c>
      <c r="E33" s="583">
        <v>501000000</v>
      </c>
      <c r="F33" s="584">
        <f t="shared" si="1"/>
        <v>501000000</v>
      </c>
      <c r="G33" s="385">
        <f t="shared" si="2"/>
        <v>501000000</v>
      </c>
      <c r="H33" s="385"/>
      <c r="I33" s="76"/>
      <c r="J33" s="76"/>
      <c r="K33" s="76"/>
    </row>
    <row r="34" spans="1:11">
      <c r="A34" s="25"/>
      <c r="B34" s="383" t="s">
        <v>1030</v>
      </c>
      <c r="C34" s="384" t="s">
        <v>386</v>
      </c>
      <c r="D34" s="582">
        <v>1</v>
      </c>
      <c r="E34" s="583">
        <v>501000000</v>
      </c>
      <c r="F34" s="584">
        <f t="shared" si="1"/>
        <v>501000000</v>
      </c>
      <c r="G34" s="385">
        <f t="shared" si="2"/>
        <v>501000000</v>
      </c>
      <c r="H34" s="385"/>
      <c r="I34" s="76"/>
      <c r="J34" s="76"/>
      <c r="K34" s="76"/>
    </row>
    <row r="35" spans="1:11">
      <c r="A35" s="25"/>
      <c r="B35" s="383" t="s">
        <v>1030</v>
      </c>
      <c r="C35" s="384" t="s">
        <v>386</v>
      </c>
      <c r="D35" s="582">
        <v>1</v>
      </c>
      <c r="E35" s="583">
        <v>501000000</v>
      </c>
      <c r="F35" s="584">
        <f t="shared" si="1"/>
        <v>501000000</v>
      </c>
      <c r="G35" s="385">
        <f t="shared" si="2"/>
        <v>501000000</v>
      </c>
      <c r="H35" s="385"/>
      <c r="I35" s="76"/>
      <c r="J35" s="76"/>
      <c r="K35" s="76"/>
    </row>
    <row r="36" spans="1:11">
      <c r="A36" s="25"/>
      <c r="B36" s="383" t="s">
        <v>1030</v>
      </c>
      <c r="C36" s="384" t="s">
        <v>386</v>
      </c>
      <c r="D36" s="582">
        <v>1</v>
      </c>
      <c r="E36" s="583">
        <v>501000000</v>
      </c>
      <c r="F36" s="584">
        <f t="shared" si="1"/>
        <v>501000000</v>
      </c>
      <c r="G36" s="385">
        <f t="shared" si="2"/>
        <v>501000000</v>
      </c>
      <c r="H36" s="385"/>
      <c r="I36" s="76"/>
      <c r="J36" s="76"/>
      <c r="K36" s="76"/>
    </row>
    <row r="37" spans="1:11">
      <c r="A37" s="25"/>
      <c r="B37" s="383" t="s">
        <v>1030</v>
      </c>
      <c r="C37" s="384" t="s">
        <v>386</v>
      </c>
      <c r="D37" s="582">
        <v>1</v>
      </c>
      <c r="E37" s="583">
        <v>501000000</v>
      </c>
      <c r="F37" s="584">
        <f t="shared" si="1"/>
        <v>501000000</v>
      </c>
      <c r="G37" s="385">
        <f t="shared" si="2"/>
        <v>501000000</v>
      </c>
      <c r="H37" s="385"/>
      <c r="I37" s="76"/>
      <c r="J37" s="76"/>
      <c r="K37" s="76"/>
    </row>
    <row r="38" spans="1:11">
      <c r="A38" s="25"/>
      <c r="B38" s="383" t="s">
        <v>1030</v>
      </c>
      <c r="C38" s="384" t="s">
        <v>386</v>
      </c>
      <c r="D38" s="582">
        <v>1</v>
      </c>
      <c r="E38" s="583">
        <v>501000000</v>
      </c>
      <c r="F38" s="584">
        <f t="shared" si="1"/>
        <v>501000000</v>
      </c>
      <c r="G38" s="385">
        <f t="shared" si="2"/>
        <v>501000000</v>
      </c>
      <c r="H38" s="385"/>
      <c r="I38" s="76"/>
      <c r="J38" s="76"/>
      <c r="K38" s="76"/>
    </row>
    <row r="39" spans="1:11">
      <c r="A39" s="25"/>
      <c r="B39" s="383" t="s">
        <v>1030</v>
      </c>
      <c r="C39" s="384" t="s">
        <v>386</v>
      </c>
      <c r="D39" s="582">
        <v>1</v>
      </c>
      <c r="E39" s="583">
        <v>501000000</v>
      </c>
      <c r="F39" s="584">
        <f t="shared" si="1"/>
        <v>501000000</v>
      </c>
      <c r="G39" s="385">
        <f t="shared" si="2"/>
        <v>501000000</v>
      </c>
      <c r="H39" s="385"/>
      <c r="I39" s="76"/>
      <c r="J39" s="76"/>
      <c r="K39" s="76"/>
    </row>
    <row r="40" spans="1:11">
      <c r="A40" s="25"/>
      <c r="B40" s="383" t="s">
        <v>1030</v>
      </c>
      <c r="C40" s="384" t="s">
        <v>386</v>
      </c>
      <c r="D40" s="582">
        <v>1</v>
      </c>
      <c r="E40" s="583">
        <v>501000000</v>
      </c>
      <c r="F40" s="584">
        <f t="shared" si="1"/>
        <v>501000000</v>
      </c>
      <c r="G40" s="385">
        <f t="shared" si="2"/>
        <v>501000000</v>
      </c>
      <c r="H40" s="385"/>
      <c r="I40" s="76"/>
      <c r="J40" s="76"/>
      <c r="K40" s="76"/>
    </row>
    <row r="41" spans="1:11">
      <c r="A41" s="25"/>
      <c r="B41" s="383" t="s">
        <v>1030</v>
      </c>
      <c r="C41" s="384" t="s">
        <v>386</v>
      </c>
      <c r="D41" s="582">
        <v>1</v>
      </c>
      <c r="E41" s="583">
        <v>501000000</v>
      </c>
      <c r="F41" s="584">
        <f t="shared" si="1"/>
        <v>501000000</v>
      </c>
      <c r="G41" s="385">
        <f t="shared" si="2"/>
        <v>501000000</v>
      </c>
      <c r="H41" s="385"/>
      <c r="I41" s="76"/>
      <c r="J41" s="76"/>
      <c r="K41" s="76"/>
    </row>
    <row r="42" spans="1:11">
      <c r="A42" s="25"/>
      <c r="B42" s="383" t="s">
        <v>1030</v>
      </c>
      <c r="C42" s="384" t="s">
        <v>386</v>
      </c>
      <c r="D42" s="582">
        <v>1</v>
      </c>
      <c r="E42" s="583">
        <v>501000000</v>
      </c>
      <c r="F42" s="584">
        <f t="shared" si="1"/>
        <v>501000000</v>
      </c>
      <c r="G42" s="385">
        <f t="shared" si="2"/>
        <v>501000000</v>
      </c>
      <c r="H42" s="385"/>
      <c r="I42" s="76"/>
      <c r="J42" s="76"/>
      <c r="K42" s="76"/>
    </row>
    <row r="43" spans="1:11">
      <c r="A43" s="25"/>
      <c r="B43" s="383" t="s">
        <v>1030</v>
      </c>
      <c r="C43" s="384" t="s">
        <v>386</v>
      </c>
      <c r="D43" s="582">
        <v>1</v>
      </c>
      <c r="E43" s="583">
        <v>501000000</v>
      </c>
      <c r="F43" s="584">
        <f t="shared" si="1"/>
        <v>501000000</v>
      </c>
      <c r="G43" s="385">
        <f t="shared" si="2"/>
        <v>501000000</v>
      </c>
      <c r="H43" s="385"/>
      <c r="I43" s="76"/>
      <c r="J43" s="76"/>
      <c r="K43" s="76"/>
    </row>
    <row r="44" spans="1:11">
      <c r="A44" s="25"/>
      <c r="B44" s="383" t="s">
        <v>1030</v>
      </c>
      <c r="C44" s="384" t="s">
        <v>386</v>
      </c>
      <c r="D44" s="582">
        <v>1</v>
      </c>
      <c r="E44" s="583">
        <v>501000000</v>
      </c>
      <c r="F44" s="584">
        <f t="shared" si="1"/>
        <v>501000000</v>
      </c>
      <c r="G44" s="385">
        <f t="shared" si="2"/>
        <v>501000000</v>
      </c>
      <c r="H44" s="385"/>
      <c r="I44" s="76"/>
      <c r="J44" s="76"/>
      <c r="K44" s="76"/>
    </row>
    <row r="45" spans="1:11">
      <c r="A45" s="25"/>
      <c r="B45" s="383" t="s">
        <v>1030</v>
      </c>
      <c r="C45" s="384" t="s">
        <v>386</v>
      </c>
      <c r="D45" s="582">
        <v>1</v>
      </c>
      <c r="E45" s="583">
        <v>501000000</v>
      </c>
      <c r="F45" s="584">
        <f t="shared" si="1"/>
        <v>501000000</v>
      </c>
      <c r="G45" s="385">
        <f t="shared" si="2"/>
        <v>501000000</v>
      </c>
      <c r="H45" s="385"/>
      <c r="I45" s="76"/>
      <c r="J45" s="76"/>
      <c r="K45" s="76"/>
    </row>
    <row r="46" spans="1:11">
      <c r="A46" s="25"/>
      <c r="B46" s="383" t="s">
        <v>1030</v>
      </c>
      <c r="C46" s="384" t="s">
        <v>386</v>
      </c>
      <c r="D46" s="582">
        <v>1</v>
      </c>
      <c r="E46" s="583">
        <v>501000000</v>
      </c>
      <c r="F46" s="584">
        <f t="shared" si="1"/>
        <v>501000000</v>
      </c>
      <c r="G46" s="385">
        <f t="shared" si="2"/>
        <v>501000000</v>
      </c>
      <c r="H46" s="385"/>
      <c r="I46" s="76"/>
      <c r="J46" s="76"/>
      <c r="K46" s="76"/>
    </row>
    <row r="47" spans="1:11">
      <c r="A47" s="25"/>
      <c r="B47" s="383" t="s">
        <v>1030</v>
      </c>
      <c r="C47" s="384" t="s">
        <v>386</v>
      </c>
      <c r="D47" s="582">
        <v>1</v>
      </c>
      <c r="E47" s="583">
        <v>501000000</v>
      </c>
      <c r="F47" s="584">
        <f t="shared" si="1"/>
        <v>501000000</v>
      </c>
      <c r="G47" s="385">
        <f t="shared" si="2"/>
        <v>501000000</v>
      </c>
      <c r="H47" s="385"/>
      <c r="I47" s="76"/>
      <c r="J47" s="76"/>
      <c r="K47" s="76"/>
    </row>
    <row r="48" spans="1:11">
      <c r="A48" s="25"/>
      <c r="B48" s="383" t="s">
        <v>1030</v>
      </c>
      <c r="C48" s="384" t="s">
        <v>386</v>
      </c>
      <c r="D48" s="582">
        <v>1</v>
      </c>
      <c r="E48" s="583">
        <v>501000000</v>
      </c>
      <c r="F48" s="584">
        <f t="shared" si="1"/>
        <v>501000000</v>
      </c>
      <c r="G48" s="385">
        <f t="shared" si="2"/>
        <v>501000000</v>
      </c>
      <c r="H48" s="385"/>
      <c r="I48" s="76"/>
      <c r="J48" s="76"/>
      <c r="K48" s="76"/>
    </row>
    <row r="49" spans="1:11">
      <c r="A49" s="25"/>
      <c r="B49" s="383" t="s">
        <v>1030</v>
      </c>
      <c r="C49" s="384" t="s">
        <v>386</v>
      </c>
      <c r="D49" s="582">
        <v>1</v>
      </c>
      <c r="E49" s="583">
        <v>501000000</v>
      </c>
      <c r="F49" s="584">
        <f t="shared" si="1"/>
        <v>501000000</v>
      </c>
      <c r="G49" s="385">
        <f t="shared" si="2"/>
        <v>501000000</v>
      </c>
      <c r="H49" s="385"/>
      <c r="I49" s="76"/>
      <c r="J49" s="76"/>
      <c r="K49" s="76"/>
    </row>
    <row r="50" spans="1:11">
      <c r="A50" s="25"/>
      <c r="B50" s="383" t="s">
        <v>1030</v>
      </c>
      <c r="C50" s="384" t="s">
        <v>386</v>
      </c>
      <c r="D50" s="582">
        <v>1</v>
      </c>
      <c r="E50" s="583">
        <v>501000000</v>
      </c>
      <c r="F50" s="584">
        <f t="shared" si="1"/>
        <v>501000000</v>
      </c>
      <c r="G50" s="385">
        <f t="shared" si="2"/>
        <v>501000000</v>
      </c>
      <c r="H50" s="385"/>
      <c r="I50" s="76"/>
      <c r="J50" s="76"/>
      <c r="K50" s="76"/>
    </row>
    <row r="51" spans="1:11">
      <c r="A51" s="25"/>
      <c r="B51" s="383" t="s">
        <v>1030</v>
      </c>
      <c r="C51" s="384" t="s">
        <v>386</v>
      </c>
      <c r="D51" s="582">
        <v>1</v>
      </c>
      <c r="E51" s="583">
        <v>501000000</v>
      </c>
      <c r="F51" s="584">
        <f t="shared" si="1"/>
        <v>501000000</v>
      </c>
      <c r="G51" s="385">
        <f t="shared" si="2"/>
        <v>501000000</v>
      </c>
      <c r="H51" s="385"/>
      <c r="I51" s="76"/>
      <c r="J51" s="76"/>
      <c r="K51" s="76"/>
    </row>
    <row r="52" spans="1:11">
      <c r="A52" s="25"/>
      <c r="B52" s="383" t="s">
        <v>1030</v>
      </c>
      <c r="C52" s="384" t="s">
        <v>386</v>
      </c>
      <c r="D52" s="582">
        <v>1</v>
      </c>
      <c r="E52" s="583">
        <v>501000000</v>
      </c>
      <c r="F52" s="584">
        <f t="shared" si="1"/>
        <v>501000000</v>
      </c>
      <c r="G52" s="385">
        <f t="shared" si="2"/>
        <v>501000000</v>
      </c>
      <c r="H52" s="385"/>
      <c r="I52" s="76"/>
      <c r="J52" s="76"/>
      <c r="K52" s="76"/>
    </row>
    <row r="53" spans="1:11">
      <c r="A53" s="25"/>
      <c r="B53" s="383" t="s">
        <v>1030</v>
      </c>
      <c r="C53" s="384" t="s">
        <v>386</v>
      </c>
      <c r="D53" s="582">
        <v>1</v>
      </c>
      <c r="E53" s="583">
        <v>501000000</v>
      </c>
      <c r="F53" s="584">
        <f t="shared" si="1"/>
        <v>501000000</v>
      </c>
      <c r="G53" s="385">
        <f t="shared" si="2"/>
        <v>501000000</v>
      </c>
      <c r="H53" s="385"/>
      <c r="I53" s="76"/>
      <c r="J53" s="76"/>
      <c r="K53" s="76"/>
    </row>
    <row r="54" spans="1:11">
      <c r="A54" s="25"/>
      <c r="B54" s="383" t="s">
        <v>1030</v>
      </c>
      <c r="C54" s="384" t="s">
        <v>386</v>
      </c>
      <c r="D54" s="582">
        <v>1</v>
      </c>
      <c r="E54" s="583">
        <v>501000000</v>
      </c>
      <c r="F54" s="584">
        <f t="shared" si="1"/>
        <v>501000000</v>
      </c>
      <c r="G54" s="385">
        <f t="shared" si="2"/>
        <v>501000000</v>
      </c>
      <c r="H54" s="385"/>
      <c r="I54" s="76"/>
      <c r="J54" s="76"/>
      <c r="K54" s="76"/>
    </row>
    <row r="55" spans="1:11">
      <c r="A55" s="25"/>
      <c r="B55" s="383" t="s">
        <v>1030</v>
      </c>
      <c r="C55" s="384" t="s">
        <v>386</v>
      </c>
      <c r="D55" s="582">
        <v>1</v>
      </c>
      <c r="E55" s="583">
        <v>501000000</v>
      </c>
      <c r="F55" s="584">
        <f t="shared" si="1"/>
        <v>501000000</v>
      </c>
      <c r="G55" s="385">
        <f t="shared" si="2"/>
        <v>501000000</v>
      </c>
      <c r="H55" s="385"/>
      <c r="I55" s="76"/>
      <c r="J55" s="76"/>
      <c r="K55" s="76"/>
    </row>
    <row r="56" spans="1:11">
      <c r="A56" s="25"/>
      <c r="B56" s="383" t="s">
        <v>1030</v>
      </c>
      <c r="C56" s="384" t="s">
        <v>386</v>
      </c>
      <c r="D56" s="582">
        <v>1</v>
      </c>
      <c r="E56" s="583">
        <v>501000000</v>
      </c>
      <c r="F56" s="584">
        <f t="shared" si="1"/>
        <v>501000000</v>
      </c>
      <c r="G56" s="385">
        <f t="shared" si="2"/>
        <v>501000000</v>
      </c>
      <c r="H56" s="385"/>
      <c r="I56" s="76"/>
      <c r="J56" s="76"/>
      <c r="K56" s="76"/>
    </row>
    <row r="57" spans="1:11">
      <c r="A57" s="25"/>
      <c r="B57" s="383" t="s">
        <v>1030</v>
      </c>
      <c r="C57" s="384" t="s">
        <v>386</v>
      </c>
      <c r="D57" s="582">
        <v>1</v>
      </c>
      <c r="E57" s="583">
        <v>501000000</v>
      </c>
      <c r="F57" s="584">
        <f t="shared" si="1"/>
        <v>501000000</v>
      </c>
      <c r="G57" s="385">
        <f t="shared" si="2"/>
        <v>501000000</v>
      </c>
      <c r="H57" s="385"/>
      <c r="I57" s="76"/>
      <c r="J57" s="76"/>
      <c r="K57" s="76"/>
    </row>
    <row r="58" spans="1:11">
      <c r="A58" s="25"/>
      <c r="B58" s="383" t="s">
        <v>1030</v>
      </c>
      <c r="C58" s="384" t="s">
        <v>386</v>
      </c>
      <c r="D58" s="582">
        <v>1</v>
      </c>
      <c r="E58" s="583">
        <v>501000000</v>
      </c>
      <c r="F58" s="584">
        <f t="shared" si="1"/>
        <v>501000000</v>
      </c>
      <c r="G58" s="385">
        <f t="shared" si="2"/>
        <v>501000000</v>
      </c>
      <c r="H58" s="385"/>
      <c r="I58" s="76"/>
      <c r="J58" s="76"/>
      <c r="K58" s="76"/>
    </row>
    <row r="59" spans="1:11">
      <c r="A59" s="202"/>
      <c r="B59" s="383" t="s">
        <v>952</v>
      </c>
      <c r="C59" s="384" t="s">
        <v>386</v>
      </c>
      <c r="D59" s="582">
        <v>1</v>
      </c>
      <c r="E59" s="583">
        <v>12588866686</v>
      </c>
      <c r="F59" s="584">
        <v>12588866686</v>
      </c>
      <c r="G59" s="385">
        <v>12588866686</v>
      </c>
      <c r="H59" s="385"/>
      <c r="I59" s="76"/>
      <c r="J59" s="76"/>
      <c r="K59" s="76"/>
    </row>
    <row r="60" spans="1:11">
      <c r="A60" s="202"/>
      <c r="B60" s="383" t="s">
        <v>892</v>
      </c>
      <c r="C60" s="384" t="s">
        <v>386</v>
      </c>
      <c r="D60" s="582">
        <v>1</v>
      </c>
      <c r="E60" s="583">
        <f>50000*7078.87</f>
        <v>353943500</v>
      </c>
      <c r="F60" s="584">
        <f>+E60</f>
        <v>353943500</v>
      </c>
      <c r="G60" s="385">
        <f>+F60</f>
        <v>353943500</v>
      </c>
      <c r="H60" s="385"/>
      <c r="I60" s="76"/>
      <c r="J60" s="76"/>
      <c r="K60" s="76"/>
    </row>
    <row r="61" spans="1:11">
      <c r="A61" s="202"/>
      <c r="B61" s="383" t="s">
        <v>892</v>
      </c>
      <c r="C61" s="384" t="s">
        <v>386</v>
      </c>
      <c r="D61" s="582">
        <v>1</v>
      </c>
      <c r="E61" s="583">
        <f>50000*7078.87</f>
        <v>353943500</v>
      </c>
      <c r="F61" s="584">
        <f>+E61</f>
        <v>353943500</v>
      </c>
      <c r="G61" s="385">
        <f>+F61</f>
        <v>353943500</v>
      </c>
      <c r="H61" s="385"/>
      <c r="I61" s="76"/>
      <c r="J61" s="76"/>
      <c r="K61" s="76"/>
    </row>
    <row r="62" spans="1:11">
      <c r="A62" s="202"/>
      <c r="B62" s="383" t="s">
        <v>954</v>
      </c>
      <c r="C62" s="585"/>
      <c r="D62" s="586"/>
      <c r="E62" s="587"/>
      <c r="F62" s="588">
        <f>+'[6]EEFF '!$B$31+'[6]EEFF '!$B$29</f>
        <v>4906487326</v>
      </c>
      <c r="G62" s="588">
        <v>0</v>
      </c>
      <c r="H62" s="385"/>
      <c r="I62" s="76"/>
      <c r="J62" s="76"/>
      <c r="K62" s="76"/>
    </row>
    <row r="63" spans="1:11" ht="15" thickBot="1">
      <c r="A63" s="25"/>
      <c r="B63" s="736" t="s">
        <v>649</v>
      </c>
      <c r="C63" s="737"/>
      <c r="D63" s="737"/>
      <c r="E63" s="737"/>
      <c r="F63" s="737"/>
      <c r="G63" s="737"/>
      <c r="H63" s="737"/>
      <c r="I63" s="737"/>
      <c r="J63" s="737"/>
      <c r="K63" s="738"/>
    </row>
    <row r="64" spans="1:11" ht="15" thickBot="1">
      <c r="A64" s="25"/>
      <c r="B64" s="73"/>
      <c r="C64" s="342" t="s">
        <v>376</v>
      </c>
      <c r="D64" s="343" t="s">
        <v>377</v>
      </c>
      <c r="E64" s="343" t="s">
        <v>378</v>
      </c>
      <c r="F64" s="343" t="s">
        <v>378</v>
      </c>
      <c r="G64" s="377" t="s">
        <v>658</v>
      </c>
      <c r="H64" s="377" t="s">
        <v>659</v>
      </c>
      <c r="I64" s="343" t="s">
        <v>249</v>
      </c>
      <c r="J64" s="343" t="s">
        <v>379</v>
      </c>
      <c r="K64" s="343" t="s">
        <v>380</v>
      </c>
    </row>
    <row r="65" spans="1:11">
      <c r="A65" s="25"/>
      <c r="B65" s="44" t="s">
        <v>381</v>
      </c>
      <c r="C65" s="74" t="s">
        <v>382</v>
      </c>
      <c r="D65" s="75" t="s">
        <v>383</v>
      </c>
      <c r="E65" s="75" t="s">
        <v>384</v>
      </c>
      <c r="F65" s="75" t="s">
        <v>385</v>
      </c>
      <c r="G65" s="75" t="s">
        <v>403</v>
      </c>
      <c r="H65" s="75" t="s">
        <v>660</v>
      </c>
      <c r="I65" s="76"/>
      <c r="J65" s="76"/>
      <c r="K65" s="76"/>
    </row>
    <row r="66" spans="1:11">
      <c r="A66" s="25"/>
      <c r="B66" s="376" t="s">
        <v>389</v>
      </c>
      <c r="C66" s="74"/>
      <c r="D66" s="75">
        <f>SUM(D67:D93)</f>
        <v>25217</v>
      </c>
      <c r="E66" s="75">
        <f>SUM(E67:E93)</f>
        <v>1531700000</v>
      </c>
      <c r="F66" s="75">
        <f>SUM(F67:F93)</f>
        <v>3064830000</v>
      </c>
      <c r="G66" s="343"/>
      <c r="H66" s="75"/>
      <c r="I66" s="343"/>
      <c r="J66" s="343"/>
      <c r="K66" s="343"/>
    </row>
    <row r="67" spans="1:11">
      <c r="A67" s="25"/>
      <c r="B67" s="383" t="s">
        <v>955</v>
      </c>
      <c r="C67" s="384" t="s">
        <v>526</v>
      </c>
      <c r="D67" s="582">
        <v>897</v>
      </c>
      <c r="E67" s="591">
        <v>89700000</v>
      </c>
      <c r="F67" s="591">
        <v>89700000</v>
      </c>
      <c r="G67" s="429">
        <v>100000</v>
      </c>
      <c r="H67" s="429"/>
      <c r="I67" s="429"/>
      <c r="J67" s="429"/>
      <c r="K67" s="429"/>
    </row>
    <row r="68" spans="1:11">
      <c r="A68" s="25"/>
      <c r="B68" s="383" t="s">
        <v>955</v>
      </c>
      <c r="C68" s="384" t="s">
        <v>526</v>
      </c>
      <c r="D68" s="582">
        <v>853</v>
      </c>
      <c r="E68" s="591">
        <v>85300000</v>
      </c>
      <c r="F68" s="591">
        <v>85300000</v>
      </c>
      <c r="G68" s="429">
        <v>100000</v>
      </c>
      <c r="H68" s="429"/>
      <c r="I68" s="429"/>
      <c r="J68" s="429"/>
      <c r="K68" s="429"/>
    </row>
    <row r="69" spans="1:11">
      <c r="A69" s="25"/>
      <c r="B69" s="383" t="s">
        <v>956</v>
      </c>
      <c r="C69" s="384" t="s">
        <v>526</v>
      </c>
      <c r="D69" s="582">
        <v>10000</v>
      </c>
      <c r="E69" s="591">
        <v>10000000</v>
      </c>
      <c r="F69" s="591">
        <v>10000000</v>
      </c>
      <c r="G69" s="429">
        <v>1000</v>
      </c>
      <c r="H69" s="429"/>
      <c r="I69" s="343"/>
      <c r="J69" s="343"/>
      <c r="K69" s="343"/>
    </row>
    <row r="70" spans="1:11">
      <c r="A70" s="25"/>
      <c r="B70" s="383" t="s">
        <v>892</v>
      </c>
      <c r="C70" s="384" t="s">
        <v>526</v>
      </c>
      <c r="D70" s="582">
        <v>113</v>
      </c>
      <c r="E70" s="591">
        <v>11300000</v>
      </c>
      <c r="F70" s="591">
        <v>16950000</v>
      </c>
      <c r="G70" s="429">
        <v>100000</v>
      </c>
      <c r="H70" s="429"/>
      <c r="I70" s="429"/>
      <c r="J70" s="429"/>
      <c r="K70" s="429"/>
    </row>
    <row r="71" spans="1:11">
      <c r="A71" s="25"/>
      <c r="B71" s="383" t="s">
        <v>892</v>
      </c>
      <c r="C71" s="384" t="s">
        <v>526</v>
      </c>
      <c r="D71" s="582">
        <v>60</v>
      </c>
      <c r="E71" s="591">
        <v>6000000</v>
      </c>
      <c r="F71" s="591">
        <v>9000000</v>
      </c>
      <c r="G71" s="429">
        <v>100000</v>
      </c>
      <c r="H71" s="429"/>
      <c r="I71" s="429"/>
      <c r="J71" s="429"/>
      <c r="K71" s="429"/>
    </row>
    <row r="72" spans="1:11">
      <c r="A72" s="25"/>
      <c r="B72" s="383" t="s">
        <v>892</v>
      </c>
      <c r="C72" s="384" t="s">
        <v>526</v>
      </c>
      <c r="D72" s="582">
        <v>190</v>
      </c>
      <c r="E72" s="591">
        <v>19000000</v>
      </c>
      <c r="F72" s="591">
        <v>28500000</v>
      </c>
      <c r="G72" s="429">
        <v>100000</v>
      </c>
      <c r="H72" s="429"/>
      <c r="I72" s="429"/>
      <c r="J72" s="429"/>
      <c r="K72" s="429"/>
    </row>
    <row r="73" spans="1:11">
      <c r="A73" s="25"/>
      <c r="B73" s="383" t="s">
        <v>892</v>
      </c>
      <c r="C73" s="384" t="s">
        <v>526</v>
      </c>
      <c r="D73" s="582">
        <v>1000</v>
      </c>
      <c r="E73" s="591">
        <v>100000000</v>
      </c>
      <c r="F73" s="591">
        <v>140000000</v>
      </c>
      <c r="G73" s="429">
        <v>100000</v>
      </c>
      <c r="H73" s="429"/>
      <c r="I73" s="429"/>
      <c r="J73" s="429"/>
      <c r="K73" s="429"/>
    </row>
    <row r="74" spans="1:11">
      <c r="A74" s="25"/>
      <c r="B74" s="383" t="s">
        <v>892</v>
      </c>
      <c r="C74" s="384" t="s">
        <v>526</v>
      </c>
      <c r="D74" s="582">
        <v>29</v>
      </c>
      <c r="E74" s="591">
        <v>2900000</v>
      </c>
      <c r="F74" s="591">
        <v>2900000</v>
      </c>
      <c r="G74" s="429">
        <v>100000</v>
      </c>
      <c r="H74" s="429"/>
      <c r="I74" s="429"/>
      <c r="J74" s="429"/>
      <c r="K74" s="429"/>
    </row>
    <row r="75" spans="1:11">
      <c r="A75" s="25"/>
      <c r="B75" s="383" t="s">
        <v>892</v>
      </c>
      <c r="C75" s="384" t="s">
        <v>526</v>
      </c>
      <c r="D75" s="582">
        <v>770</v>
      </c>
      <c r="E75" s="591">
        <v>77000000</v>
      </c>
      <c r="F75" s="591">
        <v>150150000</v>
      </c>
      <c r="G75" s="429">
        <v>100000</v>
      </c>
      <c r="H75" s="429"/>
      <c r="I75" s="429"/>
      <c r="J75" s="429"/>
      <c r="K75" s="429"/>
    </row>
    <row r="76" spans="1:11">
      <c r="A76" s="25"/>
      <c r="B76" s="383" t="s">
        <v>892</v>
      </c>
      <c r="C76" s="384" t="s">
        <v>526</v>
      </c>
      <c r="D76" s="582">
        <v>397</v>
      </c>
      <c r="E76" s="591">
        <v>39700000</v>
      </c>
      <c r="F76" s="591">
        <v>77415000</v>
      </c>
      <c r="G76" s="429">
        <v>100000</v>
      </c>
      <c r="H76" s="429"/>
      <c r="I76" s="429"/>
      <c r="J76" s="429"/>
      <c r="K76" s="429"/>
    </row>
    <row r="77" spans="1:11">
      <c r="A77" s="25"/>
      <c r="B77" s="383" t="s">
        <v>892</v>
      </c>
      <c r="C77" s="384" t="s">
        <v>526</v>
      </c>
      <c r="D77" s="582">
        <v>945</v>
      </c>
      <c r="E77" s="591">
        <v>94500000</v>
      </c>
      <c r="F77" s="591">
        <v>146475000</v>
      </c>
      <c r="G77" s="429">
        <v>100000</v>
      </c>
      <c r="H77" s="429"/>
      <c r="I77" s="429"/>
      <c r="J77" s="429"/>
      <c r="K77" s="429"/>
    </row>
    <row r="78" spans="1:11">
      <c r="A78" s="25"/>
      <c r="B78" s="383" t="s">
        <v>892</v>
      </c>
      <c r="C78" s="384" t="s">
        <v>526</v>
      </c>
      <c r="D78" s="582">
        <v>547</v>
      </c>
      <c r="E78" s="591">
        <v>54700000</v>
      </c>
      <c r="F78" s="591">
        <v>73845000</v>
      </c>
      <c r="G78" s="429">
        <v>100000</v>
      </c>
      <c r="H78" s="429"/>
      <c r="I78" s="429"/>
      <c r="J78" s="429"/>
      <c r="K78" s="429"/>
    </row>
    <row r="79" spans="1:11">
      <c r="A79" s="25"/>
      <c r="B79" s="383" t="s">
        <v>892</v>
      </c>
      <c r="C79" s="384" t="s">
        <v>526</v>
      </c>
      <c r="D79" s="582">
        <v>1943</v>
      </c>
      <c r="E79" s="591">
        <v>194300000</v>
      </c>
      <c r="F79" s="591">
        <v>272020000</v>
      </c>
      <c r="G79" s="429">
        <v>100000</v>
      </c>
      <c r="H79" s="429"/>
      <c r="I79" s="429"/>
      <c r="J79" s="429"/>
      <c r="K79" s="429"/>
    </row>
    <row r="80" spans="1:11">
      <c r="A80" s="25"/>
      <c r="B80" s="383" t="s">
        <v>892</v>
      </c>
      <c r="C80" s="384" t="s">
        <v>526</v>
      </c>
      <c r="D80" s="582">
        <v>667</v>
      </c>
      <c r="E80" s="591">
        <v>66700000</v>
      </c>
      <c r="F80" s="591">
        <v>93380000</v>
      </c>
      <c r="G80" s="429">
        <v>100000</v>
      </c>
      <c r="H80" s="429"/>
      <c r="I80" s="429"/>
      <c r="J80" s="429"/>
      <c r="K80" s="429"/>
    </row>
    <row r="81" spans="1:11">
      <c r="A81" s="25"/>
      <c r="B81" s="383" t="s">
        <v>892</v>
      </c>
      <c r="C81" s="384" t="s">
        <v>526</v>
      </c>
      <c r="D81" s="582">
        <v>47</v>
      </c>
      <c r="E81" s="591">
        <v>4700000</v>
      </c>
      <c r="F81" s="591">
        <v>7285000</v>
      </c>
      <c r="G81" s="429">
        <v>100000</v>
      </c>
      <c r="H81" s="429"/>
      <c r="I81" s="429"/>
      <c r="J81" s="429"/>
      <c r="K81" s="429"/>
    </row>
    <row r="82" spans="1:11">
      <c r="A82" s="202"/>
      <c r="B82" s="383" t="s">
        <v>1035</v>
      </c>
      <c r="C82" s="585" t="s">
        <v>526</v>
      </c>
      <c r="D82" s="586">
        <v>100</v>
      </c>
      <c r="E82" s="587">
        <v>10000000</v>
      </c>
      <c r="F82" s="591">
        <v>10400000</v>
      </c>
      <c r="G82" s="589">
        <v>100000</v>
      </c>
      <c r="H82" s="589"/>
      <c r="I82" s="429"/>
      <c r="J82" s="429"/>
      <c r="K82" s="429"/>
    </row>
    <row r="83" spans="1:11">
      <c r="A83" s="202"/>
      <c r="B83" s="383" t="s">
        <v>892</v>
      </c>
      <c r="C83" s="585" t="s">
        <v>526</v>
      </c>
      <c r="D83" s="586">
        <v>27</v>
      </c>
      <c r="E83" s="587">
        <v>2700000</v>
      </c>
      <c r="F83" s="591">
        <v>2700000</v>
      </c>
      <c r="G83" s="589">
        <v>100000</v>
      </c>
      <c r="H83" s="589"/>
      <c r="I83" s="429"/>
      <c r="J83" s="429"/>
      <c r="K83" s="429"/>
    </row>
    <row r="84" spans="1:11">
      <c r="A84" s="202"/>
      <c r="B84" s="383" t="s">
        <v>892</v>
      </c>
      <c r="C84" s="585" t="s">
        <v>526</v>
      </c>
      <c r="D84" s="586">
        <v>73</v>
      </c>
      <c r="E84" s="587">
        <v>7300000</v>
      </c>
      <c r="F84" s="591">
        <v>7300000</v>
      </c>
      <c r="G84" s="589">
        <v>100000</v>
      </c>
      <c r="H84" s="589"/>
      <c r="I84" s="429"/>
      <c r="J84" s="429"/>
      <c r="K84" s="429"/>
    </row>
    <row r="85" spans="1:11">
      <c r="A85" s="202"/>
      <c r="B85" s="383" t="s">
        <v>892</v>
      </c>
      <c r="C85" s="585" t="s">
        <v>526</v>
      </c>
      <c r="D85" s="586">
        <v>91</v>
      </c>
      <c r="E85" s="587">
        <v>9100000</v>
      </c>
      <c r="F85" s="591">
        <v>9100000</v>
      </c>
      <c r="G85" s="589">
        <v>100000</v>
      </c>
      <c r="H85" s="589"/>
      <c r="I85" s="429"/>
      <c r="J85" s="429"/>
      <c r="K85" s="429"/>
    </row>
    <row r="86" spans="1:11">
      <c r="A86" s="202"/>
      <c r="B86" s="383" t="s">
        <v>1036</v>
      </c>
      <c r="C86" s="585" t="s">
        <v>526</v>
      </c>
      <c r="D86" s="586">
        <v>236</v>
      </c>
      <c r="E86" s="587">
        <v>23600000</v>
      </c>
      <c r="F86" s="591">
        <v>59000000</v>
      </c>
      <c r="G86" s="589">
        <v>100000</v>
      </c>
      <c r="H86" s="589"/>
      <c r="I86" s="429"/>
      <c r="J86" s="429"/>
      <c r="K86" s="429"/>
    </row>
    <row r="87" spans="1:11">
      <c r="A87" s="202"/>
      <c r="B87" s="383" t="s">
        <v>892</v>
      </c>
      <c r="C87" s="585" t="s">
        <v>526</v>
      </c>
      <c r="D87" s="586">
        <v>179</v>
      </c>
      <c r="E87" s="587">
        <v>17900000</v>
      </c>
      <c r="F87" s="591">
        <v>20048000</v>
      </c>
      <c r="G87" s="589">
        <v>100000</v>
      </c>
      <c r="H87" s="589"/>
      <c r="I87" s="429"/>
      <c r="J87" s="429"/>
      <c r="K87" s="429"/>
    </row>
    <row r="88" spans="1:11">
      <c r="A88" s="202"/>
      <c r="B88" s="383" t="s">
        <v>892</v>
      </c>
      <c r="C88" s="585" t="s">
        <v>526</v>
      </c>
      <c r="D88" s="586">
        <v>145</v>
      </c>
      <c r="E88" s="587">
        <v>14500000</v>
      </c>
      <c r="F88" s="591">
        <v>16240000</v>
      </c>
      <c r="G88" s="589">
        <v>100000</v>
      </c>
      <c r="H88" s="589"/>
      <c r="I88" s="590"/>
      <c r="J88" s="590"/>
      <c r="K88" s="590"/>
    </row>
    <row r="89" spans="1:11">
      <c r="A89" s="202"/>
      <c r="B89" s="383" t="s">
        <v>892</v>
      </c>
      <c r="C89" s="585" t="s">
        <v>526</v>
      </c>
      <c r="D89" s="586">
        <v>54</v>
      </c>
      <c r="E89" s="587">
        <v>5400000</v>
      </c>
      <c r="F89" s="591">
        <v>6048000</v>
      </c>
      <c r="G89" s="589">
        <v>100000</v>
      </c>
      <c r="H89" s="589"/>
      <c r="I89" s="590"/>
      <c r="J89" s="590"/>
      <c r="K89" s="590"/>
    </row>
    <row r="90" spans="1:11">
      <c r="A90" s="202"/>
      <c r="B90" s="383" t="s">
        <v>1036</v>
      </c>
      <c r="C90" s="585" t="s">
        <v>526</v>
      </c>
      <c r="D90" s="586">
        <v>1257</v>
      </c>
      <c r="E90" s="587">
        <v>125700000</v>
      </c>
      <c r="F90" s="591">
        <v>385899000</v>
      </c>
      <c r="G90" s="589">
        <v>100000</v>
      </c>
      <c r="H90" s="589"/>
      <c r="I90" s="590"/>
      <c r="J90" s="590"/>
      <c r="K90" s="590"/>
    </row>
    <row r="91" spans="1:11">
      <c r="A91" s="202"/>
      <c r="B91" s="383" t="s">
        <v>1036</v>
      </c>
      <c r="C91" s="585" t="s">
        <v>526</v>
      </c>
      <c r="D91" s="586">
        <v>623</v>
      </c>
      <c r="E91" s="587">
        <v>62300000</v>
      </c>
      <c r="F91" s="591">
        <v>171325000</v>
      </c>
      <c r="G91" s="589">
        <v>100000</v>
      </c>
      <c r="H91" s="589"/>
      <c r="I91" s="590"/>
      <c r="J91" s="590"/>
      <c r="K91" s="590"/>
    </row>
    <row r="92" spans="1:11">
      <c r="A92" s="202"/>
      <c r="B92" s="383" t="s">
        <v>1036</v>
      </c>
      <c r="C92" s="585" t="s">
        <v>526</v>
      </c>
      <c r="D92" s="586">
        <v>1949</v>
      </c>
      <c r="E92" s="587">
        <v>194900000</v>
      </c>
      <c r="F92" s="591">
        <v>535975000</v>
      </c>
      <c r="G92" s="589">
        <v>100000</v>
      </c>
      <c r="H92" s="589"/>
      <c r="I92" s="590"/>
      <c r="J92" s="590"/>
      <c r="K92" s="590"/>
    </row>
    <row r="93" spans="1:11">
      <c r="A93" s="202"/>
      <c r="B93" s="383" t="s">
        <v>1036</v>
      </c>
      <c r="C93" s="585" t="s">
        <v>526</v>
      </c>
      <c r="D93" s="586">
        <v>2025</v>
      </c>
      <c r="E93" s="587">
        <v>202500000</v>
      </c>
      <c r="F93" s="591">
        <v>637875000</v>
      </c>
      <c r="G93" s="589">
        <v>100000</v>
      </c>
      <c r="H93" s="589"/>
      <c r="I93" s="590"/>
      <c r="J93" s="590"/>
      <c r="K93" s="590"/>
    </row>
    <row r="94" spans="1:11" s="663" customFormat="1">
      <c r="A94" s="658"/>
      <c r="B94" s="659" t="s">
        <v>1004</v>
      </c>
      <c r="C94" s="660"/>
      <c r="D94" s="661">
        <f>+D66+D9</f>
        <v>66755</v>
      </c>
      <c r="E94" s="661">
        <f>+E66+E9</f>
        <v>73863453686</v>
      </c>
      <c r="F94" s="661">
        <f>+F66+F9</f>
        <v>80303071012</v>
      </c>
      <c r="G94" s="661">
        <f>+G66+G9</f>
        <v>0</v>
      </c>
      <c r="H94" s="661">
        <f>+H66+H9</f>
        <v>0</v>
      </c>
      <c r="I94" s="662"/>
      <c r="J94" s="662"/>
      <c r="K94" s="662"/>
    </row>
    <row r="95" spans="1:11">
      <c r="A95" s="202"/>
      <c r="B95" s="383"/>
      <c r="C95" s="585"/>
      <c r="D95" s="586"/>
      <c r="E95" s="587"/>
      <c r="F95" s="588"/>
      <c r="G95" s="589"/>
      <c r="H95" s="589"/>
      <c r="I95" s="590"/>
      <c r="J95" s="590"/>
      <c r="K95" s="590"/>
    </row>
    <row r="96" spans="1:11">
      <c r="A96" s="25"/>
      <c r="B96" s="376" t="s">
        <v>390</v>
      </c>
      <c r="C96" s="74" t="s">
        <v>526</v>
      </c>
      <c r="D96" s="75">
        <f>SUM(D97:D103)</f>
        <v>335462</v>
      </c>
      <c r="E96" s="75">
        <f>SUM(E97:E103)</f>
        <v>45532500000</v>
      </c>
      <c r="F96" s="75">
        <f>SUM(F97:F103)</f>
        <v>46279951703</v>
      </c>
      <c r="G96" s="429"/>
      <c r="H96" s="343"/>
      <c r="I96" s="430"/>
      <c r="J96" s="430"/>
      <c r="K96" s="430"/>
    </row>
    <row r="97" spans="1:11">
      <c r="A97" s="25"/>
      <c r="B97" s="383" t="s">
        <v>650</v>
      </c>
      <c r="C97" s="384" t="s">
        <v>526</v>
      </c>
      <c r="D97" s="582">
        <v>499</v>
      </c>
      <c r="E97" s="76">
        <f>1000000*D97</f>
        <v>499000000</v>
      </c>
      <c r="F97" s="76">
        <f>+E97</f>
        <v>499000000</v>
      </c>
      <c r="G97" s="429">
        <f t="shared" ref="G97:G102" si="3">+E97/D97</f>
        <v>1000000</v>
      </c>
      <c r="H97" s="429" t="s">
        <v>703</v>
      </c>
      <c r="I97" s="592">
        <v>500000000</v>
      </c>
      <c r="J97" s="592">
        <v>-254196815</v>
      </c>
      <c r="K97" s="592">
        <v>245803185</v>
      </c>
    </row>
    <row r="98" spans="1:11">
      <c r="A98" s="25"/>
      <c r="B98" s="383" t="s">
        <v>651</v>
      </c>
      <c r="C98" s="384" t="s">
        <v>526</v>
      </c>
      <c r="D98" s="582">
        <f>+E98/1000000</f>
        <v>4080</v>
      </c>
      <c r="E98" s="76">
        <f>+'[6]INVERSIONES PERMANENTES'!$D$7</f>
        <v>4080000000</v>
      </c>
      <c r="F98" s="76">
        <f>+E98+47451703</f>
        <v>4127451703</v>
      </c>
      <c r="G98" s="429">
        <f t="shared" si="3"/>
        <v>1000000</v>
      </c>
      <c r="H98" s="429" t="s">
        <v>703</v>
      </c>
      <c r="I98" s="592">
        <v>6141817146</v>
      </c>
      <c r="J98" s="592">
        <f>461723934+2120830002</f>
        <v>2582553936</v>
      </c>
      <c r="K98" s="592">
        <v>9081080470</v>
      </c>
    </row>
    <row r="99" spans="1:11">
      <c r="A99" s="25"/>
      <c r="B99" s="383" t="s">
        <v>652</v>
      </c>
      <c r="C99" s="384" t="s">
        <v>526</v>
      </c>
      <c r="D99" s="582">
        <v>3467</v>
      </c>
      <c r="E99" s="76">
        <f>1000000*D99</f>
        <v>3467000000</v>
      </c>
      <c r="F99" s="76">
        <f t="shared" ref="F98:F103" si="4">+E99</f>
        <v>3467000000</v>
      </c>
      <c r="G99" s="429">
        <f t="shared" si="3"/>
        <v>1000000</v>
      </c>
      <c r="H99" s="429" t="s">
        <v>703</v>
      </c>
      <c r="I99" s="592">
        <v>5406000000</v>
      </c>
      <c r="J99" s="592">
        <v>1773284855</v>
      </c>
      <c r="K99" s="592">
        <v>7296621679</v>
      </c>
    </row>
    <row r="100" spans="1:11">
      <c r="A100" s="25"/>
      <c r="B100" s="383" t="s">
        <v>653</v>
      </c>
      <c r="C100" s="384" t="s">
        <v>526</v>
      </c>
      <c r="D100" s="582">
        <v>1050</v>
      </c>
      <c r="E100" s="89">
        <f>1000000*D100</f>
        <v>1050000000</v>
      </c>
      <c r="F100" s="76">
        <f t="shared" si="4"/>
        <v>1050000000</v>
      </c>
      <c r="G100" s="429">
        <f t="shared" si="3"/>
        <v>1000000</v>
      </c>
      <c r="H100" s="429" t="s">
        <v>703</v>
      </c>
      <c r="I100" s="592">
        <v>1500000000</v>
      </c>
      <c r="J100" s="592">
        <v>966416514</v>
      </c>
      <c r="K100" s="592">
        <v>2568057985</v>
      </c>
    </row>
    <row r="101" spans="1:11">
      <c r="A101" s="25"/>
      <c r="B101" s="383" t="s">
        <v>957</v>
      </c>
      <c r="C101" s="384" t="s">
        <v>526</v>
      </c>
      <c r="D101" s="582">
        <f>+E101/100000</f>
        <v>322365</v>
      </c>
      <c r="E101" s="89">
        <f>+'[6]INVERSIONES PERMANENTES'!$D$10</f>
        <v>32236500000</v>
      </c>
      <c r="F101" s="76">
        <f t="shared" si="4"/>
        <v>32236500000</v>
      </c>
      <c r="G101" s="429">
        <f>+E101/D101</f>
        <v>100000</v>
      </c>
      <c r="H101" s="429" t="s">
        <v>703</v>
      </c>
      <c r="I101" s="592">
        <v>46955000000</v>
      </c>
      <c r="J101" s="592">
        <v>877688866</v>
      </c>
      <c r="K101" s="592">
        <v>47919924073</v>
      </c>
    </row>
    <row r="102" spans="1:11">
      <c r="A102" s="25"/>
      <c r="B102" s="383" t="s">
        <v>654</v>
      </c>
      <c r="C102" s="384" t="s">
        <v>647</v>
      </c>
      <c r="D102" s="582">
        <v>1</v>
      </c>
      <c r="E102" s="89">
        <v>200000000</v>
      </c>
      <c r="F102" s="76">
        <v>900000000</v>
      </c>
      <c r="G102" s="429">
        <f t="shared" si="3"/>
        <v>200000000</v>
      </c>
      <c r="H102" s="429" t="s">
        <v>703</v>
      </c>
      <c r="I102" s="593">
        <v>8800000000</v>
      </c>
      <c r="J102" s="593">
        <v>10671560278</v>
      </c>
      <c r="K102" s="593">
        <v>22528059291</v>
      </c>
    </row>
    <row r="103" spans="1:11" ht="15" thickBot="1">
      <c r="A103" s="25"/>
      <c r="B103" s="383" t="s">
        <v>894</v>
      </c>
      <c r="C103" s="384" t="s">
        <v>526</v>
      </c>
      <c r="D103" s="582">
        <f>+E103/1000000</f>
        <v>4000</v>
      </c>
      <c r="E103" s="89">
        <v>4000000000</v>
      </c>
      <c r="F103" s="76">
        <f t="shared" si="4"/>
        <v>4000000000</v>
      </c>
      <c r="G103" s="429">
        <f>+E103/D103</f>
        <v>1000000</v>
      </c>
      <c r="H103" s="429" t="s">
        <v>703</v>
      </c>
      <c r="I103" s="429" t="s">
        <v>703</v>
      </c>
      <c r="J103" s="429" t="s">
        <v>703</v>
      </c>
      <c r="K103" s="429" t="s">
        <v>703</v>
      </c>
    </row>
    <row r="104" spans="1:11" ht="15" thickBot="1">
      <c r="A104" s="25"/>
      <c r="B104" s="388" t="s">
        <v>1024</v>
      </c>
      <c r="C104" s="389"/>
      <c r="D104" s="661">
        <f>+D94+D96</f>
        <v>402217</v>
      </c>
      <c r="E104" s="661">
        <f t="shared" ref="E104:G104" si="5">+E94+E96</f>
        <v>119395953686</v>
      </c>
      <c r="F104" s="661">
        <f t="shared" si="5"/>
        <v>126583022715</v>
      </c>
      <c r="G104" s="661">
        <f t="shared" si="5"/>
        <v>0</v>
      </c>
      <c r="H104" s="428"/>
      <c r="I104" s="428"/>
      <c r="J104" s="428"/>
      <c r="K104" s="428"/>
    </row>
    <row r="105" spans="1:11" ht="15" thickBot="1">
      <c r="A105" s="25"/>
      <c r="B105" s="388" t="s">
        <v>893</v>
      </c>
      <c r="C105" s="390"/>
      <c r="D105" s="391">
        <v>291791</v>
      </c>
      <c r="E105" s="392">
        <v>151109000576</v>
      </c>
      <c r="F105" s="393">
        <v>154015336488</v>
      </c>
      <c r="G105" s="90"/>
      <c r="H105" s="428"/>
      <c r="I105" s="428"/>
      <c r="J105" s="83"/>
      <c r="K105" s="83"/>
    </row>
    <row r="106" spans="1:11">
      <c r="A106" s="25"/>
      <c r="B106" s="79"/>
      <c r="C106" s="80"/>
      <c r="D106" s="81"/>
      <c r="E106" s="82"/>
      <c r="F106" s="82"/>
      <c r="G106" s="82"/>
      <c r="H106" s="428"/>
      <c r="I106" s="428"/>
      <c r="J106" s="83"/>
      <c r="K106" s="83"/>
    </row>
    <row r="107" spans="1:11">
      <c r="A107" s="25"/>
      <c r="B107" s="84"/>
      <c r="C107" s="85"/>
      <c r="D107" s="86"/>
      <c r="E107" s="82"/>
      <c r="F107" s="82"/>
      <c r="G107" s="86"/>
      <c r="H107" s="428"/>
      <c r="I107" s="428"/>
      <c r="J107" s="86"/>
      <c r="K107" s="86"/>
    </row>
    <row r="108" spans="1:11" ht="15" thickBot="1">
      <c r="A108" s="25"/>
      <c r="B108" s="25"/>
      <c r="C108" s="25"/>
      <c r="D108" s="72"/>
      <c r="E108" s="72"/>
      <c r="F108" s="72"/>
      <c r="G108" s="72"/>
      <c r="H108" s="428"/>
      <c r="I108" s="428"/>
      <c r="J108" s="72"/>
      <c r="K108" s="72"/>
    </row>
    <row r="109" spans="1:11" ht="15" thickBot="1">
      <c r="A109" s="25"/>
      <c r="B109" s="727" t="s">
        <v>654</v>
      </c>
      <c r="C109" s="728"/>
      <c r="D109" s="729"/>
      <c r="E109" s="72"/>
      <c r="F109" s="72"/>
      <c r="G109" s="72"/>
      <c r="H109" s="72"/>
      <c r="I109" s="72"/>
      <c r="J109" s="72"/>
      <c r="K109" s="72"/>
    </row>
    <row r="110" spans="1:11" ht="15" thickBot="1">
      <c r="A110" s="25"/>
      <c r="B110" s="394" t="s">
        <v>387</v>
      </c>
      <c r="C110" s="395" t="s">
        <v>388</v>
      </c>
      <c r="D110" s="396" t="s">
        <v>648</v>
      </c>
      <c r="E110" s="381"/>
      <c r="F110" s="72"/>
      <c r="G110" s="72"/>
      <c r="H110" s="72"/>
      <c r="I110" s="72"/>
      <c r="J110" s="72"/>
      <c r="K110" s="72"/>
    </row>
    <row r="111" spans="1:11">
      <c r="A111" s="25"/>
      <c r="B111" s="378">
        <v>1</v>
      </c>
      <c r="C111" s="379">
        <f>+E102</f>
        <v>200000000</v>
      </c>
      <c r="D111" s="386">
        <f>+F102</f>
        <v>900000000</v>
      </c>
      <c r="E111" s="382"/>
      <c r="F111" s="72"/>
      <c r="G111" s="72"/>
      <c r="H111" s="72"/>
      <c r="I111" s="72"/>
      <c r="J111" s="72"/>
      <c r="K111" s="72"/>
    </row>
    <row r="112" spans="1:11">
      <c r="A112" s="25"/>
      <c r="B112" s="87" t="str">
        <f>+B104</f>
        <v>Total al 30/09/2022</v>
      </c>
      <c r="C112" s="380">
        <f>+C111</f>
        <v>200000000</v>
      </c>
      <c r="D112" s="380">
        <f>+D111</f>
        <v>900000000</v>
      </c>
      <c r="E112" s="72"/>
      <c r="F112" s="72"/>
      <c r="G112" s="72"/>
      <c r="H112" s="72"/>
      <c r="I112" s="72"/>
      <c r="J112" s="72"/>
      <c r="K112" s="72"/>
    </row>
    <row r="113" spans="1:11">
      <c r="A113" s="25"/>
      <c r="B113" s="78" t="s">
        <v>893</v>
      </c>
      <c r="C113" s="573">
        <v>200000000</v>
      </c>
      <c r="D113" s="574">
        <v>900000000</v>
      </c>
      <c r="E113" s="72"/>
      <c r="F113" s="72"/>
      <c r="G113" s="72"/>
      <c r="H113" s="72"/>
      <c r="I113" s="72"/>
      <c r="J113" s="72"/>
      <c r="K113" s="72"/>
    </row>
    <row r="114" spans="1:11">
      <c r="A114" s="25"/>
      <c r="B114" s="25"/>
      <c r="C114" s="25"/>
      <c r="D114" s="72"/>
      <c r="E114" s="72"/>
      <c r="F114" s="72"/>
      <c r="G114" s="72"/>
      <c r="H114" s="72"/>
      <c r="I114" s="72"/>
      <c r="J114" s="72"/>
      <c r="K114" s="72"/>
    </row>
  </sheetData>
  <autoFilter ref="B8:K94" xr:uid="{00000000-0001-0000-0A00-000000000000}"/>
  <mergeCells count="6">
    <mergeCell ref="B109:D109"/>
    <mergeCell ref="B3:K3"/>
    <mergeCell ref="B5:F5"/>
    <mergeCell ref="G5:K5"/>
    <mergeCell ref="B6:K6"/>
    <mergeCell ref="B63:K63"/>
  </mergeCells>
  <hyperlinks>
    <hyperlink ref="B4" location="'Balance Gral. Resol. 30'!A1" display="'Balance Gral. Resol. 30'!A1" xr:uid="{00000000-0004-0000-0A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tabColor rgb="FF002060"/>
  </sheetPr>
  <dimension ref="B1:H59"/>
  <sheetViews>
    <sheetView showGridLines="0" topLeftCell="A44" zoomScale="117" zoomScaleNormal="117" workbookViewId="0">
      <selection activeCell="B77" sqref="B77"/>
    </sheetView>
  </sheetViews>
  <sheetFormatPr baseColWidth="10" defaultColWidth="67.44140625" defaultRowHeight="12"/>
  <cols>
    <col min="1" max="1" width="5.33203125" style="93" customWidth="1"/>
    <col min="2" max="2" width="44" style="93" customWidth="1"/>
    <col min="3" max="3" width="17.6640625" style="92" bestFit="1" customWidth="1"/>
    <col min="4" max="4" width="21.44140625" style="92" bestFit="1" customWidth="1"/>
    <col min="5" max="5" width="10.88671875" style="93" bestFit="1" customWidth="1"/>
    <col min="6" max="6" width="13.6640625" style="93" hidden="1" customWidth="1"/>
    <col min="7" max="7" width="18.5546875" style="93" customWidth="1"/>
    <col min="8" max="8" width="14.44140625" style="93" customWidth="1"/>
    <col min="9" max="16384" width="67.44140625" style="93"/>
  </cols>
  <sheetData>
    <row r="1" spans="2:8" ht="31.2" customHeight="1"/>
    <row r="3" spans="2:8" ht="15.6">
      <c r="B3" s="739" t="s">
        <v>663</v>
      </c>
      <c r="C3" s="739"/>
      <c r="D3" s="739"/>
    </row>
    <row r="4" spans="2:8">
      <c r="B4" s="94"/>
    </row>
    <row r="5" spans="2:8" ht="45.75" customHeight="1">
      <c r="B5" s="744" t="s">
        <v>958</v>
      </c>
      <c r="C5" s="744"/>
      <c r="D5" s="744"/>
    </row>
    <row r="7" spans="2:8" ht="14.4">
      <c r="B7" s="399" t="s">
        <v>664</v>
      </c>
    </row>
    <row r="8" spans="2:8">
      <c r="B8" s="745" t="s">
        <v>391</v>
      </c>
      <c r="C8" s="745"/>
      <c r="D8" s="745"/>
    </row>
    <row r="9" spans="2:8">
      <c r="B9" s="740" t="s">
        <v>392</v>
      </c>
      <c r="C9" s="741"/>
      <c r="D9" s="742"/>
    </row>
    <row r="10" spans="2:8">
      <c r="B10" s="199" t="s">
        <v>338</v>
      </c>
      <c r="C10" s="200" t="s">
        <v>393</v>
      </c>
      <c r="D10" s="200" t="s">
        <v>394</v>
      </c>
      <c r="E10" s="95"/>
      <c r="F10" s="95"/>
      <c r="G10" s="95"/>
      <c r="H10" s="95"/>
    </row>
    <row r="11" spans="2:8">
      <c r="B11" s="96" t="s">
        <v>895</v>
      </c>
      <c r="C11" s="97">
        <f>+'[6]EEFF '!$B$36</f>
        <v>11652182245</v>
      </c>
      <c r="D11" s="97">
        <v>0</v>
      </c>
    </row>
    <row r="12" spans="2:8">
      <c r="B12" s="96" t="s">
        <v>896</v>
      </c>
      <c r="C12" s="97">
        <f>+'[6]EEFF '!$B$37</f>
        <v>255511388</v>
      </c>
      <c r="D12" s="97">
        <v>0</v>
      </c>
    </row>
    <row r="13" spans="2:8">
      <c r="B13" s="96" t="s">
        <v>897</v>
      </c>
      <c r="C13" s="97">
        <f>+'[6]EEFF '!$B$38-1</f>
        <v>5663226647</v>
      </c>
      <c r="D13" s="97">
        <v>0</v>
      </c>
    </row>
    <row r="14" spans="2:8">
      <c r="B14" s="98" t="s">
        <v>1024</v>
      </c>
      <c r="C14" s="99">
        <f>SUM(C11:C13)</f>
        <v>17570920280</v>
      </c>
      <c r="D14" s="99">
        <f>SUM(D11:D13)</f>
        <v>0</v>
      </c>
      <c r="E14" s="100"/>
      <c r="F14" s="101"/>
    </row>
    <row r="15" spans="2:8">
      <c r="B15" s="98" t="s">
        <v>893</v>
      </c>
      <c r="C15" s="99">
        <v>11358134441</v>
      </c>
      <c r="D15" s="99">
        <v>0</v>
      </c>
    </row>
    <row r="16" spans="2:8">
      <c r="B16" s="102"/>
      <c r="C16" s="92">
        <f>+'Balance Gral. Resol. 30'!D24-'NOTA F - CREDITOS'!C14</f>
        <v>0</v>
      </c>
      <c r="D16" s="103">
        <f>+'Balance Gral. Resol. 30'!D52-'NOTA F - CREDITOS'!D14</f>
        <v>0</v>
      </c>
      <c r="F16" s="101"/>
    </row>
    <row r="17" spans="2:7">
      <c r="B17" s="740" t="s">
        <v>661</v>
      </c>
      <c r="C17" s="741"/>
      <c r="D17" s="742"/>
    </row>
    <row r="18" spans="2:7">
      <c r="B18" s="740" t="s">
        <v>392</v>
      </c>
      <c r="C18" s="741"/>
      <c r="D18" s="742"/>
    </row>
    <row r="19" spans="2:7">
      <c r="B19" s="199" t="s">
        <v>338</v>
      </c>
      <c r="C19" s="200" t="s">
        <v>393</v>
      </c>
      <c r="D19" s="200" t="s">
        <v>394</v>
      </c>
    </row>
    <row r="20" spans="2:7">
      <c r="B20" s="96" t="s">
        <v>898</v>
      </c>
      <c r="C20" s="97">
        <f>+'[6]EEFF '!$B$41</f>
        <v>1542232659</v>
      </c>
      <c r="D20" s="97">
        <v>0</v>
      </c>
      <c r="E20" s="101"/>
    </row>
    <row r="21" spans="2:7" ht="14.4">
      <c r="B21" s="96" t="s">
        <v>899</v>
      </c>
      <c r="C21" s="97">
        <f>+'[6]EEFF '!$B$42</f>
        <v>258305930</v>
      </c>
      <c r="D21" s="97">
        <v>0</v>
      </c>
      <c r="E21" s="327"/>
    </row>
    <row r="22" spans="2:7" ht="14.4">
      <c r="B22" s="96" t="s">
        <v>900</v>
      </c>
      <c r="C22" s="97">
        <f>+'[6]EEFF '!$B$43</f>
        <v>50204968</v>
      </c>
      <c r="D22" s="97">
        <v>0</v>
      </c>
      <c r="E22" s="327"/>
    </row>
    <row r="23" spans="2:7">
      <c r="B23" s="96" t="s">
        <v>901</v>
      </c>
      <c r="C23" s="97">
        <f>+'[6]EEFF '!$B$44</f>
        <v>17690047</v>
      </c>
      <c r="D23" s="97">
        <v>0</v>
      </c>
      <c r="E23" s="101"/>
    </row>
    <row r="24" spans="2:7">
      <c r="B24" s="96" t="s">
        <v>902</v>
      </c>
      <c r="C24" s="97">
        <f>+'[6]EEFF '!$B$46</f>
        <v>275646045</v>
      </c>
      <c r="D24" s="97">
        <v>0</v>
      </c>
    </row>
    <row r="25" spans="2:7">
      <c r="B25" s="96" t="s">
        <v>903</v>
      </c>
      <c r="C25" s="97">
        <f>+'[6]EEFF '!$B$48</f>
        <v>153482281</v>
      </c>
      <c r="D25" s="97"/>
    </row>
    <row r="26" spans="2:7">
      <c r="B26" s="98" t="str">
        <f>+B14</f>
        <v>Total al 30/09/2022</v>
      </c>
      <c r="C26" s="99">
        <f>SUM(C20:C25)</f>
        <v>2297561930</v>
      </c>
      <c r="D26" s="99">
        <f>SUM(D20:D25)</f>
        <v>0</v>
      </c>
      <c r="G26" s="104"/>
    </row>
    <row r="27" spans="2:7">
      <c r="B27" s="98" t="str">
        <f>+B15</f>
        <v>Total al 31/12/2021</v>
      </c>
      <c r="C27" s="99">
        <v>922158467</v>
      </c>
      <c r="D27" s="97">
        <v>0</v>
      </c>
    </row>
    <row r="28" spans="2:7">
      <c r="B28" s="105"/>
      <c r="C28" s="92">
        <f>+C26-'Balance Gral. Resol. 30'!D25</f>
        <v>0</v>
      </c>
      <c r="D28" s="92">
        <f>+D26-'Balance Gral. Resol. 30'!D53</f>
        <v>0</v>
      </c>
    </row>
    <row r="29" spans="2:7">
      <c r="B29" s="740" t="s">
        <v>674</v>
      </c>
      <c r="C29" s="741"/>
      <c r="D29" s="742"/>
    </row>
    <row r="30" spans="2:7">
      <c r="B30" s="740" t="s">
        <v>392</v>
      </c>
      <c r="C30" s="741"/>
      <c r="D30" s="742"/>
    </row>
    <row r="31" spans="2:7">
      <c r="B31" s="344" t="s">
        <v>338</v>
      </c>
      <c r="C31" s="345" t="s">
        <v>393</v>
      </c>
      <c r="D31" s="345" t="s">
        <v>394</v>
      </c>
    </row>
    <row r="32" spans="2:7">
      <c r="B32" s="96" t="s">
        <v>675</v>
      </c>
      <c r="C32" s="97">
        <v>3200000</v>
      </c>
      <c r="D32" s="97">
        <v>0</v>
      </c>
    </row>
    <row r="33" spans="2:6">
      <c r="B33" s="96"/>
      <c r="C33" s="97">
        <v>0</v>
      </c>
      <c r="D33" s="97">
        <v>0</v>
      </c>
    </row>
    <row r="34" spans="2:6">
      <c r="B34" s="98" t="str">
        <f>+B14</f>
        <v>Total al 30/09/2022</v>
      </c>
      <c r="C34" s="99">
        <f>SUM(C32:C33)</f>
        <v>3200000</v>
      </c>
      <c r="D34" s="99">
        <v>0</v>
      </c>
    </row>
    <row r="35" spans="2:6">
      <c r="B35" s="98" t="str">
        <f>+B15</f>
        <v>Total al 31/12/2021</v>
      </c>
      <c r="C35" s="99">
        <v>3200000</v>
      </c>
      <c r="D35" s="97">
        <v>0</v>
      </c>
    </row>
    <row r="36" spans="2:6">
      <c r="B36" s="402"/>
      <c r="C36" s="403">
        <f>+C34-'Balance Gral. Resol. 30'!D26</f>
        <v>0</v>
      </c>
      <c r="D36" s="404"/>
    </row>
    <row r="37" spans="2:6">
      <c r="B37" s="740" t="s">
        <v>662</v>
      </c>
      <c r="C37" s="741"/>
      <c r="D37" s="742"/>
    </row>
    <row r="38" spans="2:6">
      <c r="B38" s="740" t="s">
        <v>392</v>
      </c>
      <c r="C38" s="741"/>
      <c r="D38" s="742"/>
    </row>
    <row r="39" spans="2:6">
      <c r="B39" s="199" t="s">
        <v>338</v>
      </c>
      <c r="C39" s="200" t="s">
        <v>393</v>
      </c>
      <c r="D39" s="200" t="s">
        <v>394</v>
      </c>
    </row>
    <row r="40" spans="2:6">
      <c r="B40" s="96" t="s">
        <v>395</v>
      </c>
      <c r="C40" s="97">
        <f>+'[6]EEFF '!$B$54+'[6]EEFF '!$B$55</f>
        <v>1429043298</v>
      </c>
      <c r="D40" s="97">
        <v>0</v>
      </c>
    </row>
    <row r="41" spans="2:6">
      <c r="B41" s="96" t="s">
        <v>396</v>
      </c>
      <c r="C41" s="97">
        <v>0</v>
      </c>
      <c r="D41" s="97">
        <v>0</v>
      </c>
    </row>
    <row r="42" spans="2:6">
      <c r="B42" s="96" t="s">
        <v>673</v>
      </c>
      <c r="C42" s="97">
        <f>+'[4]EEFF '!$B$57</f>
        <v>1500000000</v>
      </c>
      <c r="D42" s="97">
        <v>0</v>
      </c>
    </row>
    <row r="43" spans="2:6">
      <c r="B43" s="98" t="str">
        <f>+B14</f>
        <v>Total al 30/09/2022</v>
      </c>
      <c r="C43" s="99">
        <f>SUM(C40:C42)</f>
        <v>2929043298</v>
      </c>
      <c r="D43" s="97">
        <v>0</v>
      </c>
      <c r="F43" s="93" t="s">
        <v>397</v>
      </c>
    </row>
    <row r="44" spans="2:6">
      <c r="B44" s="98" t="str">
        <f>+B27</f>
        <v>Total al 31/12/2021</v>
      </c>
      <c r="C44" s="99">
        <v>1309229323</v>
      </c>
      <c r="D44" s="97">
        <v>0</v>
      </c>
    </row>
    <row r="45" spans="2:6">
      <c r="B45" s="105"/>
      <c r="C45" s="92">
        <f>+C43-'Balance Gral. Resol. 30'!D28</f>
        <v>0</v>
      </c>
    </row>
    <row r="46" spans="2:6">
      <c r="B46" s="105"/>
    </row>
    <row r="47" spans="2:6">
      <c r="B47" s="105"/>
    </row>
    <row r="48" spans="2:6">
      <c r="B48" s="803" t="s">
        <v>398</v>
      </c>
      <c r="C48" s="93"/>
      <c r="D48" s="93"/>
    </row>
    <row r="49" spans="2:7">
      <c r="B49" s="743" t="s">
        <v>381</v>
      </c>
      <c r="C49" s="746" t="s">
        <v>399</v>
      </c>
      <c r="D49" s="746" t="s">
        <v>400</v>
      </c>
      <c r="E49" s="199" t="s">
        <v>378</v>
      </c>
      <c r="F49" s="199" t="s">
        <v>401</v>
      </c>
      <c r="G49" s="743" t="s">
        <v>402</v>
      </c>
    </row>
    <row r="50" spans="2:7">
      <c r="B50" s="743"/>
      <c r="C50" s="746"/>
      <c r="D50" s="746"/>
      <c r="E50" s="199" t="s">
        <v>403</v>
      </c>
      <c r="F50" s="199" t="s">
        <v>404</v>
      </c>
      <c r="G50" s="743"/>
    </row>
    <row r="51" spans="2:7">
      <c r="B51" s="743"/>
      <c r="C51" s="746"/>
      <c r="D51" s="746"/>
      <c r="E51" s="106"/>
      <c r="F51" s="199" t="s">
        <v>405</v>
      </c>
      <c r="G51" s="743"/>
    </row>
    <row r="52" spans="2:7">
      <c r="B52" s="107"/>
      <c r="C52" s="743" t="s">
        <v>406</v>
      </c>
      <c r="D52" s="743"/>
      <c r="E52" s="743"/>
      <c r="F52" s="743"/>
      <c r="G52" s="743"/>
    </row>
    <row r="53" spans="2:7">
      <c r="B53" s="107" t="s">
        <v>407</v>
      </c>
      <c r="C53" s="743"/>
      <c r="D53" s="743"/>
      <c r="E53" s="743"/>
      <c r="F53" s="743"/>
      <c r="G53" s="743"/>
    </row>
    <row r="54" spans="2:7">
      <c r="B54" s="107" t="s">
        <v>408</v>
      </c>
      <c r="C54" s="743"/>
      <c r="D54" s="743"/>
      <c r="E54" s="743"/>
      <c r="F54" s="743"/>
      <c r="G54" s="743"/>
    </row>
    <row r="55" spans="2:7">
      <c r="B55" s="405"/>
      <c r="C55" s="406"/>
      <c r="D55" s="406"/>
      <c r="E55" s="406"/>
      <c r="F55" s="406"/>
      <c r="G55" s="406"/>
    </row>
    <row r="57" spans="2:7">
      <c r="B57" s="344" t="s">
        <v>338</v>
      </c>
      <c r="C57" s="345" t="s">
        <v>393</v>
      </c>
      <c r="D57" s="345" t="s">
        <v>394</v>
      </c>
    </row>
    <row r="58" spans="2:7">
      <c r="B58" s="98" t="s">
        <v>939</v>
      </c>
      <c r="C58" s="99">
        <f>+C43+C34+C26+C14</f>
        <v>22800725508</v>
      </c>
      <c r="D58" s="99">
        <f>+D43+D34+D26+D14</f>
        <v>0</v>
      </c>
    </row>
    <row r="59" spans="2:7">
      <c r="C59" s="92">
        <f>+C58-'Balance Gral. Resol. 30'!D31</f>
        <v>0</v>
      </c>
      <c r="D59" s="92">
        <f>+D58-'Balance Gral. Resol. 30'!D60</f>
        <v>0</v>
      </c>
    </row>
  </sheetData>
  <mergeCells count="15">
    <mergeCell ref="C52:G54"/>
    <mergeCell ref="B49:B51"/>
    <mergeCell ref="C49:C51"/>
    <mergeCell ref="D49:D51"/>
    <mergeCell ref="B17:D17"/>
    <mergeCell ref="B18:D18"/>
    <mergeCell ref="B37:D37"/>
    <mergeCell ref="G49:G51"/>
    <mergeCell ref="B38:D38"/>
    <mergeCell ref="B3:D3"/>
    <mergeCell ref="B29:D29"/>
    <mergeCell ref="B30:D30"/>
    <mergeCell ref="B5:D5"/>
    <mergeCell ref="B8:D8"/>
    <mergeCell ref="B9:D9"/>
  </mergeCells>
  <hyperlinks>
    <hyperlink ref="B7" location="'Balance Gral. Resol. 30'!A1" display="Balance Gral. Resol. 6'!A1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>
    <tabColor rgb="FF002060"/>
  </sheetPr>
  <dimension ref="A6:Q34"/>
  <sheetViews>
    <sheetView showGridLines="0" topLeftCell="B1" zoomScaleNormal="100" workbookViewId="0">
      <pane xSplit="1" ySplit="12" topLeftCell="C23" activePane="bottomRight" state="frozen"/>
      <selection activeCell="B77" sqref="B77"/>
      <selection pane="topRight" activeCell="B77" sqref="B77"/>
      <selection pane="bottomLeft" activeCell="B77" sqref="B77"/>
      <selection pane="bottomRight" activeCell="B77" sqref="B77"/>
    </sheetView>
  </sheetViews>
  <sheetFormatPr baseColWidth="10" defaultColWidth="11.44140625" defaultRowHeight="12"/>
  <cols>
    <col min="1" max="1" width="2.44140625" style="25" customWidth="1"/>
    <col min="2" max="2" width="23" style="108" customWidth="1"/>
    <col min="3" max="3" width="20.6640625" style="25" bestFit="1" customWidth="1"/>
    <col min="4" max="4" width="14.109375" style="25" bestFit="1" customWidth="1"/>
    <col min="5" max="5" width="11.33203125" style="25" bestFit="1" customWidth="1"/>
    <col min="6" max="6" width="9.33203125" style="25" bestFit="1" customWidth="1"/>
    <col min="7" max="7" width="14.44140625" style="25" bestFit="1" customWidth="1"/>
    <col min="8" max="8" width="14.6640625" style="25" customWidth="1"/>
    <col min="9" max="9" width="10.6640625" style="25" bestFit="1" customWidth="1"/>
    <col min="10" max="10" width="9.33203125" style="25" bestFit="1" customWidth="1"/>
    <col min="11" max="11" width="13.33203125" style="25" customWidth="1"/>
    <col min="12" max="12" width="13.109375" style="25" bestFit="1" customWidth="1"/>
    <col min="13" max="13" width="14.109375" style="25" bestFit="1" customWidth="1"/>
    <col min="14" max="14" width="11.33203125" style="25" customWidth="1"/>
    <col min="15" max="15" width="13.33203125" style="25" hidden="1" customWidth="1"/>
    <col min="16" max="16384" width="11.44140625" style="25"/>
  </cols>
  <sheetData>
    <row r="6" spans="2:16" s="193" customFormat="1" ht="20.25" customHeight="1">
      <c r="B6" s="108"/>
      <c r="C6" s="28"/>
      <c r="D6" s="25"/>
      <c r="E6" s="25"/>
      <c r="F6" s="25"/>
      <c r="G6" s="25"/>
      <c r="H6" s="25"/>
      <c r="I6" s="25"/>
      <c r="J6" s="25"/>
      <c r="K6" s="25"/>
      <c r="L6" s="25"/>
      <c r="M6" s="25"/>
      <c r="N6" s="110"/>
    </row>
    <row r="7" spans="2:16" ht="15.6">
      <c r="B7" s="713" t="s">
        <v>676</v>
      </c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112"/>
    </row>
    <row r="8" spans="2:16">
      <c r="B8" s="108" t="s">
        <v>677</v>
      </c>
      <c r="C8" s="109"/>
      <c r="N8" s="114"/>
      <c r="O8" s="115"/>
    </row>
    <row r="9" spans="2:16">
      <c r="C9" s="109"/>
      <c r="N9" s="114"/>
      <c r="O9" s="115"/>
    </row>
    <row r="10" spans="2:16" ht="14.4">
      <c r="B10" s="407" t="s">
        <v>665</v>
      </c>
      <c r="C10" s="109"/>
      <c r="N10" s="112"/>
    </row>
    <row r="11" spans="2:16">
      <c r="B11" s="43"/>
      <c r="C11" s="196" t="s">
        <v>409</v>
      </c>
      <c r="D11" s="197"/>
      <c r="E11" s="197"/>
      <c r="F11" s="197"/>
      <c r="G11" s="197"/>
      <c r="H11" s="747" t="s">
        <v>410</v>
      </c>
      <c r="I11" s="748"/>
      <c r="J11" s="748"/>
      <c r="K11" s="748"/>
      <c r="L11" s="748"/>
      <c r="M11" s="198"/>
      <c r="N11" s="112"/>
    </row>
    <row r="12" spans="2:16" ht="36">
      <c r="B12" s="35" t="s">
        <v>253</v>
      </c>
      <c r="C12" s="111" t="s">
        <v>411</v>
      </c>
      <c r="D12" s="35" t="s">
        <v>412</v>
      </c>
      <c r="E12" s="35" t="s">
        <v>413</v>
      </c>
      <c r="F12" s="35" t="s">
        <v>414</v>
      </c>
      <c r="G12" s="35" t="s">
        <v>415</v>
      </c>
      <c r="H12" s="35" t="s">
        <v>416</v>
      </c>
      <c r="I12" s="35" t="s">
        <v>412</v>
      </c>
      <c r="J12" s="35" t="s">
        <v>413</v>
      </c>
      <c r="K12" s="35" t="s">
        <v>414</v>
      </c>
      <c r="L12" s="35" t="s">
        <v>417</v>
      </c>
      <c r="M12" s="35" t="s">
        <v>418</v>
      </c>
      <c r="N12" s="114"/>
    </row>
    <row r="13" spans="2:16">
      <c r="B13" s="113" t="s">
        <v>904</v>
      </c>
      <c r="C13" s="53">
        <f>+'[4]EEFF '!$B$80</f>
        <v>487067851</v>
      </c>
      <c r="D13" s="53">
        <f>+O13-C13</f>
        <v>2000000</v>
      </c>
      <c r="E13" s="53">
        <v>0</v>
      </c>
      <c r="F13" s="53">
        <v>0</v>
      </c>
      <c r="G13" s="53">
        <f>+C13+D13</f>
        <v>489067851</v>
      </c>
      <c r="H13" s="53">
        <v>176328707.52347407</v>
      </c>
      <c r="I13" s="97"/>
      <c r="J13" s="97"/>
      <c r="K13" s="97">
        <v>0</v>
      </c>
      <c r="L13" s="53">
        <f>+H13</f>
        <v>176328707.52347407</v>
      </c>
      <c r="M13" s="53">
        <f>+G13-L13</f>
        <v>312739143.4765259</v>
      </c>
      <c r="N13" s="563"/>
      <c r="O13" s="55">
        <v>489067851</v>
      </c>
      <c r="P13" s="55"/>
    </row>
    <row r="14" spans="2:16">
      <c r="B14" s="116" t="s">
        <v>905</v>
      </c>
      <c r="C14" s="53">
        <f>+'[4]EEFF '!$B$79</f>
        <v>210957210</v>
      </c>
      <c r="D14" s="53">
        <f t="shared" ref="D14:D19" si="0">+O14-C14</f>
        <v>0</v>
      </c>
      <c r="E14" s="53">
        <v>0</v>
      </c>
      <c r="F14" s="53">
        <v>0</v>
      </c>
      <c r="G14" s="53">
        <f t="shared" ref="G14:G19" si="1">+C14+D14</f>
        <v>210957210</v>
      </c>
      <c r="H14" s="97">
        <v>88943969.799999982</v>
      </c>
      <c r="I14" s="97"/>
      <c r="J14" s="97"/>
      <c r="K14" s="97">
        <v>0</v>
      </c>
      <c r="L14" s="53">
        <f t="shared" ref="L14:L20" si="2">+H14</f>
        <v>88943969.799999982</v>
      </c>
      <c r="M14" s="53">
        <f t="shared" ref="M14:M19" si="3">+G14-L14</f>
        <v>122013240.20000002</v>
      </c>
      <c r="N14" s="563"/>
      <c r="O14" s="55">
        <v>210957210</v>
      </c>
      <c r="P14" s="55"/>
    </row>
    <row r="15" spans="2:16">
      <c r="B15" s="116" t="s">
        <v>906</v>
      </c>
      <c r="C15" s="53">
        <f>+'[4]EEFF '!$B$81</f>
        <v>413778448</v>
      </c>
      <c r="D15" s="53">
        <f t="shared" si="0"/>
        <v>20000000</v>
      </c>
      <c r="E15" s="53">
        <v>0</v>
      </c>
      <c r="F15" s="53">
        <v>0</v>
      </c>
      <c r="G15" s="53">
        <f t="shared" si="1"/>
        <v>433778448</v>
      </c>
      <c r="H15" s="53">
        <v>242198675.01060611</v>
      </c>
      <c r="I15" s="97">
        <v>0</v>
      </c>
      <c r="J15" s="97"/>
      <c r="K15" s="97">
        <v>0</v>
      </c>
      <c r="L15" s="53">
        <f t="shared" si="2"/>
        <v>242198675.01060611</v>
      </c>
      <c r="M15" s="53">
        <f t="shared" si="3"/>
        <v>191579772.98939389</v>
      </c>
      <c r="N15" s="563"/>
      <c r="O15" s="55">
        <v>433778448</v>
      </c>
      <c r="P15" s="55"/>
    </row>
    <row r="16" spans="2:16">
      <c r="B16" s="116" t="s">
        <v>907</v>
      </c>
      <c r="C16" s="53">
        <f>+'[4]EEFF '!$B$82</f>
        <v>31158573</v>
      </c>
      <c r="D16" s="53">
        <f t="shared" si="0"/>
        <v>0</v>
      </c>
      <c r="E16" s="53">
        <v>0</v>
      </c>
      <c r="F16" s="53">
        <v>0</v>
      </c>
      <c r="G16" s="53">
        <f t="shared" si="1"/>
        <v>31158573</v>
      </c>
      <c r="H16" s="53">
        <v>14293583.210000001</v>
      </c>
      <c r="I16" s="97"/>
      <c r="J16" s="97"/>
      <c r="K16" s="97">
        <v>0</v>
      </c>
      <c r="L16" s="53">
        <f t="shared" si="2"/>
        <v>14293583.210000001</v>
      </c>
      <c r="M16" s="53">
        <f t="shared" si="3"/>
        <v>16864989.789999999</v>
      </c>
      <c r="N16" s="563"/>
      <c r="O16" s="55">
        <v>31158573</v>
      </c>
      <c r="P16" s="55"/>
    </row>
    <row r="17" spans="2:17">
      <c r="B17" s="116" t="s">
        <v>908</v>
      </c>
      <c r="C17" s="53">
        <f>+'[4]EEFF '!$B$83</f>
        <v>93566364</v>
      </c>
      <c r="D17" s="53">
        <f t="shared" si="0"/>
        <v>69150000</v>
      </c>
      <c r="E17" s="53"/>
      <c r="F17" s="53">
        <v>0</v>
      </c>
      <c r="G17" s="53">
        <f t="shared" si="1"/>
        <v>162716364</v>
      </c>
      <c r="H17" s="53">
        <v>5330248.9000000004</v>
      </c>
      <c r="I17" s="97">
        <v>0</v>
      </c>
      <c r="J17" s="97"/>
      <c r="K17" s="97">
        <v>0</v>
      </c>
      <c r="L17" s="53">
        <f t="shared" si="2"/>
        <v>5330248.9000000004</v>
      </c>
      <c r="M17" s="53">
        <f t="shared" si="3"/>
        <v>157386115.09999999</v>
      </c>
      <c r="N17" s="563"/>
      <c r="O17" s="55">
        <v>162716364</v>
      </c>
      <c r="P17" s="55"/>
      <c r="Q17" s="55"/>
    </row>
    <row r="18" spans="2:17">
      <c r="B18" s="116" t="s">
        <v>909</v>
      </c>
      <c r="C18" s="53">
        <f>+'[4]EEFF '!$B$84</f>
        <v>11010456</v>
      </c>
      <c r="D18" s="53">
        <f t="shared" si="0"/>
        <v>0</v>
      </c>
      <c r="E18" s="97">
        <v>0</v>
      </c>
      <c r="F18" s="97">
        <v>0</v>
      </c>
      <c r="G18" s="53">
        <f t="shared" si="1"/>
        <v>11010456</v>
      </c>
      <c r="H18" s="97">
        <v>4514609.67</v>
      </c>
      <c r="I18" s="97"/>
      <c r="J18" s="97"/>
      <c r="K18" s="97">
        <v>0</v>
      </c>
      <c r="L18" s="53">
        <f t="shared" si="2"/>
        <v>4514609.67</v>
      </c>
      <c r="M18" s="53">
        <f t="shared" si="3"/>
        <v>6495846.3300000001</v>
      </c>
      <c r="N18" s="563"/>
      <c r="O18" s="55">
        <v>11010456</v>
      </c>
      <c r="P18" s="55"/>
    </row>
    <row r="19" spans="2:17">
      <c r="B19" s="116" t="s">
        <v>910</v>
      </c>
      <c r="C19" s="53">
        <f>+'[4]EEFF '!$B$78</f>
        <v>12102212443</v>
      </c>
      <c r="D19" s="53">
        <f t="shared" si="0"/>
        <v>0</v>
      </c>
      <c r="E19" s="97"/>
      <c r="F19" s="97">
        <v>0</v>
      </c>
      <c r="G19" s="53">
        <f t="shared" si="1"/>
        <v>12102212443</v>
      </c>
      <c r="H19" s="97">
        <v>425749253.32000005</v>
      </c>
      <c r="I19" s="97"/>
      <c r="J19" s="97"/>
      <c r="K19" s="97">
        <v>0</v>
      </c>
      <c r="L19" s="53">
        <f t="shared" si="2"/>
        <v>425749253.32000005</v>
      </c>
      <c r="M19" s="53">
        <f t="shared" si="3"/>
        <v>11676463189.68</v>
      </c>
      <c r="N19" s="563"/>
      <c r="O19" s="55">
        <v>12102212443</v>
      </c>
      <c r="P19" s="55"/>
    </row>
    <row r="20" spans="2:17">
      <c r="B20" s="116" t="s">
        <v>911</v>
      </c>
      <c r="C20" s="53">
        <v>0</v>
      </c>
      <c r="D20" s="53">
        <v>0</v>
      </c>
      <c r="E20" s="97">
        <v>0</v>
      </c>
      <c r="F20" s="97">
        <v>0</v>
      </c>
      <c r="G20" s="53">
        <f>+C20+D20</f>
        <v>0</v>
      </c>
      <c r="H20" s="53">
        <v>0</v>
      </c>
      <c r="I20" s="97"/>
      <c r="J20" s="97"/>
      <c r="K20" s="97">
        <v>0</v>
      </c>
      <c r="L20" s="53">
        <f t="shared" si="2"/>
        <v>0</v>
      </c>
      <c r="M20" s="53">
        <f t="shared" ref="M20" si="4">+G20-H20</f>
        <v>0</v>
      </c>
      <c r="N20" s="563"/>
      <c r="O20" s="55"/>
      <c r="P20" s="55"/>
    </row>
    <row r="21" spans="2:17">
      <c r="B21" s="117" t="s">
        <v>1024</v>
      </c>
      <c r="C21" s="595">
        <f>SUM(C13:C20)</f>
        <v>13349751345</v>
      </c>
      <c r="D21" s="595">
        <f>SUM(D13:D20)</f>
        <v>91150000</v>
      </c>
      <c r="E21" s="595">
        <f>SUM(E13:E20)</f>
        <v>0</v>
      </c>
      <c r="F21" s="595">
        <f>SUM(F13:F20)</f>
        <v>0</v>
      </c>
      <c r="G21" s="595">
        <f>SUM(G13:G20)</f>
        <v>13440901345</v>
      </c>
      <c r="H21" s="595">
        <f>SUM(H13:H20)</f>
        <v>957359047.43408012</v>
      </c>
      <c r="I21" s="595">
        <f>SUM(I13:I20)</f>
        <v>0</v>
      </c>
      <c r="J21" s="595">
        <f>SUM(J13:J20)</f>
        <v>0</v>
      </c>
      <c r="K21" s="595">
        <f>SUM(K13:K20)</f>
        <v>0</v>
      </c>
      <c r="L21" s="595">
        <f>SUM(L13:L20)</f>
        <v>957359047.43408012</v>
      </c>
      <c r="M21" s="595">
        <f>SUM(M13:M20)</f>
        <v>12483542297.56592</v>
      </c>
      <c r="O21" s="55"/>
      <c r="P21" s="55"/>
    </row>
    <row r="22" spans="2:17">
      <c r="B22" s="117" t="s">
        <v>893</v>
      </c>
      <c r="C22" s="118">
        <v>13160414143.818182</v>
      </c>
      <c r="D22" s="118">
        <v>130359294.18181831</v>
      </c>
      <c r="E22" s="118">
        <v>0</v>
      </c>
      <c r="F22" s="118">
        <v>0</v>
      </c>
      <c r="G22" s="118">
        <v>13290773438</v>
      </c>
      <c r="H22" s="118">
        <v>642081072.18181825</v>
      </c>
      <c r="I22" s="118">
        <v>315277975.25226194</v>
      </c>
      <c r="J22" s="118">
        <v>0</v>
      </c>
      <c r="K22" s="118">
        <v>0</v>
      </c>
      <c r="L22" s="118">
        <v>957359047.43408012</v>
      </c>
      <c r="M22" s="118">
        <v>12333414390.56592</v>
      </c>
    </row>
    <row r="25" spans="2:17">
      <c r="M25" s="39">
        <f>+K34-'Balance Gral. Resol. 30'!D64</f>
        <v>-0.43408012390136719</v>
      </c>
    </row>
    <row r="26" spans="2:17">
      <c r="M26" s="39">
        <f>+M22-'Balance Gral. Resol. 30'!E64</f>
        <v>-0.43408012390136719</v>
      </c>
    </row>
    <row r="27" spans="2:17">
      <c r="M27" s="39"/>
    </row>
    <row r="34" spans="1:11">
      <c r="A34" s="118">
        <f>SUM(C13:C20)</f>
        <v>13349751345</v>
      </c>
      <c r="B34" s="118">
        <f>SUM(D13:D20)</f>
        <v>91150000</v>
      </c>
      <c r="C34" s="118">
        <f>SUM(E13:E20)</f>
        <v>0</v>
      </c>
      <c r="D34" s="118">
        <f>SUM(F13:F20)</f>
        <v>0</v>
      </c>
      <c r="E34" s="118">
        <f>SUM(G13:G20)</f>
        <v>13440901345</v>
      </c>
      <c r="F34" s="118">
        <f>SUM(H13:H20)</f>
        <v>957359047.43408012</v>
      </c>
      <c r="G34" s="118">
        <f>SUM(I13:I20)</f>
        <v>0</v>
      </c>
      <c r="H34" s="118">
        <f>SUM(J13:J20)</f>
        <v>0</v>
      </c>
      <c r="I34" s="118">
        <f>SUM(K13:K20)</f>
        <v>0</v>
      </c>
      <c r="J34" s="118">
        <f>SUM(L13:L20)</f>
        <v>957359047.43408012</v>
      </c>
      <c r="K34" s="118">
        <f>SUM(M13:M20)</f>
        <v>12483542297.56592</v>
      </c>
    </row>
  </sheetData>
  <mergeCells count="2">
    <mergeCell ref="B7:M7"/>
    <mergeCell ref="H11:L11"/>
  </mergeCells>
  <hyperlinks>
    <hyperlink ref="B10" location="'Balance Gral. Resol. 30'!A1" display="'Balance Gral. Resol. 30'!A1" xr:uid="{00000000-0004-0000-0C00-000000000000}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tabColor rgb="FF002060"/>
  </sheetPr>
  <dimension ref="B1:H18"/>
  <sheetViews>
    <sheetView showGridLines="0" topLeftCell="A2" zoomScale="134" workbookViewId="0">
      <selection activeCell="B77" sqref="B77"/>
    </sheetView>
  </sheetViews>
  <sheetFormatPr baseColWidth="10" defaultColWidth="20.109375" defaultRowHeight="12"/>
  <cols>
    <col min="1" max="1" width="6.33203125" style="25" customWidth="1"/>
    <col min="2" max="2" width="28.33203125" style="25" bestFit="1" customWidth="1"/>
    <col min="3" max="3" width="13.44140625" style="25" bestFit="1" customWidth="1"/>
    <col min="4" max="4" width="12.33203125" style="25" bestFit="1" customWidth="1"/>
    <col min="5" max="5" width="17.88671875" style="25" customWidth="1"/>
    <col min="6" max="6" width="14.33203125" style="25" customWidth="1"/>
    <col min="7" max="7" width="13.109375" style="25" customWidth="1"/>
    <col min="8" max="8" width="11.6640625" style="25" customWidth="1"/>
    <col min="9" max="16384" width="20.109375" style="25"/>
  </cols>
  <sheetData>
    <row r="1" spans="2:8" ht="41.4" customHeight="1"/>
    <row r="3" spans="2:8" ht="15.6">
      <c r="B3" s="713" t="s">
        <v>671</v>
      </c>
      <c r="C3" s="713"/>
      <c r="D3" s="713"/>
      <c r="E3" s="713"/>
      <c r="F3" s="713"/>
    </row>
    <row r="4" spans="2:8" ht="14.4">
      <c r="B4" s="749" t="s">
        <v>672</v>
      </c>
      <c r="C4" s="749"/>
      <c r="D4" s="749"/>
      <c r="E4" s="749"/>
      <c r="F4" s="749"/>
    </row>
    <row r="5" spans="2:8" ht="14.4">
      <c r="B5" s="346"/>
      <c r="C5" s="346"/>
      <c r="D5" s="346"/>
      <c r="E5" s="346"/>
      <c r="F5" s="346"/>
    </row>
    <row r="6" spans="2:8" ht="14.4">
      <c r="B6" s="408" t="s">
        <v>665</v>
      </c>
    </row>
    <row r="7" spans="2:8">
      <c r="B7" s="194" t="s">
        <v>338</v>
      </c>
      <c r="C7" s="194" t="s">
        <v>419</v>
      </c>
      <c r="D7" s="194" t="s">
        <v>420</v>
      </c>
      <c r="E7" s="194" t="s">
        <v>421</v>
      </c>
      <c r="F7" s="194" t="s">
        <v>422</v>
      </c>
    </row>
    <row r="8" spans="2:8">
      <c r="B8" s="33" t="s">
        <v>580</v>
      </c>
      <c r="C8" s="53">
        <v>6582803</v>
      </c>
      <c r="D8" s="53">
        <f>+F8-C8</f>
        <v>8092090</v>
      </c>
      <c r="E8" s="97"/>
      <c r="F8" s="53">
        <f>+'[6]EEFF '!$B$57</f>
        <v>14674893</v>
      </c>
      <c r="G8" s="55"/>
      <c r="H8" s="115"/>
    </row>
    <row r="9" spans="2:8">
      <c r="B9" s="33" t="s">
        <v>581</v>
      </c>
      <c r="C9" s="53">
        <v>179129769</v>
      </c>
      <c r="D9" s="53">
        <f>+F9-C9</f>
        <v>-59546292</v>
      </c>
      <c r="E9" s="97"/>
      <c r="F9" s="53">
        <f>+'[6]EEFF '!$B$58</f>
        <v>119583477</v>
      </c>
      <c r="G9" s="120"/>
      <c r="H9" s="77"/>
    </row>
    <row r="10" spans="2:8">
      <c r="B10" s="33" t="s">
        <v>582</v>
      </c>
      <c r="C10" s="53">
        <v>272885487</v>
      </c>
      <c r="D10" s="53">
        <v>0</v>
      </c>
      <c r="E10" s="97">
        <f>+F10-C10</f>
        <v>-60362935</v>
      </c>
      <c r="F10" s="53">
        <f>+'[6]EEFF '!$B$59</f>
        <v>212522552</v>
      </c>
      <c r="G10" s="120"/>
      <c r="H10" s="77"/>
    </row>
    <row r="11" spans="2:8">
      <c r="B11" s="33" t="s">
        <v>606</v>
      </c>
      <c r="C11" s="53">
        <v>0</v>
      </c>
      <c r="D11" s="53">
        <v>0</v>
      </c>
      <c r="E11" s="97">
        <v>0</v>
      </c>
      <c r="F11" s="53">
        <f>+C11+D11-E11</f>
        <v>0</v>
      </c>
      <c r="G11" s="120"/>
      <c r="H11" s="77"/>
    </row>
    <row r="12" spans="2:8">
      <c r="B12" s="121" t="str">
        <f>+'NOTA G BIENES DE USO'!B21</f>
        <v>Total al 30/09/2022</v>
      </c>
      <c r="C12" s="118">
        <f>SUM(C8:C11)</f>
        <v>458598059</v>
      </c>
      <c r="D12" s="118">
        <f>SUM(D8:D11)</f>
        <v>-51454202</v>
      </c>
      <c r="E12" s="118">
        <f>SUM(E8:E11)</f>
        <v>-60362935</v>
      </c>
      <c r="F12" s="118">
        <f>SUM(F8:F11)</f>
        <v>346780922</v>
      </c>
      <c r="G12" s="115"/>
      <c r="H12" s="115"/>
    </row>
    <row r="13" spans="2:8">
      <c r="B13" s="121" t="str">
        <f>+'NOTA G BIENES DE USO'!B22</f>
        <v>Total al 31/12/2021</v>
      </c>
      <c r="C13" s="118">
        <v>754727435</v>
      </c>
      <c r="D13" s="118">
        <v>1127724475</v>
      </c>
      <c r="E13" s="118">
        <v>1423853851</v>
      </c>
      <c r="F13" s="118">
        <v>458598059</v>
      </c>
      <c r="G13" s="115"/>
    </row>
    <row r="15" spans="2:8" ht="13.8">
      <c r="E15" s="290"/>
      <c r="F15" s="55">
        <f>+F12-'Balance Gral. Resol. 30'!D38</f>
        <v>0</v>
      </c>
    </row>
    <row r="16" spans="2:8" ht="13.8">
      <c r="E16" s="291"/>
      <c r="F16" s="55">
        <f>+F13-'Balance Gral. Resol. 30'!E38</f>
        <v>0</v>
      </c>
    </row>
    <row r="17" spans="5:5" ht="13.8">
      <c r="E17" s="291"/>
    </row>
    <row r="18" spans="5:5">
      <c r="E18" s="115"/>
    </row>
  </sheetData>
  <mergeCells count="2">
    <mergeCell ref="B3:F3"/>
    <mergeCell ref="B4:F4"/>
  </mergeCells>
  <hyperlinks>
    <hyperlink ref="B6" location="'Balance Gral. Resol. 30'!A1" display="'Balance Gral. Resol. 30'!A1" xr:uid="{00000000-0004-0000-0D00-000000000000}"/>
  </hyperlink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tabColor rgb="FF002060"/>
  </sheetPr>
  <dimension ref="B1:M32"/>
  <sheetViews>
    <sheetView showGridLines="0" workbookViewId="0">
      <selection activeCell="B77" sqref="B77"/>
    </sheetView>
  </sheetViews>
  <sheetFormatPr baseColWidth="10" defaultColWidth="11.44140625" defaultRowHeight="12"/>
  <cols>
    <col min="1" max="1" width="6.88671875" style="25" customWidth="1"/>
    <col min="2" max="2" width="29.44140625" style="25" customWidth="1"/>
    <col min="3" max="3" width="41.33203125" style="25" customWidth="1"/>
    <col min="4" max="4" width="22" style="25" customWidth="1"/>
    <col min="5" max="5" width="16.44140625" style="25" customWidth="1"/>
    <col min="6" max="6" width="18.109375" style="25" customWidth="1"/>
    <col min="7" max="7" width="20.109375" style="25" customWidth="1"/>
    <col min="8" max="8" width="23.21875" style="25" customWidth="1"/>
    <col min="9" max="16384" width="11.44140625" style="25"/>
  </cols>
  <sheetData>
    <row r="1" spans="2:5" ht="33.6" customHeight="1"/>
    <row r="4" spans="2:5" ht="15.6">
      <c r="B4" s="750" t="s">
        <v>678</v>
      </c>
      <c r="C4" s="750"/>
      <c r="D4" s="750"/>
    </row>
    <row r="5" spans="2:5">
      <c r="B5" s="25" t="s">
        <v>679</v>
      </c>
    </row>
    <row r="7" spans="2:5" ht="14.4">
      <c r="B7" s="408" t="s">
        <v>665</v>
      </c>
    </row>
    <row r="8" spans="2:5">
      <c r="B8" s="35" t="s">
        <v>423</v>
      </c>
      <c r="C8" s="35" t="s">
        <v>338</v>
      </c>
      <c r="D8" s="122" t="str">
        <f>+'NOTA H CARGOS DIFERIDOS'!B12</f>
        <v>Total al 30/09/2022</v>
      </c>
    </row>
    <row r="9" spans="2:5">
      <c r="B9" s="116" t="s">
        <v>424</v>
      </c>
      <c r="C9" s="116" t="s">
        <v>425</v>
      </c>
      <c r="D9" s="123">
        <v>900000</v>
      </c>
    </row>
    <row r="10" spans="2:5">
      <c r="B10" s="116" t="s">
        <v>424</v>
      </c>
      <c r="C10" s="116" t="s">
        <v>682</v>
      </c>
      <c r="D10" s="123">
        <f>22088235+13532214+9775316+16148087</f>
        <v>61543852</v>
      </c>
    </row>
    <row r="11" spans="2:5">
      <c r="B11" s="116" t="s">
        <v>426</v>
      </c>
      <c r="C11" s="116" t="s">
        <v>427</v>
      </c>
      <c r="D11" s="124">
        <v>104084949</v>
      </c>
    </row>
    <row r="12" spans="2:5">
      <c r="B12" s="116" t="s">
        <v>428</v>
      </c>
      <c r="C12" s="116" t="s">
        <v>429</v>
      </c>
      <c r="D12" s="124">
        <v>2752296184</v>
      </c>
      <c r="E12" s="115"/>
    </row>
    <row r="13" spans="2:5">
      <c r="B13" s="116" t="s">
        <v>120</v>
      </c>
      <c r="C13" s="116" t="s">
        <v>120</v>
      </c>
      <c r="D13" s="124">
        <v>27866433</v>
      </c>
    </row>
    <row r="14" spans="2:5">
      <c r="B14" s="116" t="s">
        <v>430</v>
      </c>
      <c r="C14" s="116" t="s">
        <v>430</v>
      </c>
      <c r="D14" s="124">
        <v>76495056</v>
      </c>
    </row>
    <row r="15" spans="2:5">
      <c r="B15" s="116" t="s">
        <v>680</v>
      </c>
      <c r="C15" s="116" t="s">
        <v>681</v>
      </c>
      <c r="D15" s="124">
        <v>4448595000</v>
      </c>
    </row>
    <row r="16" spans="2:5">
      <c r="B16" s="116" t="s">
        <v>912</v>
      </c>
      <c r="C16" s="116"/>
      <c r="D16" s="124">
        <v>-2634196428</v>
      </c>
    </row>
    <row r="17" spans="2:13">
      <c r="B17" s="121" t="str">
        <f>+'NOTA H CARGOS DIFERIDOS'!B12</f>
        <v>Total al 30/09/2022</v>
      </c>
      <c r="C17" s="121"/>
      <c r="D17" s="125">
        <f>SUM(D9:D16)</f>
        <v>4837585046</v>
      </c>
      <c r="E17" s="115"/>
    </row>
    <row r="18" spans="2:13">
      <c r="B18" s="121" t="str">
        <f>+'NOTA H CARGOS DIFERIDOS'!B13</f>
        <v>Total al 31/12/2021</v>
      </c>
      <c r="C18" s="125"/>
      <c r="D18" s="125">
        <f>+'Balance Gral. Resol. 30'!E72</f>
        <v>4798129429</v>
      </c>
    </row>
    <row r="20" spans="2:13">
      <c r="D20" s="39">
        <f>+D17-'Balance Gral. Resol. 30'!D72</f>
        <v>0</v>
      </c>
    </row>
    <row r="21" spans="2:13">
      <c r="D21" s="55">
        <v>0</v>
      </c>
    </row>
    <row r="22" spans="2:13">
      <c r="F22" s="39"/>
      <c r="J22" s="25" t="s">
        <v>373</v>
      </c>
      <c r="M22" s="25" t="s">
        <v>373</v>
      </c>
    </row>
    <row r="23" spans="2:13">
      <c r="F23" s="39"/>
      <c r="J23" s="25" t="s">
        <v>373</v>
      </c>
      <c r="M23" s="25" t="s">
        <v>373</v>
      </c>
    </row>
    <row r="24" spans="2:13">
      <c r="F24" s="39"/>
      <c r="J24" s="25" t="s">
        <v>373</v>
      </c>
      <c r="M24" s="25" t="s">
        <v>373</v>
      </c>
    </row>
    <row r="25" spans="2:13">
      <c r="F25" s="39"/>
      <c r="J25" s="25" t="s">
        <v>373</v>
      </c>
      <c r="M25" s="25" t="s">
        <v>373</v>
      </c>
    </row>
    <row r="26" spans="2:13">
      <c r="F26" s="39"/>
      <c r="G26" s="55"/>
      <c r="J26" s="25" t="s">
        <v>373</v>
      </c>
      <c r="M26" s="25" t="s">
        <v>373</v>
      </c>
    </row>
    <row r="27" spans="2:13">
      <c r="F27" s="39"/>
      <c r="J27" s="25" t="s">
        <v>373</v>
      </c>
      <c r="M27" s="25" t="s">
        <v>373</v>
      </c>
    </row>
    <row r="28" spans="2:13">
      <c r="F28" s="39"/>
      <c r="G28" s="55"/>
      <c r="J28" s="25" t="s">
        <v>373</v>
      </c>
      <c r="M28" s="25" t="s">
        <v>373</v>
      </c>
    </row>
    <row r="29" spans="2:13">
      <c r="F29" s="39"/>
      <c r="J29" s="25" t="s">
        <v>373</v>
      </c>
      <c r="M29" s="25" t="s">
        <v>373</v>
      </c>
    </row>
    <row r="30" spans="2:13">
      <c r="F30" s="39"/>
      <c r="G30" s="55"/>
      <c r="J30" s="25" t="s">
        <v>373</v>
      </c>
      <c r="M30" s="25" t="s">
        <v>373</v>
      </c>
    </row>
    <row r="31" spans="2:13">
      <c r="F31" s="39"/>
      <c r="J31" s="25" t="s">
        <v>373</v>
      </c>
      <c r="M31" s="25" t="s">
        <v>373</v>
      </c>
    </row>
    <row r="32" spans="2:13">
      <c r="F32" s="39"/>
      <c r="G32" s="55"/>
      <c r="J32" s="25" t="s">
        <v>373</v>
      </c>
      <c r="M32" s="25" t="s">
        <v>373</v>
      </c>
    </row>
  </sheetData>
  <mergeCells count="1">
    <mergeCell ref="B4:D4"/>
  </mergeCells>
  <hyperlinks>
    <hyperlink ref="B7" location="'Balance Gral. Resol. 30'!A1" display="'Balance Gral. Resol. 30'!A1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>
    <tabColor rgb="FF002060"/>
  </sheetPr>
  <dimension ref="B1:G13"/>
  <sheetViews>
    <sheetView showGridLines="0" workbookViewId="0">
      <selection activeCell="B77" sqref="B77"/>
    </sheetView>
  </sheetViews>
  <sheetFormatPr baseColWidth="10" defaultColWidth="11.44140625" defaultRowHeight="12"/>
  <cols>
    <col min="1" max="1" width="8.33203125" style="25" customWidth="1"/>
    <col min="2" max="2" width="37.88671875" style="25" bestFit="1" customWidth="1"/>
    <col min="3" max="3" width="11.33203125" style="25" bestFit="1" customWidth="1"/>
    <col min="4" max="4" width="10.33203125" style="25" bestFit="1" customWidth="1"/>
    <col min="5" max="5" width="14" style="25" bestFit="1" customWidth="1"/>
    <col min="6" max="6" width="14.88671875" style="25" hidden="1" customWidth="1"/>
    <col min="7" max="7" width="8.109375" style="25" hidden="1" customWidth="1"/>
    <col min="8" max="8" width="0" style="25" hidden="1" customWidth="1"/>
    <col min="9" max="16384" width="11.44140625" style="25"/>
  </cols>
  <sheetData>
    <row r="1" spans="2:7" ht="42" customHeight="1">
      <c r="B1" s="109"/>
    </row>
    <row r="2" spans="2:7">
      <c r="B2" s="109"/>
    </row>
    <row r="3" spans="2:7">
      <c r="B3" s="109" t="s">
        <v>513</v>
      </c>
    </row>
    <row r="4" spans="2:7">
      <c r="B4" s="109"/>
    </row>
    <row r="5" spans="2:7" ht="14.4">
      <c r="B5" s="408" t="s">
        <v>665</v>
      </c>
    </row>
    <row r="6" spans="2:7">
      <c r="B6" s="119" t="s">
        <v>338</v>
      </c>
      <c r="C6" s="119" t="s">
        <v>419</v>
      </c>
      <c r="D6" s="119" t="s">
        <v>420</v>
      </c>
      <c r="E6" s="119" t="s">
        <v>421</v>
      </c>
      <c r="F6" s="119" t="s">
        <v>422</v>
      </c>
    </row>
    <row r="7" spans="2:7">
      <c r="B7" s="33" t="s">
        <v>324</v>
      </c>
      <c r="C7" s="126">
        <v>0</v>
      </c>
      <c r="D7" s="126">
        <v>0</v>
      </c>
      <c r="E7" s="126">
        <v>0</v>
      </c>
      <c r="F7" s="126">
        <f t="shared" ref="F7:F12" si="0">+C7+D7-E7</f>
        <v>0</v>
      </c>
    </row>
    <row r="8" spans="2:7">
      <c r="B8" s="33" t="s">
        <v>431</v>
      </c>
      <c r="C8" s="126">
        <v>0</v>
      </c>
      <c r="D8" s="126">
        <v>0</v>
      </c>
      <c r="E8" s="126">
        <v>0</v>
      </c>
      <c r="F8" s="126">
        <f t="shared" si="0"/>
        <v>0</v>
      </c>
    </row>
    <row r="9" spans="2:7">
      <c r="B9" s="33" t="s">
        <v>432</v>
      </c>
      <c r="C9" s="126">
        <v>0</v>
      </c>
      <c r="D9" s="126">
        <v>0</v>
      </c>
      <c r="E9" s="126">
        <v>0</v>
      </c>
      <c r="F9" s="126">
        <f t="shared" si="0"/>
        <v>0</v>
      </c>
    </row>
    <row r="10" spans="2:7">
      <c r="B10" s="33" t="s">
        <v>433</v>
      </c>
      <c r="C10" s="126">
        <v>0</v>
      </c>
      <c r="D10" s="126">
        <v>0</v>
      </c>
      <c r="E10" s="126">
        <v>0</v>
      </c>
      <c r="F10" s="126">
        <f t="shared" si="0"/>
        <v>0</v>
      </c>
    </row>
    <row r="11" spans="2:7">
      <c r="B11" s="33" t="s">
        <v>434</v>
      </c>
      <c r="C11" s="126">
        <v>0</v>
      </c>
      <c r="D11" s="126">
        <v>0</v>
      </c>
      <c r="E11" s="126">
        <v>0</v>
      </c>
      <c r="F11" s="126">
        <f t="shared" si="0"/>
        <v>0</v>
      </c>
    </row>
    <row r="12" spans="2:7">
      <c r="B12" s="121" t="str">
        <f>+' NOTA I INTANGIBLES'!B17</f>
        <v>Total al 30/09/2022</v>
      </c>
      <c r="C12" s="127">
        <f>SUM(C7:C11)</f>
        <v>0</v>
      </c>
      <c r="D12" s="127">
        <f>SUM(D7:D11)</f>
        <v>0</v>
      </c>
      <c r="E12" s="127">
        <f>SUM(E7:E11)</f>
        <v>0</v>
      </c>
      <c r="F12" s="127">
        <f t="shared" si="0"/>
        <v>0</v>
      </c>
      <c r="G12" s="128"/>
    </row>
    <row r="13" spans="2:7">
      <c r="B13" s="121" t="str">
        <f>+'NOTA H CARGOS DIFERIDOS'!B13</f>
        <v>Total al 31/12/2021</v>
      </c>
      <c r="C13" s="127">
        <v>0</v>
      </c>
      <c r="D13" s="127">
        <v>0</v>
      </c>
      <c r="E13" s="127">
        <v>0</v>
      </c>
      <c r="F13" s="127">
        <v>0</v>
      </c>
      <c r="G13" s="128"/>
    </row>
  </sheetData>
  <hyperlinks>
    <hyperlink ref="B5" location="'Balance Gral. Resol. 30'!A1" display="'Balance Gral. Resol. 30'!A1" xr:uid="{00000000-0004-0000-0F00-000000000000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>
    <tabColor rgb="FF002060"/>
  </sheetPr>
  <dimension ref="B1:I62"/>
  <sheetViews>
    <sheetView showGridLines="0" topLeftCell="A46" zoomScale="125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42.44140625" style="25" bestFit="1" customWidth="1"/>
    <col min="3" max="3" width="13.88671875" style="25" bestFit="1" customWidth="1"/>
    <col min="4" max="4" width="17.21875" style="25" customWidth="1"/>
    <col min="5" max="5" width="13.88671875" style="25" bestFit="1" customWidth="1"/>
    <col min="6" max="6" width="18.109375" style="25" customWidth="1"/>
    <col min="7" max="7" width="13" style="25" customWidth="1"/>
    <col min="8" max="8" width="16.33203125" style="25" customWidth="1"/>
    <col min="9" max="9" width="31.5546875" style="25" customWidth="1"/>
    <col min="10" max="16384" width="11.44140625" style="25"/>
  </cols>
  <sheetData>
    <row r="1" spans="2:5" ht="27.6" customHeight="1"/>
    <row r="5" spans="2:5">
      <c r="B5" s="109" t="s">
        <v>514</v>
      </c>
    </row>
    <row r="7" spans="2:5">
      <c r="B7" s="29" t="s">
        <v>435</v>
      </c>
      <c r="C7" s="191" t="s">
        <v>436</v>
      </c>
      <c r="D7" s="191" t="s">
        <v>1028</v>
      </c>
      <c r="E7" s="29" t="s">
        <v>437</v>
      </c>
    </row>
    <row r="8" spans="2:5">
      <c r="B8" s="29" t="s">
        <v>1006</v>
      </c>
      <c r="C8" s="410">
        <f>+C10+C20</f>
        <v>26495875400</v>
      </c>
      <c r="D8" s="410"/>
      <c r="E8" s="29"/>
    </row>
    <row r="9" spans="2:5">
      <c r="B9" s="29"/>
      <c r="C9" s="410"/>
      <c r="D9" s="410"/>
      <c r="E9" s="29"/>
    </row>
    <row r="10" spans="2:5">
      <c r="B10" s="29" t="s">
        <v>683</v>
      </c>
      <c r="C10" s="410">
        <f>SUM(C11:C18)</f>
        <v>26495875400</v>
      </c>
      <c r="D10" s="410"/>
      <c r="E10" s="29"/>
    </row>
    <row r="11" spans="2:5">
      <c r="B11" s="33" t="s">
        <v>914</v>
      </c>
      <c r="C11" s="187">
        <v>1500000000</v>
      </c>
      <c r="D11" s="187"/>
      <c r="E11" s="97">
        <v>0</v>
      </c>
    </row>
    <row r="12" spans="2:5">
      <c r="B12" s="33" t="s">
        <v>914</v>
      </c>
      <c r="C12" s="187">
        <v>1600000000</v>
      </c>
      <c r="D12" s="187"/>
      <c r="E12" s="97">
        <v>0</v>
      </c>
    </row>
    <row r="13" spans="2:5">
      <c r="B13" s="33" t="s">
        <v>913</v>
      </c>
      <c r="C13" s="187">
        <v>2250000000</v>
      </c>
      <c r="D13" s="187"/>
      <c r="E13" s="97">
        <v>0</v>
      </c>
    </row>
    <row r="14" spans="2:5">
      <c r="B14" s="33" t="s">
        <v>913</v>
      </c>
      <c r="C14" s="564">
        <v>2700000000</v>
      </c>
      <c r="D14" s="564"/>
      <c r="E14" s="97">
        <v>0</v>
      </c>
    </row>
    <row r="15" spans="2:5">
      <c r="B15" s="33" t="s">
        <v>913</v>
      </c>
      <c r="C15" s="371">
        <v>1000000000</v>
      </c>
      <c r="D15" s="371"/>
      <c r="E15" s="97">
        <v>0</v>
      </c>
    </row>
    <row r="16" spans="2:5">
      <c r="B16" s="33" t="s">
        <v>1026</v>
      </c>
      <c r="C16" s="371">
        <v>1656000000</v>
      </c>
      <c r="D16" s="371"/>
      <c r="E16" s="97">
        <v>0</v>
      </c>
    </row>
    <row r="17" spans="2:5">
      <c r="B17" s="33" t="s">
        <v>915</v>
      </c>
      <c r="C17" s="371">
        <f>+D17*7090.2</f>
        <v>11535755400</v>
      </c>
      <c r="D17" s="371">
        <v>1627000</v>
      </c>
      <c r="E17" s="371">
        <v>0</v>
      </c>
    </row>
    <row r="18" spans="2:5">
      <c r="B18" s="33" t="s">
        <v>1027</v>
      </c>
      <c r="C18" s="371">
        <f>+D18*7090.2</f>
        <v>4254120000</v>
      </c>
      <c r="D18" s="371">
        <v>600000</v>
      </c>
      <c r="E18" s="371"/>
    </row>
    <row r="19" spans="2:5">
      <c r="B19" s="116"/>
      <c r="C19" s="178"/>
      <c r="D19" s="178"/>
      <c r="E19" s="97"/>
    </row>
    <row r="20" spans="2:5">
      <c r="B20" s="29" t="s">
        <v>1005</v>
      </c>
      <c r="C20" s="409">
        <f>+C21+C22</f>
        <v>0</v>
      </c>
      <c r="D20" s="409"/>
      <c r="E20" s="97"/>
    </row>
    <row r="21" spans="2:5">
      <c r="B21" s="664" t="str">
        <f>+'NOTA D - DISPONIBILIDADES'!B46</f>
        <v>Itau Cta Cte. Gs  571</v>
      </c>
      <c r="C21" s="178">
        <v>0</v>
      </c>
      <c r="D21" s="178"/>
      <c r="E21" s="97"/>
    </row>
    <row r="22" spans="2:5">
      <c r="B22" s="665" t="str">
        <f>+'NOTA D - DISPONIBILIDADES'!B53</f>
        <v>Itau Internacional Usd 75080363-6</v>
      </c>
      <c r="C22" s="178">
        <v>0</v>
      </c>
      <c r="D22" s="178"/>
      <c r="E22" s="97"/>
    </row>
    <row r="23" spans="2:5">
      <c r="B23" s="116"/>
      <c r="C23" s="178"/>
      <c r="D23" s="178"/>
      <c r="E23" s="97"/>
    </row>
    <row r="24" spans="2:5">
      <c r="B24" s="116"/>
      <c r="C24" s="178"/>
      <c r="D24" s="178"/>
      <c r="E24" s="97"/>
    </row>
    <row r="25" spans="2:5">
      <c r="B25" s="29" t="s">
        <v>438</v>
      </c>
      <c r="C25" s="409">
        <f>SUM(C26:C46)</f>
        <v>54006546708.480003</v>
      </c>
      <c r="D25" s="409"/>
      <c r="E25" s="97">
        <v>0</v>
      </c>
    </row>
    <row r="26" spans="2:5">
      <c r="B26" s="91" t="s">
        <v>1029</v>
      </c>
      <c r="C26" s="178">
        <v>4655810958.8999996</v>
      </c>
      <c r="D26" s="178"/>
      <c r="E26" s="97">
        <v>0</v>
      </c>
    </row>
    <row r="27" spans="2:5">
      <c r="B27" s="91" t="s">
        <v>1029</v>
      </c>
      <c r="C27" s="178">
        <v>4656686301.3699999</v>
      </c>
      <c r="D27" s="178"/>
      <c r="E27" s="97">
        <v>0</v>
      </c>
    </row>
    <row r="28" spans="2:5">
      <c r="B28" s="91" t="s">
        <v>1029</v>
      </c>
      <c r="C28" s="178">
        <v>1402964383.5599999</v>
      </c>
      <c r="D28" s="178"/>
      <c r="E28" s="97">
        <v>0</v>
      </c>
    </row>
    <row r="29" spans="2:5">
      <c r="B29" s="91" t="s">
        <v>951</v>
      </c>
      <c r="C29" s="178">
        <v>1830772602.74</v>
      </c>
      <c r="D29" s="178"/>
      <c r="E29" s="97">
        <v>0</v>
      </c>
    </row>
    <row r="30" spans="2:5">
      <c r="B30" s="91" t="s">
        <v>951</v>
      </c>
      <c r="C30" s="178">
        <v>1060407123.29</v>
      </c>
      <c r="D30" s="178"/>
      <c r="E30" s="97">
        <v>0</v>
      </c>
    </row>
    <row r="31" spans="2:5">
      <c r="B31" s="91" t="s">
        <v>951</v>
      </c>
      <c r="C31" s="178">
        <v>3807462191.7800002</v>
      </c>
      <c r="D31" s="178"/>
      <c r="E31" s="97"/>
    </row>
    <row r="32" spans="2:5">
      <c r="B32" s="91" t="s">
        <v>951</v>
      </c>
      <c r="C32" s="178">
        <v>457212328.76999998</v>
      </c>
      <c r="D32" s="178"/>
      <c r="E32" s="97"/>
    </row>
    <row r="33" spans="2:6">
      <c r="B33" s="91" t="s">
        <v>952</v>
      </c>
      <c r="C33" s="178">
        <v>4563172602.7399998</v>
      </c>
      <c r="D33" s="178"/>
      <c r="E33" s="97"/>
    </row>
    <row r="34" spans="2:6">
      <c r="B34" s="91" t="s">
        <v>953</v>
      </c>
      <c r="C34" s="178">
        <v>4735143544</v>
      </c>
      <c r="D34" s="178"/>
      <c r="E34" s="97"/>
    </row>
    <row r="35" spans="2:6">
      <c r="B35" s="91" t="s">
        <v>1030</v>
      </c>
      <c r="C35" s="178">
        <v>923076923.08000004</v>
      </c>
      <c r="D35" s="178"/>
      <c r="E35" s="97"/>
    </row>
    <row r="36" spans="2:6">
      <c r="B36" s="91" t="s">
        <v>1030</v>
      </c>
      <c r="C36" s="178">
        <v>923076923.08000004</v>
      </c>
      <c r="D36" s="178"/>
      <c r="E36" s="97"/>
    </row>
    <row r="37" spans="2:6">
      <c r="B37" s="91" t="s">
        <v>1030</v>
      </c>
      <c r="C37" s="178">
        <v>1846153846.1500001</v>
      </c>
      <c r="D37" s="178"/>
      <c r="E37" s="97"/>
    </row>
    <row r="38" spans="2:6">
      <c r="B38" s="91" t="s">
        <v>1030</v>
      </c>
      <c r="C38" s="178">
        <v>2307692307.6900001</v>
      </c>
      <c r="D38" s="178"/>
      <c r="E38" s="97"/>
    </row>
    <row r="39" spans="2:6">
      <c r="B39" s="91" t="s">
        <v>1031</v>
      </c>
      <c r="C39" s="178">
        <v>4322083561.6400003</v>
      </c>
      <c r="D39" s="178"/>
      <c r="E39" s="97"/>
    </row>
    <row r="40" spans="2:6">
      <c r="B40" s="91" t="s">
        <v>952</v>
      </c>
      <c r="C40" s="178">
        <v>6841374657.5299997</v>
      </c>
      <c r="D40" s="178"/>
      <c r="E40" s="97"/>
    </row>
    <row r="41" spans="2:6">
      <c r="B41" s="91" t="s">
        <v>1030</v>
      </c>
      <c r="C41" s="178">
        <v>4545454545.4499998</v>
      </c>
      <c r="D41" s="178"/>
      <c r="E41" s="97"/>
    </row>
    <row r="42" spans="2:6">
      <c r="B42" s="91" t="s">
        <v>1030</v>
      </c>
      <c r="C42" s="178">
        <v>454545454.55000001</v>
      </c>
      <c r="D42" s="178"/>
      <c r="E42" s="97"/>
    </row>
    <row r="43" spans="2:6">
      <c r="B43" s="91" t="s">
        <v>1030</v>
      </c>
      <c r="C43" s="178">
        <v>1363636363.6400001</v>
      </c>
      <c r="D43" s="178"/>
      <c r="E43" s="97"/>
    </row>
    <row r="44" spans="2:6">
      <c r="B44" s="91" t="s">
        <v>1030</v>
      </c>
      <c r="C44" s="178">
        <v>3636363636.3600001</v>
      </c>
      <c r="D44" s="178"/>
      <c r="E44" s="97"/>
    </row>
    <row r="45" spans="2:6">
      <c r="B45" s="116" t="s">
        <v>969</v>
      </c>
      <c r="C45" s="178">
        <f>-'[6]REPOS - AL 30 09 PENDIENTES'!$O$220+1</f>
        <v>-2384121916.7999997</v>
      </c>
      <c r="D45" s="178"/>
      <c r="E45" s="97">
        <v>0</v>
      </c>
    </row>
    <row r="46" spans="2:6">
      <c r="B46" s="116" t="s">
        <v>331</v>
      </c>
      <c r="C46" s="178">
        <f>+'[6]REPOS - AL 30 09 PENDIENTES'!$N$220</f>
        <v>2057578368.96</v>
      </c>
      <c r="D46" s="178"/>
      <c r="E46" s="97"/>
    </row>
    <row r="47" spans="2:6">
      <c r="B47" s="116"/>
      <c r="C47" s="178"/>
      <c r="D47" s="178"/>
      <c r="E47" s="97"/>
    </row>
    <row r="48" spans="2:6">
      <c r="B48" s="121" t="str">
        <f>+'NOTA J OTROS ACTIVOS CTES y NO '!B12</f>
        <v>Total al 30/09/2022</v>
      </c>
      <c r="C48" s="292">
        <f>+C25+C8</f>
        <v>80502422108.480011</v>
      </c>
      <c r="D48" s="292"/>
      <c r="E48" s="97">
        <v>0</v>
      </c>
      <c r="F48" s="39"/>
    </row>
    <row r="49" spans="2:6">
      <c r="B49" s="121" t="str">
        <f>+'NOTA J OTROS ACTIVOS CTES y NO '!B13</f>
        <v>Total al 31/12/2021</v>
      </c>
      <c r="C49" s="292">
        <v>131306947284.74202</v>
      </c>
      <c r="D49" s="292"/>
      <c r="E49" s="97">
        <v>0</v>
      </c>
      <c r="F49" s="39"/>
    </row>
    <row r="50" spans="2:6">
      <c r="C50" s="39"/>
      <c r="D50" s="39"/>
    </row>
    <row r="51" spans="2:6">
      <c r="C51" s="39"/>
      <c r="D51" s="39"/>
      <c r="E51" s="39"/>
    </row>
    <row r="52" spans="2:6">
      <c r="B52" s="29" t="s">
        <v>338</v>
      </c>
      <c r="C52" s="129" t="s">
        <v>436</v>
      </c>
      <c r="D52" s="129"/>
      <c r="E52" s="129" t="s">
        <v>437</v>
      </c>
    </row>
    <row r="53" spans="2:6">
      <c r="B53" s="33" t="s">
        <v>916</v>
      </c>
      <c r="C53" s="53">
        <f>+'[6]EEFF '!$B$99</f>
        <v>357929917</v>
      </c>
      <c r="D53" s="53"/>
      <c r="E53" s="53"/>
    </row>
    <row r="54" spans="2:6">
      <c r="B54" s="33" t="s">
        <v>917</v>
      </c>
      <c r="C54" s="53">
        <f>+'[6]EEFF '!$B$100</f>
        <v>268433554</v>
      </c>
      <c r="D54" s="53"/>
      <c r="E54" s="53">
        <v>0</v>
      </c>
    </row>
    <row r="55" spans="2:6">
      <c r="B55" s="33" t="s">
        <v>918</v>
      </c>
      <c r="C55" s="53">
        <v>0</v>
      </c>
      <c r="D55" s="53"/>
      <c r="E55" s="53">
        <v>0</v>
      </c>
    </row>
    <row r="56" spans="2:6">
      <c r="B56" s="33" t="s">
        <v>919</v>
      </c>
      <c r="C56" s="53">
        <v>0</v>
      </c>
      <c r="D56" s="53"/>
      <c r="E56" s="53"/>
    </row>
    <row r="57" spans="2:6">
      <c r="B57" s="33" t="s">
        <v>52</v>
      </c>
      <c r="C57" s="53">
        <v>0</v>
      </c>
      <c r="D57" s="53"/>
      <c r="E57" s="53"/>
    </row>
    <row r="58" spans="2:6">
      <c r="B58" s="121" t="str">
        <f>+B48</f>
        <v>Total al 30/09/2022</v>
      </c>
      <c r="C58" s="118">
        <f>SUM(C53:C57)</f>
        <v>626363471</v>
      </c>
      <c r="D58" s="118"/>
      <c r="E58" s="53">
        <v>0</v>
      </c>
    </row>
    <row r="59" spans="2:6">
      <c r="B59" s="121" t="str">
        <f>+B49</f>
        <v>Total al 31/12/2021</v>
      </c>
      <c r="C59" s="118">
        <v>-240243328</v>
      </c>
      <c r="D59" s="118"/>
      <c r="E59" s="118">
        <v>0</v>
      </c>
    </row>
    <row r="61" spans="2:6">
      <c r="C61" s="804">
        <f>+C48+C58-'Balance Gral. Resol. 30'!G22</f>
        <v>0.480010986328125</v>
      </c>
      <c r="D61" s="39"/>
    </row>
    <row r="62" spans="2:6">
      <c r="C62" s="804">
        <f>+C49+C59-'Balance Gral. Resol. 30'!H22</f>
        <v>-0.2579803466796875</v>
      </c>
      <c r="D62" s="39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>
    <tabColor rgb="FF002060"/>
  </sheetPr>
  <dimension ref="B1:H17"/>
  <sheetViews>
    <sheetView showGridLines="0" topLeftCell="A2" zoomScale="112" zoomScaleNormal="112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28" style="25" bestFit="1" customWidth="1"/>
    <col min="3" max="3" width="15" style="25" customWidth="1"/>
    <col min="4" max="4" width="15" style="112" customWidth="1"/>
    <col min="5" max="5" width="13.44140625" style="25" customWidth="1"/>
    <col min="6" max="6" width="14" style="25" hidden="1" customWidth="1"/>
    <col min="7" max="7" width="23.33203125" style="25" hidden="1" customWidth="1"/>
    <col min="8" max="8" width="14.33203125" style="25" hidden="1" customWidth="1"/>
    <col min="9" max="9" width="14.33203125" style="25" customWidth="1"/>
    <col min="10" max="16384" width="11.44140625" style="25"/>
  </cols>
  <sheetData>
    <row r="1" spans="2:8" ht="37.200000000000003" customHeight="1">
      <c r="C1" s="201"/>
    </row>
    <row r="2" spans="2:8" ht="14.4">
      <c r="C2" s="348"/>
    </row>
    <row r="3" spans="2:8">
      <c r="B3" s="671" t="s">
        <v>515</v>
      </c>
      <c r="C3" s="671"/>
      <c r="D3" s="671"/>
    </row>
    <row r="4" spans="2:8">
      <c r="B4" s="347"/>
      <c r="C4" s="347"/>
      <c r="D4" s="347"/>
    </row>
    <row r="5" spans="2:8" ht="14.4">
      <c r="B5" s="408" t="s">
        <v>665</v>
      </c>
    </row>
    <row r="6" spans="2:8" ht="34.5" customHeight="1">
      <c r="B6" s="29" t="s">
        <v>338</v>
      </c>
      <c r="C6" s="129" t="s">
        <v>436</v>
      </c>
      <c r="D6" s="129" t="s">
        <v>437</v>
      </c>
    </row>
    <row r="7" spans="2:8">
      <c r="B7" s="33" t="s">
        <v>920</v>
      </c>
      <c r="C7" s="53">
        <f>+'[6]EEFF '!$B$107-110001</f>
        <v>114132856</v>
      </c>
      <c r="D7" s="53"/>
      <c r="H7" s="130"/>
    </row>
    <row r="8" spans="2:8">
      <c r="B8" s="33" t="s">
        <v>921</v>
      </c>
      <c r="C8" s="53">
        <f>+'[6]EEFF '!$B$108</f>
        <v>86126290</v>
      </c>
      <c r="D8" s="53">
        <v>0</v>
      </c>
      <c r="H8" s="130"/>
    </row>
    <row r="9" spans="2:8">
      <c r="B9" s="33" t="s">
        <v>922</v>
      </c>
      <c r="C9" s="53">
        <f>+'[6]EEFF '!$B$109</f>
        <v>3101982</v>
      </c>
      <c r="D9" s="53">
        <v>0</v>
      </c>
      <c r="H9" s="130"/>
    </row>
    <row r="10" spans="2:8">
      <c r="B10" s="33" t="s">
        <v>923</v>
      </c>
      <c r="C10" s="53">
        <f>+'[6]EEFF '!$B$110</f>
        <v>3337703</v>
      </c>
      <c r="D10" s="53"/>
      <c r="E10" s="115"/>
      <c r="F10" s="115"/>
      <c r="H10" s="130"/>
    </row>
    <row r="11" spans="2:8">
      <c r="B11" s="33" t="s">
        <v>924</v>
      </c>
      <c r="C11" s="53">
        <f>+'[6]EEFF '!$B$111</f>
        <v>1158596</v>
      </c>
      <c r="D11" s="53"/>
      <c r="E11" s="115"/>
      <c r="F11" s="115"/>
      <c r="H11" s="130"/>
    </row>
    <row r="12" spans="2:8">
      <c r="B12" s="33" t="s">
        <v>925</v>
      </c>
      <c r="C12" s="53">
        <f>+'[6]EEFF '!$B$112</f>
        <v>3004156</v>
      </c>
      <c r="D12" s="53"/>
      <c r="E12" s="115"/>
      <c r="F12" s="115"/>
      <c r="H12" s="130"/>
    </row>
    <row r="13" spans="2:8">
      <c r="B13" s="121" t="str">
        <f>+'NOTA K PRESTAMOS'!B48</f>
        <v>Total al 30/09/2022</v>
      </c>
      <c r="C13" s="118">
        <f>SUM(C7:C12)</f>
        <v>210861583</v>
      </c>
      <c r="D13" s="53">
        <v>0</v>
      </c>
      <c r="E13" s="39">
        <v>0</v>
      </c>
      <c r="F13" s="131"/>
      <c r="G13" s="55"/>
    </row>
    <row r="14" spans="2:8">
      <c r="B14" s="121" t="str">
        <f>+'NOTA K PRESTAMOS'!B49</f>
        <v>Total al 31/12/2021</v>
      </c>
      <c r="C14" s="118">
        <v>535305930</v>
      </c>
      <c r="D14" s="118">
        <v>0</v>
      </c>
      <c r="E14" s="39"/>
    </row>
    <row r="15" spans="2:8">
      <c r="C15" s="112"/>
    </row>
    <row r="16" spans="2:8">
      <c r="C16" s="55">
        <f>+C13-'Balance Gral. Resol. 30'!G12</f>
        <v>0</v>
      </c>
    </row>
    <row r="17" spans="3:3">
      <c r="C17" s="55"/>
    </row>
  </sheetData>
  <mergeCells count="1">
    <mergeCell ref="B3:D3"/>
  </mergeCells>
  <hyperlinks>
    <hyperlink ref="B5" location="'Balance Gral. Resol. 30'!A1" display="'Balance Gral. Resol. 30'!A1" xr:uid="{00000000-0004-0000-1100-000000000000}"/>
  </hyperlink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>
    <tabColor rgb="FF002060"/>
  </sheetPr>
  <dimension ref="B1:H46"/>
  <sheetViews>
    <sheetView showGridLines="0" zoomScale="125" zoomScaleNormal="85" workbookViewId="0">
      <selection activeCell="B77" sqref="B77"/>
    </sheetView>
  </sheetViews>
  <sheetFormatPr baseColWidth="10" defaultColWidth="11.44140625" defaultRowHeight="12"/>
  <cols>
    <col min="1" max="1" width="4.6640625" style="132" customWidth="1"/>
    <col min="2" max="2" width="47.109375" style="132" customWidth="1"/>
    <col min="3" max="4" width="20.6640625" style="132" customWidth="1"/>
    <col min="5" max="5" width="18.88671875" style="132" customWidth="1"/>
    <col min="6" max="6" width="18.5546875" style="132" customWidth="1"/>
    <col min="7" max="7" width="19.88671875" style="132" customWidth="1"/>
    <col min="8" max="8" width="22.5546875" style="132" customWidth="1"/>
    <col min="9" max="9" width="11.44140625" style="132"/>
    <col min="10" max="10" width="13.44140625" style="132" customWidth="1"/>
    <col min="11" max="16384" width="11.44140625" style="132"/>
  </cols>
  <sheetData>
    <row r="1" spans="2:4" ht="49.95" customHeight="1">
      <c r="C1" s="201"/>
    </row>
    <row r="2" spans="2:4" ht="14.4">
      <c r="B2" s="411" t="s">
        <v>665</v>
      </c>
      <c r="C2" s="348"/>
    </row>
    <row r="3" spans="2:4" ht="14.4">
      <c r="B3" s="411"/>
      <c r="C3" s="348"/>
    </row>
    <row r="4" spans="2:4" ht="24">
      <c r="B4" s="133" t="s">
        <v>1007</v>
      </c>
    </row>
    <row r="6" spans="2:4">
      <c r="B6" s="122" t="s">
        <v>338</v>
      </c>
      <c r="C6" s="122" t="s">
        <v>439</v>
      </c>
      <c r="D6" s="122" t="s">
        <v>440</v>
      </c>
    </row>
    <row r="7" spans="2:4" ht="24">
      <c r="B7" s="134" t="s">
        <v>1008</v>
      </c>
      <c r="C7" s="135">
        <v>0</v>
      </c>
      <c r="D7" s="136">
        <v>0</v>
      </c>
    </row>
    <row r="8" spans="2:4" ht="24">
      <c r="B8" s="134" t="s">
        <v>1009</v>
      </c>
      <c r="C8" s="135">
        <v>0</v>
      </c>
      <c r="D8" s="136">
        <v>0</v>
      </c>
    </row>
    <row r="9" spans="2:4">
      <c r="B9" s="137" t="str">
        <f>+'NOTA L DOCUM y CTAS A PAG'!B13</f>
        <v>Total al 30/09/2022</v>
      </c>
      <c r="C9" s="138">
        <f>SUM(C7:C8)</f>
        <v>0</v>
      </c>
      <c r="D9" s="136">
        <v>0</v>
      </c>
    </row>
    <row r="10" spans="2:4">
      <c r="B10" s="137" t="str">
        <f>+'NOTA L DOCUM y CTAS A PAG'!B14</f>
        <v>Total al 31/12/2021</v>
      </c>
      <c r="C10" s="139">
        <v>5726846168</v>
      </c>
      <c r="D10" s="136">
        <v>0</v>
      </c>
    </row>
    <row r="11" spans="2:4">
      <c r="C11" s="151">
        <f>+C9-'Balance Gral. Resol. 30'!G11</f>
        <v>0</v>
      </c>
    </row>
    <row r="12" spans="2:4">
      <c r="B12" s="133" t="s">
        <v>516</v>
      </c>
      <c r="C12" s="575">
        <f>+C10-'Balance Gral. Resol. 30'!H11</f>
        <v>0</v>
      </c>
    </row>
    <row r="13" spans="2:4" ht="24" customHeight="1">
      <c r="B13" s="751" t="s">
        <v>441</v>
      </c>
      <c r="C13" s="751"/>
      <c r="D13" s="751"/>
    </row>
    <row r="14" spans="2:4">
      <c r="B14" s="140"/>
    </row>
    <row r="15" spans="2:4" ht="24" customHeight="1">
      <c r="B15" s="752" t="s">
        <v>517</v>
      </c>
      <c r="C15" s="752"/>
      <c r="D15" s="752"/>
    </row>
    <row r="16" spans="2:4">
      <c r="B16" s="133"/>
    </row>
    <row r="17" spans="2:7" ht="24">
      <c r="B17" s="122" t="s">
        <v>447</v>
      </c>
      <c r="C17" s="122" t="s">
        <v>448</v>
      </c>
      <c r="D17" s="122" t="s">
        <v>449</v>
      </c>
      <c r="E17" s="122" t="s">
        <v>454</v>
      </c>
      <c r="F17" s="122" t="s">
        <v>439</v>
      </c>
      <c r="G17" s="122" t="s">
        <v>440</v>
      </c>
    </row>
    <row r="18" spans="2:7">
      <c r="B18" s="134"/>
      <c r="C18" s="134"/>
      <c r="D18" s="134"/>
      <c r="E18" s="412"/>
      <c r="F18" s="135"/>
      <c r="G18" s="135">
        <v>0</v>
      </c>
    </row>
    <row r="19" spans="2:7">
      <c r="B19" s="134"/>
      <c r="C19" s="134"/>
      <c r="D19" s="134"/>
      <c r="E19" s="412">
        <v>0</v>
      </c>
      <c r="F19" s="135">
        <v>0</v>
      </c>
      <c r="G19" s="135">
        <v>0</v>
      </c>
    </row>
    <row r="20" spans="2:7">
      <c r="B20" s="137" t="str">
        <f>+B9</f>
        <v>Total al 30/09/2022</v>
      </c>
      <c r="C20" s="137"/>
      <c r="D20" s="137"/>
      <c r="E20" s="413"/>
      <c r="F20" s="341">
        <f>SUM(F18:F19)</f>
        <v>0</v>
      </c>
      <c r="G20" s="341">
        <v>0</v>
      </c>
    </row>
    <row r="21" spans="2:7">
      <c r="B21" s="137" t="str">
        <f>+B10</f>
        <v>Total al 31/12/2021</v>
      </c>
      <c r="C21" s="137"/>
      <c r="D21" s="137"/>
      <c r="E21" s="137"/>
      <c r="F21" s="139">
        <v>110000</v>
      </c>
      <c r="G21" s="139">
        <v>0</v>
      </c>
    </row>
    <row r="22" spans="2:7">
      <c r="F22" s="159">
        <f>+F20-'Balance Gral. Resol. 30'!G13</f>
        <v>0</v>
      </c>
    </row>
    <row r="23" spans="2:7">
      <c r="B23" s="141"/>
      <c r="C23" s="142"/>
      <c r="D23" s="143"/>
      <c r="F23" s="575">
        <f>+F21-'Balance Gral. Resol. 30'!H13</f>
        <v>0</v>
      </c>
    </row>
    <row r="24" spans="2:7" ht="24" customHeight="1">
      <c r="B24" s="752" t="s">
        <v>518</v>
      </c>
      <c r="C24" s="752"/>
      <c r="D24" s="752"/>
      <c r="E24" s="752"/>
      <c r="F24" s="752"/>
      <c r="G24" s="752"/>
    </row>
    <row r="25" spans="2:7">
      <c r="B25" s="751" t="s">
        <v>442</v>
      </c>
      <c r="C25" s="751"/>
      <c r="D25" s="751"/>
      <c r="E25" s="751"/>
      <c r="F25" s="751"/>
      <c r="G25" s="751"/>
    </row>
    <row r="27" spans="2:7">
      <c r="B27" s="133" t="s">
        <v>519</v>
      </c>
    </row>
    <row r="29" spans="2:7">
      <c r="B29" s="35" t="s">
        <v>338</v>
      </c>
      <c r="C29" s="129" t="s">
        <v>443</v>
      </c>
      <c r="D29" s="129" t="s">
        <v>444</v>
      </c>
    </row>
    <row r="30" spans="2:7">
      <c r="B30" s="144" t="s">
        <v>684</v>
      </c>
      <c r="C30" s="147">
        <f>+'Balance Gral. Resol. 30'!G27</f>
        <v>61343110</v>
      </c>
      <c r="D30" s="146">
        <v>0</v>
      </c>
    </row>
    <row r="31" spans="2:7">
      <c r="B31" s="144" t="s">
        <v>536</v>
      </c>
      <c r="C31" s="147">
        <v>0</v>
      </c>
      <c r="D31" s="146">
        <v>0</v>
      </c>
    </row>
    <row r="32" spans="2:7">
      <c r="B32" s="144" t="s">
        <v>332</v>
      </c>
      <c r="C32" s="148">
        <v>0</v>
      </c>
      <c r="D32" s="146">
        <v>0</v>
      </c>
    </row>
    <row r="33" spans="2:4">
      <c r="B33" s="137" t="str">
        <f>+B20</f>
        <v>Total al 30/09/2022</v>
      </c>
      <c r="C33" s="138">
        <f>SUM(C30:C32)</f>
        <v>61343110</v>
      </c>
      <c r="D33" s="146">
        <v>0</v>
      </c>
    </row>
    <row r="34" spans="2:4">
      <c r="B34" s="137" t="str">
        <f>+B21</f>
        <v>Total al 31/12/2021</v>
      </c>
      <c r="C34" s="149">
        <f>+'Balance Gral. Resol. 30'!H31</f>
        <v>1790587334</v>
      </c>
      <c r="D34" s="146">
        <v>0</v>
      </c>
    </row>
    <row r="36" spans="2:4">
      <c r="C36" s="151">
        <f>+C33-'Balance Gral. Resol. 30'!G31</f>
        <v>0</v>
      </c>
    </row>
    <row r="37" spans="2:4">
      <c r="C37" s="575">
        <f>+C34-'Balance Gral. Resol. 30'!H31</f>
        <v>0</v>
      </c>
    </row>
    <row r="38" spans="2:4">
      <c r="B38" s="35" t="s">
        <v>338</v>
      </c>
      <c r="C38" s="129" t="s">
        <v>443</v>
      </c>
      <c r="D38" s="129" t="s">
        <v>444</v>
      </c>
    </row>
    <row r="39" spans="2:4">
      <c r="B39" s="144" t="s">
        <v>970</v>
      </c>
      <c r="C39" s="145">
        <f>+'[6]EEFF '!$B$116</f>
        <v>10682000000</v>
      </c>
      <c r="D39" s="146">
        <v>0</v>
      </c>
    </row>
    <row r="40" spans="2:4">
      <c r="B40" s="144" t="s">
        <v>971</v>
      </c>
      <c r="C40" s="145">
        <v>0</v>
      </c>
      <c r="D40" s="146"/>
    </row>
    <row r="41" spans="2:4">
      <c r="B41" s="144" t="s">
        <v>972</v>
      </c>
      <c r="C41" s="145">
        <f>+'[6]EEFF '!$B$118+'[6]EEFF '!$B$119</f>
        <v>15731055</v>
      </c>
      <c r="D41" s="146"/>
    </row>
    <row r="42" spans="2:4">
      <c r="B42" s="144" t="s">
        <v>1010</v>
      </c>
      <c r="C42" s="145">
        <f>+'[6]EEFF '!$B$117</f>
        <v>2384121918</v>
      </c>
      <c r="D42" s="146"/>
    </row>
    <row r="43" spans="2:4">
      <c r="B43" s="137" t="str">
        <f>+B33</f>
        <v>Total al 30/09/2022</v>
      </c>
      <c r="C43" s="138">
        <f>SUM(C39:C42)</f>
        <v>13081852973</v>
      </c>
      <c r="D43" s="146">
        <v>0</v>
      </c>
    </row>
    <row r="44" spans="2:4">
      <c r="B44" s="137" t="str">
        <f>+B34</f>
        <v>Total al 31/12/2021</v>
      </c>
      <c r="C44" s="149">
        <f>+'Balance Gral. Resol. 30'!H38</f>
        <v>14244884</v>
      </c>
      <c r="D44" s="146">
        <v>0</v>
      </c>
    </row>
    <row r="46" spans="2:4">
      <c r="C46" s="151">
        <f>+C43-'Balance Gral. Resol. 30'!G38</f>
        <v>0</v>
      </c>
    </row>
  </sheetData>
  <mergeCells count="4">
    <mergeCell ref="B13:D13"/>
    <mergeCell ref="B15:D15"/>
    <mergeCell ref="B24:G24"/>
    <mergeCell ref="B25:G25"/>
  </mergeCells>
  <hyperlinks>
    <hyperlink ref="B2" location="'Balance Gral. Resol. 30'!A1" display="'Balance Gral. Resol. 30'!A1" xr:uid="{00000000-0004-0000-12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55D8F-87BF-4F85-BFAA-B4C43A476FEC}">
  <sheetPr>
    <tabColor rgb="FF002060"/>
  </sheetPr>
  <dimension ref="A1:K323"/>
  <sheetViews>
    <sheetView showGridLines="0" topLeftCell="A137" zoomScaleNormal="100" workbookViewId="0">
      <selection activeCell="B77" sqref="B77"/>
    </sheetView>
  </sheetViews>
  <sheetFormatPr baseColWidth="10" defaultColWidth="11.5546875" defaultRowHeight="14.4"/>
  <cols>
    <col min="1" max="1" width="18.5546875" style="597" customWidth="1"/>
    <col min="2" max="2" width="24.33203125" style="597" customWidth="1"/>
    <col min="3" max="3" width="23.33203125" style="597" bestFit="1" customWidth="1"/>
    <col min="4" max="4" width="20.44140625" style="597" customWidth="1"/>
    <col min="5" max="5" width="16" style="597" customWidth="1"/>
    <col min="6" max="6" width="11.6640625" customWidth="1"/>
    <col min="7" max="7" width="22.109375" customWidth="1"/>
    <col min="8" max="8" width="11.6640625" customWidth="1"/>
    <col min="9" max="9" width="16.5546875" style="606" bestFit="1" customWidth="1"/>
    <col min="10" max="10" width="12.109375" bestFit="1" customWidth="1"/>
  </cols>
  <sheetData>
    <row r="1" spans="1:6" ht="70.2" customHeight="1">
      <c r="A1" s="596"/>
    </row>
    <row r="2" spans="1:6" ht="21">
      <c r="A2" s="329" t="s">
        <v>974</v>
      </c>
    </row>
    <row r="3" spans="1:6" ht="15" thickBot="1">
      <c r="A3" s="330"/>
      <c r="B3" s="108"/>
      <c r="C3" s="108"/>
      <c r="D3" s="108"/>
      <c r="E3" s="108"/>
    </row>
    <row r="4" spans="1:6" ht="20.399999999999999" customHeight="1">
      <c r="A4" s="672" t="s">
        <v>549</v>
      </c>
      <c r="B4" s="673"/>
      <c r="C4" s="678" t="s">
        <v>550</v>
      </c>
      <c r="D4" s="678"/>
      <c r="E4" s="678"/>
      <c r="F4" s="598"/>
    </row>
    <row r="5" spans="1:6" ht="20.399999999999999" customHeight="1">
      <c r="A5" s="674"/>
      <c r="B5" s="675"/>
      <c r="C5" s="679" t="s">
        <v>975</v>
      </c>
      <c r="D5" s="679"/>
      <c r="E5" s="679"/>
      <c r="F5" s="599"/>
    </row>
    <row r="6" spans="1:6" ht="20.399999999999999" customHeight="1">
      <c r="A6" s="674"/>
      <c r="B6" s="675"/>
      <c r="C6" s="679" t="s">
        <v>976</v>
      </c>
      <c r="D6" s="679"/>
      <c r="E6" s="679"/>
      <c r="F6" s="599"/>
    </row>
    <row r="7" spans="1:6" ht="20.399999999999999" customHeight="1">
      <c r="A7" s="674"/>
      <c r="B7" s="675"/>
      <c r="C7" s="679" t="s">
        <v>977</v>
      </c>
      <c r="D7" s="679"/>
      <c r="E7" s="679"/>
      <c r="F7" s="599"/>
    </row>
    <row r="8" spans="1:6" ht="20.399999999999999" customHeight="1">
      <c r="A8" s="674"/>
      <c r="B8" s="675"/>
      <c r="C8" s="679" t="s">
        <v>978</v>
      </c>
      <c r="D8" s="679"/>
      <c r="E8" s="679"/>
      <c r="F8" s="599"/>
    </row>
    <row r="9" spans="1:6">
      <c r="A9" s="674"/>
      <c r="B9" s="675"/>
      <c r="C9" s="679" t="s">
        <v>979</v>
      </c>
      <c r="D9" s="679"/>
      <c r="E9" s="679"/>
      <c r="F9" s="599"/>
    </row>
    <row r="10" spans="1:6" ht="14.4" customHeight="1">
      <c r="A10" s="674"/>
      <c r="B10" s="675"/>
      <c r="C10" s="680" t="s">
        <v>551</v>
      </c>
      <c r="D10" s="680"/>
      <c r="E10" s="680"/>
      <c r="F10" s="599"/>
    </row>
    <row r="11" spans="1:6">
      <c r="A11" s="674"/>
      <c r="B11" s="675"/>
      <c r="C11" s="679" t="s">
        <v>980</v>
      </c>
      <c r="D11" s="679"/>
      <c r="E11" s="679"/>
      <c r="F11" s="599"/>
    </row>
    <row r="12" spans="1:6">
      <c r="A12" s="676"/>
      <c r="B12" s="677"/>
      <c r="C12" s="681" t="s">
        <v>981</v>
      </c>
      <c r="D12" s="681"/>
      <c r="E12" s="681"/>
      <c r="F12" s="600"/>
    </row>
    <row r="13" spans="1:6" ht="20.399999999999999" customHeight="1">
      <c r="A13" s="682" t="s">
        <v>552</v>
      </c>
      <c r="B13" s="683"/>
      <c r="C13" s="684" t="s">
        <v>982</v>
      </c>
      <c r="D13" s="684"/>
      <c r="E13" s="684"/>
      <c r="F13" s="601"/>
    </row>
    <row r="14" spans="1:6" ht="20.399999999999999" customHeight="1">
      <c r="A14" s="674"/>
      <c r="B14" s="675"/>
      <c r="C14" s="679" t="s">
        <v>983</v>
      </c>
      <c r="D14" s="679"/>
      <c r="E14" s="679"/>
      <c r="F14" s="599"/>
    </row>
    <row r="15" spans="1:6" ht="40.950000000000003" customHeight="1">
      <c r="A15" s="676"/>
      <c r="B15" s="677"/>
      <c r="C15" s="685" t="s">
        <v>984</v>
      </c>
      <c r="D15" s="685"/>
      <c r="E15" s="685"/>
      <c r="F15" s="600"/>
    </row>
    <row r="16" spans="1:6">
      <c r="A16" s="682" t="s">
        <v>553</v>
      </c>
      <c r="B16" s="683"/>
      <c r="C16" s="684" t="s">
        <v>985</v>
      </c>
      <c r="D16" s="684"/>
      <c r="E16" s="684"/>
      <c r="F16" s="601"/>
    </row>
    <row r="17" spans="1:6">
      <c r="A17" s="674"/>
      <c r="B17" s="675"/>
      <c r="C17" s="679" t="s">
        <v>986</v>
      </c>
      <c r="D17" s="679"/>
      <c r="E17" s="679"/>
      <c r="F17" s="599"/>
    </row>
    <row r="18" spans="1:6">
      <c r="A18" s="674"/>
      <c r="B18" s="675"/>
      <c r="C18" s="679" t="s">
        <v>987</v>
      </c>
      <c r="D18" s="679"/>
      <c r="E18" s="679"/>
      <c r="F18" s="599"/>
    </row>
    <row r="19" spans="1:6">
      <c r="A19" s="674"/>
      <c r="B19" s="675"/>
      <c r="C19" s="679" t="s">
        <v>988</v>
      </c>
      <c r="D19" s="679"/>
      <c r="E19" s="679"/>
      <c r="F19" s="599"/>
    </row>
    <row r="20" spans="1:6">
      <c r="A20" s="674"/>
      <c r="B20" s="675"/>
      <c r="C20" s="679" t="s">
        <v>989</v>
      </c>
      <c r="D20" s="679"/>
      <c r="E20" s="679"/>
      <c r="F20" s="599"/>
    </row>
    <row r="21" spans="1:6">
      <c r="A21" s="674"/>
      <c r="B21" s="675"/>
      <c r="C21" s="679" t="s">
        <v>990</v>
      </c>
      <c r="D21" s="679"/>
      <c r="E21" s="679"/>
      <c r="F21" s="599"/>
    </row>
    <row r="22" spans="1:6">
      <c r="A22" s="676"/>
      <c r="B22" s="677"/>
      <c r="C22" s="688"/>
      <c r="D22" s="688"/>
      <c r="E22" s="688"/>
      <c r="F22" s="600"/>
    </row>
    <row r="23" spans="1:6" ht="20.399999999999999" customHeight="1">
      <c r="A23" s="682" t="s">
        <v>554</v>
      </c>
      <c r="B23" s="683"/>
      <c r="C23" s="684" t="s">
        <v>991</v>
      </c>
      <c r="D23" s="684"/>
      <c r="E23" s="684"/>
      <c r="F23" s="601"/>
    </row>
    <row r="24" spans="1:6" ht="20.399999999999999" customHeight="1">
      <c r="A24" s="676"/>
      <c r="B24" s="677"/>
      <c r="C24" s="681" t="s">
        <v>992</v>
      </c>
      <c r="D24" s="681"/>
      <c r="E24" s="681"/>
      <c r="F24" s="600"/>
    </row>
    <row r="25" spans="1:6">
      <c r="A25" s="674"/>
      <c r="B25" s="675"/>
      <c r="C25" s="689"/>
      <c r="D25" s="689"/>
      <c r="E25" s="689"/>
      <c r="F25" s="599"/>
    </row>
    <row r="26" spans="1:6">
      <c r="A26" s="674" t="s">
        <v>555</v>
      </c>
      <c r="B26" s="675"/>
      <c r="C26" s="353" t="s">
        <v>556</v>
      </c>
      <c r="D26" s="354" t="s">
        <v>557</v>
      </c>
      <c r="E26" s="355" t="s">
        <v>705</v>
      </c>
      <c r="F26" s="599"/>
    </row>
    <row r="27" spans="1:6">
      <c r="A27" s="686"/>
      <c r="B27" s="687"/>
      <c r="C27" s="351" t="s">
        <v>558</v>
      </c>
      <c r="D27" s="352" t="s">
        <v>559</v>
      </c>
      <c r="E27" s="356">
        <v>7173993</v>
      </c>
      <c r="F27" s="599"/>
    </row>
    <row r="28" spans="1:6">
      <c r="A28" s="686"/>
      <c r="B28" s="687"/>
      <c r="C28" s="351" t="s">
        <v>544</v>
      </c>
      <c r="D28" s="352" t="s">
        <v>560</v>
      </c>
      <c r="E28" s="356">
        <v>2034661</v>
      </c>
      <c r="F28" s="599"/>
    </row>
    <row r="29" spans="1:6">
      <c r="A29" s="686"/>
      <c r="B29" s="687"/>
      <c r="C29" s="351" t="s">
        <v>561</v>
      </c>
      <c r="D29" s="352" t="s">
        <v>562</v>
      </c>
      <c r="E29" s="356">
        <v>2040166</v>
      </c>
      <c r="F29" s="599"/>
    </row>
    <row r="30" spans="1:6">
      <c r="A30" s="686"/>
      <c r="B30" s="687"/>
      <c r="C30" s="351" t="s">
        <v>563</v>
      </c>
      <c r="D30" s="352" t="s">
        <v>564</v>
      </c>
      <c r="E30" s="356">
        <v>1488472</v>
      </c>
      <c r="F30" s="599"/>
    </row>
    <row r="31" spans="1:6">
      <c r="A31" s="686"/>
      <c r="B31" s="687"/>
      <c r="C31" s="351" t="s">
        <v>565</v>
      </c>
      <c r="D31" s="352" t="s">
        <v>564</v>
      </c>
      <c r="E31" s="356">
        <v>3357156</v>
      </c>
      <c r="F31" s="599"/>
    </row>
    <row r="32" spans="1:6">
      <c r="A32" s="686"/>
      <c r="B32" s="687"/>
      <c r="C32" s="351" t="s">
        <v>566</v>
      </c>
      <c r="D32" s="352" t="s">
        <v>567</v>
      </c>
      <c r="E32" s="356">
        <v>1246577</v>
      </c>
      <c r="F32" s="599"/>
    </row>
    <row r="33" spans="1:11">
      <c r="A33" s="579"/>
      <c r="B33" s="580"/>
      <c r="C33" s="602" t="s">
        <v>960</v>
      </c>
      <c r="D33" s="603" t="s">
        <v>568</v>
      </c>
      <c r="E33" s="604">
        <v>4305137</v>
      </c>
      <c r="F33" s="605"/>
    </row>
    <row r="34" spans="1:11">
      <c r="A34" s="686"/>
      <c r="B34" s="687"/>
      <c r="C34" s="602" t="s">
        <v>961</v>
      </c>
      <c r="D34" s="603" t="s">
        <v>569</v>
      </c>
      <c r="E34" s="604">
        <v>3958177</v>
      </c>
      <c r="F34" s="599"/>
    </row>
    <row r="35" spans="1:11">
      <c r="A35" s="686"/>
      <c r="B35" s="687"/>
      <c r="C35" s="607" t="s">
        <v>962</v>
      </c>
      <c r="D35" s="608" t="s">
        <v>570</v>
      </c>
      <c r="E35" s="609">
        <v>3830885</v>
      </c>
      <c r="F35" s="599"/>
    </row>
    <row r="36" spans="1:11">
      <c r="A36" s="686"/>
      <c r="B36" s="687"/>
      <c r="C36" s="690"/>
      <c r="D36" s="690"/>
      <c r="E36" s="690"/>
      <c r="F36" s="599"/>
    </row>
    <row r="37" spans="1:11">
      <c r="A37" s="686"/>
      <c r="B37" s="687"/>
      <c r="C37" s="353" t="s">
        <v>571</v>
      </c>
      <c r="D37" s="354" t="s">
        <v>609</v>
      </c>
      <c r="E37" s="354" t="s">
        <v>610</v>
      </c>
      <c r="F37" s="359" t="s">
        <v>572</v>
      </c>
      <c r="H37" s="606"/>
      <c r="I37"/>
      <c r="K37" s="606"/>
    </row>
    <row r="38" spans="1:11">
      <c r="A38" s="686"/>
      <c r="B38" s="687"/>
      <c r="C38" s="357" t="s">
        <v>573</v>
      </c>
      <c r="D38" s="358" t="s">
        <v>611</v>
      </c>
      <c r="E38" s="358" t="s">
        <v>613</v>
      </c>
      <c r="F38" s="360">
        <v>0.85</v>
      </c>
      <c r="H38" s="606"/>
      <c r="I38"/>
      <c r="K38" s="606"/>
    </row>
    <row r="39" spans="1:11">
      <c r="A39" s="686"/>
      <c r="B39" s="687"/>
      <c r="C39" s="351" t="s">
        <v>532</v>
      </c>
      <c r="D39" s="352" t="s">
        <v>611</v>
      </c>
      <c r="E39" s="352" t="s">
        <v>614</v>
      </c>
      <c r="F39" s="361">
        <v>0.7</v>
      </c>
      <c r="H39" s="606"/>
      <c r="I39" s="610"/>
      <c r="K39" s="606"/>
    </row>
    <row r="40" spans="1:11">
      <c r="A40" s="579"/>
      <c r="B40" s="580"/>
      <c r="C40" s="602" t="s">
        <v>574</v>
      </c>
      <c r="D40" s="603" t="s">
        <v>611</v>
      </c>
      <c r="E40" s="603" t="s">
        <v>612</v>
      </c>
      <c r="F40" s="611">
        <v>0.998</v>
      </c>
      <c r="H40" s="606"/>
      <c r="I40" s="610"/>
      <c r="K40" s="606"/>
    </row>
    <row r="41" spans="1:11">
      <c r="A41" s="579"/>
      <c r="B41" s="580"/>
      <c r="C41" s="602" t="s">
        <v>993</v>
      </c>
      <c r="D41" s="603" t="s">
        <v>611</v>
      </c>
      <c r="E41" s="603" t="s">
        <v>994</v>
      </c>
      <c r="F41" s="611">
        <v>0.66400000000000003</v>
      </c>
      <c r="H41" s="606"/>
      <c r="I41" s="610"/>
      <c r="K41" s="606"/>
    </row>
    <row r="42" spans="1:11" ht="15" thickBot="1">
      <c r="A42" s="691"/>
      <c r="B42" s="687"/>
      <c r="C42" s="351" t="s">
        <v>576</v>
      </c>
      <c r="D42" s="352" t="s">
        <v>611</v>
      </c>
      <c r="E42" s="352" t="s">
        <v>704</v>
      </c>
      <c r="F42" s="361">
        <v>0.7</v>
      </c>
      <c r="H42" s="606"/>
      <c r="I42" s="610"/>
      <c r="K42" s="606"/>
    </row>
    <row r="43" spans="1:11">
      <c r="A43" s="578"/>
      <c r="B43" s="692"/>
      <c r="C43" s="693"/>
      <c r="D43" s="693"/>
      <c r="E43" s="693"/>
      <c r="F43" s="598"/>
      <c r="H43" s="606"/>
    </row>
    <row r="44" spans="1:11" ht="66" customHeight="1">
      <c r="A44" s="578" t="s">
        <v>575</v>
      </c>
      <c r="B44" s="694" t="s">
        <v>995</v>
      </c>
      <c r="C44" s="695"/>
      <c r="D44" s="695"/>
      <c r="E44" s="695"/>
      <c r="F44" s="599"/>
      <c r="H44" s="606"/>
    </row>
    <row r="45" spans="1:11" ht="26.4" customHeight="1">
      <c r="A45" s="578"/>
      <c r="B45" s="674" t="s">
        <v>996</v>
      </c>
      <c r="C45" s="679"/>
      <c r="D45" s="679"/>
      <c r="E45" s="679"/>
      <c r="F45" s="599"/>
    </row>
    <row r="46" spans="1:11" ht="26.4" customHeight="1">
      <c r="A46" s="579"/>
      <c r="B46" s="674" t="s">
        <v>997</v>
      </c>
      <c r="C46" s="679"/>
      <c r="D46" s="679"/>
      <c r="E46" s="679"/>
      <c r="F46" s="599"/>
    </row>
    <row r="47" spans="1:11" ht="26.4" customHeight="1">
      <c r="A47" s="579"/>
      <c r="B47" s="674" t="s">
        <v>998</v>
      </c>
      <c r="C47" s="679"/>
      <c r="D47" s="679"/>
      <c r="E47" s="679"/>
      <c r="F47" s="599"/>
    </row>
    <row r="48" spans="1:11" ht="26.4" customHeight="1">
      <c r="A48" s="579"/>
      <c r="B48" s="674" t="s">
        <v>999</v>
      </c>
      <c r="C48" s="679"/>
      <c r="D48" s="679"/>
      <c r="E48" s="679"/>
      <c r="F48" s="599"/>
    </row>
    <row r="49" spans="1:10">
      <c r="A49" s="579"/>
      <c r="B49" s="702"/>
      <c r="C49" s="690"/>
      <c r="D49" s="690"/>
      <c r="E49" s="690"/>
      <c r="F49" s="599"/>
    </row>
    <row r="50" spans="1:10" ht="15" thickBot="1">
      <c r="A50" s="581"/>
      <c r="B50" s="703"/>
      <c r="C50" s="704"/>
      <c r="D50" s="704"/>
      <c r="E50" s="704"/>
      <c r="F50" s="612"/>
    </row>
    <row r="51" spans="1:10">
      <c r="A51" s="330"/>
      <c r="B51" s="330"/>
      <c r="C51" s="690"/>
      <c r="D51" s="690"/>
      <c r="E51" s="690"/>
    </row>
    <row r="52" spans="1:10" ht="15" thickBot="1">
      <c r="A52" s="330"/>
      <c r="B52" s="108"/>
      <c r="C52" s="108"/>
      <c r="D52" s="108"/>
      <c r="E52" s="108"/>
    </row>
    <row r="53" spans="1:10" ht="15" thickBot="1">
      <c r="A53" s="696" t="s">
        <v>1000</v>
      </c>
      <c r="B53" s="697"/>
      <c r="C53" s="697"/>
      <c r="D53" s="697"/>
      <c r="E53" s="697"/>
      <c r="F53" s="697"/>
      <c r="G53" s="697"/>
      <c r="H53" s="697"/>
      <c r="I53" s="697"/>
      <c r="J53" s="698"/>
    </row>
    <row r="54" spans="1:10" s="25" customFormat="1" ht="48.6" thickBot="1">
      <c r="A54" s="613" t="s">
        <v>590</v>
      </c>
      <c r="B54" s="614" t="s">
        <v>591</v>
      </c>
      <c r="C54" s="614" t="s">
        <v>592</v>
      </c>
      <c r="D54" s="614" t="s">
        <v>593</v>
      </c>
      <c r="E54" s="614" t="s">
        <v>594</v>
      </c>
      <c r="F54" s="614" t="s">
        <v>595</v>
      </c>
      <c r="G54" s="614" t="s">
        <v>596</v>
      </c>
      <c r="H54" s="614" t="s">
        <v>597</v>
      </c>
      <c r="I54" s="614" t="s">
        <v>598</v>
      </c>
      <c r="J54" s="615" t="s">
        <v>1001</v>
      </c>
    </row>
    <row r="55" spans="1:10" s="364" customFormat="1" ht="12">
      <c r="A55" s="616">
        <v>1</v>
      </c>
      <c r="B55" s="617" t="s">
        <v>599</v>
      </c>
      <c r="C55" s="618">
        <v>1</v>
      </c>
      <c r="D55" s="618">
        <v>1</v>
      </c>
      <c r="E55" s="618">
        <v>126</v>
      </c>
      <c r="F55" s="618">
        <f t="shared" ref="F55:F118" si="0">E55-D55+1</f>
        <v>126</v>
      </c>
      <c r="G55" s="617" t="s">
        <v>600</v>
      </c>
      <c r="H55" s="618">
        <f t="shared" ref="H55:H118" si="1">F55</f>
        <v>126</v>
      </c>
      <c r="I55" s="618">
        <f>F55*1000000</f>
        <v>126000000</v>
      </c>
      <c r="J55" s="619">
        <f>I55/$I$144*100</f>
        <v>0.29464035169768965</v>
      </c>
    </row>
    <row r="56" spans="1:10" s="25" customFormat="1" ht="12">
      <c r="A56" s="620">
        <v>2</v>
      </c>
      <c r="B56" s="33" t="s">
        <v>599</v>
      </c>
      <c r="C56" s="187">
        <v>1</v>
      </c>
      <c r="D56" s="187">
        <v>127</v>
      </c>
      <c r="E56" s="187">
        <v>252</v>
      </c>
      <c r="F56" s="187">
        <f t="shared" si="0"/>
        <v>126</v>
      </c>
      <c r="G56" s="33" t="s">
        <v>600</v>
      </c>
      <c r="H56" s="187">
        <f t="shared" si="1"/>
        <v>126</v>
      </c>
      <c r="I56" s="187">
        <f t="shared" ref="I56:I119" si="2">F56*1000000</f>
        <v>126000000</v>
      </c>
      <c r="J56" s="619">
        <f t="shared" ref="J56:J119" si="3">I56/$I$144*100</f>
        <v>0.29464035169768965</v>
      </c>
    </row>
    <row r="57" spans="1:10" s="25" customFormat="1" ht="12">
      <c r="A57" s="620">
        <v>3</v>
      </c>
      <c r="B57" s="33" t="s">
        <v>599</v>
      </c>
      <c r="C57" s="187">
        <v>1</v>
      </c>
      <c r="D57" s="187">
        <v>253</v>
      </c>
      <c r="E57" s="187">
        <v>378</v>
      </c>
      <c r="F57" s="187">
        <f t="shared" si="0"/>
        <v>126</v>
      </c>
      <c r="G57" s="33" t="s">
        <v>600</v>
      </c>
      <c r="H57" s="187">
        <f t="shared" si="1"/>
        <v>126</v>
      </c>
      <c r="I57" s="187">
        <f t="shared" si="2"/>
        <v>126000000</v>
      </c>
      <c r="J57" s="619">
        <f t="shared" si="3"/>
        <v>0.29464035169768965</v>
      </c>
    </row>
    <row r="58" spans="1:10" s="25" customFormat="1" ht="12">
      <c r="A58" s="620">
        <v>4</v>
      </c>
      <c r="B58" s="33" t="s">
        <v>599</v>
      </c>
      <c r="C58" s="187">
        <v>1</v>
      </c>
      <c r="D58" s="187">
        <v>379</v>
      </c>
      <c r="E58" s="187">
        <v>441</v>
      </c>
      <c r="F58" s="187">
        <f>E58-D58+1</f>
        <v>63</v>
      </c>
      <c r="G58" s="33" t="s">
        <v>600</v>
      </c>
      <c r="H58" s="187">
        <f t="shared" si="1"/>
        <v>63</v>
      </c>
      <c r="I58" s="187">
        <f t="shared" si="2"/>
        <v>63000000</v>
      </c>
      <c r="J58" s="619">
        <f t="shared" si="3"/>
        <v>0.14732017584884483</v>
      </c>
    </row>
    <row r="59" spans="1:10" s="25" customFormat="1" ht="12">
      <c r="A59" s="620">
        <v>5</v>
      </c>
      <c r="B59" s="33" t="s">
        <v>601</v>
      </c>
      <c r="C59" s="187">
        <v>1</v>
      </c>
      <c r="D59" s="187">
        <v>442</v>
      </c>
      <c r="E59" s="187">
        <v>448</v>
      </c>
      <c r="F59" s="187">
        <f t="shared" si="0"/>
        <v>7</v>
      </c>
      <c r="G59" s="33" t="s">
        <v>600</v>
      </c>
      <c r="H59" s="187">
        <f t="shared" si="1"/>
        <v>7</v>
      </c>
      <c r="I59" s="187">
        <f t="shared" si="2"/>
        <v>7000000</v>
      </c>
      <c r="J59" s="619">
        <f t="shared" si="3"/>
        <v>1.6368908427649424E-2</v>
      </c>
    </row>
    <row r="60" spans="1:10" s="25" customFormat="1" ht="12">
      <c r="A60" s="620">
        <v>6</v>
      </c>
      <c r="B60" s="33" t="s">
        <v>601</v>
      </c>
      <c r="C60" s="187">
        <v>1</v>
      </c>
      <c r="D60" s="187">
        <v>449</v>
      </c>
      <c r="E60" s="187">
        <v>489</v>
      </c>
      <c r="F60" s="187">
        <f t="shared" si="0"/>
        <v>41</v>
      </c>
      <c r="G60" s="33" t="s">
        <v>600</v>
      </c>
      <c r="H60" s="187">
        <f t="shared" si="1"/>
        <v>41</v>
      </c>
      <c r="I60" s="187">
        <f t="shared" si="2"/>
        <v>41000000</v>
      </c>
      <c r="J60" s="619">
        <f t="shared" si="3"/>
        <v>9.5875035076232351E-2</v>
      </c>
    </row>
    <row r="61" spans="1:10" s="25" customFormat="1" ht="12">
      <c r="A61" s="620">
        <v>7</v>
      </c>
      <c r="B61" s="33" t="s">
        <v>602</v>
      </c>
      <c r="C61" s="187">
        <v>1</v>
      </c>
      <c r="D61" s="187">
        <v>490</v>
      </c>
      <c r="E61" s="187">
        <v>504</v>
      </c>
      <c r="F61" s="187">
        <f t="shared" si="0"/>
        <v>15</v>
      </c>
      <c r="G61" s="33" t="s">
        <v>600</v>
      </c>
      <c r="H61" s="187">
        <f t="shared" si="1"/>
        <v>15</v>
      </c>
      <c r="I61" s="187">
        <f t="shared" si="2"/>
        <v>15000000</v>
      </c>
      <c r="J61" s="619">
        <f t="shared" si="3"/>
        <v>3.5076232344963057E-2</v>
      </c>
    </row>
    <row r="62" spans="1:10" s="25" customFormat="1" ht="12">
      <c r="A62" s="620">
        <v>8</v>
      </c>
      <c r="B62" s="33" t="s">
        <v>601</v>
      </c>
      <c r="C62" s="187">
        <v>1</v>
      </c>
      <c r="D62" s="187">
        <v>505</v>
      </c>
      <c r="E62" s="187">
        <v>567</v>
      </c>
      <c r="F62" s="187">
        <f t="shared" si="0"/>
        <v>63</v>
      </c>
      <c r="G62" s="33" t="s">
        <v>600</v>
      </c>
      <c r="H62" s="187">
        <f t="shared" si="1"/>
        <v>63</v>
      </c>
      <c r="I62" s="187">
        <f t="shared" si="2"/>
        <v>63000000</v>
      </c>
      <c r="J62" s="619">
        <f t="shared" si="3"/>
        <v>0.14732017584884483</v>
      </c>
    </row>
    <row r="63" spans="1:10" s="25" customFormat="1" ht="12">
      <c r="A63" s="620">
        <v>9</v>
      </c>
      <c r="B63" s="33" t="s">
        <v>602</v>
      </c>
      <c r="C63" s="187">
        <v>1</v>
      </c>
      <c r="D63" s="187">
        <v>568</v>
      </c>
      <c r="E63" s="187">
        <v>630</v>
      </c>
      <c r="F63" s="187">
        <f t="shared" si="0"/>
        <v>63</v>
      </c>
      <c r="G63" s="33" t="s">
        <v>600</v>
      </c>
      <c r="H63" s="187">
        <f t="shared" si="1"/>
        <v>63</v>
      </c>
      <c r="I63" s="187">
        <f t="shared" si="2"/>
        <v>63000000</v>
      </c>
      <c r="J63" s="619">
        <f t="shared" si="3"/>
        <v>0.14732017584884483</v>
      </c>
    </row>
    <row r="64" spans="1:10" s="25" customFormat="1" ht="12">
      <c r="A64" s="620">
        <v>10</v>
      </c>
      <c r="B64" s="33" t="s">
        <v>599</v>
      </c>
      <c r="C64" s="187">
        <v>1</v>
      </c>
      <c r="D64" s="187">
        <v>631</v>
      </c>
      <c r="E64" s="187">
        <v>670</v>
      </c>
      <c r="F64" s="187">
        <f t="shared" si="0"/>
        <v>40</v>
      </c>
      <c r="G64" s="33" t="s">
        <v>600</v>
      </c>
      <c r="H64" s="187">
        <f t="shared" si="1"/>
        <v>40</v>
      </c>
      <c r="I64" s="187">
        <f t="shared" si="2"/>
        <v>40000000</v>
      </c>
      <c r="J64" s="619">
        <f t="shared" si="3"/>
        <v>9.3536619586568143E-2</v>
      </c>
    </row>
    <row r="65" spans="1:10" s="25" customFormat="1" ht="12">
      <c r="A65" s="620">
        <v>11</v>
      </c>
      <c r="B65" s="33" t="s">
        <v>599</v>
      </c>
      <c r="C65" s="187">
        <v>1</v>
      </c>
      <c r="D65" s="187">
        <v>671</v>
      </c>
      <c r="E65" s="187">
        <v>710</v>
      </c>
      <c r="F65" s="187">
        <f t="shared" si="0"/>
        <v>40</v>
      </c>
      <c r="G65" s="33" t="s">
        <v>600</v>
      </c>
      <c r="H65" s="187">
        <f t="shared" si="1"/>
        <v>40</v>
      </c>
      <c r="I65" s="187">
        <f t="shared" si="2"/>
        <v>40000000</v>
      </c>
      <c r="J65" s="619">
        <f t="shared" si="3"/>
        <v>9.3536619586568143E-2</v>
      </c>
    </row>
    <row r="66" spans="1:10" s="25" customFormat="1" ht="12">
      <c r="A66" s="620">
        <v>12</v>
      </c>
      <c r="B66" s="33" t="s">
        <v>599</v>
      </c>
      <c r="C66" s="187">
        <v>1</v>
      </c>
      <c r="D66" s="187">
        <v>711</v>
      </c>
      <c r="E66" s="187">
        <v>750</v>
      </c>
      <c r="F66" s="187">
        <f t="shared" si="0"/>
        <v>40</v>
      </c>
      <c r="G66" s="33" t="s">
        <v>600</v>
      </c>
      <c r="H66" s="187">
        <f t="shared" si="1"/>
        <v>40</v>
      </c>
      <c r="I66" s="187">
        <f t="shared" si="2"/>
        <v>40000000</v>
      </c>
      <c r="J66" s="619">
        <f t="shared" si="3"/>
        <v>9.3536619586568143E-2</v>
      </c>
    </row>
    <row r="67" spans="1:10" s="25" customFormat="1" ht="12">
      <c r="A67" s="620">
        <v>13</v>
      </c>
      <c r="B67" s="33" t="s">
        <v>599</v>
      </c>
      <c r="C67" s="187">
        <v>1</v>
      </c>
      <c r="D67" s="187">
        <v>751</v>
      </c>
      <c r="E67" s="187">
        <v>770</v>
      </c>
      <c r="F67" s="187">
        <f t="shared" si="0"/>
        <v>20</v>
      </c>
      <c r="G67" s="33" t="s">
        <v>600</v>
      </c>
      <c r="H67" s="187">
        <f t="shared" si="1"/>
        <v>20</v>
      </c>
      <c r="I67" s="187">
        <f t="shared" si="2"/>
        <v>20000000</v>
      </c>
      <c r="J67" s="619">
        <f t="shared" si="3"/>
        <v>4.6768309793284071E-2</v>
      </c>
    </row>
    <row r="68" spans="1:10" s="25" customFormat="1" ht="12">
      <c r="A68" s="620">
        <v>14</v>
      </c>
      <c r="B68" s="33" t="s">
        <v>601</v>
      </c>
      <c r="C68" s="187">
        <v>1</v>
      </c>
      <c r="D68" s="187">
        <v>771</v>
      </c>
      <c r="E68" s="187">
        <v>780</v>
      </c>
      <c r="F68" s="187">
        <f t="shared" si="0"/>
        <v>10</v>
      </c>
      <c r="G68" s="33" t="s">
        <v>600</v>
      </c>
      <c r="H68" s="187">
        <f t="shared" si="1"/>
        <v>10</v>
      </c>
      <c r="I68" s="187">
        <f t="shared" si="2"/>
        <v>10000000</v>
      </c>
      <c r="J68" s="619">
        <f t="shared" si="3"/>
        <v>2.3384154896642036E-2</v>
      </c>
    </row>
    <row r="69" spans="1:10" s="25" customFormat="1" ht="12">
      <c r="A69" s="620">
        <v>15</v>
      </c>
      <c r="B69" s="33" t="s">
        <v>602</v>
      </c>
      <c r="C69" s="187">
        <v>1</v>
      </c>
      <c r="D69" s="187">
        <v>781</v>
      </c>
      <c r="E69" s="187">
        <v>790</v>
      </c>
      <c r="F69" s="187">
        <f t="shared" si="0"/>
        <v>10</v>
      </c>
      <c r="G69" s="33" t="s">
        <v>600</v>
      </c>
      <c r="H69" s="187">
        <f t="shared" si="1"/>
        <v>10</v>
      </c>
      <c r="I69" s="187">
        <f t="shared" si="2"/>
        <v>10000000</v>
      </c>
      <c r="J69" s="619">
        <f t="shared" si="3"/>
        <v>2.3384154896642036E-2</v>
      </c>
    </row>
    <row r="70" spans="1:10" s="25" customFormat="1" ht="12">
      <c r="A70" s="620">
        <v>16</v>
      </c>
      <c r="B70" s="33" t="s">
        <v>601</v>
      </c>
      <c r="C70" s="187">
        <v>1</v>
      </c>
      <c r="D70" s="187">
        <v>791</v>
      </c>
      <c r="E70" s="187">
        <v>810</v>
      </c>
      <c r="F70" s="187">
        <f t="shared" si="0"/>
        <v>20</v>
      </c>
      <c r="G70" s="33" t="s">
        <v>600</v>
      </c>
      <c r="H70" s="187">
        <f t="shared" si="1"/>
        <v>20</v>
      </c>
      <c r="I70" s="187">
        <f t="shared" si="2"/>
        <v>20000000</v>
      </c>
      <c r="J70" s="619">
        <f t="shared" si="3"/>
        <v>4.6768309793284071E-2</v>
      </c>
    </row>
    <row r="71" spans="1:10" s="25" customFormat="1" ht="12">
      <c r="A71" s="620">
        <v>17</v>
      </c>
      <c r="B71" s="33" t="s">
        <v>602</v>
      </c>
      <c r="C71" s="187">
        <v>1</v>
      </c>
      <c r="D71" s="187">
        <v>811</v>
      </c>
      <c r="E71" s="187">
        <v>830</v>
      </c>
      <c r="F71" s="187">
        <f t="shared" si="0"/>
        <v>20</v>
      </c>
      <c r="G71" s="33" t="s">
        <v>600</v>
      </c>
      <c r="H71" s="187">
        <f t="shared" si="1"/>
        <v>20</v>
      </c>
      <c r="I71" s="187">
        <f t="shared" si="2"/>
        <v>20000000</v>
      </c>
      <c r="J71" s="619">
        <f t="shared" si="3"/>
        <v>4.6768309793284071E-2</v>
      </c>
    </row>
    <row r="72" spans="1:10" s="25" customFormat="1" ht="12">
      <c r="A72" s="620">
        <v>18</v>
      </c>
      <c r="B72" s="33" t="s">
        <v>599</v>
      </c>
      <c r="C72" s="187">
        <v>1</v>
      </c>
      <c r="D72" s="187">
        <v>831</v>
      </c>
      <c r="E72" s="187">
        <v>941</v>
      </c>
      <c r="F72" s="187">
        <f t="shared" si="0"/>
        <v>111</v>
      </c>
      <c r="G72" s="33" t="s">
        <v>600</v>
      </c>
      <c r="H72" s="187">
        <f t="shared" si="1"/>
        <v>111</v>
      </c>
      <c r="I72" s="187">
        <f t="shared" si="2"/>
        <v>111000000</v>
      </c>
      <c r="J72" s="619">
        <f t="shared" si="3"/>
        <v>0.25956411935272661</v>
      </c>
    </row>
    <row r="73" spans="1:10" s="25" customFormat="1" ht="12">
      <c r="A73" s="620">
        <v>19</v>
      </c>
      <c r="B73" s="33" t="s">
        <v>599</v>
      </c>
      <c r="C73" s="187">
        <v>1</v>
      </c>
      <c r="D73" s="187">
        <v>942</v>
      </c>
      <c r="E73" s="187">
        <v>1089</v>
      </c>
      <c r="F73" s="187">
        <f t="shared" si="0"/>
        <v>148</v>
      </c>
      <c r="G73" s="33" t="s">
        <v>600</v>
      </c>
      <c r="H73" s="187">
        <f t="shared" si="1"/>
        <v>148</v>
      </c>
      <c r="I73" s="187">
        <f t="shared" si="2"/>
        <v>148000000</v>
      </c>
      <c r="J73" s="619">
        <f t="shared" si="3"/>
        <v>0.34608549247030213</v>
      </c>
    </row>
    <row r="74" spans="1:10" s="25" customFormat="1" ht="12">
      <c r="A74" s="620">
        <v>20</v>
      </c>
      <c r="B74" s="33" t="s">
        <v>601</v>
      </c>
      <c r="C74" s="187">
        <v>1</v>
      </c>
      <c r="D74" s="187">
        <v>1090</v>
      </c>
      <c r="E74" s="187">
        <v>1133</v>
      </c>
      <c r="F74" s="187">
        <f t="shared" si="0"/>
        <v>44</v>
      </c>
      <c r="G74" s="33" t="s">
        <v>600</v>
      </c>
      <c r="H74" s="187">
        <f t="shared" si="1"/>
        <v>44</v>
      </c>
      <c r="I74" s="187">
        <f t="shared" si="2"/>
        <v>44000000</v>
      </c>
      <c r="J74" s="619">
        <f t="shared" si="3"/>
        <v>0.10289028154522495</v>
      </c>
    </row>
    <row r="75" spans="1:10" s="25" customFormat="1" ht="12">
      <c r="A75" s="620">
        <v>21</v>
      </c>
      <c r="B75" s="33" t="s">
        <v>602</v>
      </c>
      <c r="C75" s="187">
        <v>1</v>
      </c>
      <c r="D75" s="187">
        <v>1134</v>
      </c>
      <c r="E75" s="187">
        <v>1181</v>
      </c>
      <c r="F75" s="187">
        <f t="shared" si="0"/>
        <v>48</v>
      </c>
      <c r="G75" s="33" t="s">
        <v>600</v>
      </c>
      <c r="H75" s="187">
        <f t="shared" si="1"/>
        <v>48</v>
      </c>
      <c r="I75" s="187">
        <f t="shared" si="2"/>
        <v>48000000</v>
      </c>
      <c r="J75" s="619">
        <f t="shared" si="3"/>
        <v>0.11224394350388177</v>
      </c>
    </row>
    <row r="76" spans="1:10" s="25" customFormat="1" ht="12">
      <c r="A76" s="620">
        <v>22</v>
      </c>
      <c r="B76" s="33" t="s">
        <v>602</v>
      </c>
      <c r="C76" s="187">
        <v>1</v>
      </c>
      <c r="D76" s="187">
        <v>1182</v>
      </c>
      <c r="E76" s="187">
        <v>1200</v>
      </c>
      <c r="F76" s="187">
        <f t="shared" si="0"/>
        <v>19</v>
      </c>
      <c r="G76" s="33" t="s">
        <v>600</v>
      </c>
      <c r="H76" s="187">
        <f t="shared" si="1"/>
        <v>19</v>
      </c>
      <c r="I76" s="187">
        <f t="shared" si="2"/>
        <v>19000000</v>
      </c>
      <c r="J76" s="619">
        <f t="shared" si="3"/>
        <v>4.442989430361987E-2</v>
      </c>
    </row>
    <row r="77" spans="1:10" s="25" customFormat="1" ht="12">
      <c r="A77" s="620">
        <v>23</v>
      </c>
      <c r="B77" s="33" t="s">
        <v>599</v>
      </c>
      <c r="C77" s="187">
        <v>1</v>
      </c>
      <c r="D77" s="187">
        <v>1201</v>
      </c>
      <c r="E77" s="187">
        <v>1440</v>
      </c>
      <c r="F77" s="187">
        <f t="shared" si="0"/>
        <v>240</v>
      </c>
      <c r="G77" s="33" t="s">
        <v>600</v>
      </c>
      <c r="H77" s="187">
        <f t="shared" si="1"/>
        <v>240</v>
      </c>
      <c r="I77" s="187">
        <f t="shared" si="2"/>
        <v>240000000</v>
      </c>
      <c r="J77" s="619">
        <f t="shared" si="3"/>
        <v>0.56121971751940891</v>
      </c>
    </row>
    <row r="78" spans="1:10" s="25" customFormat="1" ht="12">
      <c r="A78" s="620">
        <v>24</v>
      </c>
      <c r="B78" s="33" t="s">
        <v>599</v>
      </c>
      <c r="C78" s="187">
        <v>1</v>
      </c>
      <c r="D78" s="187">
        <v>1441</v>
      </c>
      <c r="E78" s="187">
        <v>1620</v>
      </c>
      <c r="F78" s="187">
        <f t="shared" si="0"/>
        <v>180</v>
      </c>
      <c r="G78" s="33" t="s">
        <v>600</v>
      </c>
      <c r="H78" s="187">
        <f t="shared" si="1"/>
        <v>180</v>
      </c>
      <c r="I78" s="187">
        <f t="shared" si="2"/>
        <v>180000000</v>
      </c>
      <c r="J78" s="619">
        <f t="shared" si="3"/>
        <v>0.42091478813955668</v>
      </c>
    </row>
    <row r="79" spans="1:10" s="25" customFormat="1" ht="12">
      <c r="A79" s="620">
        <v>25</v>
      </c>
      <c r="B79" s="33" t="s">
        <v>602</v>
      </c>
      <c r="C79" s="187">
        <v>1</v>
      </c>
      <c r="D79" s="187">
        <v>1621</v>
      </c>
      <c r="E79" s="187">
        <v>1698</v>
      </c>
      <c r="F79" s="187">
        <f t="shared" si="0"/>
        <v>78</v>
      </c>
      <c r="G79" s="33" t="s">
        <v>600</v>
      </c>
      <c r="H79" s="187">
        <f t="shared" si="1"/>
        <v>78</v>
      </c>
      <c r="I79" s="187">
        <f t="shared" si="2"/>
        <v>78000000</v>
      </c>
      <c r="J79" s="619">
        <f t="shared" si="3"/>
        <v>0.18239640819380787</v>
      </c>
    </row>
    <row r="80" spans="1:10" s="25" customFormat="1" ht="12">
      <c r="A80" s="620">
        <v>26</v>
      </c>
      <c r="B80" s="33" t="s">
        <v>601</v>
      </c>
      <c r="C80" s="187">
        <v>1</v>
      </c>
      <c r="D80" s="187">
        <v>1699</v>
      </c>
      <c r="E80" s="187">
        <v>1770</v>
      </c>
      <c r="F80" s="187">
        <f t="shared" si="0"/>
        <v>72</v>
      </c>
      <c r="G80" s="33" t="s">
        <v>600</v>
      </c>
      <c r="H80" s="187">
        <f t="shared" si="1"/>
        <v>72</v>
      </c>
      <c r="I80" s="187">
        <f t="shared" si="2"/>
        <v>72000000</v>
      </c>
      <c r="J80" s="619">
        <f t="shared" si="3"/>
        <v>0.16836591525582265</v>
      </c>
    </row>
    <row r="81" spans="1:10" s="25" customFormat="1" ht="12">
      <c r="A81" s="620">
        <v>27</v>
      </c>
      <c r="B81" s="33" t="s">
        <v>602</v>
      </c>
      <c r="C81" s="187">
        <v>1</v>
      </c>
      <c r="D81" s="187">
        <v>1771</v>
      </c>
      <c r="E81" s="187">
        <v>1800</v>
      </c>
      <c r="F81" s="187">
        <f t="shared" si="0"/>
        <v>30</v>
      </c>
      <c r="G81" s="33" t="s">
        <v>600</v>
      </c>
      <c r="H81" s="187">
        <f t="shared" si="1"/>
        <v>30</v>
      </c>
      <c r="I81" s="187">
        <f t="shared" si="2"/>
        <v>30000000</v>
      </c>
      <c r="J81" s="619">
        <f t="shared" si="3"/>
        <v>7.0152464689926114E-2</v>
      </c>
    </row>
    <row r="82" spans="1:10" s="25" customFormat="1" ht="12">
      <c r="A82" s="620">
        <v>28</v>
      </c>
      <c r="B82" s="33" t="s">
        <v>599</v>
      </c>
      <c r="C82" s="187">
        <v>1</v>
      </c>
      <c r="D82" s="187">
        <v>1801</v>
      </c>
      <c r="E82" s="187">
        <v>1898</v>
      </c>
      <c r="F82" s="187">
        <f t="shared" si="0"/>
        <v>98</v>
      </c>
      <c r="G82" s="33" t="s">
        <v>600</v>
      </c>
      <c r="H82" s="187">
        <f t="shared" si="1"/>
        <v>98</v>
      </c>
      <c r="I82" s="187">
        <f t="shared" si="2"/>
        <v>98000000</v>
      </c>
      <c r="J82" s="619">
        <f t="shared" si="3"/>
        <v>0.22916471798709193</v>
      </c>
    </row>
    <row r="83" spans="1:10" s="25" customFormat="1" ht="12">
      <c r="A83" s="620">
        <v>29</v>
      </c>
      <c r="B83" s="33" t="s">
        <v>601</v>
      </c>
      <c r="C83" s="187">
        <v>1</v>
      </c>
      <c r="D83" s="187">
        <v>1899</v>
      </c>
      <c r="E83" s="187">
        <v>2141</v>
      </c>
      <c r="F83" s="187">
        <f t="shared" si="0"/>
        <v>243</v>
      </c>
      <c r="G83" s="33" t="s">
        <v>600</v>
      </c>
      <c r="H83" s="187">
        <f t="shared" si="1"/>
        <v>243</v>
      </c>
      <c r="I83" s="187">
        <f t="shared" si="2"/>
        <v>243000000</v>
      </c>
      <c r="J83" s="619">
        <f t="shared" si="3"/>
        <v>0.56823496398840145</v>
      </c>
    </row>
    <row r="84" spans="1:10" s="25" customFormat="1" ht="12">
      <c r="A84" s="620">
        <v>30</v>
      </c>
      <c r="B84" s="33" t="s">
        <v>602</v>
      </c>
      <c r="C84" s="187">
        <v>1</v>
      </c>
      <c r="D84" s="187">
        <v>2142</v>
      </c>
      <c r="E84" s="187">
        <f>D84+242</f>
        <v>2384</v>
      </c>
      <c r="F84" s="187">
        <f t="shared" si="0"/>
        <v>243</v>
      </c>
      <c r="G84" s="33" t="s">
        <v>600</v>
      </c>
      <c r="H84" s="187">
        <f t="shared" si="1"/>
        <v>243</v>
      </c>
      <c r="I84" s="187">
        <f t="shared" si="2"/>
        <v>243000000</v>
      </c>
      <c r="J84" s="619">
        <f t="shared" si="3"/>
        <v>0.56823496398840145</v>
      </c>
    </row>
    <row r="85" spans="1:10" s="25" customFormat="1" ht="12">
      <c r="A85" s="620">
        <v>31</v>
      </c>
      <c r="B85" s="33" t="s">
        <v>599</v>
      </c>
      <c r="C85" s="187">
        <v>1</v>
      </c>
      <c r="D85" s="187">
        <v>2385</v>
      </c>
      <c r="E85" s="187">
        <v>2480</v>
      </c>
      <c r="F85" s="187">
        <f t="shared" si="0"/>
        <v>96</v>
      </c>
      <c r="G85" s="33" t="s">
        <v>600</v>
      </c>
      <c r="H85" s="187">
        <f t="shared" si="1"/>
        <v>96</v>
      </c>
      <c r="I85" s="187">
        <f t="shared" si="2"/>
        <v>96000000</v>
      </c>
      <c r="J85" s="619">
        <f t="shared" si="3"/>
        <v>0.22448788700776354</v>
      </c>
    </row>
    <row r="86" spans="1:10" s="25" customFormat="1" ht="12">
      <c r="A86" s="620">
        <v>32</v>
      </c>
      <c r="B86" s="33" t="s">
        <v>599</v>
      </c>
      <c r="C86" s="187">
        <v>1</v>
      </c>
      <c r="D86" s="187">
        <v>2481</v>
      </c>
      <c r="E86" s="187">
        <v>2990</v>
      </c>
      <c r="F86" s="187">
        <f t="shared" si="0"/>
        <v>510</v>
      </c>
      <c r="G86" s="33" t="s">
        <v>600</v>
      </c>
      <c r="H86" s="187">
        <f t="shared" si="1"/>
        <v>510</v>
      </c>
      <c r="I86" s="187">
        <f t="shared" si="2"/>
        <v>510000000</v>
      </c>
      <c r="J86" s="619">
        <f t="shared" si="3"/>
        <v>1.1925918997287437</v>
      </c>
    </row>
    <row r="87" spans="1:10" s="25" customFormat="1" ht="12">
      <c r="A87" s="620">
        <v>33</v>
      </c>
      <c r="B87" s="33" t="s">
        <v>602</v>
      </c>
      <c r="C87" s="187">
        <v>1</v>
      </c>
      <c r="D87" s="187">
        <v>2991</v>
      </c>
      <c r="E87" s="187">
        <v>3211</v>
      </c>
      <c r="F87" s="187">
        <f t="shared" si="0"/>
        <v>221</v>
      </c>
      <c r="G87" s="33" t="s">
        <v>600</v>
      </c>
      <c r="H87" s="187">
        <f t="shared" si="1"/>
        <v>221</v>
      </c>
      <c r="I87" s="187">
        <f t="shared" si="2"/>
        <v>221000000</v>
      </c>
      <c r="J87" s="619">
        <f t="shared" si="3"/>
        <v>0.51678982321578903</v>
      </c>
    </row>
    <row r="88" spans="1:10" s="25" customFormat="1" ht="12">
      <c r="A88" s="620">
        <v>34</v>
      </c>
      <c r="B88" s="33" t="s">
        <v>601</v>
      </c>
      <c r="C88" s="187">
        <v>1</v>
      </c>
      <c r="D88" s="187">
        <v>3212</v>
      </c>
      <c r="E88" s="187">
        <v>3415</v>
      </c>
      <c r="F88" s="187">
        <f t="shared" si="0"/>
        <v>204</v>
      </c>
      <c r="G88" s="33" t="s">
        <v>600</v>
      </c>
      <c r="H88" s="187">
        <f t="shared" si="1"/>
        <v>204</v>
      </c>
      <c r="I88" s="187">
        <f t="shared" si="2"/>
        <v>204000000</v>
      </c>
      <c r="J88" s="619">
        <f t="shared" si="3"/>
        <v>0.47703675989149752</v>
      </c>
    </row>
    <row r="89" spans="1:10" s="25" customFormat="1" ht="12">
      <c r="A89" s="620">
        <v>35</v>
      </c>
      <c r="B89" s="33" t="s">
        <v>602</v>
      </c>
      <c r="C89" s="187">
        <v>1</v>
      </c>
      <c r="D89" s="187">
        <v>3416</v>
      </c>
      <c r="E89" s="187">
        <v>3448</v>
      </c>
      <c r="F89" s="187">
        <f t="shared" si="0"/>
        <v>33</v>
      </c>
      <c r="G89" s="33" t="s">
        <v>600</v>
      </c>
      <c r="H89" s="187">
        <f t="shared" si="1"/>
        <v>33</v>
      </c>
      <c r="I89" s="187">
        <f t="shared" si="2"/>
        <v>33000000</v>
      </c>
      <c r="J89" s="619">
        <f t="shared" si="3"/>
        <v>7.7167711158918711E-2</v>
      </c>
    </row>
    <row r="90" spans="1:10" s="25" customFormat="1" ht="12">
      <c r="A90" s="620">
        <v>36</v>
      </c>
      <c r="B90" s="33" t="s">
        <v>601</v>
      </c>
      <c r="C90" s="187">
        <v>1</v>
      </c>
      <c r="D90" s="187">
        <v>3449</v>
      </c>
      <c r="E90" s="187">
        <v>3500</v>
      </c>
      <c r="F90" s="187">
        <f t="shared" si="0"/>
        <v>52</v>
      </c>
      <c r="G90" s="33" t="s">
        <v>600</v>
      </c>
      <c r="H90" s="187">
        <f t="shared" si="1"/>
        <v>52</v>
      </c>
      <c r="I90" s="187">
        <f t="shared" si="2"/>
        <v>52000000</v>
      </c>
      <c r="J90" s="619">
        <f t="shared" si="3"/>
        <v>0.12159760546253859</v>
      </c>
    </row>
    <row r="91" spans="1:10" s="25" customFormat="1" ht="12">
      <c r="A91" s="620">
        <v>37</v>
      </c>
      <c r="B91" s="33" t="s">
        <v>599</v>
      </c>
      <c r="C91" s="187">
        <v>1</v>
      </c>
      <c r="D91" s="187">
        <v>3501</v>
      </c>
      <c r="E91" s="187">
        <v>3558</v>
      </c>
      <c r="F91" s="187">
        <f t="shared" si="0"/>
        <v>58</v>
      </c>
      <c r="G91" s="33" t="s">
        <v>600</v>
      </c>
      <c r="H91" s="187">
        <f t="shared" si="1"/>
        <v>58</v>
      </c>
      <c r="I91" s="187">
        <f t="shared" si="2"/>
        <v>58000000</v>
      </c>
      <c r="J91" s="619">
        <f t="shared" si="3"/>
        <v>0.13562809840052381</v>
      </c>
    </row>
    <row r="92" spans="1:10" s="25" customFormat="1" ht="12">
      <c r="A92" s="620">
        <v>38</v>
      </c>
      <c r="B92" s="33" t="s">
        <v>601</v>
      </c>
      <c r="C92" s="187">
        <v>1</v>
      </c>
      <c r="D92" s="187">
        <v>3559</v>
      </c>
      <c r="E92" s="187">
        <v>3740</v>
      </c>
      <c r="F92" s="187">
        <f>E92-D92+1</f>
        <v>182</v>
      </c>
      <c r="G92" s="33" t="s">
        <v>600</v>
      </c>
      <c r="H92" s="187">
        <f t="shared" si="1"/>
        <v>182</v>
      </c>
      <c r="I92" s="187">
        <f t="shared" si="2"/>
        <v>182000000</v>
      </c>
      <c r="J92" s="619">
        <f t="shared" si="3"/>
        <v>0.42559161911888505</v>
      </c>
    </row>
    <row r="93" spans="1:10" s="25" customFormat="1" ht="12">
      <c r="A93" s="620">
        <v>39</v>
      </c>
      <c r="B93" s="33" t="s">
        <v>599</v>
      </c>
      <c r="C93" s="187">
        <v>1</v>
      </c>
      <c r="D93" s="187">
        <v>3741</v>
      </c>
      <c r="E93" s="187">
        <v>3920</v>
      </c>
      <c r="F93" s="187">
        <f t="shared" si="0"/>
        <v>180</v>
      </c>
      <c r="G93" s="33" t="s">
        <v>600</v>
      </c>
      <c r="H93" s="187">
        <f t="shared" si="1"/>
        <v>180</v>
      </c>
      <c r="I93" s="187">
        <f t="shared" si="2"/>
        <v>180000000</v>
      </c>
      <c r="J93" s="619">
        <f t="shared" si="3"/>
        <v>0.42091478813955668</v>
      </c>
    </row>
    <row r="94" spans="1:10" s="25" customFormat="1" ht="12">
      <c r="A94" s="620">
        <v>40</v>
      </c>
      <c r="B94" s="33" t="s">
        <v>602</v>
      </c>
      <c r="C94" s="187">
        <v>1</v>
      </c>
      <c r="D94" s="187">
        <v>3921</v>
      </c>
      <c r="E94" s="187">
        <v>3998</v>
      </c>
      <c r="F94" s="187">
        <f t="shared" si="0"/>
        <v>78</v>
      </c>
      <c r="G94" s="33" t="s">
        <v>600</v>
      </c>
      <c r="H94" s="187">
        <f t="shared" si="1"/>
        <v>78</v>
      </c>
      <c r="I94" s="187">
        <f t="shared" si="2"/>
        <v>78000000</v>
      </c>
      <c r="J94" s="619">
        <f t="shared" si="3"/>
        <v>0.18239640819380787</v>
      </c>
    </row>
    <row r="95" spans="1:10" s="25" customFormat="1" ht="12">
      <c r="A95" s="620">
        <v>41</v>
      </c>
      <c r="B95" s="33" t="s">
        <v>601</v>
      </c>
      <c r="C95" s="187">
        <v>1</v>
      </c>
      <c r="D95" s="187">
        <v>3999</v>
      </c>
      <c r="E95" s="187">
        <v>4070</v>
      </c>
      <c r="F95" s="187">
        <f t="shared" si="0"/>
        <v>72</v>
      </c>
      <c r="G95" s="33" t="s">
        <v>600</v>
      </c>
      <c r="H95" s="187">
        <f t="shared" si="1"/>
        <v>72</v>
      </c>
      <c r="I95" s="187">
        <f t="shared" si="2"/>
        <v>72000000</v>
      </c>
      <c r="J95" s="619">
        <f t="shared" si="3"/>
        <v>0.16836591525582265</v>
      </c>
    </row>
    <row r="96" spans="1:10" s="25" customFormat="1" ht="12">
      <c r="A96" s="620">
        <v>42</v>
      </c>
      <c r="B96" s="33" t="s">
        <v>601</v>
      </c>
      <c r="C96" s="187">
        <v>1</v>
      </c>
      <c r="D96" s="187">
        <v>4071</v>
      </c>
      <c r="E96" s="187">
        <v>4100</v>
      </c>
      <c r="F96" s="187">
        <f t="shared" si="0"/>
        <v>30</v>
      </c>
      <c r="G96" s="33" t="s">
        <v>600</v>
      </c>
      <c r="H96" s="187">
        <f t="shared" si="1"/>
        <v>30</v>
      </c>
      <c r="I96" s="187">
        <f t="shared" si="2"/>
        <v>30000000</v>
      </c>
      <c r="J96" s="619">
        <f t="shared" si="3"/>
        <v>7.0152464689926114E-2</v>
      </c>
    </row>
    <row r="97" spans="1:10" s="25" customFormat="1" ht="12">
      <c r="A97" s="620">
        <v>43</v>
      </c>
      <c r="B97" s="33" t="s">
        <v>601</v>
      </c>
      <c r="C97" s="187">
        <v>1</v>
      </c>
      <c r="D97" s="187">
        <v>4101</v>
      </c>
      <c r="E97" s="187">
        <v>4161</v>
      </c>
      <c r="F97" s="187">
        <f t="shared" si="0"/>
        <v>61</v>
      </c>
      <c r="G97" s="33" t="s">
        <v>600</v>
      </c>
      <c r="H97" s="187">
        <f t="shared" si="1"/>
        <v>61</v>
      </c>
      <c r="I97" s="187">
        <f t="shared" si="2"/>
        <v>61000000</v>
      </c>
      <c r="J97" s="619">
        <f t="shared" si="3"/>
        <v>0.14264334486951641</v>
      </c>
    </row>
    <row r="98" spans="1:10" s="25" customFormat="1" ht="12">
      <c r="A98" s="620">
        <v>44</v>
      </c>
      <c r="B98" s="33" t="s">
        <v>602</v>
      </c>
      <c r="C98" s="187">
        <v>1</v>
      </c>
      <c r="D98" s="187">
        <v>4162</v>
      </c>
      <c r="E98" s="187">
        <v>4404</v>
      </c>
      <c r="F98" s="187">
        <f t="shared" si="0"/>
        <v>243</v>
      </c>
      <c r="G98" s="33" t="s">
        <v>600</v>
      </c>
      <c r="H98" s="187">
        <f t="shared" si="1"/>
        <v>243</v>
      </c>
      <c r="I98" s="187">
        <f t="shared" si="2"/>
        <v>243000000</v>
      </c>
      <c r="J98" s="619">
        <f t="shared" si="3"/>
        <v>0.56823496398840145</v>
      </c>
    </row>
    <row r="99" spans="1:10" s="25" customFormat="1" ht="12">
      <c r="A99" s="620">
        <v>45</v>
      </c>
      <c r="B99" s="33" t="s">
        <v>599</v>
      </c>
      <c r="C99" s="187">
        <v>1</v>
      </c>
      <c r="D99" s="187">
        <v>4405</v>
      </c>
      <c r="E99" s="187">
        <v>4632</v>
      </c>
      <c r="F99" s="187">
        <f t="shared" si="0"/>
        <v>228</v>
      </c>
      <c r="G99" s="33" t="s">
        <v>600</v>
      </c>
      <c r="H99" s="187">
        <f t="shared" si="1"/>
        <v>228</v>
      </c>
      <c r="I99" s="187">
        <f t="shared" si="2"/>
        <v>228000000</v>
      </c>
      <c r="J99" s="619">
        <f t="shared" si="3"/>
        <v>0.53315873164343841</v>
      </c>
    </row>
    <row r="100" spans="1:10" s="25" customFormat="1" ht="12">
      <c r="A100" s="620">
        <v>46</v>
      </c>
      <c r="B100" s="33" t="s">
        <v>602</v>
      </c>
      <c r="C100" s="187">
        <v>1</v>
      </c>
      <c r="D100" s="187">
        <v>4633</v>
      </c>
      <c r="E100" s="187">
        <v>4746</v>
      </c>
      <c r="F100" s="187">
        <f t="shared" si="0"/>
        <v>114</v>
      </c>
      <c r="G100" s="33" t="s">
        <v>600</v>
      </c>
      <c r="H100" s="187">
        <f t="shared" si="1"/>
        <v>114</v>
      </c>
      <c r="I100" s="187">
        <f t="shared" si="2"/>
        <v>114000000</v>
      </c>
      <c r="J100" s="619">
        <f t="shared" si="3"/>
        <v>0.26657936582171921</v>
      </c>
    </row>
    <row r="101" spans="1:10" s="25" customFormat="1" ht="12">
      <c r="A101" s="620">
        <v>47</v>
      </c>
      <c r="B101" s="33" t="s">
        <v>601</v>
      </c>
      <c r="C101" s="187">
        <v>1</v>
      </c>
      <c r="D101" s="187">
        <v>4747</v>
      </c>
      <c r="E101" s="187">
        <v>4860</v>
      </c>
      <c r="F101" s="187">
        <f t="shared" si="0"/>
        <v>114</v>
      </c>
      <c r="G101" s="33" t="s">
        <v>600</v>
      </c>
      <c r="H101" s="187">
        <f t="shared" si="1"/>
        <v>114</v>
      </c>
      <c r="I101" s="187">
        <f t="shared" si="2"/>
        <v>114000000</v>
      </c>
      <c r="J101" s="619">
        <f t="shared" si="3"/>
        <v>0.26657936582171921</v>
      </c>
    </row>
    <row r="102" spans="1:10" s="25" customFormat="1" ht="12">
      <c r="A102" s="620">
        <v>48</v>
      </c>
      <c r="B102" s="33" t="s">
        <v>544</v>
      </c>
      <c r="C102" s="187">
        <v>1</v>
      </c>
      <c r="D102" s="187">
        <v>4861</v>
      </c>
      <c r="E102" s="187">
        <f>D102+255</f>
        <v>5116</v>
      </c>
      <c r="F102" s="187">
        <f>E102-D102+1</f>
        <v>256</v>
      </c>
      <c r="G102" s="33" t="s">
        <v>600</v>
      </c>
      <c r="H102" s="187">
        <f>F102</f>
        <v>256</v>
      </c>
      <c r="I102" s="187">
        <f t="shared" si="2"/>
        <v>256000000</v>
      </c>
      <c r="J102" s="619">
        <f t="shared" si="3"/>
        <v>0.59863436535403614</v>
      </c>
    </row>
    <row r="103" spans="1:10" s="25" customFormat="1" ht="12">
      <c r="A103" s="620">
        <v>49</v>
      </c>
      <c r="B103" s="33" t="s">
        <v>599</v>
      </c>
      <c r="C103" s="187">
        <v>1</v>
      </c>
      <c r="D103" s="187">
        <v>5117</v>
      </c>
      <c r="E103" s="187">
        <f>D103+1673</f>
        <v>6790</v>
      </c>
      <c r="F103" s="187">
        <f t="shared" si="0"/>
        <v>1674</v>
      </c>
      <c r="G103" s="33" t="s">
        <v>600</v>
      </c>
      <c r="H103" s="187">
        <f t="shared" si="1"/>
        <v>1674</v>
      </c>
      <c r="I103" s="187">
        <f t="shared" si="2"/>
        <v>1674000000</v>
      </c>
      <c r="J103" s="619">
        <f t="shared" si="3"/>
        <v>3.9145075296978771</v>
      </c>
    </row>
    <row r="104" spans="1:10" s="25" customFormat="1" ht="12">
      <c r="A104" s="620">
        <v>50</v>
      </c>
      <c r="B104" s="33" t="s">
        <v>601</v>
      </c>
      <c r="C104" s="187">
        <v>1</v>
      </c>
      <c r="D104" s="187">
        <f>E103+1</f>
        <v>6791</v>
      </c>
      <c r="E104" s="187">
        <f>D104+836</f>
        <v>7627</v>
      </c>
      <c r="F104" s="187">
        <f t="shared" si="0"/>
        <v>837</v>
      </c>
      <c r="G104" s="33" t="s">
        <v>600</v>
      </c>
      <c r="H104" s="187">
        <f t="shared" si="1"/>
        <v>837</v>
      </c>
      <c r="I104" s="187">
        <f t="shared" si="2"/>
        <v>837000000</v>
      </c>
      <c r="J104" s="619">
        <f t="shared" si="3"/>
        <v>1.9572537648489385</v>
      </c>
    </row>
    <row r="105" spans="1:10" s="25" customFormat="1" ht="12">
      <c r="A105" s="620">
        <v>51</v>
      </c>
      <c r="B105" s="33" t="s">
        <v>602</v>
      </c>
      <c r="C105" s="187">
        <v>1</v>
      </c>
      <c r="D105" s="187">
        <f>E104+1</f>
        <v>7628</v>
      </c>
      <c r="E105" s="187">
        <f>D105+836</f>
        <v>8464</v>
      </c>
      <c r="F105" s="187">
        <f t="shared" si="0"/>
        <v>837</v>
      </c>
      <c r="G105" s="33" t="s">
        <v>600</v>
      </c>
      <c r="H105" s="187">
        <f t="shared" si="1"/>
        <v>837</v>
      </c>
      <c r="I105" s="187">
        <f t="shared" si="2"/>
        <v>837000000</v>
      </c>
      <c r="J105" s="619">
        <f t="shared" si="3"/>
        <v>1.9572537648489385</v>
      </c>
    </row>
    <row r="106" spans="1:10" s="25" customFormat="1" ht="12">
      <c r="A106" s="620">
        <v>52</v>
      </c>
      <c r="B106" s="33" t="s">
        <v>544</v>
      </c>
      <c r="C106" s="187">
        <v>1</v>
      </c>
      <c r="D106" s="187">
        <f>E105+1</f>
        <v>8465</v>
      </c>
      <c r="E106" s="187">
        <f>D106+175</f>
        <v>8640</v>
      </c>
      <c r="F106" s="187">
        <f t="shared" si="0"/>
        <v>176</v>
      </c>
      <c r="G106" s="33" t="s">
        <v>600</v>
      </c>
      <c r="H106" s="187">
        <f t="shared" si="1"/>
        <v>176</v>
      </c>
      <c r="I106" s="187">
        <f t="shared" si="2"/>
        <v>176000000</v>
      </c>
      <c r="J106" s="619">
        <f t="shared" si="3"/>
        <v>0.41156112618089979</v>
      </c>
    </row>
    <row r="107" spans="1:10" s="25" customFormat="1" ht="12">
      <c r="A107" s="620">
        <v>53</v>
      </c>
      <c r="B107" s="33" t="s">
        <v>599</v>
      </c>
      <c r="C107" s="187">
        <v>1</v>
      </c>
      <c r="D107" s="187">
        <v>8641</v>
      </c>
      <c r="E107" s="187">
        <f>D107+25</f>
        <v>8666</v>
      </c>
      <c r="F107" s="187">
        <f t="shared" si="0"/>
        <v>26</v>
      </c>
      <c r="G107" s="33" t="s">
        <v>600</v>
      </c>
      <c r="H107" s="187">
        <f t="shared" si="1"/>
        <v>26</v>
      </c>
      <c r="I107" s="187">
        <f t="shared" si="2"/>
        <v>26000000</v>
      </c>
      <c r="J107" s="619">
        <f t="shared" si="3"/>
        <v>6.0798802731269294E-2</v>
      </c>
    </row>
    <row r="108" spans="1:10" s="25" customFormat="1" ht="12">
      <c r="A108" s="620">
        <v>54</v>
      </c>
      <c r="B108" s="33" t="s">
        <v>601</v>
      </c>
      <c r="C108" s="187">
        <v>1</v>
      </c>
      <c r="D108" s="187">
        <f>E107+1</f>
        <v>8667</v>
      </c>
      <c r="E108" s="187">
        <f>D108+12</f>
        <v>8679</v>
      </c>
      <c r="F108" s="187">
        <f t="shared" si="0"/>
        <v>13</v>
      </c>
      <c r="G108" s="33" t="s">
        <v>600</v>
      </c>
      <c r="H108" s="187">
        <f t="shared" si="1"/>
        <v>13</v>
      </c>
      <c r="I108" s="187">
        <f t="shared" si="2"/>
        <v>13000000</v>
      </c>
      <c r="J108" s="619">
        <f t="shared" si="3"/>
        <v>3.0399401365634647E-2</v>
      </c>
    </row>
    <row r="109" spans="1:10" s="25" customFormat="1" ht="12">
      <c r="A109" s="620">
        <v>55</v>
      </c>
      <c r="B109" s="33" t="s">
        <v>602</v>
      </c>
      <c r="C109" s="187">
        <v>1</v>
      </c>
      <c r="D109" s="187">
        <f>E108+1</f>
        <v>8680</v>
      </c>
      <c r="E109" s="187">
        <f>D109+12</f>
        <v>8692</v>
      </c>
      <c r="F109" s="187">
        <f t="shared" si="0"/>
        <v>13</v>
      </c>
      <c r="G109" s="33" t="s">
        <v>600</v>
      </c>
      <c r="H109" s="187">
        <f t="shared" si="1"/>
        <v>13</v>
      </c>
      <c r="I109" s="187">
        <f t="shared" si="2"/>
        <v>13000000</v>
      </c>
      <c r="J109" s="619">
        <f t="shared" si="3"/>
        <v>3.0399401365634647E-2</v>
      </c>
    </row>
    <row r="110" spans="1:10" s="25" customFormat="1" ht="12">
      <c r="A110" s="620">
        <v>56</v>
      </c>
      <c r="B110" s="33" t="s">
        <v>544</v>
      </c>
      <c r="C110" s="187">
        <v>1</v>
      </c>
      <c r="D110" s="187">
        <f>E109+1</f>
        <v>8693</v>
      </c>
      <c r="E110" s="187">
        <f>D110+39</f>
        <v>8732</v>
      </c>
      <c r="F110" s="187">
        <f t="shared" si="0"/>
        <v>40</v>
      </c>
      <c r="G110" s="33" t="s">
        <v>600</v>
      </c>
      <c r="H110" s="187">
        <f t="shared" si="1"/>
        <v>40</v>
      </c>
      <c r="I110" s="187">
        <f t="shared" si="2"/>
        <v>40000000</v>
      </c>
      <c r="J110" s="619">
        <f t="shared" si="3"/>
        <v>9.3536619586568143E-2</v>
      </c>
    </row>
    <row r="111" spans="1:10" s="25" customFormat="1" ht="12">
      <c r="A111" s="620">
        <v>57</v>
      </c>
      <c r="B111" s="33" t="s">
        <v>603</v>
      </c>
      <c r="C111" s="187">
        <v>1</v>
      </c>
      <c r="D111" s="187">
        <f>E110+1</f>
        <v>8733</v>
      </c>
      <c r="E111" s="187">
        <f>D111+471</f>
        <v>9204</v>
      </c>
      <c r="F111" s="187">
        <f t="shared" si="0"/>
        <v>472</v>
      </c>
      <c r="G111" s="33" t="s">
        <v>600</v>
      </c>
      <c r="H111" s="187">
        <f t="shared" si="1"/>
        <v>472</v>
      </c>
      <c r="I111" s="187">
        <f t="shared" si="2"/>
        <v>472000000</v>
      </c>
      <c r="J111" s="619">
        <f t="shared" si="3"/>
        <v>1.1037321111215039</v>
      </c>
    </row>
    <row r="112" spans="1:10" s="25" customFormat="1" ht="12">
      <c r="A112" s="620">
        <v>58</v>
      </c>
      <c r="B112" s="33" t="s">
        <v>544</v>
      </c>
      <c r="C112" s="187">
        <v>1</v>
      </c>
      <c r="D112" s="187">
        <v>9205</v>
      </c>
      <c r="E112" s="187">
        <v>9380</v>
      </c>
      <c r="F112" s="187">
        <f t="shared" si="0"/>
        <v>176</v>
      </c>
      <c r="G112" s="33" t="s">
        <v>600</v>
      </c>
      <c r="H112" s="187">
        <f t="shared" si="1"/>
        <v>176</v>
      </c>
      <c r="I112" s="187">
        <f t="shared" si="2"/>
        <v>176000000</v>
      </c>
      <c r="J112" s="619">
        <f t="shared" si="3"/>
        <v>0.41156112618089979</v>
      </c>
    </row>
    <row r="113" spans="1:10" s="25" customFormat="1" ht="12">
      <c r="A113" s="620">
        <v>59</v>
      </c>
      <c r="B113" s="33" t="s">
        <v>603</v>
      </c>
      <c r="C113" s="187">
        <v>1</v>
      </c>
      <c r="D113" s="187">
        <v>9381</v>
      </c>
      <c r="E113" s="187">
        <v>9440</v>
      </c>
      <c r="F113" s="187">
        <f t="shared" si="0"/>
        <v>60</v>
      </c>
      <c r="G113" s="33" t="s">
        <v>600</v>
      </c>
      <c r="H113" s="187">
        <f t="shared" si="1"/>
        <v>60</v>
      </c>
      <c r="I113" s="187">
        <f t="shared" si="2"/>
        <v>60000000</v>
      </c>
      <c r="J113" s="619">
        <f t="shared" si="3"/>
        <v>0.14030492937985223</v>
      </c>
    </row>
    <row r="114" spans="1:10" s="25" customFormat="1" ht="12">
      <c r="A114" s="620">
        <v>60</v>
      </c>
      <c r="B114" s="33" t="s">
        <v>599</v>
      </c>
      <c r="C114" s="187">
        <v>1</v>
      </c>
      <c r="D114" s="187">
        <v>9441</v>
      </c>
      <c r="E114" s="187">
        <v>11470</v>
      </c>
      <c r="F114" s="187">
        <f t="shared" si="0"/>
        <v>2030</v>
      </c>
      <c r="G114" s="33" t="s">
        <v>600</v>
      </c>
      <c r="H114" s="187">
        <f t="shared" si="1"/>
        <v>2030</v>
      </c>
      <c r="I114" s="187">
        <f t="shared" si="2"/>
        <v>2030000000</v>
      </c>
      <c r="J114" s="619">
        <f t="shared" si="3"/>
        <v>4.7469834440183334</v>
      </c>
    </row>
    <row r="115" spans="1:10" s="25" customFormat="1" ht="12">
      <c r="A115" s="620">
        <v>61</v>
      </c>
      <c r="B115" s="33" t="s">
        <v>601</v>
      </c>
      <c r="C115" s="187">
        <v>1</v>
      </c>
      <c r="D115" s="187">
        <v>11471</v>
      </c>
      <c r="E115" s="187">
        <v>12485</v>
      </c>
      <c r="F115" s="187">
        <f t="shared" si="0"/>
        <v>1015</v>
      </c>
      <c r="G115" s="33" t="s">
        <v>600</v>
      </c>
      <c r="H115" s="187">
        <f t="shared" si="1"/>
        <v>1015</v>
      </c>
      <c r="I115" s="187">
        <f t="shared" si="2"/>
        <v>1015000000</v>
      </c>
      <c r="J115" s="619">
        <f t="shared" si="3"/>
        <v>2.3734917220091667</v>
      </c>
    </row>
    <row r="116" spans="1:10" s="25" customFormat="1" ht="12">
      <c r="A116" s="620">
        <v>62</v>
      </c>
      <c r="B116" s="33" t="s">
        <v>602</v>
      </c>
      <c r="C116" s="187">
        <v>1</v>
      </c>
      <c r="D116" s="187">
        <v>12486</v>
      </c>
      <c r="E116" s="187">
        <v>13500</v>
      </c>
      <c r="F116" s="187">
        <f t="shared" si="0"/>
        <v>1015</v>
      </c>
      <c r="G116" s="33" t="s">
        <v>600</v>
      </c>
      <c r="H116" s="187">
        <f t="shared" si="1"/>
        <v>1015</v>
      </c>
      <c r="I116" s="187">
        <f t="shared" si="2"/>
        <v>1015000000</v>
      </c>
      <c r="J116" s="619">
        <f t="shared" si="3"/>
        <v>2.3734917220091667</v>
      </c>
    </row>
    <row r="117" spans="1:10" s="25" customFormat="1" ht="12">
      <c r="A117" s="620">
        <v>63</v>
      </c>
      <c r="B117" s="33" t="s">
        <v>544</v>
      </c>
      <c r="C117" s="187">
        <v>1</v>
      </c>
      <c r="D117" s="187">
        <v>13501</v>
      </c>
      <c r="E117" s="187">
        <v>13732</v>
      </c>
      <c r="F117" s="187">
        <f t="shared" si="0"/>
        <v>232</v>
      </c>
      <c r="G117" s="33" t="s">
        <v>600</v>
      </c>
      <c r="H117" s="187">
        <f t="shared" si="1"/>
        <v>232</v>
      </c>
      <c r="I117" s="187">
        <f t="shared" si="2"/>
        <v>232000000</v>
      </c>
      <c r="J117" s="619">
        <f t="shared" si="3"/>
        <v>0.54251239360209524</v>
      </c>
    </row>
    <row r="118" spans="1:10" s="25" customFormat="1" ht="12">
      <c r="A118" s="620">
        <v>64</v>
      </c>
      <c r="B118" s="33" t="s">
        <v>603</v>
      </c>
      <c r="C118" s="187">
        <v>1</v>
      </c>
      <c r="D118" s="187">
        <v>13733</v>
      </c>
      <c r="E118" s="187">
        <v>13964</v>
      </c>
      <c r="F118" s="187">
        <f t="shared" si="0"/>
        <v>232</v>
      </c>
      <c r="G118" s="33" t="s">
        <v>600</v>
      </c>
      <c r="H118" s="187">
        <f t="shared" si="1"/>
        <v>232</v>
      </c>
      <c r="I118" s="187">
        <f t="shared" si="2"/>
        <v>232000000</v>
      </c>
      <c r="J118" s="619">
        <f t="shared" si="3"/>
        <v>0.54251239360209524</v>
      </c>
    </row>
    <row r="119" spans="1:10" s="25" customFormat="1" ht="12">
      <c r="A119" s="620">
        <v>65</v>
      </c>
      <c r="B119" s="33" t="s">
        <v>603</v>
      </c>
      <c r="C119" s="187">
        <v>1</v>
      </c>
      <c r="D119" s="187">
        <v>13965</v>
      </c>
      <c r="E119" s="187">
        <v>14080</v>
      </c>
      <c r="F119" s="187">
        <f t="shared" ref="F119:F129" si="4">E119-D119+1</f>
        <v>116</v>
      </c>
      <c r="G119" s="33" t="s">
        <v>600</v>
      </c>
      <c r="H119" s="187">
        <f t="shared" ref="H119:H136" si="5">F119</f>
        <v>116</v>
      </c>
      <c r="I119" s="187">
        <f t="shared" si="2"/>
        <v>116000000</v>
      </c>
      <c r="J119" s="619">
        <f t="shared" si="3"/>
        <v>0.27125619680104762</v>
      </c>
    </row>
    <row r="120" spans="1:10" s="25" customFormat="1" ht="12">
      <c r="A120" s="620">
        <v>66</v>
      </c>
      <c r="B120" s="33" t="s">
        <v>599</v>
      </c>
      <c r="C120" s="187">
        <v>1</v>
      </c>
      <c r="D120" s="187">
        <v>14081</v>
      </c>
      <c r="E120" s="187">
        <v>15970</v>
      </c>
      <c r="F120" s="187">
        <f t="shared" si="4"/>
        <v>1890</v>
      </c>
      <c r="G120" s="33" t="s">
        <v>600</v>
      </c>
      <c r="H120" s="187">
        <f t="shared" si="5"/>
        <v>1890</v>
      </c>
      <c r="I120" s="187">
        <f t="shared" ref="I120:I136" si="6">F120*1000000</f>
        <v>1890000000</v>
      </c>
      <c r="J120" s="619">
        <f t="shared" ref="J120:J143" si="7">I120/$I$144*100</f>
        <v>4.4196052754653445</v>
      </c>
    </row>
    <row r="121" spans="1:10" s="25" customFormat="1" ht="12">
      <c r="A121" s="620">
        <v>67</v>
      </c>
      <c r="B121" s="33" t="s">
        <v>601</v>
      </c>
      <c r="C121" s="187">
        <v>1</v>
      </c>
      <c r="D121" s="187">
        <v>15971</v>
      </c>
      <c r="E121" s="187">
        <v>16915</v>
      </c>
      <c r="F121" s="187">
        <f t="shared" si="4"/>
        <v>945</v>
      </c>
      <c r="G121" s="33" t="s">
        <v>600</v>
      </c>
      <c r="H121" s="187">
        <f t="shared" si="5"/>
        <v>945</v>
      </c>
      <c r="I121" s="187">
        <f t="shared" si="6"/>
        <v>945000000</v>
      </c>
      <c r="J121" s="619">
        <f t="shared" si="7"/>
        <v>2.2098026377326723</v>
      </c>
    </row>
    <row r="122" spans="1:10" s="25" customFormat="1" ht="12">
      <c r="A122" s="620">
        <v>68</v>
      </c>
      <c r="B122" s="33" t="s">
        <v>602</v>
      </c>
      <c r="C122" s="187">
        <v>1</v>
      </c>
      <c r="D122" s="187">
        <v>16916</v>
      </c>
      <c r="E122" s="187">
        <v>17860</v>
      </c>
      <c r="F122" s="187">
        <f t="shared" si="4"/>
        <v>945</v>
      </c>
      <c r="G122" s="33" t="s">
        <v>600</v>
      </c>
      <c r="H122" s="187">
        <f t="shared" si="5"/>
        <v>945</v>
      </c>
      <c r="I122" s="187">
        <f t="shared" si="6"/>
        <v>945000000</v>
      </c>
      <c r="J122" s="619">
        <f t="shared" si="7"/>
        <v>2.2098026377326723</v>
      </c>
    </row>
    <row r="123" spans="1:10" s="25" customFormat="1" ht="12">
      <c r="A123" s="620">
        <v>69</v>
      </c>
      <c r="B123" s="33" t="s">
        <v>544</v>
      </c>
      <c r="C123" s="187">
        <v>1</v>
      </c>
      <c r="D123" s="187">
        <v>17861</v>
      </c>
      <c r="E123" s="187">
        <v>18130</v>
      </c>
      <c r="F123" s="187">
        <f t="shared" si="4"/>
        <v>270</v>
      </c>
      <c r="G123" s="33" t="s">
        <v>600</v>
      </c>
      <c r="H123" s="187">
        <f t="shared" si="5"/>
        <v>270</v>
      </c>
      <c r="I123" s="187">
        <f t="shared" si="6"/>
        <v>270000000</v>
      </c>
      <c r="J123" s="619">
        <f t="shared" si="7"/>
        <v>0.631372182209335</v>
      </c>
    </row>
    <row r="124" spans="1:10" s="25" customFormat="1" ht="12">
      <c r="A124" s="620">
        <v>70</v>
      </c>
      <c r="B124" s="33" t="s">
        <v>603</v>
      </c>
      <c r="C124" s="187">
        <v>1</v>
      </c>
      <c r="D124" s="187">
        <v>18131</v>
      </c>
      <c r="E124" s="187">
        <v>18400</v>
      </c>
      <c r="F124" s="187">
        <f t="shared" si="4"/>
        <v>270</v>
      </c>
      <c r="G124" s="33" t="s">
        <v>600</v>
      </c>
      <c r="H124" s="187">
        <f t="shared" si="5"/>
        <v>270</v>
      </c>
      <c r="I124" s="187">
        <f t="shared" si="6"/>
        <v>270000000</v>
      </c>
      <c r="J124" s="619">
        <f t="shared" si="7"/>
        <v>0.631372182209335</v>
      </c>
    </row>
    <row r="125" spans="1:10" s="25" customFormat="1" ht="12">
      <c r="A125" s="620">
        <v>71</v>
      </c>
      <c r="B125" s="33" t="s">
        <v>599</v>
      </c>
      <c r="C125" s="187">
        <v>1</v>
      </c>
      <c r="D125" s="187">
        <v>18401</v>
      </c>
      <c r="E125" s="187">
        <v>20976</v>
      </c>
      <c r="F125" s="187">
        <f t="shared" si="4"/>
        <v>2576</v>
      </c>
      <c r="G125" s="33" t="s">
        <v>600</v>
      </c>
      <c r="H125" s="187">
        <f t="shared" si="5"/>
        <v>2576</v>
      </c>
      <c r="I125" s="187">
        <f t="shared" si="6"/>
        <v>2576000000</v>
      </c>
      <c r="J125" s="619">
        <f t="shared" si="7"/>
        <v>6.023758301374988</v>
      </c>
    </row>
    <row r="126" spans="1:10" s="25" customFormat="1" ht="12">
      <c r="A126" s="620">
        <v>72</v>
      </c>
      <c r="B126" s="33" t="s">
        <v>601</v>
      </c>
      <c r="C126" s="187">
        <v>1</v>
      </c>
      <c r="D126" s="187">
        <v>20977</v>
      </c>
      <c r="E126" s="187">
        <v>22264</v>
      </c>
      <c r="F126" s="187">
        <f t="shared" si="4"/>
        <v>1288</v>
      </c>
      <c r="G126" s="33" t="s">
        <v>600</v>
      </c>
      <c r="H126" s="187">
        <f t="shared" si="5"/>
        <v>1288</v>
      </c>
      <c r="I126" s="187">
        <f t="shared" si="6"/>
        <v>1288000000</v>
      </c>
      <c r="J126" s="619">
        <f t="shared" si="7"/>
        <v>3.011879150687494</v>
      </c>
    </row>
    <row r="127" spans="1:10" s="25" customFormat="1" ht="12">
      <c r="A127" s="620">
        <v>73</v>
      </c>
      <c r="B127" s="33" t="s">
        <v>602</v>
      </c>
      <c r="C127" s="187">
        <v>1</v>
      </c>
      <c r="D127" s="187">
        <v>22265</v>
      </c>
      <c r="E127" s="187">
        <v>23552</v>
      </c>
      <c r="F127" s="187">
        <f t="shared" si="4"/>
        <v>1288</v>
      </c>
      <c r="G127" s="33" t="s">
        <v>600</v>
      </c>
      <c r="H127" s="187">
        <f t="shared" si="5"/>
        <v>1288</v>
      </c>
      <c r="I127" s="187">
        <f t="shared" si="6"/>
        <v>1288000000</v>
      </c>
      <c r="J127" s="619">
        <f t="shared" si="7"/>
        <v>3.011879150687494</v>
      </c>
    </row>
    <row r="128" spans="1:10" s="25" customFormat="1" ht="12">
      <c r="A128" s="620">
        <v>74</v>
      </c>
      <c r="B128" s="33" t="s">
        <v>544</v>
      </c>
      <c r="C128" s="187">
        <v>1</v>
      </c>
      <c r="D128" s="187">
        <v>23553</v>
      </c>
      <c r="E128" s="187">
        <v>23920</v>
      </c>
      <c r="F128" s="187">
        <f t="shared" si="4"/>
        <v>368</v>
      </c>
      <c r="G128" s="33" t="s">
        <v>600</v>
      </c>
      <c r="H128" s="187">
        <f t="shared" si="5"/>
        <v>368</v>
      </c>
      <c r="I128" s="187">
        <f t="shared" si="6"/>
        <v>368000000</v>
      </c>
      <c r="J128" s="619">
        <f t="shared" si="7"/>
        <v>0.86053690019642692</v>
      </c>
    </row>
    <row r="129" spans="1:10" s="25" customFormat="1" ht="12">
      <c r="A129" s="620">
        <v>75</v>
      </c>
      <c r="B129" s="33" t="s">
        <v>603</v>
      </c>
      <c r="C129" s="187">
        <v>1</v>
      </c>
      <c r="D129" s="187">
        <v>23921</v>
      </c>
      <c r="E129" s="187">
        <v>24288</v>
      </c>
      <c r="F129" s="187">
        <f t="shared" si="4"/>
        <v>368</v>
      </c>
      <c r="G129" s="33" t="s">
        <v>600</v>
      </c>
      <c r="H129" s="187">
        <f t="shared" si="5"/>
        <v>368</v>
      </c>
      <c r="I129" s="187">
        <f t="shared" si="6"/>
        <v>368000000</v>
      </c>
      <c r="J129" s="619">
        <f t="shared" si="7"/>
        <v>0.86053690019642692</v>
      </c>
    </row>
    <row r="130" spans="1:10" s="25" customFormat="1" ht="12">
      <c r="A130" s="620">
        <v>76</v>
      </c>
      <c r="B130" s="33" t="s">
        <v>599</v>
      </c>
      <c r="C130" s="187">
        <v>1</v>
      </c>
      <c r="D130" s="187">
        <v>24289</v>
      </c>
      <c r="E130" s="187">
        <v>25478</v>
      </c>
      <c r="F130" s="187">
        <v>1190</v>
      </c>
      <c r="G130" s="33" t="s">
        <v>600</v>
      </c>
      <c r="H130" s="187">
        <f t="shared" si="5"/>
        <v>1190</v>
      </c>
      <c r="I130" s="187">
        <f t="shared" si="6"/>
        <v>1190000000</v>
      </c>
      <c r="J130" s="619">
        <f t="shared" si="7"/>
        <v>2.7827144327004021</v>
      </c>
    </row>
    <row r="131" spans="1:10" s="25" customFormat="1" ht="12">
      <c r="A131" s="620">
        <v>77</v>
      </c>
      <c r="B131" s="33" t="s">
        <v>601</v>
      </c>
      <c r="C131" s="187">
        <v>1</v>
      </c>
      <c r="D131" s="187">
        <v>25479</v>
      </c>
      <c r="E131" s="187">
        <v>26073</v>
      </c>
      <c r="F131" s="187">
        <v>595</v>
      </c>
      <c r="G131" s="33" t="s">
        <v>600</v>
      </c>
      <c r="H131" s="187">
        <f t="shared" si="5"/>
        <v>595</v>
      </c>
      <c r="I131" s="187">
        <f t="shared" si="6"/>
        <v>595000000</v>
      </c>
      <c r="J131" s="619">
        <f t="shared" si="7"/>
        <v>1.391357216350201</v>
      </c>
    </row>
    <row r="132" spans="1:10" s="25" customFormat="1" ht="12">
      <c r="A132" s="620">
        <v>78</v>
      </c>
      <c r="B132" s="33" t="s">
        <v>602</v>
      </c>
      <c r="C132" s="187">
        <v>1</v>
      </c>
      <c r="D132" s="187">
        <v>26074</v>
      </c>
      <c r="E132" s="187">
        <v>26668</v>
      </c>
      <c r="F132" s="187">
        <v>595</v>
      </c>
      <c r="G132" s="33" t="s">
        <v>600</v>
      </c>
      <c r="H132" s="187">
        <f t="shared" si="5"/>
        <v>595</v>
      </c>
      <c r="I132" s="187">
        <f t="shared" si="6"/>
        <v>595000000</v>
      </c>
      <c r="J132" s="619">
        <f t="shared" si="7"/>
        <v>1.391357216350201</v>
      </c>
    </row>
    <row r="133" spans="1:10" s="25" customFormat="1" ht="12">
      <c r="A133" s="620">
        <v>79</v>
      </c>
      <c r="B133" s="33" t="s">
        <v>544</v>
      </c>
      <c r="C133" s="187">
        <v>1</v>
      </c>
      <c r="D133" s="187">
        <v>26669</v>
      </c>
      <c r="E133" s="187">
        <v>26838</v>
      </c>
      <c r="F133" s="187">
        <v>170</v>
      </c>
      <c r="G133" s="33" t="s">
        <v>600</v>
      </c>
      <c r="H133" s="187">
        <f t="shared" si="5"/>
        <v>170</v>
      </c>
      <c r="I133" s="187">
        <f t="shared" si="6"/>
        <v>170000000</v>
      </c>
      <c r="J133" s="619">
        <f t="shared" si="7"/>
        <v>0.39753063324291465</v>
      </c>
    </row>
    <row r="134" spans="1:10" s="25" customFormat="1" ht="12">
      <c r="A134" s="620">
        <v>80</v>
      </c>
      <c r="B134" s="33" t="s">
        <v>603</v>
      </c>
      <c r="C134" s="187">
        <v>1</v>
      </c>
      <c r="D134" s="187">
        <v>26839</v>
      </c>
      <c r="E134" s="187">
        <v>27008</v>
      </c>
      <c r="F134" s="187">
        <v>170</v>
      </c>
      <c r="G134" s="33" t="s">
        <v>600</v>
      </c>
      <c r="H134" s="187">
        <f t="shared" si="5"/>
        <v>170</v>
      </c>
      <c r="I134" s="187">
        <f t="shared" si="6"/>
        <v>170000000</v>
      </c>
      <c r="J134" s="619">
        <f t="shared" si="7"/>
        <v>0.39753063324291465</v>
      </c>
    </row>
    <row r="135" spans="1:10" s="25" customFormat="1" ht="12">
      <c r="A135" s="620">
        <v>81</v>
      </c>
      <c r="B135" s="33" t="s">
        <v>544</v>
      </c>
      <c r="C135" s="187">
        <v>1</v>
      </c>
      <c r="D135" s="187">
        <v>27009</v>
      </c>
      <c r="E135" s="187">
        <f>+D135+F135-1</f>
        <v>27018</v>
      </c>
      <c r="F135" s="187">
        <v>10</v>
      </c>
      <c r="G135" s="33" t="s">
        <v>600</v>
      </c>
      <c r="H135" s="187">
        <f t="shared" si="5"/>
        <v>10</v>
      </c>
      <c r="I135" s="187">
        <f t="shared" si="6"/>
        <v>10000000</v>
      </c>
      <c r="J135" s="619">
        <f t="shared" si="7"/>
        <v>2.3384154896642036E-2</v>
      </c>
    </row>
    <row r="136" spans="1:10" s="362" customFormat="1" ht="12">
      <c r="A136" s="620">
        <v>82</v>
      </c>
      <c r="B136" s="33" t="s">
        <v>603</v>
      </c>
      <c r="C136" s="187">
        <v>1</v>
      </c>
      <c r="D136" s="187">
        <v>27019</v>
      </c>
      <c r="E136" s="187">
        <f>+D136+F136-1</f>
        <v>27028</v>
      </c>
      <c r="F136" s="187">
        <v>10</v>
      </c>
      <c r="G136" s="33" t="s">
        <v>600</v>
      </c>
      <c r="H136" s="187">
        <f t="shared" si="5"/>
        <v>10</v>
      </c>
      <c r="I136" s="187">
        <f t="shared" si="6"/>
        <v>10000000</v>
      </c>
      <c r="J136" s="619">
        <f t="shared" si="7"/>
        <v>2.3384154896642036E-2</v>
      </c>
    </row>
    <row r="137" spans="1:10" s="25" customFormat="1" ht="12">
      <c r="A137" s="620">
        <v>83</v>
      </c>
      <c r="B137" s="33" t="s">
        <v>1002</v>
      </c>
      <c r="C137" s="187">
        <v>1</v>
      </c>
      <c r="D137" s="187">
        <v>27029</v>
      </c>
      <c r="E137" s="187">
        <f>+F137+D137-1</f>
        <v>27164</v>
      </c>
      <c r="F137" s="187">
        <v>136</v>
      </c>
      <c r="G137" s="33" t="s">
        <v>600</v>
      </c>
      <c r="H137" s="187">
        <f>F137</f>
        <v>136</v>
      </c>
      <c r="I137" s="187">
        <f>F137*1000000</f>
        <v>136000000</v>
      </c>
      <c r="J137" s="619">
        <f t="shared" si="7"/>
        <v>0.31802450659433168</v>
      </c>
    </row>
    <row r="138" spans="1:10" s="625" customFormat="1" ht="12">
      <c r="A138" s="621">
        <v>84</v>
      </c>
      <c r="B138" s="622" t="s">
        <v>599</v>
      </c>
      <c r="C138" s="623">
        <v>1</v>
      </c>
      <c r="D138" s="624">
        <v>27165</v>
      </c>
      <c r="E138" s="624">
        <v>33950</v>
      </c>
      <c r="F138" s="624">
        <v>6786</v>
      </c>
      <c r="G138" s="622" t="s">
        <v>600</v>
      </c>
      <c r="H138" s="623">
        <f>+F138</f>
        <v>6786</v>
      </c>
      <c r="I138" s="187">
        <f t="shared" ref="I138:I143" si="8">F138*1000000</f>
        <v>6786000000</v>
      </c>
      <c r="J138" s="619">
        <f t="shared" si="7"/>
        <v>15.868487512861284</v>
      </c>
    </row>
    <row r="139" spans="1:10" s="625" customFormat="1" ht="12">
      <c r="A139" s="621">
        <v>85</v>
      </c>
      <c r="B139" s="622" t="s">
        <v>601</v>
      </c>
      <c r="C139" s="623">
        <v>1</v>
      </c>
      <c r="D139" s="624">
        <v>33951</v>
      </c>
      <c r="E139" s="624">
        <v>37343</v>
      </c>
      <c r="F139" s="624">
        <v>3393</v>
      </c>
      <c r="G139" s="622" t="s">
        <v>600</v>
      </c>
      <c r="H139" s="623">
        <f t="shared" ref="H139:H143" si="9">+F139</f>
        <v>3393</v>
      </c>
      <c r="I139" s="187">
        <f t="shared" si="8"/>
        <v>3393000000</v>
      </c>
      <c r="J139" s="619">
        <f t="shared" si="7"/>
        <v>7.9342437564306421</v>
      </c>
    </row>
    <row r="140" spans="1:10" s="625" customFormat="1" ht="12">
      <c r="A140" s="621">
        <v>86</v>
      </c>
      <c r="B140" s="622" t="s">
        <v>602</v>
      </c>
      <c r="C140" s="623">
        <v>1</v>
      </c>
      <c r="D140" s="624">
        <v>37344</v>
      </c>
      <c r="E140" s="624">
        <v>40736</v>
      </c>
      <c r="F140" s="624">
        <v>3393</v>
      </c>
      <c r="G140" s="622" t="s">
        <v>600</v>
      </c>
      <c r="H140" s="623">
        <f t="shared" si="9"/>
        <v>3393</v>
      </c>
      <c r="I140" s="187">
        <f t="shared" si="8"/>
        <v>3393000000</v>
      </c>
      <c r="J140" s="619">
        <f t="shared" si="7"/>
        <v>7.9342437564306421</v>
      </c>
    </row>
    <row r="141" spans="1:10" s="625" customFormat="1" ht="12">
      <c r="A141" s="621">
        <v>87</v>
      </c>
      <c r="B141" s="622" t="s">
        <v>544</v>
      </c>
      <c r="C141" s="623">
        <v>1</v>
      </c>
      <c r="D141" s="624">
        <v>40737</v>
      </c>
      <c r="E141" s="624">
        <v>41711</v>
      </c>
      <c r="F141" s="624">
        <v>975</v>
      </c>
      <c r="G141" s="622" t="s">
        <v>600</v>
      </c>
      <c r="H141" s="623">
        <f t="shared" si="9"/>
        <v>975</v>
      </c>
      <c r="I141" s="187">
        <f t="shared" si="8"/>
        <v>975000000</v>
      </c>
      <c r="J141" s="619">
        <f t="shared" si="7"/>
        <v>2.2799551024225986</v>
      </c>
    </row>
    <row r="142" spans="1:10" s="625" customFormat="1" ht="12">
      <c r="A142" s="621">
        <v>88</v>
      </c>
      <c r="B142" s="622" t="s">
        <v>603</v>
      </c>
      <c r="C142" s="623">
        <v>1</v>
      </c>
      <c r="D142" s="624">
        <v>41712</v>
      </c>
      <c r="E142" s="624">
        <v>42686</v>
      </c>
      <c r="F142" s="624">
        <v>975</v>
      </c>
      <c r="G142" s="622" t="s">
        <v>600</v>
      </c>
      <c r="H142" s="623">
        <f t="shared" si="9"/>
        <v>975</v>
      </c>
      <c r="I142" s="187">
        <f t="shared" si="8"/>
        <v>975000000</v>
      </c>
      <c r="J142" s="619">
        <f t="shared" si="7"/>
        <v>2.2799551024225986</v>
      </c>
    </row>
    <row r="143" spans="1:10" s="625" customFormat="1" ht="12.6" thickBot="1">
      <c r="A143" s="621">
        <v>89</v>
      </c>
      <c r="B143" s="622" t="s">
        <v>1002</v>
      </c>
      <c r="C143" s="623">
        <v>1</v>
      </c>
      <c r="D143" s="624">
        <v>42687</v>
      </c>
      <c r="E143" s="624">
        <v>42764</v>
      </c>
      <c r="F143" s="624">
        <v>78</v>
      </c>
      <c r="G143" s="622" t="s">
        <v>600</v>
      </c>
      <c r="H143" s="623">
        <f t="shared" si="9"/>
        <v>78</v>
      </c>
      <c r="I143" s="187">
        <f t="shared" si="8"/>
        <v>78000000</v>
      </c>
      <c r="J143" s="619">
        <f t="shared" si="7"/>
        <v>0.18239640819380787</v>
      </c>
    </row>
    <row r="144" spans="1:10" s="25" customFormat="1" ht="12.6" thickBot="1">
      <c r="A144" s="626"/>
      <c r="B144" s="627" t="s">
        <v>476</v>
      </c>
      <c r="C144" s="628"/>
      <c r="D144" s="628"/>
      <c r="E144" s="628"/>
      <c r="F144" s="628">
        <f>SUM(F55:F143)</f>
        <v>42764</v>
      </c>
      <c r="G144" s="627"/>
      <c r="H144" s="629">
        <f>SUM(H55:H143)</f>
        <v>42764</v>
      </c>
      <c r="I144" s="629">
        <f>SUM(I55:I143)</f>
        <v>42764000000</v>
      </c>
      <c r="J144" s="630">
        <f>SUM(J55:J143)</f>
        <v>100.00000000000001</v>
      </c>
    </row>
    <row r="145" spans="1:9" s="25" customFormat="1" ht="12.6" thickBot="1">
      <c r="A145" s="340"/>
      <c r="B145" s="339"/>
      <c r="C145" s="339"/>
      <c r="D145" s="339"/>
      <c r="E145" s="339"/>
      <c r="F145" s="631"/>
      <c r="G145" s="631"/>
      <c r="H145" s="632"/>
      <c r="I145" s="363"/>
    </row>
    <row r="146" spans="1:9" s="25" customFormat="1" ht="12.6" thickBot="1">
      <c r="A146" s="699" t="s">
        <v>615</v>
      </c>
      <c r="B146" s="700"/>
      <c r="C146" s="700"/>
      <c r="D146" s="700"/>
      <c r="E146" s="700"/>
      <c r="F146" s="700"/>
      <c r="G146" s="700"/>
      <c r="H146" s="701"/>
      <c r="I146" s="363"/>
    </row>
    <row r="147" spans="1:9" s="25" customFormat="1" ht="48.6" thickBot="1">
      <c r="A147" s="613" t="s">
        <v>590</v>
      </c>
      <c r="B147" s="614" t="s">
        <v>591</v>
      </c>
      <c r="C147" s="614" t="s">
        <v>592</v>
      </c>
      <c r="D147" s="614" t="s">
        <v>595</v>
      </c>
      <c r="E147" s="614" t="s">
        <v>596</v>
      </c>
      <c r="F147" s="614" t="s">
        <v>604</v>
      </c>
      <c r="G147" s="614" t="s">
        <v>598</v>
      </c>
      <c r="H147" s="615" t="s">
        <v>1001</v>
      </c>
      <c r="I147" s="363"/>
    </row>
    <row r="148" spans="1:9" s="25" customFormat="1" ht="12">
      <c r="A148" s="616">
        <v>1</v>
      </c>
      <c r="B148" s="617" t="s">
        <v>599</v>
      </c>
      <c r="C148" s="617">
        <v>1</v>
      </c>
      <c r="D148" s="633">
        <v>18602</v>
      </c>
      <c r="E148" s="617" t="s">
        <v>600</v>
      </c>
      <c r="F148" s="633">
        <f t="shared" ref="F148:F153" si="10">D148</f>
        <v>18602</v>
      </c>
      <c r="G148" s="633">
        <f>D148*1000000</f>
        <v>18602000000</v>
      </c>
      <c r="H148" s="634">
        <f>G148*100/$G$154</f>
        <v>43.499204938733513</v>
      </c>
      <c r="I148" s="363"/>
    </row>
    <row r="149" spans="1:9" s="25" customFormat="1" ht="12">
      <c r="A149" s="620">
        <v>2</v>
      </c>
      <c r="B149" s="33" t="s">
        <v>601</v>
      </c>
      <c r="C149" s="33">
        <v>1</v>
      </c>
      <c r="D149" s="635">
        <v>9301</v>
      </c>
      <c r="E149" s="33" t="s">
        <v>600</v>
      </c>
      <c r="F149" s="635">
        <f t="shared" si="10"/>
        <v>9301</v>
      </c>
      <c r="G149" s="635">
        <f t="shared" ref="G149:G153" si="11">D149*1000000</f>
        <v>9301000000</v>
      </c>
      <c r="H149" s="634">
        <f t="shared" ref="H149:H153" si="12">G149*100/$G$154</f>
        <v>21.749602469366756</v>
      </c>
      <c r="I149" s="363"/>
    </row>
    <row r="150" spans="1:9" s="25" customFormat="1" ht="12">
      <c r="A150" s="620">
        <v>3</v>
      </c>
      <c r="B150" s="33" t="s">
        <v>602</v>
      </c>
      <c r="C150" s="33">
        <v>1</v>
      </c>
      <c r="D150" s="635">
        <v>9301</v>
      </c>
      <c r="E150" s="33" t="s">
        <v>600</v>
      </c>
      <c r="F150" s="635">
        <f t="shared" si="10"/>
        <v>9301</v>
      </c>
      <c r="G150" s="635">
        <f t="shared" si="11"/>
        <v>9301000000</v>
      </c>
      <c r="H150" s="634">
        <f t="shared" si="12"/>
        <v>21.749602469366756</v>
      </c>
      <c r="I150" s="363"/>
    </row>
    <row r="151" spans="1:9" s="25" customFormat="1" ht="12">
      <c r="A151" s="620">
        <v>4</v>
      </c>
      <c r="B151" s="33" t="s">
        <v>544</v>
      </c>
      <c r="C151" s="33">
        <v>1</v>
      </c>
      <c r="D151" s="635">
        <v>2673</v>
      </c>
      <c r="E151" s="33" t="s">
        <v>600</v>
      </c>
      <c r="F151" s="635">
        <f t="shared" si="10"/>
        <v>2673</v>
      </c>
      <c r="G151" s="635">
        <f t="shared" si="11"/>
        <v>2673000000</v>
      </c>
      <c r="H151" s="634">
        <f t="shared" si="12"/>
        <v>6.250584603872416</v>
      </c>
      <c r="I151" s="363"/>
    </row>
    <row r="152" spans="1:9" s="25" customFormat="1" ht="12">
      <c r="A152" s="620">
        <v>5</v>
      </c>
      <c r="B152" s="33" t="s">
        <v>603</v>
      </c>
      <c r="C152" s="33">
        <v>1</v>
      </c>
      <c r="D152" s="635">
        <v>2673</v>
      </c>
      <c r="E152" s="33" t="s">
        <v>600</v>
      </c>
      <c r="F152" s="635">
        <f t="shared" si="10"/>
        <v>2673</v>
      </c>
      <c r="G152" s="635">
        <f t="shared" si="11"/>
        <v>2673000000</v>
      </c>
      <c r="H152" s="634">
        <f t="shared" si="12"/>
        <v>6.250584603872416</v>
      </c>
      <c r="I152" s="363"/>
    </row>
    <row r="153" spans="1:9" s="25" customFormat="1" ht="12.6" thickBot="1">
      <c r="A153" s="620">
        <v>6</v>
      </c>
      <c r="B153" s="33" t="s">
        <v>1002</v>
      </c>
      <c r="C153" s="33">
        <v>1</v>
      </c>
      <c r="D153" s="635">
        <v>214</v>
      </c>
      <c r="E153" s="33" t="s">
        <v>600</v>
      </c>
      <c r="F153" s="635">
        <f t="shared" si="10"/>
        <v>214</v>
      </c>
      <c r="G153" s="635">
        <f t="shared" si="11"/>
        <v>214000000</v>
      </c>
      <c r="H153" s="634">
        <f t="shared" si="12"/>
        <v>0.50042091478813955</v>
      </c>
      <c r="I153" s="363"/>
    </row>
    <row r="154" spans="1:9" s="25" customFormat="1" ht="12.6" thickBot="1">
      <c r="A154" s="626"/>
      <c r="B154" s="627" t="s">
        <v>476</v>
      </c>
      <c r="C154" s="627"/>
      <c r="D154" s="628">
        <f>SUM(D148:D153)</f>
        <v>42764</v>
      </c>
      <c r="E154" s="627"/>
      <c r="F154" s="627"/>
      <c r="G154" s="636">
        <f>SUM(G148:G153)</f>
        <v>42764000000</v>
      </c>
      <c r="H154" s="637">
        <f>SUM(H148:H153)</f>
        <v>99.999999999999986</v>
      </c>
      <c r="I154" s="363"/>
    </row>
    <row r="155" spans="1:9" s="25" customFormat="1" ht="12">
      <c r="A155" s="108"/>
      <c r="B155" s="108"/>
      <c r="C155" s="108"/>
      <c r="D155" s="108"/>
      <c r="E155" s="108"/>
      <c r="I155" s="363"/>
    </row>
    <row r="156" spans="1:9" s="25" customFormat="1" ht="12">
      <c r="A156" s="108"/>
      <c r="B156" s="108"/>
      <c r="C156" s="108"/>
      <c r="D156" s="108"/>
      <c r="E156" s="108"/>
      <c r="I156" s="363"/>
    </row>
    <row r="157" spans="1:9" s="25" customFormat="1" ht="12">
      <c r="A157" s="108"/>
      <c r="B157" s="108"/>
      <c r="C157" s="108"/>
      <c r="D157" s="108"/>
      <c r="E157" s="108"/>
      <c r="I157" s="363"/>
    </row>
    <row r="158" spans="1:9" s="25" customFormat="1" ht="12">
      <c r="A158" s="108"/>
      <c r="B158" s="108"/>
      <c r="C158" s="108"/>
      <c r="D158" s="108"/>
      <c r="E158" s="108"/>
      <c r="I158" s="363"/>
    </row>
    <row r="159" spans="1:9" s="25" customFormat="1" ht="12">
      <c r="A159" s="108"/>
      <c r="B159" s="108"/>
      <c r="C159" s="108"/>
      <c r="D159" s="108"/>
      <c r="E159" s="108"/>
      <c r="I159" s="363"/>
    </row>
    <row r="160" spans="1:9" s="25" customFormat="1" ht="12">
      <c r="A160" s="108"/>
      <c r="B160" s="108"/>
      <c r="C160" s="108"/>
      <c r="D160" s="108"/>
      <c r="E160" s="108"/>
      <c r="I160" s="363"/>
    </row>
    <row r="161" spans="1:9" s="25" customFormat="1" ht="12">
      <c r="A161" s="108"/>
      <c r="B161" s="108"/>
      <c r="C161" s="108"/>
      <c r="D161" s="108"/>
      <c r="E161" s="108"/>
      <c r="I161" s="363"/>
    </row>
    <row r="162" spans="1:9" s="25" customFormat="1" ht="12">
      <c r="A162" s="108"/>
      <c r="B162" s="108"/>
      <c r="C162" s="108"/>
      <c r="D162" s="108"/>
      <c r="E162" s="108"/>
      <c r="I162" s="363"/>
    </row>
    <row r="163" spans="1:9" s="25" customFormat="1" ht="12">
      <c r="A163" s="108"/>
      <c r="B163" s="108"/>
      <c r="C163" s="108"/>
      <c r="D163" s="108"/>
      <c r="E163" s="108"/>
      <c r="I163" s="363"/>
    </row>
    <row r="164" spans="1:9" s="25" customFormat="1" ht="12">
      <c r="A164" s="108"/>
      <c r="B164" s="108"/>
      <c r="C164" s="108"/>
      <c r="D164" s="108"/>
      <c r="E164" s="108"/>
      <c r="I164" s="363"/>
    </row>
    <row r="165" spans="1:9" s="25" customFormat="1" ht="12">
      <c r="A165" s="108"/>
      <c r="B165" s="108"/>
      <c r="C165" s="108"/>
      <c r="D165" s="108"/>
      <c r="E165" s="108"/>
      <c r="I165" s="363"/>
    </row>
    <row r="166" spans="1:9" s="25" customFormat="1" ht="12">
      <c r="A166" s="108"/>
      <c r="B166" s="108"/>
      <c r="C166" s="108"/>
      <c r="D166" s="108"/>
      <c r="E166" s="108"/>
      <c r="I166" s="363"/>
    </row>
    <row r="167" spans="1:9" s="25" customFormat="1" ht="12">
      <c r="A167" s="108"/>
      <c r="B167" s="108"/>
      <c r="C167" s="108"/>
      <c r="D167" s="108"/>
      <c r="E167" s="108"/>
      <c r="I167" s="363"/>
    </row>
    <row r="168" spans="1:9" s="25" customFormat="1" ht="12">
      <c r="A168" s="108"/>
      <c r="B168" s="108"/>
      <c r="C168" s="108"/>
      <c r="D168" s="108"/>
      <c r="E168" s="108"/>
      <c r="I168" s="363"/>
    </row>
    <row r="169" spans="1:9" s="25" customFormat="1" ht="12">
      <c r="A169" s="108"/>
      <c r="B169" s="108"/>
      <c r="C169" s="108"/>
      <c r="D169" s="108"/>
      <c r="E169" s="108"/>
      <c r="I169" s="363"/>
    </row>
    <row r="170" spans="1:9" s="25" customFormat="1" ht="12">
      <c r="A170" s="108"/>
      <c r="B170" s="108"/>
      <c r="C170" s="108"/>
      <c r="D170" s="108"/>
      <c r="E170" s="108"/>
      <c r="I170" s="363"/>
    </row>
    <row r="171" spans="1:9" s="25" customFormat="1" ht="12">
      <c r="A171" s="108"/>
      <c r="B171" s="108"/>
      <c r="C171" s="108"/>
      <c r="D171" s="108"/>
      <c r="E171" s="108"/>
      <c r="I171" s="363"/>
    </row>
    <row r="172" spans="1:9" s="25" customFormat="1" ht="12">
      <c r="A172" s="108"/>
      <c r="B172" s="108"/>
      <c r="C172" s="108"/>
      <c r="D172" s="108"/>
      <c r="E172" s="108"/>
      <c r="I172" s="363"/>
    </row>
    <row r="173" spans="1:9" s="25" customFormat="1" ht="12">
      <c r="A173" s="108"/>
      <c r="B173" s="108"/>
      <c r="C173" s="108"/>
      <c r="D173" s="108"/>
      <c r="E173" s="108"/>
      <c r="I173" s="363"/>
    </row>
    <row r="174" spans="1:9" s="25" customFormat="1" ht="12">
      <c r="A174" s="108"/>
      <c r="B174" s="108"/>
      <c r="C174" s="108"/>
      <c r="D174" s="108"/>
      <c r="E174" s="108"/>
      <c r="I174" s="363"/>
    </row>
    <row r="175" spans="1:9" s="25" customFormat="1" ht="12">
      <c r="A175" s="108"/>
      <c r="B175" s="108"/>
      <c r="C175" s="108"/>
      <c r="D175" s="108"/>
      <c r="E175" s="108"/>
      <c r="I175" s="363"/>
    </row>
    <row r="176" spans="1:9" s="25" customFormat="1" ht="12">
      <c r="A176" s="108"/>
      <c r="B176" s="108"/>
      <c r="C176" s="108"/>
      <c r="D176" s="108"/>
      <c r="E176" s="108"/>
      <c r="I176" s="363"/>
    </row>
    <row r="177" spans="1:9" s="25" customFormat="1" ht="12">
      <c r="A177" s="108"/>
      <c r="B177" s="108"/>
      <c r="C177" s="108"/>
      <c r="D177" s="108"/>
      <c r="E177" s="108"/>
      <c r="I177" s="363"/>
    </row>
    <row r="178" spans="1:9" s="25" customFormat="1" ht="12">
      <c r="A178" s="108"/>
      <c r="B178" s="108"/>
      <c r="C178" s="108"/>
      <c r="D178" s="108"/>
      <c r="E178" s="108"/>
      <c r="I178" s="363"/>
    </row>
    <row r="179" spans="1:9" s="25" customFormat="1" ht="12">
      <c r="A179" s="108"/>
      <c r="B179" s="108"/>
      <c r="C179" s="108"/>
      <c r="D179" s="108"/>
      <c r="E179" s="108"/>
      <c r="I179" s="363"/>
    </row>
    <row r="180" spans="1:9" s="25" customFormat="1" ht="12">
      <c r="A180" s="108"/>
      <c r="B180" s="108"/>
      <c r="C180" s="108"/>
      <c r="D180" s="108"/>
      <c r="E180" s="108"/>
      <c r="I180" s="363"/>
    </row>
    <row r="181" spans="1:9" s="25" customFormat="1" ht="12">
      <c r="A181" s="108"/>
      <c r="B181" s="108"/>
      <c r="C181" s="108"/>
      <c r="D181" s="108"/>
      <c r="E181" s="108"/>
      <c r="I181" s="363"/>
    </row>
    <row r="182" spans="1:9" s="25" customFormat="1" ht="12">
      <c r="A182" s="108"/>
      <c r="B182" s="108"/>
      <c r="C182" s="108"/>
      <c r="D182" s="108"/>
      <c r="E182" s="108"/>
      <c r="I182" s="363"/>
    </row>
    <row r="183" spans="1:9" s="25" customFormat="1" ht="12">
      <c r="A183" s="108"/>
      <c r="B183" s="108"/>
      <c r="C183" s="108"/>
      <c r="D183" s="108"/>
      <c r="E183" s="108"/>
      <c r="I183" s="363"/>
    </row>
    <row r="184" spans="1:9" s="25" customFormat="1" ht="12">
      <c r="A184" s="108"/>
      <c r="B184" s="108"/>
      <c r="C184" s="108"/>
      <c r="D184" s="108"/>
      <c r="E184" s="108"/>
      <c r="I184" s="363"/>
    </row>
    <row r="185" spans="1:9" s="25" customFormat="1" ht="12">
      <c r="A185" s="108"/>
      <c r="B185" s="108"/>
      <c r="C185" s="108"/>
      <c r="D185" s="108"/>
      <c r="E185" s="108"/>
      <c r="I185" s="363"/>
    </row>
    <row r="186" spans="1:9" s="25" customFormat="1" ht="12">
      <c r="A186" s="108"/>
      <c r="B186" s="108"/>
      <c r="C186" s="108"/>
      <c r="D186" s="108"/>
      <c r="E186" s="108"/>
      <c r="I186" s="363"/>
    </row>
    <row r="187" spans="1:9" s="25" customFormat="1" ht="12">
      <c r="A187" s="108"/>
      <c r="B187" s="108"/>
      <c r="C187" s="108"/>
      <c r="D187" s="108"/>
      <c r="E187" s="108"/>
      <c r="I187" s="363"/>
    </row>
    <row r="188" spans="1:9" s="25" customFormat="1" ht="12">
      <c r="A188" s="108"/>
      <c r="B188" s="108"/>
      <c r="C188" s="108"/>
      <c r="D188" s="108"/>
      <c r="E188" s="108"/>
      <c r="I188" s="363"/>
    </row>
    <row r="189" spans="1:9" s="25" customFormat="1" ht="12">
      <c r="A189" s="108"/>
      <c r="B189" s="108"/>
      <c r="C189" s="108"/>
      <c r="D189" s="108"/>
      <c r="E189" s="108"/>
      <c r="I189" s="363"/>
    </row>
    <row r="190" spans="1:9" s="25" customFormat="1" ht="12">
      <c r="A190" s="108"/>
      <c r="B190" s="108"/>
      <c r="C190" s="108"/>
      <c r="D190" s="108"/>
      <c r="E190" s="108"/>
      <c r="I190" s="363"/>
    </row>
    <row r="191" spans="1:9" s="25" customFormat="1" ht="12">
      <c r="A191" s="108"/>
      <c r="B191" s="108"/>
      <c r="C191" s="108"/>
      <c r="D191" s="108"/>
      <c r="E191" s="108"/>
      <c r="I191" s="363"/>
    </row>
    <row r="192" spans="1:9" s="25" customFormat="1" ht="12">
      <c r="A192" s="108"/>
      <c r="B192" s="108"/>
      <c r="C192" s="108"/>
      <c r="D192" s="108"/>
      <c r="E192" s="108"/>
      <c r="I192" s="363"/>
    </row>
    <row r="193" spans="1:9" s="25" customFormat="1" ht="12">
      <c r="A193" s="108"/>
      <c r="B193" s="108"/>
      <c r="C193" s="108"/>
      <c r="D193" s="108"/>
      <c r="E193" s="108"/>
      <c r="I193" s="363"/>
    </row>
    <row r="194" spans="1:9" s="25" customFormat="1" ht="12">
      <c r="A194" s="108"/>
      <c r="B194" s="108"/>
      <c r="C194" s="108"/>
      <c r="D194" s="108"/>
      <c r="E194" s="108"/>
      <c r="I194" s="363"/>
    </row>
    <row r="195" spans="1:9" s="25" customFormat="1" ht="12">
      <c r="A195" s="108"/>
      <c r="B195" s="108"/>
      <c r="C195" s="108"/>
      <c r="D195" s="108"/>
      <c r="E195" s="108"/>
      <c r="I195" s="363"/>
    </row>
    <row r="196" spans="1:9" s="25" customFormat="1" ht="12">
      <c r="A196" s="108"/>
      <c r="B196" s="108"/>
      <c r="C196" s="108"/>
      <c r="D196" s="108"/>
      <c r="E196" s="108"/>
      <c r="I196" s="363"/>
    </row>
    <row r="197" spans="1:9" s="25" customFormat="1" ht="12">
      <c r="A197" s="108"/>
      <c r="B197" s="108"/>
      <c r="C197" s="108"/>
      <c r="D197" s="108"/>
      <c r="E197" s="108"/>
      <c r="I197" s="363"/>
    </row>
    <row r="198" spans="1:9" s="25" customFormat="1" ht="12">
      <c r="A198" s="108"/>
      <c r="B198" s="108"/>
      <c r="C198" s="108"/>
      <c r="D198" s="108"/>
      <c r="E198" s="108"/>
      <c r="I198" s="363"/>
    </row>
    <row r="199" spans="1:9" s="25" customFormat="1" ht="12">
      <c r="A199" s="108"/>
      <c r="B199" s="108"/>
      <c r="C199" s="108"/>
      <c r="D199" s="108"/>
      <c r="E199" s="108"/>
      <c r="I199" s="363"/>
    </row>
    <row r="200" spans="1:9" s="25" customFormat="1" ht="12">
      <c r="A200" s="108"/>
      <c r="B200" s="108"/>
      <c r="C200" s="108"/>
      <c r="D200" s="108"/>
      <c r="E200" s="108"/>
      <c r="I200" s="363"/>
    </row>
    <row r="201" spans="1:9" s="25" customFormat="1" ht="12">
      <c r="A201" s="108"/>
      <c r="B201" s="108"/>
      <c r="C201" s="108"/>
      <c r="D201" s="108"/>
      <c r="E201" s="108"/>
      <c r="I201" s="363"/>
    </row>
    <row r="202" spans="1:9" s="25" customFormat="1" ht="12">
      <c r="A202" s="108"/>
      <c r="B202" s="108"/>
      <c r="C202" s="108"/>
      <c r="D202" s="108"/>
      <c r="E202" s="108"/>
      <c r="I202" s="363"/>
    </row>
    <row r="203" spans="1:9" s="25" customFormat="1" ht="12">
      <c r="A203" s="108"/>
      <c r="B203" s="108"/>
      <c r="C203" s="108"/>
      <c r="D203" s="108"/>
      <c r="E203" s="108"/>
      <c r="I203" s="363"/>
    </row>
    <row r="204" spans="1:9" s="25" customFormat="1" ht="12">
      <c r="A204" s="108"/>
      <c r="B204" s="108"/>
      <c r="C204" s="108"/>
      <c r="D204" s="108"/>
      <c r="E204" s="108"/>
      <c r="I204" s="363"/>
    </row>
    <row r="205" spans="1:9" s="25" customFormat="1" ht="12">
      <c r="A205" s="108"/>
      <c r="B205" s="108"/>
      <c r="C205" s="108"/>
      <c r="D205" s="108"/>
      <c r="E205" s="108"/>
      <c r="I205" s="363"/>
    </row>
    <row r="206" spans="1:9" s="25" customFormat="1" ht="12">
      <c r="A206" s="108"/>
      <c r="B206" s="108"/>
      <c r="C206" s="108"/>
      <c r="D206" s="108"/>
      <c r="E206" s="108"/>
      <c r="I206" s="363"/>
    </row>
    <row r="207" spans="1:9" s="25" customFormat="1" ht="12">
      <c r="A207" s="108"/>
      <c r="B207" s="108"/>
      <c r="C207" s="108"/>
      <c r="D207" s="108"/>
      <c r="E207" s="108"/>
      <c r="I207" s="363"/>
    </row>
    <row r="208" spans="1:9" s="25" customFormat="1" ht="12">
      <c r="A208" s="108"/>
      <c r="B208" s="108"/>
      <c r="C208" s="108"/>
      <c r="D208" s="108"/>
      <c r="E208" s="108"/>
      <c r="I208" s="363"/>
    </row>
    <row r="209" spans="1:9" s="25" customFormat="1" ht="12">
      <c r="A209" s="108"/>
      <c r="B209" s="108"/>
      <c r="C209" s="108"/>
      <c r="D209" s="108"/>
      <c r="E209" s="108"/>
      <c r="I209" s="363"/>
    </row>
    <row r="210" spans="1:9" s="25" customFormat="1" ht="12">
      <c r="A210" s="108"/>
      <c r="B210" s="108"/>
      <c r="C210" s="108"/>
      <c r="D210" s="108"/>
      <c r="E210" s="108"/>
      <c r="I210" s="363"/>
    </row>
    <row r="211" spans="1:9" s="25" customFormat="1" ht="12">
      <c r="A211" s="108"/>
      <c r="B211" s="108"/>
      <c r="C211" s="108"/>
      <c r="D211" s="108"/>
      <c r="E211" s="108"/>
      <c r="I211" s="363"/>
    </row>
    <row r="212" spans="1:9" s="25" customFormat="1" ht="12">
      <c r="A212" s="108"/>
      <c r="B212" s="108"/>
      <c r="C212" s="108"/>
      <c r="D212" s="108"/>
      <c r="E212" s="108"/>
      <c r="I212" s="363"/>
    </row>
    <row r="213" spans="1:9" s="25" customFormat="1" ht="12">
      <c r="A213" s="108"/>
      <c r="B213" s="108"/>
      <c r="C213" s="108"/>
      <c r="D213" s="108"/>
      <c r="E213" s="108"/>
      <c r="I213" s="363"/>
    </row>
    <row r="214" spans="1:9" s="25" customFormat="1" ht="12">
      <c r="A214" s="108"/>
      <c r="B214" s="108"/>
      <c r="C214" s="108"/>
      <c r="D214" s="108"/>
      <c r="E214" s="108"/>
      <c r="I214" s="363"/>
    </row>
    <row r="215" spans="1:9" s="25" customFormat="1" ht="12">
      <c r="A215" s="108"/>
      <c r="B215" s="108"/>
      <c r="C215" s="108"/>
      <c r="D215" s="108"/>
      <c r="E215" s="108"/>
      <c r="I215" s="363"/>
    </row>
    <row r="216" spans="1:9" s="25" customFormat="1" ht="12">
      <c r="A216" s="108"/>
      <c r="B216" s="108"/>
      <c r="C216" s="108"/>
      <c r="D216" s="108"/>
      <c r="E216" s="108"/>
      <c r="I216" s="363"/>
    </row>
    <row r="217" spans="1:9" s="25" customFormat="1" ht="12">
      <c r="A217" s="108"/>
      <c r="B217" s="108"/>
      <c r="C217" s="108"/>
      <c r="D217" s="108"/>
      <c r="E217" s="108"/>
      <c r="I217" s="363"/>
    </row>
    <row r="218" spans="1:9" s="25" customFormat="1" ht="12">
      <c r="A218" s="108"/>
      <c r="B218" s="108"/>
      <c r="C218" s="108"/>
      <c r="D218" s="108"/>
      <c r="E218" s="108"/>
      <c r="I218" s="363"/>
    </row>
    <row r="219" spans="1:9" s="25" customFormat="1" ht="12">
      <c r="A219" s="108"/>
      <c r="B219" s="108"/>
      <c r="C219" s="108"/>
      <c r="D219" s="108"/>
      <c r="E219" s="108"/>
      <c r="I219" s="363"/>
    </row>
    <row r="220" spans="1:9" s="25" customFormat="1" ht="12">
      <c r="A220" s="108"/>
      <c r="B220" s="108"/>
      <c r="C220" s="108"/>
      <c r="D220" s="108"/>
      <c r="E220" s="108"/>
      <c r="I220" s="363"/>
    </row>
    <row r="221" spans="1:9" s="25" customFormat="1" ht="12">
      <c r="A221" s="108"/>
      <c r="B221" s="108"/>
      <c r="C221" s="108"/>
      <c r="D221" s="108"/>
      <c r="E221" s="108"/>
      <c r="I221" s="363"/>
    </row>
    <row r="222" spans="1:9" s="25" customFormat="1" ht="12">
      <c r="A222" s="108"/>
      <c r="B222" s="108"/>
      <c r="C222" s="108"/>
      <c r="D222" s="108"/>
      <c r="E222" s="108"/>
      <c r="I222" s="363"/>
    </row>
    <row r="223" spans="1:9" s="25" customFormat="1" ht="12">
      <c r="A223" s="108"/>
      <c r="B223" s="108"/>
      <c r="C223" s="108"/>
      <c r="D223" s="108"/>
      <c r="E223" s="108"/>
      <c r="I223" s="363"/>
    </row>
    <row r="224" spans="1:9" s="25" customFormat="1" ht="12">
      <c r="A224" s="108"/>
      <c r="B224" s="108"/>
      <c r="C224" s="108"/>
      <c r="D224" s="108"/>
      <c r="E224" s="108"/>
      <c r="I224" s="363"/>
    </row>
    <row r="225" spans="1:9" s="25" customFormat="1" ht="12">
      <c r="A225" s="108"/>
      <c r="B225" s="108"/>
      <c r="C225" s="108"/>
      <c r="D225" s="108"/>
      <c r="E225" s="108"/>
      <c r="I225" s="363"/>
    </row>
    <row r="226" spans="1:9" s="25" customFormat="1" ht="12">
      <c r="A226" s="108"/>
      <c r="B226" s="108"/>
      <c r="C226" s="108"/>
      <c r="D226" s="108"/>
      <c r="E226" s="108"/>
      <c r="I226" s="363"/>
    </row>
    <row r="227" spans="1:9" s="25" customFormat="1" ht="12">
      <c r="A227" s="108"/>
      <c r="B227" s="108"/>
      <c r="C227" s="108"/>
      <c r="D227" s="108"/>
      <c r="E227" s="108"/>
      <c r="I227" s="363"/>
    </row>
    <row r="228" spans="1:9" s="25" customFormat="1" ht="12">
      <c r="A228" s="108"/>
      <c r="B228" s="108"/>
      <c r="C228" s="108"/>
      <c r="D228" s="108"/>
      <c r="E228" s="108"/>
      <c r="I228" s="363"/>
    </row>
    <row r="229" spans="1:9" s="25" customFormat="1" ht="12">
      <c r="A229" s="108"/>
      <c r="B229" s="108"/>
      <c r="C229" s="108"/>
      <c r="D229" s="108"/>
      <c r="E229" s="108"/>
      <c r="I229" s="363"/>
    </row>
    <row r="230" spans="1:9" s="25" customFormat="1" ht="12">
      <c r="A230" s="108"/>
      <c r="B230" s="108"/>
      <c r="C230" s="108"/>
      <c r="D230" s="108"/>
      <c r="E230" s="108"/>
      <c r="I230" s="363"/>
    </row>
    <row r="231" spans="1:9" s="25" customFormat="1" ht="12">
      <c r="A231" s="108"/>
      <c r="B231" s="108"/>
      <c r="C231" s="108"/>
      <c r="D231" s="108"/>
      <c r="E231" s="108"/>
      <c r="I231" s="363"/>
    </row>
    <row r="232" spans="1:9" s="25" customFormat="1" ht="12">
      <c r="A232" s="108"/>
      <c r="B232" s="108"/>
      <c r="C232" s="108"/>
      <c r="D232" s="108"/>
      <c r="E232" s="108"/>
      <c r="I232" s="363"/>
    </row>
    <row r="233" spans="1:9" s="25" customFormat="1" ht="12">
      <c r="A233" s="108"/>
      <c r="B233" s="108"/>
      <c r="C233" s="108"/>
      <c r="D233" s="108"/>
      <c r="E233" s="108"/>
      <c r="I233" s="363"/>
    </row>
    <row r="234" spans="1:9" s="25" customFormat="1" ht="12">
      <c r="A234" s="108"/>
      <c r="B234" s="108"/>
      <c r="C234" s="108"/>
      <c r="D234" s="108"/>
      <c r="E234" s="108"/>
      <c r="I234" s="363"/>
    </row>
    <row r="235" spans="1:9" s="25" customFormat="1" ht="12">
      <c r="A235" s="108"/>
      <c r="B235" s="108"/>
      <c r="C235" s="108"/>
      <c r="D235" s="108"/>
      <c r="E235" s="108"/>
      <c r="I235" s="363"/>
    </row>
    <row r="236" spans="1:9" s="25" customFormat="1" ht="12">
      <c r="A236" s="108"/>
      <c r="B236" s="108"/>
      <c r="C236" s="108"/>
      <c r="D236" s="108"/>
      <c r="E236" s="108"/>
      <c r="I236" s="363"/>
    </row>
    <row r="237" spans="1:9" s="25" customFormat="1" ht="12">
      <c r="A237" s="108"/>
      <c r="B237" s="108"/>
      <c r="C237" s="108"/>
      <c r="D237" s="108"/>
      <c r="E237" s="108"/>
      <c r="I237" s="363"/>
    </row>
    <row r="238" spans="1:9" s="25" customFormat="1" ht="12">
      <c r="A238" s="108"/>
      <c r="B238" s="108"/>
      <c r="C238" s="108"/>
      <c r="D238" s="108"/>
      <c r="E238" s="108"/>
      <c r="I238" s="363"/>
    </row>
    <row r="239" spans="1:9" s="25" customFormat="1" ht="12">
      <c r="A239" s="108"/>
      <c r="B239" s="108"/>
      <c r="C239" s="108"/>
      <c r="D239" s="108"/>
      <c r="E239" s="108"/>
      <c r="I239" s="363"/>
    </row>
    <row r="240" spans="1:9" s="25" customFormat="1" ht="12">
      <c r="A240" s="108"/>
      <c r="B240" s="108"/>
      <c r="C240" s="108"/>
      <c r="D240" s="108"/>
      <c r="E240" s="108"/>
      <c r="I240" s="363"/>
    </row>
    <row r="241" spans="1:9" s="25" customFormat="1" ht="12">
      <c r="A241" s="108"/>
      <c r="B241" s="108"/>
      <c r="C241" s="108"/>
      <c r="D241" s="108"/>
      <c r="E241" s="108"/>
      <c r="I241" s="363"/>
    </row>
    <row r="242" spans="1:9" s="25" customFormat="1" ht="12">
      <c r="A242" s="108"/>
      <c r="B242" s="108"/>
      <c r="C242" s="108"/>
      <c r="D242" s="108"/>
      <c r="E242" s="108"/>
      <c r="I242" s="363"/>
    </row>
    <row r="243" spans="1:9" s="25" customFormat="1" ht="12">
      <c r="A243" s="108"/>
      <c r="B243" s="108"/>
      <c r="C243" s="108"/>
      <c r="D243" s="108"/>
      <c r="E243" s="108"/>
      <c r="I243" s="363"/>
    </row>
    <row r="244" spans="1:9" s="25" customFormat="1" ht="12">
      <c r="A244" s="108"/>
      <c r="B244" s="108"/>
      <c r="C244" s="108"/>
      <c r="D244" s="108"/>
      <c r="E244" s="108"/>
      <c r="I244" s="363"/>
    </row>
    <row r="245" spans="1:9" s="25" customFormat="1" ht="12">
      <c r="A245" s="108"/>
      <c r="B245" s="108"/>
      <c r="C245" s="108"/>
      <c r="D245" s="108"/>
      <c r="E245" s="108"/>
      <c r="I245" s="363"/>
    </row>
    <row r="246" spans="1:9" s="25" customFormat="1" ht="12">
      <c r="A246" s="108"/>
      <c r="B246" s="108"/>
      <c r="C246" s="108"/>
      <c r="D246" s="108"/>
      <c r="E246" s="108"/>
      <c r="I246" s="363"/>
    </row>
    <row r="247" spans="1:9" s="25" customFormat="1" ht="12">
      <c r="A247" s="108"/>
      <c r="B247" s="108"/>
      <c r="C247" s="108"/>
      <c r="D247" s="108"/>
      <c r="E247" s="108"/>
      <c r="I247" s="363"/>
    </row>
    <row r="248" spans="1:9" s="25" customFormat="1" ht="12">
      <c r="A248" s="108"/>
      <c r="B248" s="108"/>
      <c r="C248" s="108"/>
      <c r="D248" s="108"/>
      <c r="E248" s="108"/>
      <c r="I248" s="363"/>
    </row>
    <row r="249" spans="1:9" s="25" customFormat="1" ht="12">
      <c r="A249" s="108"/>
      <c r="B249" s="108"/>
      <c r="C249" s="108"/>
      <c r="D249" s="108"/>
      <c r="E249" s="108"/>
      <c r="I249" s="363"/>
    </row>
    <row r="250" spans="1:9" s="25" customFormat="1" ht="12">
      <c r="A250" s="108"/>
      <c r="B250" s="108"/>
      <c r="C250" s="108"/>
      <c r="D250" s="108"/>
      <c r="E250" s="108"/>
      <c r="I250" s="363"/>
    </row>
    <row r="251" spans="1:9" s="25" customFormat="1" ht="12">
      <c r="A251" s="108"/>
      <c r="B251" s="108"/>
      <c r="C251" s="108"/>
      <c r="D251" s="108"/>
      <c r="E251" s="108"/>
      <c r="I251" s="363"/>
    </row>
    <row r="252" spans="1:9" s="25" customFormat="1" ht="12">
      <c r="A252" s="108"/>
      <c r="B252" s="108"/>
      <c r="C252" s="108"/>
      <c r="D252" s="108"/>
      <c r="E252" s="108"/>
      <c r="I252" s="363"/>
    </row>
    <row r="253" spans="1:9" s="25" customFormat="1" ht="12">
      <c r="A253" s="108"/>
      <c r="B253" s="108"/>
      <c r="C253" s="108"/>
      <c r="D253" s="108"/>
      <c r="E253" s="108"/>
      <c r="I253" s="363"/>
    </row>
    <row r="254" spans="1:9" s="25" customFormat="1" ht="12">
      <c r="A254" s="108"/>
      <c r="B254" s="108"/>
      <c r="C254" s="108"/>
      <c r="D254" s="108"/>
      <c r="E254" s="108"/>
      <c r="I254" s="363"/>
    </row>
    <row r="255" spans="1:9" s="25" customFormat="1" ht="12">
      <c r="A255" s="108"/>
      <c r="B255" s="108"/>
      <c r="C255" s="108"/>
      <c r="D255" s="108"/>
      <c r="E255" s="108"/>
      <c r="I255" s="363"/>
    </row>
    <row r="256" spans="1:9" s="25" customFormat="1" ht="12">
      <c r="A256" s="108"/>
      <c r="B256" s="108"/>
      <c r="C256" s="108"/>
      <c r="D256" s="108"/>
      <c r="E256" s="108"/>
      <c r="I256" s="363"/>
    </row>
    <row r="257" spans="1:9" s="25" customFormat="1" ht="12">
      <c r="A257" s="108"/>
      <c r="B257" s="108"/>
      <c r="C257" s="108"/>
      <c r="D257" s="108"/>
      <c r="E257" s="108"/>
      <c r="I257" s="363"/>
    </row>
    <row r="258" spans="1:9" s="25" customFormat="1" ht="12">
      <c r="A258" s="108"/>
      <c r="B258" s="108"/>
      <c r="C258" s="108"/>
      <c r="D258" s="108"/>
      <c r="E258" s="108"/>
      <c r="I258" s="363"/>
    </row>
    <row r="259" spans="1:9" s="25" customFormat="1" ht="12">
      <c r="A259" s="108"/>
      <c r="B259" s="108"/>
      <c r="C259" s="108"/>
      <c r="D259" s="108"/>
      <c r="E259" s="108"/>
      <c r="I259" s="363"/>
    </row>
    <row r="260" spans="1:9" s="25" customFormat="1" ht="12">
      <c r="A260" s="108"/>
      <c r="B260" s="108"/>
      <c r="C260" s="108"/>
      <c r="D260" s="108"/>
      <c r="E260" s="108"/>
      <c r="I260" s="363"/>
    </row>
    <row r="261" spans="1:9" s="25" customFormat="1" ht="12">
      <c r="A261" s="108"/>
      <c r="B261" s="108"/>
      <c r="C261" s="108"/>
      <c r="D261" s="108"/>
      <c r="E261" s="108"/>
      <c r="I261" s="363"/>
    </row>
    <row r="262" spans="1:9" s="25" customFormat="1" ht="12">
      <c r="A262" s="108"/>
      <c r="B262" s="108"/>
      <c r="C262" s="108"/>
      <c r="D262" s="108"/>
      <c r="E262" s="108"/>
      <c r="I262" s="363"/>
    </row>
    <row r="263" spans="1:9" s="25" customFormat="1" ht="12">
      <c r="A263" s="108"/>
      <c r="B263" s="108"/>
      <c r="C263" s="108"/>
      <c r="D263" s="108"/>
      <c r="E263" s="108"/>
      <c r="I263" s="363"/>
    </row>
    <row r="264" spans="1:9" s="25" customFormat="1" ht="12">
      <c r="A264" s="108"/>
      <c r="B264" s="108"/>
      <c r="C264" s="108"/>
      <c r="D264" s="108"/>
      <c r="E264" s="108"/>
      <c r="I264" s="363"/>
    </row>
    <row r="265" spans="1:9" s="25" customFormat="1" ht="12">
      <c r="A265" s="108"/>
      <c r="B265" s="108"/>
      <c r="C265" s="108"/>
      <c r="D265" s="108"/>
      <c r="E265" s="108"/>
      <c r="I265" s="363"/>
    </row>
    <row r="266" spans="1:9" s="25" customFormat="1" ht="12">
      <c r="A266" s="108"/>
      <c r="B266" s="108"/>
      <c r="C266" s="108"/>
      <c r="D266" s="108"/>
      <c r="E266" s="108"/>
      <c r="I266" s="363"/>
    </row>
    <row r="267" spans="1:9" s="25" customFormat="1" ht="12">
      <c r="A267" s="108"/>
      <c r="B267" s="108"/>
      <c r="C267" s="108"/>
      <c r="D267" s="108"/>
      <c r="E267" s="108"/>
      <c r="I267" s="363"/>
    </row>
    <row r="268" spans="1:9" s="25" customFormat="1" ht="12">
      <c r="A268" s="108"/>
      <c r="B268" s="108"/>
      <c r="C268" s="108"/>
      <c r="D268" s="108"/>
      <c r="E268" s="108"/>
      <c r="I268" s="363"/>
    </row>
    <row r="269" spans="1:9" s="25" customFormat="1" ht="12">
      <c r="A269" s="108"/>
      <c r="B269" s="108"/>
      <c r="C269" s="108"/>
      <c r="D269" s="108"/>
      <c r="E269" s="108"/>
      <c r="I269" s="363"/>
    </row>
    <row r="270" spans="1:9" s="25" customFormat="1" ht="12">
      <c r="A270" s="108"/>
      <c r="B270" s="108"/>
      <c r="C270" s="108"/>
      <c r="D270" s="108"/>
      <c r="E270" s="108"/>
      <c r="I270" s="363"/>
    </row>
    <row r="271" spans="1:9" s="25" customFormat="1" ht="12">
      <c r="A271" s="108"/>
      <c r="B271" s="108"/>
      <c r="C271" s="108"/>
      <c r="D271" s="108"/>
      <c r="E271" s="108"/>
      <c r="I271" s="363"/>
    </row>
    <row r="272" spans="1:9" s="25" customFormat="1" ht="12">
      <c r="A272" s="108"/>
      <c r="B272" s="108"/>
      <c r="C272" s="108"/>
      <c r="D272" s="108"/>
      <c r="E272" s="108"/>
      <c r="I272" s="363"/>
    </row>
    <row r="273" spans="1:9" s="25" customFormat="1" ht="12">
      <c r="A273" s="108"/>
      <c r="B273" s="108"/>
      <c r="C273" s="108"/>
      <c r="D273" s="108"/>
      <c r="E273" s="108"/>
      <c r="I273" s="363"/>
    </row>
    <row r="274" spans="1:9" s="25" customFormat="1" ht="12">
      <c r="A274" s="108"/>
      <c r="B274" s="108"/>
      <c r="C274" s="108"/>
      <c r="D274" s="108"/>
      <c r="E274" s="108"/>
      <c r="I274" s="363"/>
    </row>
    <row r="275" spans="1:9" s="25" customFormat="1" ht="12">
      <c r="A275" s="108"/>
      <c r="B275" s="108"/>
      <c r="C275" s="108"/>
      <c r="D275" s="108"/>
      <c r="E275" s="108"/>
      <c r="I275" s="363"/>
    </row>
    <row r="276" spans="1:9" s="25" customFormat="1" ht="12">
      <c r="A276" s="108"/>
      <c r="B276" s="108"/>
      <c r="C276" s="108"/>
      <c r="D276" s="108"/>
      <c r="E276" s="108"/>
      <c r="I276" s="363"/>
    </row>
    <row r="277" spans="1:9" s="25" customFormat="1" ht="12">
      <c r="A277" s="108"/>
      <c r="B277" s="108"/>
      <c r="C277" s="108"/>
      <c r="D277" s="108"/>
      <c r="E277" s="108"/>
      <c r="I277" s="363"/>
    </row>
    <row r="278" spans="1:9" s="25" customFormat="1" ht="12">
      <c r="A278" s="108"/>
      <c r="B278" s="108"/>
      <c r="C278" s="108"/>
      <c r="D278" s="108"/>
      <c r="E278" s="108"/>
      <c r="I278" s="363"/>
    </row>
    <row r="279" spans="1:9" s="25" customFormat="1" ht="12">
      <c r="A279" s="108"/>
      <c r="B279" s="108"/>
      <c r="C279" s="108"/>
      <c r="D279" s="108"/>
      <c r="E279" s="108"/>
      <c r="I279" s="363"/>
    </row>
    <row r="280" spans="1:9" s="25" customFormat="1" ht="12">
      <c r="A280" s="108"/>
      <c r="B280" s="108"/>
      <c r="C280" s="108"/>
      <c r="D280" s="108"/>
      <c r="E280" s="108"/>
      <c r="I280" s="363"/>
    </row>
    <row r="281" spans="1:9" s="25" customFormat="1" ht="12">
      <c r="A281" s="108"/>
      <c r="B281" s="108"/>
      <c r="C281" s="108"/>
      <c r="D281" s="108"/>
      <c r="E281" s="108"/>
      <c r="I281" s="363"/>
    </row>
    <row r="282" spans="1:9" s="25" customFormat="1" ht="12">
      <c r="A282" s="108"/>
      <c r="B282" s="108"/>
      <c r="C282" s="108"/>
      <c r="D282" s="108"/>
      <c r="E282" s="108"/>
      <c r="I282" s="363"/>
    </row>
    <row r="283" spans="1:9" s="25" customFormat="1" ht="12">
      <c r="A283" s="108"/>
      <c r="B283" s="108"/>
      <c r="C283" s="108"/>
      <c r="D283" s="108"/>
      <c r="E283" s="108"/>
      <c r="I283" s="363"/>
    </row>
    <row r="284" spans="1:9" s="25" customFormat="1" ht="12">
      <c r="A284" s="108"/>
      <c r="B284" s="108"/>
      <c r="C284" s="108"/>
      <c r="D284" s="108"/>
      <c r="E284" s="108"/>
      <c r="I284" s="363"/>
    </row>
    <row r="285" spans="1:9" s="25" customFormat="1" ht="12">
      <c r="A285" s="108"/>
      <c r="B285" s="108"/>
      <c r="C285" s="108"/>
      <c r="D285" s="108"/>
      <c r="E285" s="108"/>
      <c r="I285" s="363"/>
    </row>
    <row r="286" spans="1:9" s="25" customFormat="1" ht="12">
      <c r="A286" s="108"/>
      <c r="B286" s="108"/>
      <c r="C286" s="108"/>
      <c r="D286" s="108"/>
      <c r="E286" s="108"/>
      <c r="I286" s="363"/>
    </row>
    <row r="287" spans="1:9" s="25" customFormat="1" ht="12">
      <c r="A287" s="108"/>
      <c r="B287" s="108"/>
      <c r="C287" s="108"/>
      <c r="D287" s="108"/>
      <c r="E287" s="108"/>
      <c r="I287" s="363"/>
    </row>
    <row r="288" spans="1:9" s="25" customFormat="1" ht="12">
      <c r="A288" s="108"/>
      <c r="B288" s="108"/>
      <c r="C288" s="108"/>
      <c r="D288" s="108"/>
      <c r="E288" s="108"/>
      <c r="I288" s="363"/>
    </row>
    <row r="289" spans="1:9" s="25" customFormat="1" ht="12">
      <c r="A289" s="108"/>
      <c r="B289" s="108"/>
      <c r="C289" s="108"/>
      <c r="D289" s="108"/>
      <c r="E289" s="108"/>
      <c r="I289" s="363"/>
    </row>
    <row r="290" spans="1:9" s="25" customFormat="1" ht="12">
      <c r="A290" s="108"/>
      <c r="B290" s="108"/>
      <c r="C290" s="108"/>
      <c r="D290" s="108"/>
      <c r="E290" s="108"/>
      <c r="I290" s="363"/>
    </row>
    <row r="291" spans="1:9" s="25" customFormat="1" ht="12">
      <c r="A291" s="108"/>
      <c r="B291" s="108"/>
      <c r="C291" s="108"/>
      <c r="D291" s="108"/>
      <c r="E291" s="108"/>
      <c r="I291" s="363"/>
    </row>
    <row r="292" spans="1:9" s="25" customFormat="1" ht="12">
      <c r="A292" s="108"/>
      <c r="B292" s="108"/>
      <c r="C292" s="108"/>
      <c r="D292" s="108"/>
      <c r="E292" s="108"/>
      <c r="I292" s="363"/>
    </row>
    <row r="293" spans="1:9" s="25" customFormat="1" ht="12">
      <c r="A293" s="108"/>
      <c r="B293" s="108"/>
      <c r="C293" s="108"/>
      <c r="D293" s="108"/>
      <c r="E293" s="108"/>
      <c r="I293" s="363"/>
    </row>
    <row r="294" spans="1:9" s="25" customFormat="1" ht="12">
      <c r="A294" s="108"/>
      <c r="B294" s="108"/>
      <c r="C294" s="108"/>
      <c r="D294" s="108"/>
      <c r="E294" s="108"/>
      <c r="I294" s="363"/>
    </row>
    <row r="295" spans="1:9" s="25" customFormat="1" ht="12">
      <c r="A295" s="108"/>
      <c r="B295" s="108"/>
      <c r="C295" s="108"/>
      <c r="D295" s="108"/>
      <c r="E295" s="108"/>
      <c r="I295" s="363"/>
    </row>
    <row r="296" spans="1:9" s="25" customFormat="1" ht="12">
      <c r="A296" s="108"/>
      <c r="B296" s="108"/>
      <c r="C296" s="108"/>
      <c r="D296" s="108"/>
      <c r="E296" s="108"/>
      <c r="I296" s="363"/>
    </row>
    <row r="297" spans="1:9" s="25" customFormat="1" ht="12">
      <c r="A297" s="108"/>
      <c r="B297" s="108"/>
      <c r="C297" s="108"/>
      <c r="D297" s="108"/>
      <c r="E297" s="108"/>
      <c r="I297" s="363"/>
    </row>
    <row r="298" spans="1:9" s="25" customFormat="1" ht="12">
      <c r="A298" s="108"/>
      <c r="B298" s="108"/>
      <c r="C298" s="108"/>
      <c r="D298" s="108"/>
      <c r="E298" s="108"/>
      <c r="I298" s="363"/>
    </row>
    <row r="299" spans="1:9" s="25" customFormat="1" ht="12">
      <c r="A299" s="108"/>
      <c r="B299" s="108"/>
      <c r="C299" s="108"/>
      <c r="D299" s="108"/>
      <c r="E299" s="108"/>
      <c r="I299" s="363"/>
    </row>
    <row r="300" spans="1:9" s="25" customFormat="1" ht="12">
      <c r="A300" s="108"/>
      <c r="B300" s="108"/>
      <c r="C300" s="108"/>
      <c r="D300" s="108"/>
      <c r="E300" s="108"/>
      <c r="I300" s="363"/>
    </row>
    <row r="301" spans="1:9" s="25" customFormat="1" ht="12">
      <c r="A301" s="108"/>
      <c r="B301" s="108"/>
      <c r="C301" s="108"/>
      <c r="D301" s="108"/>
      <c r="E301" s="108"/>
      <c r="I301" s="363"/>
    </row>
    <row r="302" spans="1:9" s="25" customFormat="1" ht="12">
      <c r="A302" s="108"/>
      <c r="B302" s="108"/>
      <c r="C302" s="108"/>
      <c r="D302" s="108"/>
      <c r="E302" s="108"/>
      <c r="I302" s="363"/>
    </row>
    <row r="303" spans="1:9" s="25" customFormat="1" ht="12">
      <c r="A303" s="108"/>
      <c r="B303" s="108"/>
      <c r="C303" s="108"/>
      <c r="D303" s="108"/>
      <c r="E303" s="108"/>
      <c r="I303" s="363"/>
    </row>
    <row r="304" spans="1:9" s="25" customFormat="1" ht="12">
      <c r="A304" s="108"/>
      <c r="B304" s="108"/>
      <c r="C304" s="108"/>
      <c r="D304" s="108"/>
      <c r="E304" s="108"/>
      <c r="I304" s="363"/>
    </row>
    <row r="305" spans="1:9" s="25" customFormat="1" ht="12">
      <c r="A305" s="108"/>
      <c r="B305" s="108"/>
      <c r="C305" s="108"/>
      <c r="D305" s="108"/>
      <c r="E305" s="108"/>
      <c r="I305" s="363"/>
    </row>
    <row r="306" spans="1:9" s="25" customFormat="1" ht="12">
      <c r="A306" s="108"/>
      <c r="B306" s="108"/>
      <c r="C306" s="108"/>
      <c r="D306" s="108"/>
      <c r="E306" s="108"/>
      <c r="I306" s="363"/>
    </row>
    <row r="307" spans="1:9" s="25" customFormat="1" ht="12">
      <c r="A307" s="108"/>
      <c r="B307" s="108"/>
      <c r="C307" s="108"/>
      <c r="D307" s="108"/>
      <c r="E307" s="108"/>
      <c r="I307" s="363"/>
    </row>
    <row r="308" spans="1:9" s="25" customFormat="1" ht="12">
      <c r="A308" s="108"/>
      <c r="B308" s="108"/>
      <c r="C308" s="108"/>
      <c r="D308" s="108"/>
      <c r="E308" s="108"/>
      <c r="I308" s="363"/>
    </row>
    <row r="309" spans="1:9" s="25" customFormat="1" ht="12">
      <c r="A309" s="108"/>
      <c r="B309" s="108"/>
      <c r="C309" s="108"/>
      <c r="D309" s="108"/>
      <c r="E309" s="108"/>
      <c r="I309" s="363"/>
    </row>
    <row r="310" spans="1:9" s="25" customFormat="1" ht="12">
      <c r="A310" s="108"/>
      <c r="B310" s="108"/>
      <c r="C310" s="108"/>
      <c r="D310" s="108"/>
      <c r="E310" s="108"/>
      <c r="I310" s="363"/>
    </row>
    <row r="311" spans="1:9" s="25" customFormat="1" ht="12">
      <c r="A311" s="108"/>
      <c r="B311" s="108"/>
      <c r="C311" s="108"/>
      <c r="D311" s="108"/>
      <c r="E311" s="108"/>
      <c r="I311" s="363"/>
    </row>
    <row r="312" spans="1:9" s="25" customFormat="1" ht="12">
      <c r="A312" s="108"/>
      <c r="B312" s="108"/>
      <c r="C312" s="108"/>
      <c r="D312" s="108"/>
      <c r="E312" s="108"/>
      <c r="I312" s="363"/>
    </row>
    <row r="313" spans="1:9" s="25" customFormat="1" ht="12">
      <c r="A313" s="108"/>
      <c r="B313" s="108"/>
      <c r="C313" s="108"/>
      <c r="D313" s="108"/>
      <c r="E313" s="108"/>
      <c r="I313" s="363"/>
    </row>
    <row r="314" spans="1:9" s="25" customFormat="1" ht="12">
      <c r="A314" s="108"/>
      <c r="B314" s="108"/>
      <c r="C314" s="108"/>
      <c r="D314" s="108"/>
      <c r="E314" s="108"/>
      <c r="I314" s="363"/>
    </row>
    <row r="315" spans="1:9" s="25" customFormat="1" ht="12">
      <c r="A315" s="108"/>
      <c r="B315" s="108"/>
      <c r="C315" s="108"/>
      <c r="D315" s="108"/>
      <c r="E315" s="108"/>
      <c r="I315" s="363"/>
    </row>
    <row r="316" spans="1:9" s="25" customFormat="1" ht="12">
      <c r="A316" s="108"/>
      <c r="B316" s="108"/>
      <c r="C316" s="108"/>
      <c r="D316" s="108"/>
      <c r="E316" s="108"/>
      <c r="I316" s="363"/>
    </row>
    <row r="317" spans="1:9" s="25" customFormat="1" ht="12">
      <c r="A317" s="108"/>
      <c r="B317" s="108"/>
      <c r="C317" s="108"/>
      <c r="D317" s="108"/>
      <c r="E317" s="108"/>
      <c r="I317" s="363"/>
    </row>
    <row r="318" spans="1:9" s="25" customFormat="1" ht="12">
      <c r="A318" s="108"/>
      <c r="B318" s="108"/>
      <c r="C318" s="108"/>
      <c r="D318" s="108"/>
      <c r="E318" s="108"/>
      <c r="I318" s="363"/>
    </row>
    <row r="319" spans="1:9" s="25" customFormat="1" ht="12">
      <c r="A319" s="108"/>
      <c r="B319" s="108"/>
      <c r="C319" s="108"/>
      <c r="D319" s="108"/>
      <c r="E319" s="108"/>
      <c r="I319" s="363"/>
    </row>
    <row r="320" spans="1:9" s="25" customFormat="1" ht="12">
      <c r="A320" s="108"/>
      <c r="B320" s="108"/>
      <c r="C320" s="108"/>
      <c r="D320" s="108"/>
      <c r="E320" s="108"/>
      <c r="I320" s="363"/>
    </row>
    <row r="321" spans="1:9" s="25" customFormat="1" ht="12">
      <c r="A321" s="108"/>
      <c r="B321" s="108"/>
      <c r="C321" s="108"/>
      <c r="D321" s="108"/>
      <c r="E321" s="108"/>
      <c r="I321" s="363"/>
    </row>
    <row r="322" spans="1:9" s="25" customFormat="1" ht="12">
      <c r="A322" s="108"/>
      <c r="B322" s="108"/>
      <c r="C322" s="108"/>
      <c r="D322" s="108"/>
      <c r="E322" s="108"/>
      <c r="I322" s="363"/>
    </row>
    <row r="323" spans="1:9" s="25" customFormat="1" ht="12">
      <c r="A323" s="108"/>
      <c r="B323" s="108"/>
      <c r="C323" s="108"/>
      <c r="D323" s="108"/>
      <c r="E323" s="108"/>
      <c r="I323" s="363"/>
    </row>
  </sheetData>
  <autoFilter ref="A54:K144" xr:uid="{21081792-88FE-4232-8E3F-784FCAD4EBA1}"/>
  <mergeCells count="53">
    <mergeCell ref="A53:J53"/>
    <mergeCell ref="A146:H146"/>
    <mergeCell ref="B46:E46"/>
    <mergeCell ref="B47:E47"/>
    <mergeCell ref="B48:E48"/>
    <mergeCell ref="B49:E49"/>
    <mergeCell ref="B50:E50"/>
    <mergeCell ref="C51:E51"/>
    <mergeCell ref="B45:E45"/>
    <mergeCell ref="A32:B32"/>
    <mergeCell ref="A34:B34"/>
    <mergeCell ref="A35:B35"/>
    <mergeCell ref="A36:B36"/>
    <mergeCell ref="C36:E36"/>
    <mergeCell ref="A37:B37"/>
    <mergeCell ref="A38:B38"/>
    <mergeCell ref="A39:B39"/>
    <mergeCell ref="A42:B42"/>
    <mergeCell ref="B43:E43"/>
    <mergeCell ref="B44:E44"/>
    <mergeCell ref="A31:B31"/>
    <mergeCell ref="C21:E21"/>
    <mergeCell ref="C22:E22"/>
    <mergeCell ref="A23:B24"/>
    <mergeCell ref="C23:E23"/>
    <mergeCell ref="C24:E24"/>
    <mergeCell ref="A25:B25"/>
    <mergeCell ref="C25:E25"/>
    <mergeCell ref="A26:B26"/>
    <mergeCell ref="A27:B27"/>
    <mergeCell ref="A28:B28"/>
    <mergeCell ref="A29:B29"/>
    <mergeCell ref="A30:B30"/>
    <mergeCell ref="A13:B15"/>
    <mergeCell ref="C13:E13"/>
    <mergeCell ref="C14:E14"/>
    <mergeCell ref="C15:E15"/>
    <mergeCell ref="A16:B22"/>
    <mergeCell ref="C16:E16"/>
    <mergeCell ref="C17:E17"/>
    <mergeCell ref="C18:E18"/>
    <mergeCell ref="C19:E19"/>
    <mergeCell ref="C20:E20"/>
    <mergeCell ref="A4:B12"/>
    <mergeCell ref="C4:E4"/>
    <mergeCell ref="C5:E5"/>
    <mergeCell ref="C6:E6"/>
    <mergeCell ref="C7:E7"/>
    <mergeCell ref="C8:E8"/>
    <mergeCell ref="C9:E9"/>
    <mergeCell ref="C10:E10"/>
    <mergeCell ref="C11:E11"/>
    <mergeCell ref="C12:E12"/>
  </mergeCells>
  <hyperlinks>
    <hyperlink ref="C10" r:id="rId1" display="mailto:aacosta@investor.com.py" xr:uid="{C2E30B08-6555-4E08-9419-B449E52E2805}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07D84-7FC4-4654-A182-85FD15BBCCF9}">
  <sheetPr>
    <tabColor rgb="FF002060"/>
  </sheetPr>
  <dimension ref="B1:K26"/>
  <sheetViews>
    <sheetView showGridLines="0" topLeftCell="A5" zoomScale="106" zoomScaleNormal="80" workbookViewId="0">
      <selection activeCell="B77" sqref="B77"/>
    </sheetView>
  </sheetViews>
  <sheetFormatPr baseColWidth="10" defaultColWidth="11.44140625" defaultRowHeight="12"/>
  <cols>
    <col min="1" max="1" width="4.6640625" style="132" customWidth="1"/>
    <col min="2" max="2" width="37.6640625" style="132" customWidth="1"/>
    <col min="3" max="3" width="27" style="132" bestFit="1" customWidth="1"/>
    <col min="4" max="4" width="23.33203125" style="132" bestFit="1" customWidth="1"/>
    <col min="5" max="5" width="13.6640625" style="132" customWidth="1"/>
    <col min="6" max="6" width="12.33203125" style="132" customWidth="1"/>
    <col min="7" max="7" width="18.109375" style="150" customWidth="1"/>
    <col min="8" max="8" width="14.109375" style="150" bestFit="1" customWidth="1"/>
    <col min="9" max="9" width="14.33203125" style="132" bestFit="1" customWidth="1"/>
    <col min="10" max="10" width="14" style="151" bestFit="1" customWidth="1"/>
    <col min="11" max="256" width="11.44140625" style="132"/>
    <col min="257" max="257" width="4.6640625" style="132" customWidth="1"/>
    <col min="258" max="258" width="37.6640625" style="132" customWidth="1"/>
    <col min="259" max="259" width="27" style="132" bestFit="1" customWidth="1"/>
    <col min="260" max="260" width="23.33203125" style="132" bestFit="1" customWidth="1"/>
    <col min="261" max="261" width="13.6640625" style="132" customWidth="1"/>
    <col min="262" max="262" width="12.33203125" style="132" customWidth="1"/>
    <col min="263" max="263" width="18.109375" style="132" customWidth="1"/>
    <col min="264" max="264" width="14.109375" style="132" bestFit="1" customWidth="1"/>
    <col min="265" max="265" width="14.33203125" style="132" bestFit="1" customWidth="1"/>
    <col min="266" max="266" width="14" style="132" bestFit="1" customWidth="1"/>
    <col min="267" max="512" width="11.44140625" style="132"/>
    <col min="513" max="513" width="4.6640625" style="132" customWidth="1"/>
    <col min="514" max="514" width="37.6640625" style="132" customWidth="1"/>
    <col min="515" max="515" width="27" style="132" bestFit="1" customWidth="1"/>
    <col min="516" max="516" width="23.33203125" style="132" bestFit="1" customWidth="1"/>
    <col min="517" max="517" width="13.6640625" style="132" customWidth="1"/>
    <col min="518" max="518" width="12.33203125" style="132" customWidth="1"/>
    <col min="519" max="519" width="18.109375" style="132" customWidth="1"/>
    <col min="520" max="520" width="14.109375" style="132" bestFit="1" customWidth="1"/>
    <col min="521" max="521" width="14.33203125" style="132" bestFit="1" customWidth="1"/>
    <col min="522" max="522" width="14" style="132" bestFit="1" customWidth="1"/>
    <col min="523" max="768" width="11.44140625" style="132"/>
    <col min="769" max="769" width="4.6640625" style="132" customWidth="1"/>
    <col min="770" max="770" width="37.6640625" style="132" customWidth="1"/>
    <col min="771" max="771" width="27" style="132" bestFit="1" customWidth="1"/>
    <col min="772" max="772" width="23.33203125" style="132" bestFit="1" customWidth="1"/>
    <col min="773" max="773" width="13.6640625" style="132" customWidth="1"/>
    <col min="774" max="774" width="12.33203125" style="132" customWidth="1"/>
    <col min="775" max="775" width="18.109375" style="132" customWidth="1"/>
    <col min="776" max="776" width="14.109375" style="132" bestFit="1" customWidth="1"/>
    <col min="777" max="777" width="14.33203125" style="132" bestFit="1" customWidth="1"/>
    <col min="778" max="778" width="14" style="132" bestFit="1" customWidth="1"/>
    <col min="779" max="1024" width="11.44140625" style="132"/>
    <col min="1025" max="1025" width="4.6640625" style="132" customWidth="1"/>
    <col min="1026" max="1026" width="37.6640625" style="132" customWidth="1"/>
    <col min="1027" max="1027" width="27" style="132" bestFit="1" customWidth="1"/>
    <col min="1028" max="1028" width="23.33203125" style="132" bestFit="1" customWidth="1"/>
    <col min="1029" max="1029" width="13.6640625" style="132" customWidth="1"/>
    <col min="1030" max="1030" width="12.33203125" style="132" customWidth="1"/>
    <col min="1031" max="1031" width="18.109375" style="132" customWidth="1"/>
    <col min="1032" max="1032" width="14.109375" style="132" bestFit="1" customWidth="1"/>
    <col min="1033" max="1033" width="14.33203125" style="132" bestFit="1" customWidth="1"/>
    <col min="1034" max="1034" width="14" style="132" bestFit="1" customWidth="1"/>
    <col min="1035" max="1280" width="11.44140625" style="132"/>
    <col min="1281" max="1281" width="4.6640625" style="132" customWidth="1"/>
    <col min="1282" max="1282" width="37.6640625" style="132" customWidth="1"/>
    <col min="1283" max="1283" width="27" style="132" bestFit="1" customWidth="1"/>
    <col min="1284" max="1284" width="23.33203125" style="132" bestFit="1" customWidth="1"/>
    <col min="1285" max="1285" width="13.6640625" style="132" customWidth="1"/>
    <col min="1286" max="1286" width="12.33203125" style="132" customWidth="1"/>
    <col min="1287" max="1287" width="18.109375" style="132" customWidth="1"/>
    <col min="1288" max="1288" width="14.109375" style="132" bestFit="1" customWidth="1"/>
    <col min="1289" max="1289" width="14.33203125" style="132" bestFit="1" customWidth="1"/>
    <col min="1290" max="1290" width="14" style="132" bestFit="1" customWidth="1"/>
    <col min="1291" max="1536" width="11.44140625" style="132"/>
    <col min="1537" max="1537" width="4.6640625" style="132" customWidth="1"/>
    <col min="1538" max="1538" width="37.6640625" style="132" customWidth="1"/>
    <col min="1539" max="1539" width="27" style="132" bestFit="1" customWidth="1"/>
    <col min="1540" max="1540" width="23.33203125" style="132" bestFit="1" customWidth="1"/>
    <col min="1541" max="1541" width="13.6640625" style="132" customWidth="1"/>
    <col min="1542" max="1542" width="12.33203125" style="132" customWidth="1"/>
    <col min="1543" max="1543" width="18.109375" style="132" customWidth="1"/>
    <col min="1544" max="1544" width="14.109375" style="132" bestFit="1" customWidth="1"/>
    <col min="1545" max="1545" width="14.33203125" style="132" bestFit="1" customWidth="1"/>
    <col min="1546" max="1546" width="14" style="132" bestFit="1" customWidth="1"/>
    <col min="1547" max="1792" width="11.44140625" style="132"/>
    <col min="1793" max="1793" width="4.6640625" style="132" customWidth="1"/>
    <col min="1794" max="1794" width="37.6640625" style="132" customWidth="1"/>
    <col min="1795" max="1795" width="27" style="132" bestFit="1" customWidth="1"/>
    <col min="1796" max="1796" width="23.33203125" style="132" bestFit="1" customWidth="1"/>
    <col min="1797" max="1797" width="13.6640625" style="132" customWidth="1"/>
    <col min="1798" max="1798" width="12.33203125" style="132" customWidth="1"/>
    <col min="1799" max="1799" width="18.109375" style="132" customWidth="1"/>
    <col min="1800" max="1800" width="14.109375" style="132" bestFit="1" customWidth="1"/>
    <col min="1801" max="1801" width="14.33203125" style="132" bestFit="1" customWidth="1"/>
    <col min="1802" max="1802" width="14" style="132" bestFit="1" customWidth="1"/>
    <col min="1803" max="2048" width="11.44140625" style="132"/>
    <col min="2049" max="2049" width="4.6640625" style="132" customWidth="1"/>
    <col min="2050" max="2050" width="37.6640625" style="132" customWidth="1"/>
    <col min="2051" max="2051" width="27" style="132" bestFit="1" customWidth="1"/>
    <col min="2052" max="2052" width="23.33203125" style="132" bestFit="1" customWidth="1"/>
    <col min="2053" max="2053" width="13.6640625" style="132" customWidth="1"/>
    <col min="2054" max="2054" width="12.33203125" style="132" customWidth="1"/>
    <col min="2055" max="2055" width="18.109375" style="132" customWidth="1"/>
    <col min="2056" max="2056" width="14.109375" style="132" bestFit="1" customWidth="1"/>
    <col min="2057" max="2057" width="14.33203125" style="132" bestFit="1" customWidth="1"/>
    <col min="2058" max="2058" width="14" style="132" bestFit="1" customWidth="1"/>
    <col min="2059" max="2304" width="11.44140625" style="132"/>
    <col min="2305" max="2305" width="4.6640625" style="132" customWidth="1"/>
    <col min="2306" max="2306" width="37.6640625" style="132" customWidth="1"/>
    <col min="2307" max="2307" width="27" style="132" bestFit="1" customWidth="1"/>
    <col min="2308" max="2308" width="23.33203125" style="132" bestFit="1" customWidth="1"/>
    <col min="2309" max="2309" width="13.6640625" style="132" customWidth="1"/>
    <col min="2310" max="2310" width="12.33203125" style="132" customWidth="1"/>
    <col min="2311" max="2311" width="18.109375" style="132" customWidth="1"/>
    <col min="2312" max="2312" width="14.109375" style="132" bestFit="1" customWidth="1"/>
    <col min="2313" max="2313" width="14.33203125" style="132" bestFit="1" customWidth="1"/>
    <col min="2314" max="2314" width="14" style="132" bestFit="1" customWidth="1"/>
    <col min="2315" max="2560" width="11.44140625" style="132"/>
    <col min="2561" max="2561" width="4.6640625" style="132" customWidth="1"/>
    <col min="2562" max="2562" width="37.6640625" style="132" customWidth="1"/>
    <col min="2563" max="2563" width="27" style="132" bestFit="1" customWidth="1"/>
    <col min="2564" max="2564" width="23.33203125" style="132" bestFit="1" customWidth="1"/>
    <col min="2565" max="2565" width="13.6640625" style="132" customWidth="1"/>
    <col min="2566" max="2566" width="12.33203125" style="132" customWidth="1"/>
    <col min="2567" max="2567" width="18.109375" style="132" customWidth="1"/>
    <col min="2568" max="2568" width="14.109375" style="132" bestFit="1" customWidth="1"/>
    <col min="2569" max="2569" width="14.33203125" style="132" bestFit="1" customWidth="1"/>
    <col min="2570" max="2570" width="14" style="132" bestFit="1" customWidth="1"/>
    <col min="2571" max="2816" width="11.44140625" style="132"/>
    <col min="2817" max="2817" width="4.6640625" style="132" customWidth="1"/>
    <col min="2818" max="2818" width="37.6640625" style="132" customWidth="1"/>
    <col min="2819" max="2819" width="27" style="132" bestFit="1" customWidth="1"/>
    <col min="2820" max="2820" width="23.33203125" style="132" bestFit="1" customWidth="1"/>
    <col min="2821" max="2821" width="13.6640625" style="132" customWidth="1"/>
    <col min="2822" max="2822" width="12.33203125" style="132" customWidth="1"/>
    <col min="2823" max="2823" width="18.109375" style="132" customWidth="1"/>
    <col min="2824" max="2824" width="14.109375" style="132" bestFit="1" customWidth="1"/>
    <col min="2825" max="2825" width="14.33203125" style="132" bestFit="1" customWidth="1"/>
    <col min="2826" max="2826" width="14" style="132" bestFit="1" customWidth="1"/>
    <col min="2827" max="3072" width="11.44140625" style="132"/>
    <col min="3073" max="3073" width="4.6640625" style="132" customWidth="1"/>
    <col min="3074" max="3074" width="37.6640625" style="132" customWidth="1"/>
    <col min="3075" max="3075" width="27" style="132" bestFit="1" customWidth="1"/>
    <col min="3076" max="3076" width="23.33203125" style="132" bestFit="1" customWidth="1"/>
    <col min="3077" max="3077" width="13.6640625" style="132" customWidth="1"/>
    <col min="3078" max="3078" width="12.33203125" style="132" customWidth="1"/>
    <col min="3079" max="3079" width="18.109375" style="132" customWidth="1"/>
    <col min="3080" max="3080" width="14.109375" style="132" bestFit="1" customWidth="1"/>
    <col min="3081" max="3081" width="14.33203125" style="132" bestFit="1" customWidth="1"/>
    <col min="3082" max="3082" width="14" style="132" bestFit="1" customWidth="1"/>
    <col min="3083" max="3328" width="11.44140625" style="132"/>
    <col min="3329" max="3329" width="4.6640625" style="132" customWidth="1"/>
    <col min="3330" max="3330" width="37.6640625" style="132" customWidth="1"/>
    <col min="3331" max="3331" width="27" style="132" bestFit="1" customWidth="1"/>
    <col min="3332" max="3332" width="23.33203125" style="132" bestFit="1" customWidth="1"/>
    <col min="3333" max="3333" width="13.6640625" style="132" customWidth="1"/>
    <col min="3334" max="3334" width="12.33203125" style="132" customWidth="1"/>
    <col min="3335" max="3335" width="18.109375" style="132" customWidth="1"/>
    <col min="3336" max="3336" width="14.109375" style="132" bestFit="1" customWidth="1"/>
    <col min="3337" max="3337" width="14.33203125" style="132" bestFit="1" customWidth="1"/>
    <col min="3338" max="3338" width="14" style="132" bestFit="1" customWidth="1"/>
    <col min="3339" max="3584" width="11.44140625" style="132"/>
    <col min="3585" max="3585" width="4.6640625" style="132" customWidth="1"/>
    <col min="3586" max="3586" width="37.6640625" style="132" customWidth="1"/>
    <col min="3587" max="3587" width="27" style="132" bestFit="1" customWidth="1"/>
    <col min="3588" max="3588" width="23.33203125" style="132" bestFit="1" customWidth="1"/>
    <col min="3589" max="3589" width="13.6640625" style="132" customWidth="1"/>
    <col min="3590" max="3590" width="12.33203125" style="132" customWidth="1"/>
    <col min="3591" max="3591" width="18.109375" style="132" customWidth="1"/>
    <col min="3592" max="3592" width="14.109375" style="132" bestFit="1" customWidth="1"/>
    <col min="3593" max="3593" width="14.33203125" style="132" bestFit="1" customWidth="1"/>
    <col min="3594" max="3594" width="14" style="132" bestFit="1" customWidth="1"/>
    <col min="3595" max="3840" width="11.44140625" style="132"/>
    <col min="3841" max="3841" width="4.6640625" style="132" customWidth="1"/>
    <col min="3842" max="3842" width="37.6640625" style="132" customWidth="1"/>
    <col min="3843" max="3843" width="27" style="132" bestFit="1" customWidth="1"/>
    <col min="3844" max="3844" width="23.33203125" style="132" bestFit="1" customWidth="1"/>
    <col min="3845" max="3845" width="13.6640625" style="132" customWidth="1"/>
    <col min="3846" max="3846" width="12.33203125" style="132" customWidth="1"/>
    <col min="3847" max="3847" width="18.109375" style="132" customWidth="1"/>
    <col min="3848" max="3848" width="14.109375" style="132" bestFit="1" customWidth="1"/>
    <col min="3849" max="3849" width="14.33203125" style="132" bestFit="1" customWidth="1"/>
    <col min="3850" max="3850" width="14" style="132" bestFit="1" customWidth="1"/>
    <col min="3851" max="4096" width="11.44140625" style="132"/>
    <col min="4097" max="4097" width="4.6640625" style="132" customWidth="1"/>
    <col min="4098" max="4098" width="37.6640625" style="132" customWidth="1"/>
    <col min="4099" max="4099" width="27" style="132" bestFit="1" customWidth="1"/>
    <col min="4100" max="4100" width="23.33203125" style="132" bestFit="1" customWidth="1"/>
    <col min="4101" max="4101" width="13.6640625" style="132" customWidth="1"/>
    <col min="4102" max="4102" width="12.33203125" style="132" customWidth="1"/>
    <col min="4103" max="4103" width="18.109375" style="132" customWidth="1"/>
    <col min="4104" max="4104" width="14.109375" style="132" bestFit="1" customWidth="1"/>
    <col min="4105" max="4105" width="14.33203125" style="132" bestFit="1" customWidth="1"/>
    <col min="4106" max="4106" width="14" style="132" bestFit="1" customWidth="1"/>
    <col min="4107" max="4352" width="11.44140625" style="132"/>
    <col min="4353" max="4353" width="4.6640625" style="132" customWidth="1"/>
    <col min="4354" max="4354" width="37.6640625" style="132" customWidth="1"/>
    <col min="4355" max="4355" width="27" style="132" bestFit="1" customWidth="1"/>
    <col min="4356" max="4356" width="23.33203125" style="132" bestFit="1" customWidth="1"/>
    <col min="4357" max="4357" width="13.6640625" style="132" customWidth="1"/>
    <col min="4358" max="4358" width="12.33203125" style="132" customWidth="1"/>
    <col min="4359" max="4359" width="18.109375" style="132" customWidth="1"/>
    <col min="4360" max="4360" width="14.109375" style="132" bestFit="1" customWidth="1"/>
    <col min="4361" max="4361" width="14.33203125" style="132" bestFit="1" customWidth="1"/>
    <col min="4362" max="4362" width="14" style="132" bestFit="1" customWidth="1"/>
    <col min="4363" max="4608" width="11.44140625" style="132"/>
    <col min="4609" max="4609" width="4.6640625" style="132" customWidth="1"/>
    <col min="4610" max="4610" width="37.6640625" style="132" customWidth="1"/>
    <col min="4611" max="4611" width="27" style="132" bestFit="1" customWidth="1"/>
    <col min="4612" max="4612" width="23.33203125" style="132" bestFit="1" customWidth="1"/>
    <col min="4613" max="4613" width="13.6640625" style="132" customWidth="1"/>
    <col min="4614" max="4614" width="12.33203125" style="132" customWidth="1"/>
    <col min="4615" max="4615" width="18.109375" style="132" customWidth="1"/>
    <col min="4616" max="4616" width="14.109375" style="132" bestFit="1" customWidth="1"/>
    <col min="4617" max="4617" width="14.33203125" style="132" bestFit="1" customWidth="1"/>
    <col min="4618" max="4618" width="14" style="132" bestFit="1" customWidth="1"/>
    <col min="4619" max="4864" width="11.44140625" style="132"/>
    <col min="4865" max="4865" width="4.6640625" style="132" customWidth="1"/>
    <col min="4866" max="4866" width="37.6640625" style="132" customWidth="1"/>
    <col min="4867" max="4867" width="27" style="132" bestFit="1" customWidth="1"/>
    <col min="4868" max="4868" width="23.33203125" style="132" bestFit="1" customWidth="1"/>
    <col min="4869" max="4869" width="13.6640625" style="132" customWidth="1"/>
    <col min="4870" max="4870" width="12.33203125" style="132" customWidth="1"/>
    <col min="4871" max="4871" width="18.109375" style="132" customWidth="1"/>
    <col min="4872" max="4872" width="14.109375" style="132" bestFit="1" customWidth="1"/>
    <col min="4873" max="4873" width="14.33203125" style="132" bestFit="1" customWidth="1"/>
    <col min="4874" max="4874" width="14" style="132" bestFit="1" customWidth="1"/>
    <col min="4875" max="5120" width="11.44140625" style="132"/>
    <col min="5121" max="5121" width="4.6640625" style="132" customWidth="1"/>
    <col min="5122" max="5122" width="37.6640625" style="132" customWidth="1"/>
    <col min="5123" max="5123" width="27" style="132" bestFit="1" customWidth="1"/>
    <col min="5124" max="5124" width="23.33203125" style="132" bestFit="1" customWidth="1"/>
    <col min="5125" max="5125" width="13.6640625" style="132" customWidth="1"/>
    <col min="5126" max="5126" width="12.33203125" style="132" customWidth="1"/>
    <col min="5127" max="5127" width="18.109375" style="132" customWidth="1"/>
    <col min="5128" max="5128" width="14.109375" style="132" bestFit="1" customWidth="1"/>
    <col min="5129" max="5129" width="14.33203125" style="132" bestFit="1" customWidth="1"/>
    <col min="5130" max="5130" width="14" style="132" bestFit="1" customWidth="1"/>
    <col min="5131" max="5376" width="11.44140625" style="132"/>
    <col min="5377" max="5377" width="4.6640625" style="132" customWidth="1"/>
    <col min="5378" max="5378" width="37.6640625" style="132" customWidth="1"/>
    <col min="5379" max="5379" width="27" style="132" bestFit="1" customWidth="1"/>
    <col min="5380" max="5380" width="23.33203125" style="132" bestFit="1" customWidth="1"/>
    <col min="5381" max="5381" width="13.6640625" style="132" customWidth="1"/>
    <col min="5382" max="5382" width="12.33203125" style="132" customWidth="1"/>
    <col min="5383" max="5383" width="18.109375" style="132" customWidth="1"/>
    <col min="5384" max="5384" width="14.109375" style="132" bestFit="1" customWidth="1"/>
    <col min="5385" max="5385" width="14.33203125" style="132" bestFit="1" customWidth="1"/>
    <col min="5386" max="5386" width="14" style="132" bestFit="1" customWidth="1"/>
    <col min="5387" max="5632" width="11.44140625" style="132"/>
    <col min="5633" max="5633" width="4.6640625" style="132" customWidth="1"/>
    <col min="5634" max="5634" width="37.6640625" style="132" customWidth="1"/>
    <col min="5635" max="5635" width="27" style="132" bestFit="1" customWidth="1"/>
    <col min="5636" max="5636" width="23.33203125" style="132" bestFit="1" customWidth="1"/>
    <col min="5637" max="5637" width="13.6640625" style="132" customWidth="1"/>
    <col min="5638" max="5638" width="12.33203125" style="132" customWidth="1"/>
    <col min="5639" max="5639" width="18.109375" style="132" customWidth="1"/>
    <col min="5640" max="5640" width="14.109375" style="132" bestFit="1" customWidth="1"/>
    <col min="5641" max="5641" width="14.33203125" style="132" bestFit="1" customWidth="1"/>
    <col min="5642" max="5642" width="14" style="132" bestFit="1" customWidth="1"/>
    <col min="5643" max="5888" width="11.44140625" style="132"/>
    <col min="5889" max="5889" width="4.6640625" style="132" customWidth="1"/>
    <col min="5890" max="5890" width="37.6640625" style="132" customWidth="1"/>
    <col min="5891" max="5891" width="27" style="132" bestFit="1" customWidth="1"/>
    <col min="5892" max="5892" width="23.33203125" style="132" bestFit="1" customWidth="1"/>
    <col min="5893" max="5893" width="13.6640625" style="132" customWidth="1"/>
    <col min="5894" max="5894" width="12.33203125" style="132" customWidth="1"/>
    <col min="5895" max="5895" width="18.109375" style="132" customWidth="1"/>
    <col min="5896" max="5896" width="14.109375" style="132" bestFit="1" customWidth="1"/>
    <col min="5897" max="5897" width="14.33203125" style="132" bestFit="1" customWidth="1"/>
    <col min="5898" max="5898" width="14" style="132" bestFit="1" customWidth="1"/>
    <col min="5899" max="6144" width="11.44140625" style="132"/>
    <col min="6145" max="6145" width="4.6640625" style="132" customWidth="1"/>
    <col min="6146" max="6146" width="37.6640625" style="132" customWidth="1"/>
    <col min="6147" max="6147" width="27" style="132" bestFit="1" customWidth="1"/>
    <col min="6148" max="6148" width="23.33203125" style="132" bestFit="1" customWidth="1"/>
    <col min="6149" max="6149" width="13.6640625" style="132" customWidth="1"/>
    <col min="6150" max="6150" width="12.33203125" style="132" customWidth="1"/>
    <col min="6151" max="6151" width="18.109375" style="132" customWidth="1"/>
    <col min="6152" max="6152" width="14.109375" style="132" bestFit="1" customWidth="1"/>
    <col min="6153" max="6153" width="14.33203125" style="132" bestFit="1" customWidth="1"/>
    <col min="6154" max="6154" width="14" style="132" bestFit="1" customWidth="1"/>
    <col min="6155" max="6400" width="11.44140625" style="132"/>
    <col min="6401" max="6401" width="4.6640625" style="132" customWidth="1"/>
    <col min="6402" max="6402" width="37.6640625" style="132" customWidth="1"/>
    <col min="6403" max="6403" width="27" style="132" bestFit="1" customWidth="1"/>
    <col min="6404" max="6404" width="23.33203125" style="132" bestFit="1" customWidth="1"/>
    <col min="6405" max="6405" width="13.6640625" style="132" customWidth="1"/>
    <col min="6406" max="6406" width="12.33203125" style="132" customWidth="1"/>
    <col min="6407" max="6407" width="18.109375" style="132" customWidth="1"/>
    <col min="6408" max="6408" width="14.109375" style="132" bestFit="1" customWidth="1"/>
    <col min="6409" max="6409" width="14.33203125" style="132" bestFit="1" customWidth="1"/>
    <col min="6410" max="6410" width="14" style="132" bestFit="1" customWidth="1"/>
    <col min="6411" max="6656" width="11.44140625" style="132"/>
    <col min="6657" max="6657" width="4.6640625" style="132" customWidth="1"/>
    <col min="6658" max="6658" width="37.6640625" style="132" customWidth="1"/>
    <col min="6659" max="6659" width="27" style="132" bestFit="1" customWidth="1"/>
    <col min="6660" max="6660" width="23.33203125" style="132" bestFit="1" customWidth="1"/>
    <col min="6661" max="6661" width="13.6640625" style="132" customWidth="1"/>
    <col min="6662" max="6662" width="12.33203125" style="132" customWidth="1"/>
    <col min="6663" max="6663" width="18.109375" style="132" customWidth="1"/>
    <col min="6664" max="6664" width="14.109375" style="132" bestFit="1" customWidth="1"/>
    <col min="6665" max="6665" width="14.33203125" style="132" bestFit="1" customWidth="1"/>
    <col min="6666" max="6666" width="14" style="132" bestFit="1" customWidth="1"/>
    <col min="6667" max="6912" width="11.44140625" style="132"/>
    <col min="6913" max="6913" width="4.6640625" style="132" customWidth="1"/>
    <col min="6914" max="6914" width="37.6640625" style="132" customWidth="1"/>
    <col min="6915" max="6915" width="27" style="132" bestFit="1" customWidth="1"/>
    <col min="6916" max="6916" width="23.33203125" style="132" bestFit="1" customWidth="1"/>
    <col min="6917" max="6917" width="13.6640625" style="132" customWidth="1"/>
    <col min="6918" max="6918" width="12.33203125" style="132" customWidth="1"/>
    <col min="6919" max="6919" width="18.109375" style="132" customWidth="1"/>
    <col min="6920" max="6920" width="14.109375" style="132" bestFit="1" customWidth="1"/>
    <col min="6921" max="6921" width="14.33203125" style="132" bestFit="1" customWidth="1"/>
    <col min="6922" max="6922" width="14" style="132" bestFit="1" customWidth="1"/>
    <col min="6923" max="7168" width="11.44140625" style="132"/>
    <col min="7169" max="7169" width="4.6640625" style="132" customWidth="1"/>
    <col min="7170" max="7170" width="37.6640625" style="132" customWidth="1"/>
    <col min="7171" max="7171" width="27" style="132" bestFit="1" customWidth="1"/>
    <col min="7172" max="7172" width="23.33203125" style="132" bestFit="1" customWidth="1"/>
    <col min="7173" max="7173" width="13.6640625" style="132" customWidth="1"/>
    <col min="7174" max="7174" width="12.33203125" style="132" customWidth="1"/>
    <col min="7175" max="7175" width="18.109375" style="132" customWidth="1"/>
    <col min="7176" max="7176" width="14.109375" style="132" bestFit="1" customWidth="1"/>
    <col min="7177" max="7177" width="14.33203125" style="132" bestFit="1" customWidth="1"/>
    <col min="7178" max="7178" width="14" style="132" bestFit="1" customWidth="1"/>
    <col min="7179" max="7424" width="11.44140625" style="132"/>
    <col min="7425" max="7425" width="4.6640625" style="132" customWidth="1"/>
    <col min="7426" max="7426" width="37.6640625" style="132" customWidth="1"/>
    <col min="7427" max="7427" width="27" style="132" bestFit="1" customWidth="1"/>
    <col min="7428" max="7428" width="23.33203125" style="132" bestFit="1" customWidth="1"/>
    <col min="7429" max="7429" width="13.6640625" style="132" customWidth="1"/>
    <col min="7430" max="7430" width="12.33203125" style="132" customWidth="1"/>
    <col min="7431" max="7431" width="18.109375" style="132" customWidth="1"/>
    <col min="7432" max="7432" width="14.109375" style="132" bestFit="1" customWidth="1"/>
    <col min="7433" max="7433" width="14.33203125" style="132" bestFit="1" customWidth="1"/>
    <col min="7434" max="7434" width="14" style="132" bestFit="1" customWidth="1"/>
    <col min="7435" max="7680" width="11.44140625" style="132"/>
    <col min="7681" max="7681" width="4.6640625" style="132" customWidth="1"/>
    <col min="7682" max="7682" width="37.6640625" style="132" customWidth="1"/>
    <col min="7683" max="7683" width="27" style="132" bestFit="1" customWidth="1"/>
    <col min="7684" max="7684" width="23.33203125" style="132" bestFit="1" customWidth="1"/>
    <col min="7685" max="7685" width="13.6640625" style="132" customWidth="1"/>
    <col min="7686" max="7686" width="12.33203125" style="132" customWidth="1"/>
    <col min="7687" max="7687" width="18.109375" style="132" customWidth="1"/>
    <col min="7688" max="7688" width="14.109375" style="132" bestFit="1" customWidth="1"/>
    <col min="7689" max="7689" width="14.33203125" style="132" bestFit="1" customWidth="1"/>
    <col min="7690" max="7690" width="14" style="132" bestFit="1" customWidth="1"/>
    <col min="7691" max="7936" width="11.44140625" style="132"/>
    <col min="7937" max="7937" width="4.6640625" style="132" customWidth="1"/>
    <col min="7938" max="7938" width="37.6640625" style="132" customWidth="1"/>
    <col min="7939" max="7939" width="27" style="132" bestFit="1" customWidth="1"/>
    <col min="7940" max="7940" width="23.33203125" style="132" bestFit="1" customWidth="1"/>
    <col min="7941" max="7941" width="13.6640625" style="132" customWidth="1"/>
    <col min="7942" max="7942" width="12.33203125" style="132" customWidth="1"/>
    <col min="7943" max="7943" width="18.109375" style="132" customWidth="1"/>
    <col min="7944" max="7944" width="14.109375" style="132" bestFit="1" customWidth="1"/>
    <col min="7945" max="7945" width="14.33203125" style="132" bestFit="1" customWidth="1"/>
    <col min="7946" max="7946" width="14" style="132" bestFit="1" customWidth="1"/>
    <col min="7947" max="8192" width="11.44140625" style="132"/>
    <col min="8193" max="8193" width="4.6640625" style="132" customWidth="1"/>
    <col min="8194" max="8194" width="37.6640625" style="132" customWidth="1"/>
    <col min="8195" max="8195" width="27" style="132" bestFit="1" customWidth="1"/>
    <col min="8196" max="8196" width="23.33203125" style="132" bestFit="1" customWidth="1"/>
    <col min="8197" max="8197" width="13.6640625" style="132" customWidth="1"/>
    <col min="8198" max="8198" width="12.33203125" style="132" customWidth="1"/>
    <col min="8199" max="8199" width="18.109375" style="132" customWidth="1"/>
    <col min="8200" max="8200" width="14.109375" style="132" bestFit="1" customWidth="1"/>
    <col min="8201" max="8201" width="14.33203125" style="132" bestFit="1" customWidth="1"/>
    <col min="8202" max="8202" width="14" style="132" bestFit="1" customWidth="1"/>
    <col min="8203" max="8448" width="11.44140625" style="132"/>
    <col min="8449" max="8449" width="4.6640625" style="132" customWidth="1"/>
    <col min="8450" max="8450" width="37.6640625" style="132" customWidth="1"/>
    <col min="8451" max="8451" width="27" style="132" bestFit="1" customWidth="1"/>
    <col min="8452" max="8452" width="23.33203125" style="132" bestFit="1" customWidth="1"/>
    <col min="8453" max="8453" width="13.6640625" style="132" customWidth="1"/>
    <col min="8454" max="8454" width="12.33203125" style="132" customWidth="1"/>
    <col min="8455" max="8455" width="18.109375" style="132" customWidth="1"/>
    <col min="8456" max="8456" width="14.109375" style="132" bestFit="1" customWidth="1"/>
    <col min="8457" max="8457" width="14.33203125" style="132" bestFit="1" customWidth="1"/>
    <col min="8458" max="8458" width="14" style="132" bestFit="1" customWidth="1"/>
    <col min="8459" max="8704" width="11.44140625" style="132"/>
    <col min="8705" max="8705" width="4.6640625" style="132" customWidth="1"/>
    <col min="8706" max="8706" width="37.6640625" style="132" customWidth="1"/>
    <col min="8707" max="8707" width="27" style="132" bestFit="1" customWidth="1"/>
    <col min="8708" max="8708" width="23.33203125" style="132" bestFit="1" customWidth="1"/>
    <col min="8709" max="8709" width="13.6640625" style="132" customWidth="1"/>
    <col min="8710" max="8710" width="12.33203125" style="132" customWidth="1"/>
    <col min="8711" max="8711" width="18.109375" style="132" customWidth="1"/>
    <col min="8712" max="8712" width="14.109375" style="132" bestFit="1" customWidth="1"/>
    <col min="8713" max="8713" width="14.33203125" style="132" bestFit="1" customWidth="1"/>
    <col min="8714" max="8714" width="14" style="132" bestFit="1" customWidth="1"/>
    <col min="8715" max="8960" width="11.44140625" style="132"/>
    <col min="8961" max="8961" width="4.6640625" style="132" customWidth="1"/>
    <col min="8962" max="8962" width="37.6640625" style="132" customWidth="1"/>
    <col min="8963" max="8963" width="27" style="132" bestFit="1" customWidth="1"/>
    <col min="8964" max="8964" width="23.33203125" style="132" bestFit="1" customWidth="1"/>
    <col min="8965" max="8965" width="13.6640625" style="132" customWidth="1"/>
    <col min="8966" max="8966" width="12.33203125" style="132" customWidth="1"/>
    <col min="8967" max="8967" width="18.109375" style="132" customWidth="1"/>
    <col min="8968" max="8968" width="14.109375" style="132" bestFit="1" customWidth="1"/>
    <col min="8969" max="8969" width="14.33203125" style="132" bestFit="1" customWidth="1"/>
    <col min="8970" max="8970" width="14" style="132" bestFit="1" customWidth="1"/>
    <col min="8971" max="9216" width="11.44140625" style="132"/>
    <col min="9217" max="9217" width="4.6640625" style="132" customWidth="1"/>
    <col min="9218" max="9218" width="37.6640625" style="132" customWidth="1"/>
    <col min="9219" max="9219" width="27" style="132" bestFit="1" customWidth="1"/>
    <col min="9220" max="9220" width="23.33203125" style="132" bestFit="1" customWidth="1"/>
    <col min="9221" max="9221" width="13.6640625" style="132" customWidth="1"/>
    <col min="9222" max="9222" width="12.33203125" style="132" customWidth="1"/>
    <col min="9223" max="9223" width="18.109375" style="132" customWidth="1"/>
    <col min="9224" max="9224" width="14.109375" style="132" bestFit="1" customWidth="1"/>
    <col min="9225" max="9225" width="14.33203125" style="132" bestFit="1" customWidth="1"/>
    <col min="9226" max="9226" width="14" style="132" bestFit="1" customWidth="1"/>
    <col min="9227" max="9472" width="11.44140625" style="132"/>
    <col min="9473" max="9473" width="4.6640625" style="132" customWidth="1"/>
    <col min="9474" max="9474" width="37.6640625" style="132" customWidth="1"/>
    <col min="9475" max="9475" width="27" style="132" bestFit="1" customWidth="1"/>
    <col min="9476" max="9476" width="23.33203125" style="132" bestFit="1" customWidth="1"/>
    <col min="9477" max="9477" width="13.6640625" style="132" customWidth="1"/>
    <col min="9478" max="9478" width="12.33203125" style="132" customWidth="1"/>
    <col min="9479" max="9479" width="18.109375" style="132" customWidth="1"/>
    <col min="9480" max="9480" width="14.109375" style="132" bestFit="1" customWidth="1"/>
    <col min="9481" max="9481" width="14.33203125" style="132" bestFit="1" customWidth="1"/>
    <col min="9482" max="9482" width="14" style="132" bestFit="1" customWidth="1"/>
    <col min="9483" max="9728" width="11.44140625" style="132"/>
    <col min="9729" max="9729" width="4.6640625" style="132" customWidth="1"/>
    <col min="9730" max="9730" width="37.6640625" style="132" customWidth="1"/>
    <col min="9731" max="9731" width="27" style="132" bestFit="1" customWidth="1"/>
    <col min="9732" max="9732" width="23.33203125" style="132" bestFit="1" customWidth="1"/>
    <col min="9733" max="9733" width="13.6640625" style="132" customWidth="1"/>
    <col min="9734" max="9734" width="12.33203125" style="132" customWidth="1"/>
    <col min="9735" max="9735" width="18.109375" style="132" customWidth="1"/>
    <col min="9736" max="9736" width="14.109375" style="132" bestFit="1" customWidth="1"/>
    <col min="9737" max="9737" width="14.33203125" style="132" bestFit="1" customWidth="1"/>
    <col min="9738" max="9738" width="14" style="132" bestFit="1" customWidth="1"/>
    <col min="9739" max="9984" width="11.44140625" style="132"/>
    <col min="9985" max="9985" width="4.6640625" style="132" customWidth="1"/>
    <col min="9986" max="9986" width="37.6640625" style="132" customWidth="1"/>
    <col min="9987" max="9987" width="27" style="132" bestFit="1" customWidth="1"/>
    <col min="9988" max="9988" width="23.33203125" style="132" bestFit="1" customWidth="1"/>
    <col min="9989" max="9989" width="13.6640625" style="132" customWidth="1"/>
    <col min="9990" max="9990" width="12.33203125" style="132" customWidth="1"/>
    <col min="9991" max="9991" width="18.109375" style="132" customWidth="1"/>
    <col min="9992" max="9992" width="14.109375" style="132" bestFit="1" customWidth="1"/>
    <col min="9993" max="9993" width="14.33203125" style="132" bestFit="1" customWidth="1"/>
    <col min="9994" max="9994" width="14" style="132" bestFit="1" customWidth="1"/>
    <col min="9995" max="10240" width="11.44140625" style="132"/>
    <col min="10241" max="10241" width="4.6640625" style="132" customWidth="1"/>
    <col min="10242" max="10242" width="37.6640625" style="132" customWidth="1"/>
    <col min="10243" max="10243" width="27" style="132" bestFit="1" customWidth="1"/>
    <col min="10244" max="10244" width="23.33203125" style="132" bestFit="1" customWidth="1"/>
    <col min="10245" max="10245" width="13.6640625" style="132" customWidth="1"/>
    <col min="10246" max="10246" width="12.33203125" style="132" customWidth="1"/>
    <col min="10247" max="10247" width="18.109375" style="132" customWidth="1"/>
    <col min="10248" max="10248" width="14.109375" style="132" bestFit="1" customWidth="1"/>
    <col min="10249" max="10249" width="14.33203125" style="132" bestFit="1" customWidth="1"/>
    <col min="10250" max="10250" width="14" style="132" bestFit="1" customWidth="1"/>
    <col min="10251" max="10496" width="11.44140625" style="132"/>
    <col min="10497" max="10497" width="4.6640625" style="132" customWidth="1"/>
    <col min="10498" max="10498" width="37.6640625" style="132" customWidth="1"/>
    <col min="10499" max="10499" width="27" style="132" bestFit="1" customWidth="1"/>
    <col min="10500" max="10500" width="23.33203125" style="132" bestFit="1" customWidth="1"/>
    <col min="10501" max="10501" width="13.6640625" style="132" customWidth="1"/>
    <col min="10502" max="10502" width="12.33203125" style="132" customWidth="1"/>
    <col min="10503" max="10503" width="18.109375" style="132" customWidth="1"/>
    <col min="10504" max="10504" width="14.109375" style="132" bestFit="1" customWidth="1"/>
    <col min="10505" max="10505" width="14.33203125" style="132" bestFit="1" customWidth="1"/>
    <col min="10506" max="10506" width="14" style="132" bestFit="1" customWidth="1"/>
    <col min="10507" max="10752" width="11.44140625" style="132"/>
    <col min="10753" max="10753" width="4.6640625" style="132" customWidth="1"/>
    <col min="10754" max="10754" width="37.6640625" style="132" customWidth="1"/>
    <col min="10755" max="10755" width="27" style="132" bestFit="1" customWidth="1"/>
    <col min="10756" max="10756" width="23.33203125" style="132" bestFit="1" customWidth="1"/>
    <col min="10757" max="10757" width="13.6640625" style="132" customWidth="1"/>
    <col min="10758" max="10758" width="12.33203125" style="132" customWidth="1"/>
    <col min="10759" max="10759" width="18.109375" style="132" customWidth="1"/>
    <col min="10760" max="10760" width="14.109375" style="132" bestFit="1" customWidth="1"/>
    <col min="10761" max="10761" width="14.33203125" style="132" bestFit="1" customWidth="1"/>
    <col min="10762" max="10762" width="14" style="132" bestFit="1" customWidth="1"/>
    <col min="10763" max="11008" width="11.44140625" style="132"/>
    <col min="11009" max="11009" width="4.6640625" style="132" customWidth="1"/>
    <col min="11010" max="11010" width="37.6640625" style="132" customWidth="1"/>
    <col min="11011" max="11011" width="27" style="132" bestFit="1" customWidth="1"/>
    <col min="11012" max="11012" width="23.33203125" style="132" bestFit="1" customWidth="1"/>
    <col min="11013" max="11013" width="13.6640625" style="132" customWidth="1"/>
    <col min="11014" max="11014" width="12.33203125" style="132" customWidth="1"/>
    <col min="11015" max="11015" width="18.109375" style="132" customWidth="1"/>
    <col min="11016" max="11016" width="14.109375" style="132" bestFit="1" customWidth="1"/>
    <col min="11017" max="11017" width="14.33203125" style="132" bestFit="1" customWidth="1"/>
    <col min="11018" max="11018" width="14" style="132" bestFit="1" customWidth="1"/>
    <col min="11019" max="11264" width="11.44140625" style="132"/>
    <col min="11265" max="11265" width="4.6640625" style="132" customWidth="1"/>
    <col min="11266" max="11266" width="37.6640625" style="132" customWidth="1"/>
    <col min="11267" max="11267" width="27" style="132" bestFit="1" customWidth="1"/>
    <col min="11268" max="11268" width="23.33203125" style="132" bestFit="1" customWidth="1"/>
    <col min="11269" max="11269" width="13.6640625" style="132" customWidth="1"/>
    <col min="11270" max="11270" width="12.33203125" style="132" customWidth="1"/>
    <col min="11271" max="11271" width="18.109375" style="132" customWidth="1"/>
    <col min="11272" max="11272" width="14.109375" style="132" bestFit="1" customWidth="1"/>
    <col min="11273" max="11273" width="14.33203125" style="132" bestFit="1" customWidth="1"/>
    <col min="11274" max="11274" width="14" style="132" bestFit="1" customWidth="1"/>
    <col min="11275" max="11520" width="11.44140625" style="132"/>
    <col min="11521" max="11521" width="4.6640625" style="132" customWidth="1"/>
    <col min="11522" max="11522" width="37.6640625" style="132" customWidth="1"/>
    <col min="11523" max="11523" width="27" style="132" bestFit="1" customWidth="1"/>
    <col min="11524" max="11524" width="23.33203125" style="132" bestFit="1" customWidth="1"/>
    <col min="11525" max="11525" width="13.6640625" style="132" customWidth="1"/>
    <col min="11526" max="11526" width="12.33203125" style="132" customWidth="1"/>
    <col min="11527" max="11527" width="18.109375" style="132" customWidth="1"/>
    <col min="11528" max="11528" width="14.109375" style="132" bestFit="1" customWidth="1"/>
    <col min="11529" max="11529" width="14.33203125" style="132" bestFit="1" customWidth="1"/>
    <col min="11530" max="11530" width="14" style="132" bestFit="1" customWidth="1"/>
    <col min="11531" max="11776" width="11.44140625" style="132"/>
    <col min="11777" max="11777" width="4.6640625" style="132" customWidth="1"/>
    <col min="11778" max="11778" width="37.6640625" style="132" customWidth="1"/>
    <col min="11779" max="11779" width="27" style="132" bestFit="1" customWidth="1"/>
    <col min="11780" max="11780" width="23.33203125" style="132" bestFit="1" customWidth="1"/>
    <col min="11781" max="11781" width="13.6640625" style="132" customWidth="1"/>
    <col min="11782" max="11782" width="12.33203125" style="132" customWidth="1"/>
    <col min="11783" max="11783" width="18.109375" style="132" customWidth="1"/>
    <col min="11784" max="11784" width="14.109375" style="132" bestFit="1" customWidth="1"/>
    <col min="11785" max="11785" width="14.33203125" style="132" bestFit="1" customWidth="1"/>
    <col min="11786" max="11786" width="14" style="132" bestFit="1" customWidth="1"/>
    <col min="11787" max="12032" width="11.44140625" style="132"/>
    <col min="12033" max="12033" width="4.6640625" style="132" customWidth="1"/>
    <col min="12034" max="12034" width="37.6640625" style="132" customWidth="1"/>
    <col min="12035" max="12035" width="27" style="132" bestFit="1" customWidth="1"/>
    <col min="12036" max="12036" width="23.33203125" style="132" bestFit="1" customWidth="1"/>
    <col min="12037" max="12037" width="13.6640625" style="132" customWidth="1"/>
    <col min="12038" max="12038" width="12.33203125" style="132" customWidth="1"/>
    <col min="12039" max="12039" width="18.109375" style="132" customWidth="1"/>
    <col min="12040" max="12040" width="14.109375" style="132" bestFit="1" customWidth="1"/>
    <col min="12041" max="12041" width="14.33203125" style="132" bestFit="1" customWidth="1"/>
    <col min="12042" max="12042" width="14" style="132" bestFit="1" customWidth="1"/>
    <col min="12043" max="12288" width="11.44140625" style="132"/>
    <col min="12289" max="12289" width="4.6640625" style="132" customWidth="1"/>
    <col min="12290" max="12290" width="37.6640625" style="132" customWidth="1"/>
    <col min="12291" max="12291" width="27" style="132" bestFit="1" customWidth="1"/>
    <col min="12292" max="12292" width="23.33203125" style="132" bestFit="1" customWidth="1"/>
    <col min="12293" max="12293" width="13.6640625" style="132" customWidth="1"/>
    <col min="12294" max="12294" width="12.33203125" style="132" customWidth="1"/>
    <col min="12295" max="12295" width="18.109375" style="132" customWidth="1"/>
    <col min="12296" max="12296" width="14.109375" style="132" bestFit="1" customWidth="1"/>
    <col min="12297" max="12297" width="14.33203125" style="132" bestFit="1" customWidth="1"/>
    <col min="12298" max="12298" width="14" style="132" bestFit="1" customWidth="1"/>
    <col min="12299" max="12544" width="11.44140625" style="132"/>
    <col min="12545" max="12545" width="4.6640625" style="132" customWidth="1"/>
    <col min="12546" max="12546" width="37.6640625" style="132" customWidth="1"/>
    <col min="12547" max="12547" width="27" style="132" bestFit="1" customWidth="1"/>
    <col min="12548" max="12548" width="23.33203125" style="132" bestFit="1" customWidth="1"/>
    <col min="12549" max="12549" width="13.6640625" style="132" customWidth="1"/>
    <col min="12550" max="12550" width="12.33203125" style="132" customWidth="1"/>
    <col min="12551" max="12551" width="18.109375" style="132" customWidth="1"/>
    <col min="12552" max="12552" width="14.109375" style="132" bestFit="1" customWidth="1"/>
    <col min="12553" max="12553" width="14.33203125" style="132" bestFit="1" customWidth="1"/>
    <col min="12554" max="12554" width="14" style="132" bestFit="1" customWidth="1"/>
    <col min="12555" max="12800" width="11.44140625" style="132"/>
    <col min="12801" max="12801" width="4.6640625" style="132" customWidth="1"/>
    <col min="12802" max="12802" width="37.6640625" style="132" customWidth="1"/>
    <col min="12803" max="12803" width="27" style="132" bestFit="1" customWidth="1"/>
    <col min="12804" max="12804" width="23.33203125" style="132" bestFit="1" customWidth="1"/>
    <col min="12805" max="12805" width="13.6640625" style="132" customWidth="1"/>
    <col min="12806" max="12806" width="12.33203125" style="132" customWidth="1"/>
    <col min="12807" max="12807" width="18.109375" style="132" customWidth="1"/>
    <col min="12808" max="12808" width="14.109375" style="132" bestFit="1" customWidth="1"/>
    <col min="12809" max="12809" width="14.33203125" style="132" bestFit="1" customWidth="1"/>
    <col min="12810" max="12810" width="14" style="132" bestFit="1" customWidth="1"/>
    <col min="12811" max="13056" width="11.44140625" style="132"/>
    <col min="13057" max="13057" width="4.6640625" style="132" customWidth="1"/>
    <col min="13058" max="13058" width="37.6640625" style="132" customWidth="1"/>
    <col min="13059" max="13059" width="27" style="132" bestFit="1" customWidth="1"/>
    <col min="13060" max="13060" width="23.33203125" style="132" bestFit="1" customWidth="1"/>
    <col min="13061" max="13061" width="13.6640625" style="132" customWidth="1"/>
    <col min="13062" max="13062" width="12.33203125" style="132" customWidth="1"/>
    <col min="13063" max="13063" width="18.109375" style="132" customWidth="1"/>
    <col min="13064" max="13064" width="14.109375" style="132" bestFit="1" customWidth="1"/>
    <col min="13065" max="13065" width="14.33203125" style="132" bestFit="1" customWidth="1"/>
    <col min="13066" max="13066" width="14" style="132" bestFit="1" customWidth="1"/>
    <col min="13067" max="13312" width="11.44140625" style="132"/>
    <col min="13313" max="13313" width="4.6640625" style="132" customWidth="1"/>
    <col min="13314" max="13314" width="37.6640625" style="132" customWidth="1"/>
    <col min="13315" max="13315" width="27" style="132" bestFit="1" customWidth="1"/>
    <col min="13316" max="13316" width="23.33203125" style="132" bestFit="1" customWidth="1"/>
    <col min="13317" max="13317" width="13.6640625" style="132" customWidth="1"/>
    <col min="13318" max="13318" width="12.33203125" style="132" customWidth="1"/>
    <col min="13319" max="13319" width="18.109375" style="132" customWidth="1"/>
    <col min="13320" max="13320" width="14.109375" style="132" bestFit="1" customWidth="1"/>
    <col min="13321" max="13321" width="14.33203125" style="132" bestFit="1" customWidth="1"/>
    <col min="13322" max="13322" width="14" style="132" bestFit="1" customWidth="1"/>
    <col min="13323" max="13568" width="11.44140625" style="132"/>
    <col min="13569" max="13569" width="4.6640625" style="132" customWidth="1"/>
    <col min="13570" max="13570" width="37.6640625" style="132" customWidth="1"/>
    <col min="13571" max="13571" width="27" style="132" bestFit="1" customWidth="1"/>
    <col min="13572" max="13572" width="23.33203125" style="132" bestFit="1" customWidth="1"/>
    <col min="13573" max="13573" width="13.6640625" style="132" customWidth="1"/>
    <col min="13574" max="13574" width="12.33203125" style="132" customWidth="1"/>
    <col min="13575" max="13575" width="18.109375" style="132" customWidth="1"/>
    <col min="13576" max="13576" width="14.109375" style="132" bestFit="1" customWidth="1"/>
    <col min="13577" max="13577" width="14.33203125" style="132" bestFit="1" customWidth="1"/>
    <col min="13578" max="13578" width="14" style="132" bestFit="1" customWidth="1"/>
    <col min="13579" max="13824" width="11.44140625" style="132"/>
    <col min="13825" max="13825" width="4.6640625" style="132" customWidth="1"/>
    <col min="13826" max="13826" width="37.6640625" style="132" customWidth="1"/>
    <col min="13827" max="13827" width="27" style="132" bestFit="1" customWidth="1"/>
    <col min="13828" max="13828" width="23.33203125" style="132" bestFit="1" customWidth="1"/>
    <col min="13829" max="13829" width="13.6640625" style="132" customWidth="1"/>
    <col min="13830" max="13830" width="12.33203125" style="132" customWidth="1"/>
    <col min="13831" max="13831" width="18.109375" style="132" customWidth="1"/>
    <col min="13832" max="13832" width="14.109375" style="132" bestFit="1" customWidth="1"/>
    <col min="13833" max="13833" width="14.33203125" style="132" bestFit="1" customWidth="1"/>
    <col min="13834" max="13834" width="14" style="132" bestFit="1" customWidth="1"/>
    <col min="13835" max="14080" width="11.44140625" style="132"/>
    <col min="14081" max="14081" width="4.6640625" style="132" customWidth="1"/>
    <col min="14082" max="14082" width="37.6640625" style="132" customWidth="1"/>
    <col min="14083" max="14083" width="27" style="132" bestFit="1" customWidth="1"/>
    <col min="14084" max="14084" width="23.33203125" style="132" bestFit="1" customWidth="1"/>
    <col min="14085" max="14085" width="13.6640625" style="132" customWidth="1"/>
    <col min="14086" max="14086" width="12.33203125" style="132" customWidth="1"/>
    <col min="14087" max="14087" width="18.109375" style="132" customWidth="1"/>
    <col min="14088" max="14088" width="14.109375" style="132" bestFit="1" customWidth="1"/>
    <col min="14089" max="14089" width="14.33203125" style="132" bestFit="1" customWidth="1"/>
    <col min="14090" max="14090" width="14" style="132" bestFit="1" customWidth="1"/>
    <col min="14091" max="14336" width="11.44140625" style="132"/>
    <col min="14337" max="14337" width="4.6640625" style="132" customWidth="1"/>
    <col min="14338" max="14338" width="37.6640625" style="132" customWidth="1"/>
    <col min="14339" max="14339" width="27" style="132" bestFit="1" customWidth="1"/>
    <col min="14340" max="14340" width="23.33203125" style="132" bestFit="1" customWidth="1"/>
    <col min="14341" max="14341" width="13.6640625" style="132" customWidth="1"/>
    <col min="14342" max="14342" width="12.33203125" style="132" customWidth="1"/>
    <col min="14343" max="14343" width="18.109375" style="132" customWidth="1"/>
    <col min="14344" max="14344" width="14.109375" style="132" bestFit="1" customWidth="1"/>
    <col min="14345" max="14345" width="14.33203125" style="132" bestFit="1" customWidth="1"/>
    <col min="14346" max="14346" width="14" style="132" bestFit="1" customWidth="1"/>
    <col min="14347" max="14592" width="11.44140625" style="132"/>
    <col min="14593" max="14593" width="4.6640625" style="132" customWidth="1"/>
    <col min="14594" max="14594" width="37.6640625" style="132" customWidth="1"/>
    <col min="14595" max="14595" width="27" style="132" bestFit="1" customWidth="1"/>
    <col min="14596" max="14596" width="23.33203125" style="132" bestFit="1" customWidth="1"/>
    <col min="14597" max="14597" width="13.6640625" style="132" customWidth="1"/>
    <col min="14598" max="14598" width="12.33203125" style="132" customWidth="1"/>
    <col min="14599" max="14599" width="18.109375" style="132" customWidth="1"/>
    <col min="14600" max="14600" width="14.109375" style="132" bestFit="1" customWidth="1"/>
    <col min="14601" max="14601" width="14.33203125" style="132" bestFit="1" customWidth="1"/>
    <col min="14602" max="14602" width="14" style="132" bestFit="1" customWidth="1"/>
    <col min="14603" max="14848" width="11.44140625" style="132"/>
    <col min="14849" max="14849" width="4.6640625" style="132" customWidth="1"/>
    <col min="14850" max="14850" width="37.6640625" style="132" customWidth="1"/>
    <col min="14851" max="14851" width="27" style="132" bestFit="1" customWidth="1"/>
    <col min="14852" max="14852" width="23.33203125" style="132" bestFit="1" customWidth="1"/>
    <col min="14853" max="14853" width="13.6640625" style="132" customWidth="1"/>
    <col min="14854" max="14854" width="12.33203125" style="132" customWidth="1"/>
    <col min="14855" max="14855" width="18.109375" style="132" customWidth="1"/>
    <col min="14856" max="14856" width="14.109375" style="132" bestFit="1" customWidth="1"/>
    <col min="14857" max="14857" width="14.33203125" style="132" bestFit="1" customWidth="1"/>
    <col min="14858" max="14858" width="14" style="132" bestFit="1" customWidth="1"/>
    <col min="14859" max="15104" width="11.44140625" style="132"/>
    <col min="15105" max="15105" width="4.6640625" style="132" customWidth="1"/>
    <col min="15106" max="15106" width="37.6640625" style="132" customWidth="1"/>
    <col min="15107" max="15107" width="27" style="132" bestFit="1" customWidth="1"/>
    <col min="15108" max="15108" width="23.33203125" style="132" bestFit="1" customWidth="1"/>
    <col min="15109" max="15109" width="13.6640625" style="132" customWidth="1"/>
    <col min="15110" max="15110" width="12.33203125" style="132" customWidth="1"/>
    <col min="15111" max="15111" width="18.109375" style="132" customWidth="1"/>
    <col min="15112" max="15112" width="14.109375" style="132" bestFit="1" customWidth="1"/>
    <col min="15113" max="15113" width="14.33203125" style="132" bestFit="1" customWidth="1"/>
    <col min="15114" max="15114" width="14" style="132" bestFit="1" customWidth="1"/>
    <col min="15115" max="15360" width="11.44140625" style="132"/>
    <col min="15361" max="15361" width="4.6640625" style="132" customWidth="1"/>
    <col min="15362" max="15362" width="37.6640625" style="132" customWidth="1"/>
    <col min="15363" max="15363" width="27" style="132" bestFit="1" customWidth="1"/>
    <col min="15364" max="15364" width="23.33203125" style="132" bestFit="1" customWidth="1"/>
    <col min="15365" max="15365" width="13.6640625" style="132" customWidth="1"/>
    <col min="15366" max="15366" width="12.33203125" style="132" customWidth="1"/>
    <col min="15367" max="15367" width="18.109375" style="132" customWidth="1"/>
    <col min="15368" max="15368" width="14.109375" style="132" bestFit="1" customWidth="1"/>
    <col min="15369" max="15369" width="14.33203125" style="132" bestFit="1" customWidth="1"/>
    <col min="15370" max="15370" width="14" style="132" bestFit="1" customWidth="1"/>
    <col min="15371" max="15616" width="11.44140625" style="132"/>
    <col min="15617" max="15617" width="4.6640625" style="132" customWidth="1"/>
    <col min="15618" max="15618" width="37.6640625" style="132" customWidth="1"/>
    <col min="15619" max="15619" width="27" style="132" bestFit="1" customWidth="1"/>
    <col min="15620" max="15620" width="23.33203125" style="132" bestFit="1" customWidth="1"/>
    <col min="15621" max="15621" width="13.6640625" style="132" customWidth="1"/>
    <col min="15622" max="15622" width="12.33203125" style="132" customWidth="1"/>
    <col min="15623" max="15623" width="18.109375" style="132" customWidth="1"/>
    <col min="15624" max="15624" width="14.109375" style="132" bestFit="1" customWidth="1"/>
    <col min="15625" max="15625" width="14.33203125" style="132" bestFit="1" customWidth="1"/>
    <col min="15626" max="15626" width="14" style="132" bestFit="1" customWidth="1"/>
    <col min="15627" max="15872" width="11.44140625" style="132"/>
    <col min="15873" max="15873" width="4.6640625" style="132" customWidth="1"/>
    <col min="15874" max="15874" width="37.6640625" style="132" customWidth="1"/>
    <col min="15875" max="15875" width="27" style="132" bestFit="1" customWidth="1"/>
    <col min="15876" max="15876" width="23.33203125" style="132" bestFit="1" customWidth="1"/>
    <col min="15877" max="15877" width="13.6640625" style="132" customWidth="1"/>
    <col min="15878" max="15878" width="12.33203125" style="132" customWidth="1"/>
    <col min="15879" max="15879" width="18.109375" style="132" customWidth="1"/>
    <col min="15880" max="15880" width="14.109375" style="132" bestFit="1" customWidth="1"/>
    <col min="15881" max="15881" width="14.33203125" style="132" bestFit="1" customWidth="1"/>
    <col min="15882" max="15882" width="14" style="132" bestFit="1" customWidth="1"/>
    <col min="15883" max="16128" width="11.44140625" style="132"/>
    <col min="16129" max="16129" width="4.6640625" style="132" customWidth="1"/>
    <col min="16130" max="16130" width="37.6640625" style="132" customWidth="1"/>
    <col min="16131" max="16131" width="27" style="132" bestFit="1" customWidth="1"/>
    <col min="16132" max="16132" width="23.33203125" style="132" bestFit="1" customWidth="1"/>
    <col min="16133" max="16133" width="13.6640625" style="132" customWidth="1"/>
    <col min="16134" max="16134" width="12.33203125" style="132" customWidth="1"/>
    <col min="16135" max="16135" width="18.109375" style="132" customWidth="1"/>
    <col min="16136" max="16136" width="14.109375" style="132" bestFit="1" customWidth="1"/>
    <col min="16137" max="16137" width="14.33203125" style="132" bestFit="1" customWidth="1"/>
    <col min="16138" max="16138" width="14" style="132" bestFit="1" customWidth="1"/>
    <col min="16139" max="16384" width="11.44140625" style="132"/>
  </cols>
  <sheetData>
    <row r="1" spans="2:10" ht="44.1" customHeight="1">
      <c r="C1" s="815"/>
    </row>
    <row r="3" spans="2:10" ht="36" customHeight="1">
      <c r="B3" s="755" t="s">
        <v>445</v>
      </c>
      <c r="C3" s="755"/>
      <c r="D3" s="755"/>
      <c r="E3" s="755"/>
      <c r="F3" s="755"/>
      <c r="G3" s="755"/>
      <c r="H3" s="755"/>
    </row>
    <row r="4" spans="2:10" ht="15" thickBot="1">
      <c r="B4" s="411" t="s">
        <v>665</v>
      </c>
    </row>
    <row r="5" spans="2:10" ht="35.25" customHeight="1" thickBot="1">
      <c r="B5" s="152"/>
      <c r="C5" s="153"/>
      <c r="D5" s="154"/>
      <c r="E5" s="153"/>
      <c r="F5" s="153"/>
      <c r="G5" s="753" t="s">
        <v>446</v>
      </c>
      <c r="H5" s="754"/>
    </row>
    <row r="6" spans="2:10" ht="24">
      <c r="B6" s="155" t="s">
        <v>447</v>
      </c>
      <c r="C6" s="155" t="s">
        <v>448</v>
      </c>
      <c r="D6" s="155" t="s">
        <v>449</v>
      </c>
      <c r="E6" s="155" t="s">
        <v>454</v>
      </c>
      <c r="F6" s="155" t="s">
        <v>404</v>
      </c>
      <c r="G6" s="565">
        <v>44834</v>
      </c>
      <c r="H6" s="565">
        <v>44561</v>
      </c>
    </row>
    <row r="7" spans="2:10" s="204" customFormat="1">
      <c r="B7" s="805" t="s">
        <v>458</v>
      </c>
      <c r="C7" s="805" t="s">
        <v>450</v>
      </c>
      <c r="D7" s="805" t="s">
        <v>451</v>
      </c>
      <c r="E7" s="806">
        <v>44196</v>
      </c>
      <c r="F7" s="806">
        <v>44561</v>
      </c>
      <c r="G7" s="807">
        <v>187668363.87899998</v>
      </c>
      <c r="H7" s="808">
        <f>107025112+35369418</f>
        <v>142394530</v>
      </c>
      <c r="J7" s="814"/>
    </row>
    <row r="8" spans="2:10" s="204" customFormat="1">
      <c r="B8" s="805" t="s">
        <v>537</v>
      </c>
      <c r="C8" s="805" t="s">
        <v>450</v>
      </c>
      <c r="D8" s="805" t="s">
        <v>451</v>
      </c>
      <c r="E8" s="806">
        <v>44197</v>
      </c>
      <c r="F8" s="806">
        <v>44561</v>
      </c>
      <c r="G8" s="809">
        <v>168745865.53539997</v>
      </c>
      <c r="H8" s="808">
        <f>65623318+10105587</f>
        <v>75728905</v>
      </c>
      <c r="J8" s="814"/>
    </row>
    <row r="9" spans="2:10" s="204" customFormat="1">
      <c r="B9" s="805" t="s">
        <v>538</v>
      </c>
      <c r="C9" s="805" t="s">
        <v>450</v>
      </c>
      <c r="D9" s="805" t="s">
        <v>451</v>
      </c>
      <c r="E9" s="806">
        <v>44198</v>
      </c>
      <c r="F9" s="806">
        <v>44561</v>
      </c>
      <c r="G9" s="809">
        <v>111930979.05</v>
      </c>
      <c r="H9" s="808">
        <f>271294257.926+21230803</f>
        <v>292525060.926</v>
      </c>
      <c r="J9" s="814"/>
    </row>
    <row r="10" spans="2:10" s="204" customFormat="1">
      <c r="B10" s="805" t="s">
        <v>539</v>
      </c>
      <c r="C10" s="805" t="s">
        <v>452</v>
      </c>
      <c r="D10" s="805" t="s">
        <v>926</v>
      </c>
      <c r="E10" s="806">
        <v>44560</v>
      </c>
      <c r="F10" s="806">
        <v>44561</v>
      </c>
      <c r="G10" s="808">
        <v>1500000000</v>
      </c>
      <c r="H10" s="808">
        <v>110000</v>
      </c>
      <c r="J10" s="814"/>
    </row>
    <row r="11" spans="2:10" s="204" customFormat="1">
      <c r="B11" s="805" t="s">
        <v>496</v>
      </c>
      <c r="C11" s="805" t="s">
        <v>452</v>
      </c>
      <c r="D11" s="805" t="s">
        <v>451</v>
      </c>
      <c r="E11" s="810">
        <v>43508</v>
      </c>
      <c r="F11" s="806">
        <v>43830</v>
      </c>
      <c r="G11" s="808">
        <v>0</v>
      </c>
      <c r="H11" s="808">
        <v>0</v>
      </c>
      <c r="J11" s="814"/>
    </row>
    <row r="12" spans="2:10" s="204" customFormat="1">
      <c r="B12" s="805" t="s">
        <v>540</v>
      </c>
      <c r="C12" s="805" t="s">
        <v>450</v>
      </c>
      <c r="D12" s="805" t="s">
        <v>451</v>
      </c>
      <c r="E12" s="806">
        <v>43465</v>
      </c>
      <c r="F12" s="806">
        <v>43830</v>
      </c>
      <c r="G12" s="808">
        <v>59860685</v>
      </c>
      <c r="H12" s="808">
        <v>59860685</v>
      </c>
      <c r="J12" s="814"/>
    </row>
    <row r="13" spans="2:10" s="204" customFormat="1">
      <c r="B13" s="811" t="s">
        <v>459</v>
      </c>
      <c r="C13" s="811" t="s">
        <v>450</v>
      </c>
      <c r="D13" s="805" t="s">
        <v>451</v>
      </c>
      <c r="E13" s="806">
        <v>44196</v>
      </c>
      <c r="F13" s="806">
        <v>44561</v>
      </c>
      <c r="G13" s="808">
        <v>774516587.77250004</v>
      </c>
      <c r="H13" s="808">
        <f>520850857+35199297+1</f>
        <v>556050155</v>
      </c>
      <c r="J13" s="814"/>
    </row>
    <row r="14" spans="2:10" s="204" customFormat="1">
      <c r="B14" s="805" t="s">
        <v>541</v>
      </c>
      <c r="C14" s="805" t="s">
        <v>452</v>
      </c>
      <c r="D14" s="805" t="s">
        <v>451</v>
      </c>
      <c r="E14" s="812">
        <v>0</v>
      </c>
      <c r="F14" s="812">
        <v>0</v>
      </c>
      <c r="G14" s="808">
        <v>0</v>
      </c>
      <c r="H14" s="808">
        <v>0</v>
      </c>
      <c r="J14" s="814"/>
    </row>
    <row r="15" spans="2:10" s="204" customFormat="1">
      <c r="B15" s="813" t="s">
        <v>542</v>
      </c>
      <c r="C15" s="805" t="s">
        <v>453</v>
      </c>
      <c r="D15" s="805" t="s">
        <v>451</v>
      </c>
      <c r="E15" s="806">
        <v>43830</v>
      </c>
      <c r="F15" s="805" t="s">
        <v>685</v>
      </c>
      <c r="G15" s="808">
        <v>48355413.769999996</v>
      </c>
      <c r="H15" s="808">
        <v>46185063.769999996</v>
      </c>
      <c r="J15" s="814"/>
    </row>
    <row r="16" spans="2:10" s="204" customFormat="1">
      <c r="B16" s="813" t="s">
        <v>543</v>
      </c>
      <c r="C16" s="805" t="s">
        <v>959</v>
      </c>
      <c r="D16" s="805" t="s">
        <v>451</v>
      </c>
      <c r="E16" s="806">
        <v>43830</v>
      </c>
      <c r="F16" s="805" t="s">
        <v>685</v>
      </c>
      <c r="G16" s="808">
        <v>11365743.34</v>
      </c>
      <c r="H16" s="808">
        <v>10939076.34</v>
      </c>
      <c r="J16" s="814"/>
    </row>
    <row r="17" spans="2:11" s="204" customFormat="1">
      <c r="B17" s="813" t="s">
        <v>544</v>
      </c>
      <c r="C17" s="805" t="s">
        <v>452</v>
      </c>
      <c r="D17" s="805" t="s">
        <v>451</v>
      </c>
      <c r="E17" s="812">
        <v>0</v>
      </c>
      <c r="F17" s="812">
        <v>0</v>
      </c>
      <c r="G17" s="808">
        <v>0</v>
      </c>
      <c r="H17" s="808">
        <v>0</v>
      </c>
      <c r="I17" s="814"/>
      <c r="J17" s="814"/>
    </row>
    <row r="18" spans="2:11" s="204" customFormat="1">
      <c r="B18" s="813" t="s">
        <v>497</v>
      </c>
      <c r="C18" s="805" t="s">
        <v>452</v>
      </c>
      <c r="D18" s="805" t="s">
        <v>451</v>
      </c>
      <c r="E18" s="812">
        <v>0</v>
      </c>
      <c r="F18" s="812">
        <v>0</v>
      </c>
      <c r="G18" s="808">
        <v>0</v>
      </c>
      <c r="H18" s="808">
        <v>0</v>
      </c>
      <c r="I18" s="814"/>
      <c r="J18" s="814"/>
    </row>
    <row r="19" spans="2:11" s="204" customFormat="1">
      <c r="B19" s="813" t="s">
        <v>545</v>
      </c>
      <c r="C19" s="805" t="s">
        <v>450</v>
      </c>
      <c r="D19" s="805" t="s">
        <v>451</v>
      </c>
      <c r="E19" s="812">
        <v>0</v>
      </c>
      <c r="F19" s="805" t="s">
        <v>685</v>
      </c>
      <c r="G19" s="809">
        <v>142396484</v>
      </c>
      <c r="H19" s="808">
        <v>125545847</v>
      </c>
      <c r="I19" s="814"/>
      <c r="J19" s="814"/>
    </row>
    <row r="20" spans="2:11">
      <c r="B20" s="137" t="s">
        <v>1024</v>
      </c>
      <c r="C20" s="51"/>
      <c r="D20" s="156"/>
      <c r="E20" s="156"/>
      <c r="F20" s="156"/>
      <c r="G20" s="157">
        <f>SUM(G7:G19)</f>
        <v>3004840122.3469005</v>
      </c>
      <c r="H20" s="158">
        <v>0</v>
      </c>
      <c r="I20" s="159"/>
      <c r="K20" s="159"/>
    </row>
    <row r="21" spans="2:11">
      <c r="B21" s="137" t="s">
        <v>893</v>
      </c>
      <c r="C21" s="51"/>
      <c r="D21" s="51"/>
      <c r="E21" s="51"/>
      <c r="F21" s="51"/>
      <c r="G21" s="157">
        <v>0</v>
      </c>
      <c r="H21" s="157">
        <f>SUM(H7:H20)</f>
        <v>1309339323.036</v>
      </c>
      <c r="K21" s="159"/>
    </row>
    <row r="26" spans="2:11">
      <c r="E26" s="416"/>
      <c r="F26" s="416"/>
    </row>
  </sheetData>
  <autoFilter ref="B6:H21" xr:uid="{204873A6-6C2C-4A9D-85A7-DDA16D655887}"/>
  <mergeCells count="2">
    <mergeCell ref="B3:H3"/>
    <mergeCell ref="G5:H5"/>
  </mergeCells>
  <hyperlinks>
    <hyperlink ref="B4" location="'Balance Gral. Resol. 30'!A1" display="'Balance Gral. Resol. 30'!A1" xr:uid="{3397FE5B-4739-4E73-A8E1-E67778D3EF97}"/>
  </hyperlink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tabColor rgb="FF002060"/>
  </sheetPr>
  <dimension ref="B1:O37"/>
  <sheetViews>
    <sheetView showGridLines="0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50.88671875" style="25" bestFit="1" customWidth="1"/>
    <col min="3" max="3" width="13" style="39" bestFit="1" customWidth="1"/>
    <col min="4" max="4" width="13" style="25" bestFit="1" customWidth="1"/>
    <col min="5" max="5" width="11.44140625" style="25"/>
    <col min="6" max="6" width="12" style="25" hidden="1" customWidth="1"/>
    <col min="7" max="8" width="0" style="25" hidden="1" customWidth="1"/>
    <col min="9" max="9" width="12.44140625" style="25" bestFit="1" customWidth="1"/>
    <col min="10" max="16384" width="11.44140625" style="25"/>
  </cols>
  <sheetData>
    <row r="1" spans="2:8" ht="40.200000000000003" customHeight="1">
      <c r="B1" s="201"/>
    </row>
    <row r="2" spans="2:8" ht="40.200000000000003" customHeight="1">
      <c r="B2" s="436"/>
    </row>
    <row r="3" spans="2:8" ht="30.6" customHeight="1">
      <c r="B3" s="713" t="s">
        <v>699</v>
      </c>
      <c r="C3" s="713"/>
      <c r="D3" s="713"/>
    </row>
    <row r="4" spans="2:8">
      <c r="B4" s="109"/>
    </row>
    <row r="5" spans="2:8">
      <c r="B5" s="88" t="s">
        <v>455</v>
      </c>
      <c r="C5" s="160" t="s">
        <v>456</v>
      </c>
      <c r="D5" s="88" t="s">
        <v>457</v>
      </c>
      <c r="H5" s="39"/>
    </row>
    <row r="6" spans="2:8">
      <c r="B6" s="161" t="s">
        <v>583</v>
      </c>
      <c r="C6" s="162">
        <v>32821020</v>
      </c>
      <c r="D6" s="163">
        <v>637293561</v>
      </c>
      <c r="F6" s="39"/>
      <c r="G6" s="39"/>
      <c r="H6" s="39"/>
    </row>
    <row r="7" spans="2:8">
      <c r="B7" s="161" t="s">
        <v>585</v>
      </c>
      <c r="C7" s="163">
        <v>51000</v>
      </c>
      <c r="D7" s="163">
        <v>525167361</v>
      </c>
      <c r="F7" s="39"/>
      <c r="G7" s="39"/>
      <c r="H7" s="39"/>
    </row>
    <row r="8" spans="2:8">
      <c r="B8" s="161" t="s">
        <v>584</v>
      </c>
      <c r="C8" s="163">
        <v>0</v>
      </c>
      <c r="D8" s="97">
        <v>635903361</v>
      </c>
      <c r="F8" s="39"/>
      <c r="G8" s="39"/>
      <c r="H8" s="55"/>
    </row>
    <row r="9" spans="2:8">
      <c r="B9" s="161" t="s">
        <v>496</v>
      </c>
      <c r="C9" s="163">
        <v>1134336708.1199999</v>
      </c>
      <c r="D9" s="97">
        <v>0</v>
      </c>
      <c r="F9" s="39"/>
      <c r="G9" s="39"/>
      <c r="H9" s="55"/>
    </row>
    <row r="10" spans="2:8">
      <c r="B10" s="161" t="s">
        <v>497</v>
      </c>
      <c r="C10" s="163">
        <v>0</v>
      </c>
      <c r="D10" s="97">
        <v>7742900</v>
      </c>
      <c r="F10" s="39"/>
      <c r="G10" s="39"/>
      <c r="H10" s="55"/>
    </row>
    <row r="11" spans="2:8">
      <c r="B11" s="161" t="s">
        <v>928</v>
      </c>
      <c r="C11" s="163">
        <v>163319806.82999998</v>
      </c>
      <c r="D11" s="97">
        <v>73493940</v>
      </c>
      <c r="F11" s="39"/>
      <c r="G11" s="39"/>
      <c r="H11" s="55"/>
    </row>
    <row r="12" spans="2:8">
      <c r="B12" s="161" t="s">
        <v>927</v>
      </c>
      <c r="C12" s="97">
        <v>29321264.740000002</v>
      </c>
      <c r="D12" s="163">
        <v>1320000</v>
      </c>
      <c r="E12" s="115"/>
      <c r="F12" s="39"/>
      <c r="G12" s="39"/>
      <c r="H12" s="55"/>
    </row>
    <row r="13" spans="2:8">
      <c r="B13" s="161" t="s">
        <v>459</v>
      </c>
      <c r="C13" s="97">
        <v>175262364.87</v>
      </c>
      <c r="D13" s="163">
        <v>0</v>
      </c>
      <c r="E13" s="115"/>
      <c r="F13" s="39"/>
      <c r="G13" s="39"/>
    </row>
    <row r="14" spans="2:8">
      <c r="B14" s="161" t="s">
        <v>460</v>
      </c>
      <c r="C14" s="97">
        <v>155406687.75999999</v>
      </c>
      <c r="D14" s="163">
        <v>9092347</v>
      </c>
      <c r="F14" s="39"/>
      <c r="G14" s="39"/>
    </row>
    <row r="15" spans="2:8">
      <c r="B15" s="161" t="s">
        <v>504</v>
      </c>
      <c r="C15" s="97">
        <v>6627900</v>
      </c>
      <c r="D15" s="163">
        <v>126338825.5</v>
      </c>
      <c r="F15" s="39"/>
      <c r="G15" s="39"/>
    </row>
    <row r="16" spans="2:8">
      <c r="B16" s="161" t="s">
        <v>586</v>
      </c>
      <c r="C16" s="97">
        <v>0</v>
      </c>
      <c r="D16" s="163">
        <v>0</v>
      </c>
      <c r="F16" s="39"/>
      <c r="G16" s="39"/>
    </row>
    <row r="17" spans="2:15">
      <c r="B17" s="161" t="s">
        <v>587</v>
      </c>
      <c r="C17" s="97">
        <v>3523869</v>
      </c>
      <c r="D17" s="163">
        <v>222905806</v>
      </c>
      <c r="F17" s="39"/>
      <c r="G17" s="39"/>
    </row>
    <row r="18" spans="2:15">
      <c r="B18" s="161" t="s">
        <v>588</v>
      </c>
      <c r="C18" s="97">
        <v>3291219</v>
      </c>
      <c r="D18" s="163">
        <v>0</v>
      </c>
      <c r="F18" s="39"/>
      <c r="G18" s="39"/>
    </row>
    <row r="19" spans="2:15">
      <c r="B19" s="161" t="s">
        <v>686</v>
      </c>
      <c r="C19" s="97">
        <v>0</v>
      </c>
      <c r="D19" s="163">
        <v>0</v>
      </c>
      <c r="F19" s="39"/>
      <c r="G19" s="39"/>
    </row>
    <row r="20" spans="2:15">
      <c r="B20" s="161" t="s">
        <v>687</v>
      </c>
      <c r="C20" s="97">
        <v>0</v>
      </c>
      <c r="D20" s="163">
        <v>0</v>
      </c>
      <c r="F20" s="39"/>
      <c r="G20" s="39"/>
    </row>
    <row r="21" spans="2:15">
      <c r="B21" s="161" t="s">
        <v>929</v>
      </c>
      <c r="C21" s="97">
        <v>0</v>
      </c>
      <c r="D21" s="163">
        <v>69410000</v>
      </c>
      <c r="F21" s="39"/>
      <c r="G21" s="39"/>
    </row>
    <row r="22" spans="2:15">
      <c r="B22" s="161" t="s">
        <v>930</v>
      </c>
      <c r="C22" s="97">
        <v>145735896</v>
      </c>
      <c r="D22" s="163">
        <v>27400000</v>
      </c>
      <c r="F22" s="39"/>
      <c r="G22" s="39"/>
    </row>
    <row r="23" spans="2:15">
      <c r="B23" s="161" t="s">
        <v>931</v>
      </c>
      <c r="C23" s="97">
        <v>0</v>
      </c>
      <c r="D23" s="163">
        <v>73862132</v>
      </c>
      <c r="F23" s="39"/>
      <c r="G23" s="39"/>
    </row>
    <row r="24" spans="2:15">
      <c r="B24" s="161" t="s">
        <v>932</v>
      </c>
      <c r="C24" s="97">
        <v>5670000</v>
      </c>
      <c r="D24" s="163">
        <v>0</v>
      </c>
      <c r="F24" s="39"/>
      <c r="G24" s="39"/>
    </row>
    <row r="25" spans="2:15">
      <c r="B25" s="161"/>
      <c r="C25" s="97"/>
      <c r="D25" s="163"/>
      <c r="F25" s="39"/>
      <c r="G25" s="39"/>
    </row>
    <row r="26" spans="2:15">
      <c r="B26" s="121" t="str">
        <f>+'NOTA R SALDOS Y TRANSACC'!B20</f>
        <v>Total al 30/09/2022</v>
      </c>
      <c r="C26" s="164">
        <f>SUM(C6:C25)</f>
        <v>1855367736.3199999</v>
      </c>
      <c r="D26" s="164">
        <f>SUM(D6:D25)</f>
        <v>2409930233.5</v>
      </c>
    </row>
    <row r="27" spans="2:15">
      <c r="B27" s="121" t="s">
        <v>1032</v>
      </c>
      <c r="C27" s="165">
        <v>9706481304.3069019</v>
      </c>
      <c r="D27" s="164">
        <v>2514706870</v>
      </c>
    </row>
    <row r="30" spans="2:15">
      <c r="K30" s="166"/>
      <c r="M30" s="167"/>
      <c r="O30" s="167"/>
    </row>
    <row r="31" spans="2:15">
      <c r="K31" s="166"/>
      <c r="M31" s="167"/>
      <c r="O31" s="167"/>
    </row>
    <row r="32" spans="2:15">
      <c r="K32" s="166"/>
      <c r="M32" s="167"/>
      <c r="O32" s="168"/>
    </row>
    <row r="37" spans="7:7">
      <c r="G37" s="167"/>
    </row>
  </sheetData>
  <mergeCells count="1">
    <mergeCell ref="B3:D3"/>
  </mergeCell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1">
    <tabColor rgb="FF002060"/>
  </sheetPr>
  <dimension ref="B1:H17"/>
  <sheetViews>
    <sheetView showGridLines="0" topLeftCell="A3" zoomScale="113" zoomScaleNormal="85" workbookViewId="0">
      <selection activeCell="B77" sqref="B77"/>
    </sheetView>
  </sheetViews>
  <sheetFormatPr baseColWidth="10" defaultColWidth="11.44140625" defaultRowHeight="12"/>
  <cols>
    <col min="1" max="1" width="4.6640625" style="84" customWidth="1"/>
    <col min="2" max="2" width="32.44140625" style="84" customWidth="1"/>
    <col min="3" max="3" width="22.109375" style="84" bestFit="1" customWidth="1"/>
    <col min="4" max="4" width="14.44140625" style="84" bestFit="1" customWidth="1"/>
    <col min="5" max="5" width="14.109375" style="84" bestFit="1" customWidth="1"/>
    <col min="6" max="6" width="14.21875" style="84" customWidth="1"/>
    <col min="7" max="7" width="14.88671875" style="84" customWidth="1"/>
    <col min="8" max="8" width="22.6640625" style="84" customWidth="1"/>
    <col min="9" max="9" width="12.109375" style="84" bestFit="1" customWidth="1"/>
    <col min="10" max="16384" width="11.44140625" style="84"/>
  </cols>
  <sheetData>
    <row r="1" spans="2:8" ht="37.950000000000003" customHeight="1">
      <c r="C1" s="201"/>
    </row>
    <row r="2" spans="2:8" ht="14.4">
      <c r="C2" s="348"/>
    </row>
    <row r="3" spans="2:8" ht="15.6">
      <c r="B3" s="756" t="s">
        <v>461</v>
      </c>
      <c r="C3" s="756"/>
      <c r="D3" s="756"/>
      <c r="E3" s="756"/>
      <c r="F3" s="756"/>
    </row>
    <row r="4" spans="2:8" ht="15.6">
      <c r="B4" s="417"/>
      <c r="C4" s="417"/>
      <c r="D4" s="417"/>
      <c r="E4" s="417"/>
      <c r="F4" s="417"/>
    </row>
    <row r="5" spans="2:8" ht="14.4">
      <c r="B5" s="418" t="s">
        <v>665</v>
      </c>
    </row>
    <row r="6" spans="2:8" ht="24">
      <c r="B6" s="35" t="s">
        <v>338</v>
      </c>
      <c r="C6" s="35" t="s">
        <v>462</v>
      </c>
      <c r="D6" s="35" t="s">
        <v>420</v>
      </c>
      <c r="E6" s="35" t="s">
        <v>463</v>
      </c>
      <c r="F6" s="566">
        <f>+Indice!G6</f>
        <v>44834</v>
      </c>
    </row>
    <row r="7" spans="2:8">
      <c r="B7" s="91" t="s">
        <v>464</v>
      </c>
      <c r="C7" s="169">
        <f>+'Balance Gral. Resol. 30'!H64</f>
        <v>27164000001</v>
      </c>
      <c r="D7" s="170">
        <f>+F7-C7</f>
        <v>15600000000</v>
      </c>
      <c r="E7" s="170">
        <v>0</v>
      </c>
      <c r="F7" s="169">
        <f>+'Balance Gral. Resol. 30'!G64</f>
        <v>42764000001</v>
      </c>
      <c r="G7" s="171"/>
      <c r="H7" s="173"/>
    </row>
    <row r="8" spans="2:8">
      <c r="B8" s="91" t="s">
        <v>465</v>
      </c>
      <c r="C8" s="170">
        <f>+'Balance Gral. Resol. 30'!H73</f>
        <v>8933184</v>
      </c>
      <c r="D8" s="170">
        <f>+F8-C8</f>
        <v>0</v>
      </c>
      <c r="E8" s="170">
        <v>0</v>
      </c>
      <c r="F8" s="169">
        <f>+'Balance Gral. Resol. 30'!G74</f>
        <v>8933184</v>
      </c>
      <c r="G8" s="171"/>
      <c r="H8" s="173"/>
    </row>
    <row r="9" spans="2:8">
      <c r="B9" s="91" t="s">
        <v>111</v>
      </c>
      <c r="C9" s="169">
        <f>+'Balance Gral. Resol. 30'!H70</f>
        <v>1595573343</v>
      </c>
      <c r="D9" s="172">
        <v>0</v>
      </c>
      <c r="E9" s="170">
        <v>0</v>
      </c>
      <c r="F9" s="169">
        <f>+'Balance Gral. Resol. 30'!G70</f>
        <v>1595573343</v>
      </c>
      <c r="G9" s="171"/>
      <c r="H9" s="173"/>
    </row>
    <row r="10" spans="2:8">
      <c r="B10" s="91" t="s">
        <v>122</v>
      </c>
      <c r="C10" s="170">
        <f>+'Balance Gral. Resol. 30'!H76</f>
        <v>9411087</v>
      </c>
      <c r="D10" s="170">
        <v>0</v>
      </c>
      <c r="E10" s="170">
        <f>+C10-F10</f>
        <v>-232346890</v>
      </c>
      <c r="F10" s="170">
        <f>+'Balance Gral. Resol. 30'!$G$76</f>
        <v>241757977</v>
      </c>
      <c r="G10" s="171"/>
      <c r="H10" s="173"/>
    </row>
    <row r="11" spans="2:8">
      <c r="B11" s="91" t="s">
        <v>124</v>
      </c>
      <c r="C11" s="169">
        <f>+'Balance Gral. Resol. 30'!H77</f>
        <v>23332346890.369999</v>
      </c>
      <c r="D11" s="170">
        <f>+'Balance Gral. Resol. 30'!$G$77</f>
        <v>7018513809.9700003</v>
      </c>
      <c r="E11" s="170">
        <f>+C11</f>
        <v>23332346890.369999</v>
      </c>
      <c r="F11" s="169">
        <f>+'Balance Gral. Resol. 30'!$G$77</f>
        <v>7018513809.9700003</v>
      </c>
      <c r="G11" s="171"/>
      <c r="H11" s="173"/>
    </row>
    <row r="12" spans="2:8">
      <c r="B12" s="121" t="str">
        <f>+'NOTA R SALDOS Y TRANSACC'!B20</f>
        <v>Total al 30/09/2022</v>
      </c>
      <c r="C12" s="174">
        <f>SUM(C7:C11)</f>
        <v>52110264505.369995</v>
      </c>
      <c r="D12" s="174">
        <f>SUM(D7:D11)</f>
        <v>22618513809.970001</v>
      </c>
      <c r="E12" s="174">
        <f>SUM(E7:E11)</f>
        <v>23100000000.369999</v>
      </c>
      <c r="F12" s="174">
        <f>SUM(F7:F11)</f>
        <v>51628778314.970001</v>
      </c>
      <c r="G12" s="171"/>
      <c r="H12" s="173"/>
    </row>
    <row r="13" spans="2:8">
      <c r="B13" s="121" t="str">
        <f>+'NOTA R SALDOS Y TRANSACC'!B21</f>
        <v>Total al 31/12/2021</v>
      </c>
      <c r="C13" s="174">
        <f>+F13-D13+E13</f>
        <v>33998767039.999996</v>
      </c>
      <c r="D13" s="174">
        <v>26217280074.369999</v>
      </c>
      <c r="E13" s="175">
        <v>8105782609</v>
      </c>
      <c r="F13" s="174">
        <v>52110264505.369995</v>
      </c>
    </row>
    <row r="14" spans="2:8">
      <c r="D14" s="173"/>
      <c r="E14" s="173"/>
      <c r="F14" s="171"/>
    </row>
    <row r="15" spans="2:8">
      <c r="D15" s="173"/>
      <c r="E15" s="85"/>
      <c r="F15" s="176">
        <f>+F12-'Balance Gral. Resol. 30'!G79</f>
        <v>0</v>
      </c>
      <c r="G15" s="171">
        <f>+F13-'Balance Gral. Resol. 30'!H79</f>
        <v>0</v>
      </c>
    </row>
    <row r="16" spans="2:8" ht="15.6">
      <c r="B16" s="756" t="s">
        <v>520</v>
      </c>
      <c r="C16" s="756"/>
      <c r="D16" s="756"/>
      <c r="E16" s="756"/>
      <c r="F16" s="756"/>
    </row>
    <row r="17" spans="2:5">
      <c r="B17" s="177" t="s">
        <v>466</v>
      </c>
      <c r="E17" s="85"/>
    </row>
  </sheetData>
  <mergeCells count="2">
    <mergeCell ref="B3:F3"/>
    <mergeCell ref="B16:F16"/>
  </mergeCells>
  <hyperlinks>
    <hyperlink ref="B5" location="'Balance Gral. Resol. 30'!A1" display="'Balance Gral. Resol. 30'!A1" xr:uid="{00000000-0004-0000-1500-000000000000}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2">
    <tabColor rgb="FF002060"/>
  </sheetPr>
  <dimension ref="B1:E26"/>
  <sheetViews>
    <sheetView showGridLines="0" zoomScale="119" zoomScaleNormal="85" workbookViewId="0">
      <selection activeCell="B77" sqref="B77"/>
    </sheetView>
  </sheetViews>
  <sheetFormatPr baseColWidth="10" defaultColWidth="20.33203125" defaultRowHeight="12"/>
  <cols>
    <col min="1" max="1" width="4.6640625" style="25" customWidth="1"/>
    <col min="2" max="2" width="38.6640625" style="25" customWidth="1"/>
    <col min="3" max="5" width="20.33203125" style="25"/>
    <col min="6" max="8" width="0" style="25" hidden="1" customWidth="1"/>
    <col min="9" max="16384" width="20.33203125" style="25"/>
  </cols>
  <sheetData>
    <row r="1" spans="2:4" ht="28.2" customHeight="1">
      <c r="B1" s="201"/>
    </row>
    <row r="4" spans="2:4" ht="15.6">
      <c r="B4" s="713" t="s">
        <v>688</v>
      </c>
      <c r="C4" s="713"/>
      <c r="D4" s="713"/>
    </row>
    <row r="6" spans="2:4" ht="14.4">
      <c r="B6" s="408" t="s">
        <v>689</v>
      </c>
    </row>
    <row r="7" spans="2:4" ht="15.6">
      <c r="B7" s="757" t="s">
        <v>467</v>
      </c>
      <c r="C7" s="757"/>
      <c r="D7" s="757"/>
    </row>
    <row r="8" spans="2:4">
      <c r="B8" s="119" t="s">
        <v>338</v>
      </c>
      <c r="C8" s="433">
        <f>+Indice!G7</f>
        <v>44834</v>
      </c>
      <c r="D8" s="433">
        <f>+Indice!H7</f>
        <v>44469</v>
      </c>
    </row>
    <row r="9" spans="2:4">
      <c r="B9" s="33" t="s">
        <v>468</v>
      </c>
      <c r="C9" s="178"/>
      <c r="D9" s="178"/>
    </row>
    <row r="10" spans="2:4">
      <c r="B10" s="33" t="s">
        <v>469</v>
      </c>
      <c r="C10" s="126">
        <f>+'Estado de Resultado Resol. 30'!D14</f>
        <v>917791510</v>
      </c>
      <c r="D10" s="126">
        <v>507637023</v>
      </c>
    </row>
    <row r="11" spans="2:4">
      <c r="B11" s="33" t="s">
        <v>470</v>
      </c>
      <c r="C11" s="126">
        <f>+'Estado de Resultado Resol. 30'!D26</f>
        <v>1010189028</v>
      </c>
      <c r="D11" s="126">
        <v>6605954379</v>
      </c>
    </row>
    <row r="12" spans="2:4">
      <c r="B12" s="33" t="s">
        <v>471</v>
      </c>
      <c r="C12" s="126">
        <f>+'Estado de Resultado Resol. 30'!D27</f>
        <v>11243966834</v>
      </c>
      <c r="D12" s="178">
        <v>5137799147</v>
      </c>
    </row>
    <row r="13" spans="2:4">
      <c r="B13" s="33" t="s">
        <v>973</v>
      </c>
      <c r="C13" s="126">
        <f>+'Estado de Resultado Resol. 30'!D28</f>
        <v>4021360150</v>
      </c>
      <c r="D13" s="178">
        <v>1901112877</v>
      </c>
    </row>
    <row r="14" spans="2:4" ht="24">
      <c r="B14" s="51" t="s">
        <v>589</v>
      </c>
      <c r="C14" s="126">
        <f>+'Estado de Resultado Resol. 30'!D29</f>
        <v>0</v>
      </c>
      <c r="D14" s="178">
        <v>198595000</v>
      </c>
    </row>
    <row r="15" spans="2:4" ht="24">
      <c r="B15" s="51" t="str">
        <f>+'Estado de Resultado Resol. 30'!B30</f>
        <v>Ingresos por Operciones y Servicios a personas relacionadas</v>
      </c>
      <c r="C15" s="126">
        <f>+'Estado de Resultado Resol. 30'!D30</f>
        <v>0</v>
      </c>
      <c r="D15" s="178"/>
    </row>
    <row r="16" spans="2:4">
      <c r="B16" s="49" t="s">
        <v>472</v>
      </c>
      <c r="C16" s="127">
        <f>SUM(C10:C15)</f>
        <v>17193307522</v>
      </c>
      <c r="D16" s="127">
        <f>SUM(D9:D15)</f>
        <v>14351098426</v>
      </c>
    </row>
    <row r="18" spans="2:5" ht="15.6">
      <c r="B18" s="757" t="s">
        <v>191</v>
      </c>
      <c r="C18" s="757"/>
      <c r="D18" s="757"/>
    </row>
    <row r="19" spans="2:5">
      <c r="B19" s="119" t="s">
        <v>338</v>
      </c>
      <c r="C19" s="433">
        <f>+C8</f>
        <v>44834</v>
      </c>
      <c r="D19" s="433">
        <f>+D8</f>
        <v>44469</v>
      </c>
    </row>
    <row r="20" spans="2:5">
      <c r="B20" s="33" t="s">
        <v>473</v>
      </c>
      <c r="C20" s="97">
        <f>+'Estado de Resultado Resol. 30'!D35</f>
        <v>0</v>
      </c>
      <c r="D20" s="53">
        <v>0</v>
      </c>
    </row>
    <row r="21" spans="2:5">
      <c r="B21" s="33" t="s">
        <v>474</v>
      </c>
      <c r="C21" s="97">
        <f>+'Estado de Resultado Resol. 30'!D36</f>
        <v>0</v>
      </c>
      <c r="D21" s="97">
        <v>0</v>
      </c>
    </row>
    <row r="22" spans="2:5">
      <c r="B22" s="33" t="s">
        <v>475</v>
      </c>
      <c r="C22" s="97">
        <f>+'Estado de Resultado Resol. 30'!D37</f>
        <v>734118732</v>
      </c>
      <c r="D22" s="97">
        <v>798650740</v>
      </c>
    </row>
    <row r="23" spans="2:5">
      <c r="B23" s="49" t="s">
        <v>472</v>
      </c>
      <c r="C23" s="118">
        <f>SUM(C20:C22)</f>
        <v>734118732</v>
      </c>
      <c r="D23" s="118">
        <f>SUM(D20:D22)</f>
        <v>798650740</v>
      </c>
    </row>
    <row r="25" spans="2:5">
      <c r="C25" s="39">
        <f>+C23-'Estado de Resultado Resol. 30'!D34</f>
        <v>0</v>
      </c>
      <c r="D25" s="39">
        <v>0</v>
      </c>
      <c r="E25" s="39"/>
    </row>
    <row r="26" spans="2:5">
      <c r="C26" s="39">
        <f>+C23+C16-'Estado de Resultado Resol. 30'!G11</f>
        <v>0</v>
      </c>
      <c r="D26" s="39">
        <f>+D23+D16-'Estado de Resultado Resol. 30'!H11</f>
        <v>0</v>
      </c>
      <c r="E26" s="39"/>
    </row>
  </sheetData>
  <mergeCells count="3">
    <mergeCell ref="B4:D4"/>
    <mergeCell ref="B7:D7"/>
    <mergeCell ref="B18:D18"/>
  </mergeCells>
  <hyperlinks>
    <hyperlink ref="B6" location="'Estado de Resultado Resol. 30'!A1" display="'Estado de Resultado Resol. 30'!A1" xr:uid="{00000000-0004-0000-1600-000000000000}"/>
  </hyperlinks>
  <pageMargins left="0.7" right="0.7" top="0.75" bottom="0.75" header="0.3" footer="0.3"/>
  <pageSetup paperSize="9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3">
    <tabColor rgb="FF002060"/>
  </sheetPr>
  <dimension ref="B1:J52"/>
  <sheetViews>
    <sheetView showGridLines="0" zoomScale="133" zoomScaleNormal="100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37.44140625" style="25" customWidth="1"/>
    <col min="3" max="3" width="13.44140625" style="25" bestFit="1" customWidth="1"/>
    <col min="4" max="4" width="14.33203125" style="25" customWidth="1"/>
    <col min="5" max="5" width="15.109375" style="25" bestFit="1" customWidth="1"/>
    <col min="6" max="8" width="0" style="25" hidden="1" customWidth="1"/>
    <col min="9" max="9" width="11.44140625" style="25"/>
    <col min="10" max="10" width="13.21875" style="25" customWidth="1"/>
    <col min="11" max="16384" width="11.44140625" style="25"/>
  </cols>
  <sheetData>
    <row r="1" spans="2:7" s="59" customFormat="1" ht="14.4">
      <c r="B1" s="758"/>
      <c r="C1" s="749"/>
      <c r="D1" s="749"/>
    </row>
    <row r="2" spans="2:7" s="59" customFormat="1">
      <c r="B2" s="179"/>
      <c r="C2" s="179"/>
      <c r="D2" s="179"/>
    </row>
    <row r="3" spans="2:7" s="59" customFormat="1">
      <c r="B3" s="179"/>
      <c r="C3" s="179"/>
      <c r="D3" s="179"/>
    </row>
    <row r="4" spans="2:7" s="59" customFormat="1">
      <c r="B4" s="179"/>
      <c r="C4" s="179"/>
      <c r="D4" s="179"/>
    </row>
    <row r="5" spans="2:7" s="59" customFormat="1" ht="15.6">
      <c r="B5" s="756" t="s">
        <v>477</v>
      </c>
      <c r="C5" s="756"/>
      <c r="D5" s="756"/>
    </row>
    <row r="6" spans="2:7" s="59" customFormat="1">
      <c r="B6" s="179"/>
      <c r="C6" s="179"/>
      <c r="D6" s="179"/>
    </row>
    <row r="7" spans="2:7" ht="14.4">
      <c r="B7" s="421" t="s">
        <v>689</v>
      </c>
      <c r="C7" s="180"/>
      <c r="D7" s="180"/>
    </row>
    <row r="8" spans="2:7">
      <c r="B8" s="194" t="s">
        <v>338</v>
      </c>
      <c r="C8" s="433">
        <f>+'NOTA V INGRESOS OPERATIVOS'!C8</f>
        <v>44834</v>
      </c>
      <c r="D8" s="433">
        <f>+'NOTA V INGRESOS OPERATIVOS'!D8</f>
        <v>44469</v>
      </c>
    </row>
    <row r="9" spans="2:7">
      <c r="B9" s="49" t="s">
        <v>478</v>
      </c>
      <c r="C9" s="1">
        <f>+'Estado de Resultado Resol. 30'!D39</f>
        <v>7657027295</v>
      </c>
      <c r="D9" s="1">
        <f>+'Estado de Resultado Resol. 30'!E39</f>
        <v>1206903448</v>
      </c>
      <c r="E9" s="55"/>
      <c r="F9" s="55">
        <f>+C9-'Estado de Resultado Resol. 30'!D39</f>
        <v>0</v>
      </c>
      <c r="G9" s="55">
        <f>+D9-'Estado de Resultado Resol. 30'!E39</f>
        <v>0</v>
      </c>
    </row>
    <row r="10" spans="2:7">
      <c r="B10" s="33" t="s">
        <v>193</v>
      </c>
      <c r="C10" s="337">
        <f>+'Estado de Resultado Resol. 30'!D40</f>
        <v>0</v>
      </c>
      <c r="D10" s="181">
        <f>+'Estado de Resultado Resol. 30'!E40</f>
        <v>869572122</v>
      </c>
    </row>
    <row r="11" spans="2:7">
      <c r="B11" s="33" t="s">
        <v>194</v>
      </c>
      <c r="C11" s="337">
        <f>+'Estado de Resultado Resol. 30'!D41</f>
        <v>746496447</v>
      </c>
      <c r="D11" s="181">
        <f>+'Estado de Resultado Resol. 30'!E41</f>
        <v>289850313</v>
      </c>
    </row>
    <row r="12" spans="2:7">
      <c r="B12" s="33" t="s">
        <v>479</v>
      </c>
      <c r="C12" s="39">
        <f>+'Estado de Resultado Resol. 30'!D42</f>
        <v>6910530848</v>
      </c>
      <c r="D12" s="181">
        <f>+'Estado de Resultado Resol. 30'!E42</f>
        <v>47481013</v>
      </c>
    </row>
    <row r="13" spans="2:7">
      <c r="B13" s="182" t="s">
        <v>478</v>
      </c>
      <c r="C13" s="337">
        <f>+'Estado de Resultado Resol. 30'!D43</f>
        <v>10270398959</v>
      </c>
      <c r="D13" s="183">
        <f>+'Estado de Resultado Resol. 30'!E43</f>
        <v>13942845718</v>
      </c>
    </row>
    <row r="14" spans="2:7">
      <c r="B14" s="49"/>
      <c r="C14" s="184">
        <f>+'Estado de Resultado Resol. 30'!D44</f>
        <v>0</v>
      </c>
      <c r="D14" s="184">
        <f>+'Estado de Resultado Resol. 30'!E44</f>
        <v>0</v>
      </c>
      <c r="F14" s="55">
        <f>+C15-'Estado de Resultado Resol. 30'!D45</f>
        <v>0</v>
      </c>
      <c r="G14" s="55">
        <f>+D15-'Estado de Resultado Resol. 30'!E45</f>
        <v>0</v>
      </c>
    </row>
    <row r="15" spans="2:7">
      <c r="B15" s="49" t="s">
        <v>196</v>
      </c>
      <c r="C15" s="1">
        <f>+'Estado de Resultado Resol. 30'!D45</f>
        <v>220439299</v>
      </c>
      <c r="D15" s="1">
        <f>+'Estado de Resultado Resol. 30'!E45</f>
        <v>1139957399</v>
      </c>
    </row>
    <row r="16" spans="2:7">
      <c r="B16" s="33" t="s">
        <v>197</v>
      </c>
      <c r="C16" s="181">
        <f>+'Estado de Resultado Resol. 30'!D46</f>
        <v>0</v>
      </c>
      <c r="D16" s="181">
        <f>+'Estado de Resultado Resol. 30'!E46</f>
        <v>550493093</v>
      </c>
    </row>
    <row r="17" spans="2:7">
      <c r="B17" s="33" t="s">
        <v>198</v>
      </c>
      <c r="C17" s="181">
        <f>+'Estado de Resultado Resol. 30'!D47</f>
        <v>0</v>
      </c>
      <c r="D17" s="181">
        <f>+'Estado de Resultado Resol. 30'!E47</f>
        <v>0</v>
      </c>
    </row>
    <row r="18" spans="2:7">
      <c r="B18" s="33" t="s">
        <v>199</v>
      </c>
      <c r="C18" s="181">
        <f>+'Estado de Resultado Resol. 30'!D48</f>
        <v>220439299</v>
      </c>
      <c r="D18" s="181">
        <f>+'Estado de Resultado Resol. 30'!E48</f>
        <v>589464306</v>
      </c>
    </row>
    <row r="19" spans="2:7">
      <c r="B19" s="49"/>
      <c r="C19" s="184">
        <f>+'Estado de Resultado Resol. 30'!D49</f>
        <v>0</v>
      </c>
      <c r="D19" s="184">
        <f>+'Estado de Resultado Resol. 30'!E49</f>
        <v>0</v>
      </c>
    </row>
    <row r="20" spans="2:7">
      <c r="B20" s="49" t="s">
        <v>200</v>
      </c>
      <c r="C20" s="1">
        <f>+'Estado de Resultado Resol. 30'!D50</f>
        <v>6914695280</v>
      </c>
      <c r="D20" s="1">
        <f>+'Estado de Resultado Resol. 30'!E50</f>
        <v>5347206831</v>
      </c>
      <c r="F20" s="55">
        <f>+C20-'Estado de Resultado Resol. 30'!D50</f>
        <v>0</v>
      </c>
      <c r="G20" s="55">
        <f>+D20-'Estado de Resultado Resol. 30'!E50</f>
        <v>0</v>
      </c>
    </row>
    <row r="21" spans="2:7">
      <c r="B21" s="816" t="s">
        <v>764</v>
      </c>
      <c r="C21" s="184">
        <f>+'Estado de Resultado Resol. 30'!D51</f>
        <v>2454199372</v>
      </c>
      <c r="D21" s="184">
        <f>+'Estado de Resultado Resol. 30'!E51</f>
        <v>2102141916</v>
      </c>
    </row>
    <row r="22" spans="2:7">
      <c r="B22" s="33" t="s">
        <v>765</v>
      </c>
      <c r="C22" s="181">
        <f>+'Estado de Resultado Resol. 30'!D52</f>
        <v>1986936746</v>
      </c>
      <c r="D22" s="181">
        <f>+'Estado de Resultado Resol. 30'!E52</f>
        <v>1642245506</v>
      </c>
    </row>
    <row r="23" spans="2:7">
      <c r="B23" s="33" t="s">
        <v>201</v>
      </c>
      <c r="C23" s="181">
        <f>+'Estado de Resultado Resol. 30'!D53</f>
        <v>328834565</v>
      </c>
      <c r="D23" s="181">
        <f>+'Estado de Resultado Resol. 30'!E53</f>
        <v>277895011</v>
      </c>
    </row>
    <row r="24" spans="2:7">
      <c r="B24" s="33" t="s">
        <v>766</v>
      </c>
      <c r="C24" s="181">
        <f>+'Estado de Resultado Resol. 30'!D54</f>
        <v>73845098</v>
      </c>
      <c r="D24" s="181">
        <f>+'Estado de Resultado Resol. 30'!E54</f>
        <v>92389443</v>
      </c>
    </row>
    <row r="25" spans="2:7">
      <c r="B25" s="33" t="s">
        <v>1003</v>
      </c>
      <c r="C25" s="181">
        <f>+'Estado de Resultado Resol. 30'!D55</f>
        <v>8294291</v>
      </c>
      <c r="D25" s="181">
        <f>+'Estado de Resultado Resol. 30'!E55</f>
        <v>8363889</v>
      </c>
    </row>
    <row r="26" spans="2:7">
      <c r="B26" s="33" t="s">
        <v>767</v>
      </c>
      <c r="C26" s="181">
        <f>+'Estado de Resultado Resol. 30'!D56</f>
        <v>48917739</v>
      </c>
      <c r="D26" s="181">
        <f>+'Estado de Resultado Resol. 30'!E56</f>
        <v>9415454</v>
      </c>
    </row>
    <row r="27" spans="2:7">
      <c r="B27" s="33" t="s">
        <v>768</v>
      </c>
      <c r="C27" s="181">
        <f>+'Estado de Resultado Resol. 30'!D57</f>
        <v>7370933</v>
      </c>
      <c r="D27" s="181">
        <f>+'Estado de Resultado Resol. 30'!E57</f>
        <v>6007503</v>
      </c>
    </row>
    <row r="28" spans="2:7">
      <c r="B28" s="49" t="s">
        <v>964</v>
      </c>
      <c r="C28" s="184">
        <f>+'Estado de Resultado Resol. 30'!D58</f>
        <v>1841023646</v>
      </c>
      <c r="D28" s="184">
        <f>+'Estado de Resultado Resol. 30'!E58</f>
        <v>922113293</v>
      </c>
    </row>
    <row r="29" spans="2:7">
      <c r="B29" s="33" t="s">
        <v>965</v>
      </c>
      <c r="C29" s="181">
        <f>+'Estado de Resultado Resol. 30'!D59</f>
        <v>1782669199</v>
      </c>
      <c r="D29" s="181">
        <f>+'Estado de Resultado Resol. 30'!E59</f>
        <v>889566592</v>
      </c>
    </row>
    <row r="30" spans="2:7">
      <c r="B30" s="33" t="s">
        <v>769</v>
      </c>
      <c r="C30" s="181">
        <f>+'Estado de Resultado Resol. 30'!D60</f>
        <v>58354447</v>
      </c>
      <c r="D30" s="181">
        <f>+'Estado de Resultado Resol. 30'!E60</f>
        <v>32546701</v>
      </c>
    </row>
    <row r="31" spans="2:7" s="817" customFormat="1">
      <c r="B31" s="49" t="s">
        <v>770</v>
      </c>
      <c r="C31" s="184">
        <f>+'Estado de Resultado Resol. 30'!D61</f>
        <v>2619472262</v>
      </c>
      <c r="D31" s="184">
        <f>+'Estado de Resultado Resol. 30'!E61</f>
        <v>2322951623</v>
      </c>
      <c r="F31" s="818"/>
    </row>
    <row r="32" spans="2:7">
      <c r="B32" s="33" t="s">
        <v>771</v>
      </c>
      <c r="C32" s="181">
        <f>+'Estado de Resultado Resol. 30'!D62</f>
        <v>424481218</v>
      </c>
      <c r="D32" s="181">
        <f>+'Estado de Resultado Resol. 30'!E62</f>
        <v>403740238</v>
      </c>
    </row>
    <row r="33" spans="2:10">
      <c r="B33" s="33" t="s">
        <v>772</v>
      </c>
      <c r="C33" s="181">
        <f>+'Estado de Resultado Resol. 30'!D63</f>
        <v>416027799</v>
      </c>
      <c r="D33" s="181">
        <f>+'Estado de Resultado Resol. 30'!E63</f>
        <v>370691450</v>
      </c>
    </row>
    <row r="34" spans="2:10">
      <c r="B34" s="33" t="s">
        <v>773</v>
      </c>
      <c r="C34" s="181">
        <f>+'Estado de Resultado Resol. 30'!D64</f>
        <v>431101005</v>
      </c>
      <c r="D34" s="181">
        <f>+'Estado de Resultado Resol. 30'!E64</f>
        <v>547757674</v>
      </c>
    </row>
    <row r="35" spans="2:10">
      <c r="B35" s="33" t="s">
        <v>774</v>
      </c>
      <c r="C35" s="181">
        <f>+'Estado de Resultado Resol. 30'!D65</f>
        <v>105336645</v>
      </c>
      <c r="D35" s="181">
        <f>+'Estado de Resultado Resol. 30'!E65</f>
        <v>100560469</v>
      </c>
    </row>
    <row r="36" spans="2:10">
      <c r="B36" s="33" t="s">
        <v>775</v>
      </c>
      <c r="C36" s="181">
        <f>+'Estado de Resultado Resol. 30'!D66</f>
        <v>2098654</v>
      </c>
      <c r="D36" s="181">
        <f>+'Estado de Resultado Resol. 30'!E66</f>
        <v>1132723</v>
      </c>
    </row>
    <row r="37" spans="2:10">
      <c r="B37" s="33" t="s">
        <v>776</v>
      </c>
      <c r="C37" s="181">
        <f>+'Estado de Resultado Resol. 30'!D67</f>
        <v>30946381</v>
      </c>
      <c r="D37" s="181">
        <f>+'Estado de Resultado Resol. 30'!E67</f>
        <v>22968042</v>
      </c>
    </row>
    <row r="38" spans="2:10">
      <c r="B38" s="33" t="s">
        <v>777</v>
      </c>
      <c r="C38" s="181">
        <f>+'Estado de Resultado Resol. 30'!D68</f>
        <v>105894825</v>
      </c>
      <c r="D38" s="181">
        <f>+'Estado de Resultado Resol. 30'!E68</f>
        <v>37043587</v>
      </c>
    </row>
    <row r="39" spans="2:10">
      <c r="B39" s="33" t="s">
        <v>778</v>
      </c>
      <c r="C39" s="181">
        <f>+'Estado de Resultado Resol. 30'!D69</f>
        <v>18375285</v>
      </c>
      <c r="D39" s="181">
        <f>+'Estado de Resultado Resol. 30'!E69</f>
        <v>21096545</v>
      </c>
    </row>
    <row r="40" spans="2:10">
      <c r="B40" s="33" t="s">
        <v>966</v>
      </c>
      <c r="C40" s="181">
        <f>+'Estado de Resultado Resol. 30'!D70</f>
        <v>14794083</v>
      </c>
      <c r="D40" s="181">
        <f>+'Estado de Resultado Resol. 30'!E70</f>
        <v>0</v>
      </c>
    </row>
    <row r="41" spans="2:10">
      <c r="B41" s="33" t="s">
        <v>779</v>
      </c>
      <c r="C41" s="181">
        <f>+'Estado de Resultado Resol. 30'!D71</f>
        <v>69847853</v>
      </c>
      <c r="D41" s="181">
        <f>+'Estado de Resultado Resol. 30'!E71</f>
        <v>61820312</v>
      </c>
    </row>
    <row r="42" spans="2:10">
      <c r="B42" s="567" t="s">
        <v>780</v>
      </c>
      <c r="C42" s="181">
        <f>+'Estado de Resultado Resol. 30'!D72</f>
        <v>2741818</v>
      </c>
      <c r="D42" s="181">
        <f>+'Estado de Resultado Resol. 30'!E72</f>
        <v>63636</v>
      </c>
    </row>
    <row r="43" spans="2:10">
      <c r="B43" s="33" t="s">
        <v>781</v>
      </c>
      <c r="C43" s="181">
        <f>+'Estado de Resultado Resol. 30'!D73</f>
        <v>46524627</v>
      </c>
      <c r="D43" s="181">
        <f>+'Estado de Resultado Resol. 30'!E73</f>
        <v>21276729</v>
      </c>
    </row>
    <row r="44" spans="2:10">
      <c r="B44" s="33" t="s">
        <v>967</v>
      </c>
      <c r="C44" s="181">
        <f>+'Estado de Resultado Resol. 30'!D74</f>
        <v>25064217</v>
      </c>
      <c r="D44" s="181">
        <f>+'Estado de Resultado Resol. 30'!E74</f>
        <v>0</v>
      </c>
      <c r="I44" s="55"/>
      <c r="J44" s="55"/>
    </row>
    <row r="45" spans="2:10">
      <c r="B45" s="567" t="s">
        <v>782</v>
      </c>
      <c r="C45" s="181">
        <f>+'Estado de Resultado Resol. 30'!D75</f>
        <v>41976657</v>
      </c>
      <c r="D45" s="181">
        <f>+'Estado de Resultado Resol. 30'!E75</f>
        <v>200307035</v>
      </c>
    </row>
    <row r="46" spans="2:10">
      <c r="B46" s="33" t="s">
        <v>783</v>
      </c>
      <c r="C46" s="181">
        <f>+'Estado de Resultado Resol. 30'!D76</f>
        <v>332320</v>
      </c>
      <c r="D46" s="181">
        <f>+'Estado de Resultado Resol. 30'!E76</f>
        <v>984342</v>
      </c>
    </row>
    <row r="47" spans="2:10">
      <c r="B47" s="567" t="s">
        <v>784</v>
      </c>
      <c r="C47" s="181">
        <f>+'Estado de Resultado Resol. 30'!D77</f>
        <v>35000</v>
      </c>
      <c r="D47" s="181">
        <f>+'Estado de Resultado Resol. 30'!E77</f>
        <v>14621019</v>
      </c>
    </row>
    <row r="48" spans="2:10">
      <c r="B48" s="567" t="s">
        <v>785</v>
      </c>
      <c r="C48" s="181">
        <f>+'Estado de Resultado Resol. 30'!D78</f>
        <v>26051364</v>
      </c>
      <c r="D48" s="181">
        <f>+'Estado de Resultado Resol. 30'!E78</f>
        <v>16093106</v>
      </c>
    </row>
    <row r="49" spans="2:4">
      <c r="B49" s="819" t="s">
        <v>786</v>
      </c>
      <c r="C49" s="820">
        <f>+'Estado de Resultado Resol. 30'!D79</f>
        <v>857842510</v>
      </c>
      <c r="D49" s="820">
        <f>+'Estado de Resultado Resol. 30'!E79</f>
        <v>487989721</v>
      </c>
    </row>
    <row r="50" spans="2:4">
      <c r="B50" s="33" t="s">
        <v>787</v>
      </c>
      <c r="C50" s="181">
        <f>+'Estado de Resultado Resol. 30'!D80</f>
        <v>108750</v>
      </c>
      <c r="D50" s="181">
        <f>+'Estado de Resultado Resol. 30'!E80</f>
        <v>380637513</v>
      </c>
    </row>
    <row r="51" spans="2:4">
      <c r="B51" s="33" t="s">
        <v>788</v>
      </c>
      <c r="C51" s="181">
        <f>+'Estado de Resultado Resol. 30'!D81</f>
        <v>430596563</v>
      </c>
      <c r="D51" s="181">
        <f>+'Estado de Resultado Resol. 30'!E81</f>
        <v>93807813</v>
      </c>
    </row>
    <row r="52" spans="2:4">
      <c r="B52" s="33" t="s">
        <v>1033</v>
      </c>
      <c r="C52" s="181">
        <f>+'Estado de Resultado Resol. 30'!D82</f>
        <v>427137197</v>
      </c>
      <c r="D52" s="181">
        <f>+'Estado de Resultado Resol. 30'!E82</f>
        <v>0</v>
      </c>
    </row>
  </sheetData>
  <mergeCells count="2">
    <mergeCell ref="B1:D1"/>
    <mergeCell ref="B5:D5"/>
  </mergeCells>
  <hyperlinks>
    <hyperlink ref="B7" location="'Estado de Resultado Resol. 30'!A1" display="'Estado de Resultado Resol. 30'!A1" xr:uid="{00000000-0004-0000-1700-000000000000}"/>
  </hyperlinks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4">
    <tabColor rgb="FF002060"/>
  </sheetPr>
  <dimension ref="B1:D13"/>
  <sheetViews>
    <sheetView showGridLines="0" zoomScaleNormal="100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48" customHeight="1">
      <c r="B1" s="201"/>
    </row>
    <row r="2" spans="2:4" ht="14.4">
      <c r="B2" s="348"/>
    </row>
    <row r="3" spans="2:4" ht="15.6">
      <c r="B3" s="713" t="s">
        <v>693</v>
      </c>
      <c r="C3" s="713"/>
      <c r="D3" s="713"/>
    </row>
    <row r="5" spans="2:4" ht="14.4">
      <c r="B5" s="408" t="s">
        <v>689</v>
      </c>
    </row>
    <row r="6" spans="2:4">
      <c r="B6" s="194" t="s">
        <v>338</v>
      </c>
      <c r="C6" s="433">
        <f>+'NOTA W OTROS GASTOS OPER'!C8</f>
        <v>44834</v>
      </c>
      <c r="D6" s="577">
        <f>+'NOTA W OTROS GASTOS OPER'!D8</f>
        <v>44469</v>
      </c>
    </row>
    <row r="7" spans="2:4">
      <c r="B7" s="49" t="s">
        <v>204</v>
      </c>
      <c r="C7" s="185">
        <f>+C8</f>
        <v>0</v>
      </c>
      <c r="D7" s="185">
        <f>+D8</f>
        <v>0</v>
      </c>
    </row>
    <row r="8" spans="2:4">
      <c r="B8" s="33" t="s">
        <v>204</v>
      </c>
      <c r="C8" s="186">
        <f>+'Estado de Resultado Resol. 30'!D88</f>
        <v>0</v>
      </c>
      <c r="D8" s="53">
        <f>+'Estado de Resultado Resol. 30'!E88</f>
        <v>0</v>
      </c>
    </row>
    <row r="9" spans="2:4">
      <c r="B9" s="49" t="s">
        <v>203</v>
      </c>
      <c r="C9" s="185">
        <f>+C10</f>
        <v>925723625</v>
      </c>
      <c r="D9" s="185">
        <f>+D10</f>
        <v>0</v>
      </c>
    </row>
    <row r="10" spans="2:4">
      <c r="B10" s="33" t="s">
        <v>203</v>
      </c>
      <c r="C10" s="186">
        <f>+'Estado de Resultado Resol. 30'!D87</f>
        <v>925723625</v>
      </c>
      <c r="D10" s="186">
        <f>+'Estado de Resultado Resol. 30'!E87</f>
        <v>0</v>
      </c>
    </row>
    <row r="11" spans="2:4">
      <c r="B11" s="49" t="s">
        <v>472</v>
      </c>
      <c r="C11" s="185">
        <f>+C9-C7</f>
        <v>925723625</v>
      </c>
      <c r="D11" s="185">
        <f>+D9-D7</f>
        <v>0</v>
      </c>
    </row>
    <row r="13" spans="2:4">
      <c r="C13" s="55">
        <f>+C11-'Estado de Resultado Resol. 30'!D86</f>
        <v>0</v>
      </c>
      <c r="D13" s="55">
        <f>+D11-'Estado de Resultado Resol. 30'!E86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800-000000000000}"/>
  </hyperlinks>
  <pageMargins left="0.7" right="0.7" top="0.75" bottom="0.75" header="0.3" footer="0.3"/>
  <pageSetup paperSize="9"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5">
    <tabColor rgb="FF002060"/>
  </sheetPr>
  <dimension ref="B1:D16"/>
  <sheetViews>
    <sheetView showGridLines="0" topLeftCell="A2" zoomScale="115" zoomScaleNormal="115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4" width="14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30" customHeight="1">
      <c r="B1" s="201"/>
    </row>
    <row r="2" spans="2:4" ht="17.399999999999999" customHeight="1"/>
    <row r="3" spans="2:4" ht="15.6">
      <c r="B3" s="713" t="s">
        <v>696</v>
      </c>
      <c r="C3" s="713"/>
      <c r="D3" s="713"/>
    </row>
    <row r="4" spans="2:4" ht="15.6">
      <c r="B4" s="365"/>
      <c r="C4" s="365"/>
      <c r="D4" s="365"/>
    </row>
    <row r="5" spans="2:4" ht="14.4">
      <c r="B5" s="408" t="s">
        <v>689</v>
      </c>
    </row>
    <row r="6" spans="2:4">
      <c r="B6" s="119" t="s">
        <v>338</v>
      </c>
      <c r="C6" s="433">
        <f>+'NOTA X OTROS INGRESOS Y EGR'!C6</f>
        <v>44834</v>
      </c>
      <c r="D6" s="577">
        <f>+'NOTA X OTROS INGRESOS Y EGR'!D6</f>
        <v>44469</v>
      </c>
    </row>
    <row r="7" spans="2:4">
      <c r="B7" s="49" t="s">
        <v>480</v>
      </c>
      <c r="C7" s="53"/>
      <c r="D7" s="53"/>
    </row>
    <row r="8" spans="2:4">
      <c r="B8" s="33" t="s">
        <v>481</v>
      </c>
      <c r="C8" s="53">
        <f>+'Estado de Resultado Resol. 30'!D93</f>
        <v>3362423825</v>
      </c>
      <c r="D8" s="53">
        <f>+'Estado de Resultado Resol. 30'!E93</f>
        <v>160132404</v>
      </c>
    </row>
    <row r="9" spans="2:4">
      <c r="B9" s="33" t="s">
        <v>207</v>
      </c>
      <c r="C9" s="53">
        <f>+'Estado de Resultado Resol. 30'!D94</f>
        <v>2198941046</v>
      </c>
      <c r="D9" s="53">
        <f>+'Estado de Resultado Resol. 30'!E94</f>
        <v>3002351618</v>
      </c>
    </row>
    <row r="10" spans="2:4">
      <c r="B10" s="49" t="s">
        <v>472</v>
      </c>
      <c r="C10" s="118">
        <f>SUM(C8:C9)</f>
        <v>5561364871</v>
      </c>
      <c r="D10" s="118">
        <f>SUM(D8:D9)</f>
        <v>3162484022</v>
      </c>
    </row>
    <row r="11" spans="2:4">
      <c r="B11" s="49" t="s">
        <v>482</v>
      </c>
      <c r="C11" s="53"/>
      <c r="D11" s="53"/>
    </row>
    <row r="12" spans="2:4">
      <c r="B12" s="33" t="s">
        <v>483</v>
      </c>
      <c r="C12" s="97">
        <f>'Estado de Resultado Resol. 30'!D96</f>
        <v>1187829481</v>
      </c>
      <c r="D12" s="97">
        <f>'Estado de Resultado Resol. 30'!E96</f>
        <v>1189983783</v>
      </c>
    </row>
    <row r="13" spans="2:4">
      <c r="B13" s="33" t="s">
        <v>207</v>
      </c>
      <c r="C13" s="97">
        <f>'Estado de Resultado Resol. 30'!D97</f>
        <v>1415957255</v>
      </c>
      <c r="D13" s="97">
        <f>'Estado de Resultado Resol. 30'!E97</f>
        <v>1143722259</v>
      </c>
    </row>
    <row r="14" spans="2:4">
      <c r="B14" s="49" t="s">
        <v>472</v>
      </c>
      <c r="C14" s="184">
        <f>SUM(C12:C13)</f>
        <v>2603786736</v>
      </c>
      <c r="D14" s="184">
        <f>SUM(D12:D13)</f>
        <v>2333706042</v>
      </c>
    </row>
    <row r="15" spans="2:4">
      <c r="B15" s="49" t="s">
        <v>933</v>
      </c>
      <c r="C15" s="184">
        <f>+C10-C14</f>
        <v>2957578135</v>
      </c>
      <c r="D15" s="184">
        <f>+D10-D14</f>
        <v>828777980</v>
      </c>
    </row>
    <row r="16" spans="2:4">
      <c r="C16" s="55">
        <f>+C15-'Estado de Resultado Resol. 30'!D90</f>
        <v>0</v>
      </c>
      <c r="D16" s="55">
        <f>+D15-'Estado de Resultado Resol. 30'!E90</f>
        <v>0</v>
      </c>
    </row>
  </sheetData>
  <mergeCells count="1">
    <mergeCell ref="B3:D3"/>
  </mergeCells>
  <hyperlinks>
    <hyperlink ref="B5" location="'Estado de Resultado Resol. 30'!A1" display="'Estado de Resultado Resol. 30'!A1" xr:uid="{00000000-0004-0000-1900-000000000000}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6">
    <tabColor rgb="FF002060"/>
  </sheetPr>
  <dimension ref="B1:D16"/>
  <sheetViews>
    <sheetView showGridLines="0" zoomScaleNormal="100" workbookViewId="0">
      <selection activeCell="B77" sqref="B77"/>
    </sheetView>
  </sheetViews>
  <sheetFormatPr baseColWidth="10" defaultColWidth="11.44140625" defaultRowHeight="12"/>
  <cols>
    <col min="1" max="1" width="4.6640625" style="25" customWidth="1"/>
    <col min="2" max="2" width="37.6640625" style="25" bestFit="1" customWidth="1"/>
    <col min="3" max="3" width="13.6640625" style="25" bestFit="1" customWidth="1"/>
    <col min="4" max="4" width="13.33203125" style="25" bestFit="1" customWidth="1"/>
    <col min="5" max="5" width="11.44140625" style="25"/>
    <col min="6" max="8" width="0" style="25" hidden="1" customWidth="1"/>
    <col min="9" max="16384" width="11.44140625" style="25"/>
  </cols>
  <sheetData>
    <row r="1" spans="2:4" ht="34.200000000000003" customHeight="1">
      <c r="B1" s="201"/>
    </row>
    <row r="4" spans="2:4" ht="15.6">
      <c r="B4" s="759" t="s">
        <v>697</v>
      </c>
      <c r="C4" s="759"/>
      <c r="D4" s="759"/>
    </row>
    <row r="5" spans="2:4" ht="15.6">
      <c r="B5" s="398"/>
      <c r="C5" s="398"/>
      <c r="D5" s="398"/>
    </row>
    <row r="6" spans="2:4" ht="14.4">
      <c r="B6" s="408" t="s">
        <v>689</v>
      </c>
    </row>
    <row r="7" spans="2:4">
      <c r="B7" s="194" t="s">
        <v>338</v>
      </c>
      <c r="C7" s="433">
        <f>+'NOTA Y RESULTADOS FINANC'!C6</f>
        <v>44834</v>
      </c>
      <c r="D7" s="577">
        <f>+'NOTA Y RESULTADOS FINANC'!D6</f>
        <v>44469</v>
      </c>
    </row>
    <row r="8" spans="2:4">
      <c r="B8" s="49" t="s">
        <v>484</v>
      </c>
      <c r="C8" s="49"/>
      <c r="D8" s="49"/>
    </row>
    <row r="9" spans="2:4">
      <c r="B9" s="33" t="s">
        <v>1034</v>
      </c>
      <c r="C9" s="187">
        <f>+'[9]Estado de Resultado Resol. 30'!$D$100</f>
        <v>9706027</v>
      </c>
      <c r="D9" s="186">
        <v>0</v>
      </c>
    </row>
    <row r="10" spans="2:4">
      <c r="B10" s="33" t="s">
        <v>934</v>
      </c>
      <c r="C10" s="187"/>
      <c r="D10" s="186"/>
    </row>
    <row r="11" spans="2:4">
      <c r="B11" s="49" t="s">
        <v>472</v>
      </c>
      <c r="C11" s="188">
        <f>SUM(C9)</f>
        <v>9706027</v>
      </c>
      <c r="D11" s="188">
        <f>SUM(D9)</f>
        <v>0</v>
      </c>
    </row>
    <row r="12" spans="2:4">
      <c r="B12" s="49" t="s">
        <v>485</v>
      </c>
      <c r="C12" s="49"/>
      <c r="D12" s="49"/>
    </row>
    <row r="13" spans="2:4">
      <c r="B13" s="33" t="s">
        <v>486</v>
      </c>
      <c r="C13" s="187">
        <f>+'[9]Estado de Resultado Resol. 30'!$D$101</f>
        <v>9758357</v>
      </c>
      <c r="D13" s="49"/>
    </row>
    <row r="14" spans="2:4">
      <c r="B14" s="33" t="s">
        <v>935</v>
      </c>
      <c r="C14" s="187">
        <v>0</v>
      </c>
      <c r="D14" s="187">
        <f>+'Estado de Resultado Resol. 30'!E101</f>
        <v>0</v>
      </c>
    </row>
    <row r="15" spans="2:4">
      <c r="B15" s="49" t="s">
        <v>472</v>
      </c>
      <c r="C15" s="188">
        <f>SUM(C13:C14)</f>
        <v>9758357</v>
      </c>
      <c r="D15" s="188">
        <f>SUM(D14)</f>
        <v>0</v>
      </c>
    </row>
    <row r="16" spans="2:4" ht="15.6" customHeight="1">
      <c r="C16" s="55">
        <f>+C11-C15-'[9]Estado de Resultado Resol. 30'!$D$99</f>
        <v>0</v>
      </c>
      <c r="D16" s="55">
        <f>+D15+'Estado de Resultado Resol. 30'!E99</f>
        <v>0</v>
      </c>
    </row>
  </sheetData>
  <mergeCells count="1">
    <mergeCell ref="B4:D4"/>
  </mergeCells>
  <hyperlinks>
    <hyperlink ref="B6" location="'Estado de Resultado Resol. 30'!A1" display="'Estado de Resultado Resol. 30'!A1" xr:uid="{00000000-0004-0000-1A00-000000000000}"/>
  </hyperlinks>
  <pageMargins left="0.7" right="0.7" top="0.75" bottom="0.75" header="0.3" footer="0.3"/>
  <pageSetup paperSize="9"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>
    <tabColor rgb="FF002060"/>
  </sheetPr>
  <dimension ref="B1:H22"/>
  <sheetViews>
    <sheetView showGridLines="0" topLeftCell="A26" zoomScaleNormal="100" workbookViewId="0">
      <selection activeCell="B77" sqref="B77"/>
    </sheetView>
  </sheetViews>
  <sheetFormatPr baseColWidth="10" defaultColWidth="9.109375" defaultRowHeight="12"/>
  <cols>
    <col min="1" max="1" width="4.6640625" style="25" customWidth="1"/>
    <col min="2" max="2" width="93.109375" style="328" customWidth="1"/>
    <col min="3" max="5" width="11.44140625" style="25" customWidth="1"/>
    <col min="6" max="8" width="11.44140625" style="25" hidden="1" customWidth="1"/>
    <col min="9" max="255" width="11.44140625" style="25" customWidth="1"/>
    <col min="256" max="16384" width="9.109375" style="25"/>
  </cols>
  <sheetData>
    <row r="1" spans="2:2" ht="42" customHeight="1">
      <c r="B1" s="201"/>
    </row>
    <row r="5" spans="2:2" ht="15.6">
      <c r="B5" s="424" t="s">
        <v>487</v>
      </c>
    </row>
    <row r="6" spans="2:2">
      <c r="B6" s="26" t="s">
        <v>546</v>
      </c>
    </row>
    <row r="7" spans="2:2">
      <c r="B7" s="84" t="s">
        <v>488</v>
      </c>
    </row>
    <row r="8" spans="2:2">
      <c r="B8" s="26" t="s">
        <v>547</v>
      </c>
    </row>
    <row r="9" spans="2:2">
      <c r="B9" s="84" t="s">
        <v>488</v>
      </c>
    </row>
    <row r="10" spans="2:2">
      <c r="B10" s="26" t="s">
        <v>548</v>
      </c>
    </row>
    <row r="11" spans="2:2" ht="54.75" customHeight="1">
      <c r="B11" s="426" t="s">
        <v>936</v>
      </c>
    </row>
    <row r="12" spans="2:2" ht="54.75" customHeight="1">
      <c r="B12" s="426" t="s">
        <v>937</v>
      </c>
    </row>
    <row r="13" spans="2:2" ht="15.6">
      <c r="B13" s="424" t="s">
        <v>489</v>
      </c>
    </row>
    <row r="14" spans="2:2">
      <c r="B14" s="84" t="s">
        <v>490</v>
      </c>
    </row>
    <row r="15" spans="2:2" ht="33.75" customHeight="1">
      <c r="B15" s="425" t="s">
        <v>938</v>
      </c>
    </row>
    <row r="16" spans="2:2">
      <c r="B16" s="84" t="s">
        <v>491</v>
      </c>
    </row>
    <row r="17" spans="2:2" ht="15.6">
      <c r="B17" s="425" t="s">
        <v>492</v>
      </c>
    </row>
    <row r="18" spans="2:2">
      <c r="B18" s="84" t="s">
        <v>491</v>
      </c>
    </row>
    <row r="19" spans="2:2" ht="15.6">
      <c r="B19" s="425" t="s">
        <v>493</v>
      </c>
    </row>
    <row r="20" spans="2:2">
      <c r="B20" s="84" t="s">
        <v>491</v>
      </c>
    </row>
    <row r="21" spans="2:2" ht="15.6">
      <c r="B21" s="425" t="s">
        <v>494</v>
      </c>
    </row>
    <row r="22" spans="2:2">
      <c r="B22" s="84" t="s">
        <v>495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002060"/>
    <pageSetUpPr fitToPage="1"/>
  </sheetPr>
  <dimension ref="B2:L149"/>
  <sheetViews>
    <sheetView showGridLines="0" tabSelected="1" topLeftCell="A76" zoomScale="115" zoomScaleNormal="115" workbookViewId="0">
      <selection activeCell="B77" sqref="B77"/>
    </sheetView>
  </sheetViews>
  <sheetFormatPr baseColWidth="10" defaultColWidth="11.44140625" defaultRowHeight="12"/>
  <cols>
    <col min="1" max="1" width="5.6640625" style="202" customWidth="1"/>
    <col min="2" max="2" width="20.88671875" style="202" hidden="1" customWidth="1"/>
    <col min="3" max="3" width="42.6640625" style="202" customWidth="1"/>
    <col min="4" max="5" width="13.6640625" style="202" customWidth="1"/>
    <col min="6" max="6" width="42.6640625" style="202" customWidth="1"/>
    <col min="7" max="8" width="13.6640625" style="202" customWidth="1"/>
    <col min="9" max="9" width="5.5546875" style="202" customWidth="1"/>
    <col min="10" max="10" width="13.33203125" style="202" bestFit="1" customWidth="1"/>
    <col min="11" max="11" width="15.33203125" style="202" bestFit="1" customWidth="1"/>
    <col min="12" max="16384" width="11.44140625" style="202"/>
  </cols>
  <sheetData>
    <row r="2" spans="2:10">
      <c r="E2" s="192"/>
    </row>
    <row r="3" spans="2:10" ht="21.9" customHeight="1">
      <c r="E3" s="192"/>
    </row>
    <row r="4" spans="2:10" s="204" customFormat="1" ht="18">
      <c r="B4" s="203">
        <v>1</v>
      </c>
      <c r="C4" s="670" t="s">
        <v>0</v>
      </c>
      <c r="D4" s="670"/>
      <c r="E4" s="670"/>
      <c r="F4" s="670"/>
      <c r="G4" s="670"/>
      <c r="H4" s="670"/>
    </row>
    <row r="5" spans="2:10" s="204" customFormat="1" ht="11.25" customHeight="1">
      <c r="C5" s="670" t="s">
        <v>499</v>
      </c>
      <c r="D5" s="670"/>
      <c r="E5" s="670"/>
      <c r="F5" s="670"/>
      <c r="G5" s="670"/>
      <c r="H5" s="670"/>
    </row>
    <row r="6" spans="2:10" s="204" customFormat="1" ht="27" customHeight="1">
      <c r="B6" s="205" t="s">
        <v>29</v>
      </c>
      <c r="C6" s="705" t="s">
        <v>1016</v>
      </c>
      <c r="D6" s="705"/>
      <c r="E6" s="705"/>
      <c r="F6" s="705"/>
      <c r="G6" s="705"/>
      <c r="H6" s="705"/>
    </row>
    <row r="7" spans="2:10" s="204" customFormat="1" ht="12" customHeight="1" thickBot="1">
      <c r="B7" s="206" t="s">
        <v>30</v>
      </c>
      <c r="C7" s="706" t="s">
        <v>31</v>
      </c>
      <c r="D7" s="706"/>
      <c r="E7" s="706"/>
      <c r="F7" s="706"/>
      <c r="G7" s="706"/>
      <c r="H7" s="706"/>
    </row>
    <row r="8" spans="2:10" s="204" customFormat="1" ht="32.4" customHeight="1">
      <c r="B8" s="206"/>
      <c r="C8" s="767" t="s">
        <v>32</v>
      </c>
      <c r="D8" s="768" t="s">
        <v>1017</v>
      </c>
      <c r="E8" s="768" t="s">
        <v>940</v>
      </c>
      <c r="F8" s="769" t="s">
        <v>33</v>
      </c>
      <c r="G8" s="768" t="str">
        <f>+D8</f>
        <v>PERIODO ACTUAL 30/09/ 2022</v>
      </c>
      <c r="H8" s="770" t="str">
        <f>+E8</f>
        <v>PERIODO ANTERIOR   31/12/ 2021</v>
      </c>
    </row>
    <row r="9" spans="2:10" s="204" customFormat="1" ht="11.25" customHeight="1">
      <c r="B9" s="206" t="s">
        <v>34</v>
      </c>
      <c r="C9" s="771" t="s">
        <v>35</v>
      </c>
      <c r="D9" s="208"/>
      <c r="E9" s="209"/>
      <c r="F9" s="210" t="s">
        <v>36</v>
      </c>
      <c r="G9" s="211"/>
      <c r="H9" s="772"/>
    </row>
    <row r="10" spans="2:10" s="204" customFormat="1" ht="11.25" customHeight="1">
      <c r="B10" s="206" t="s">
        <v>37</v>
      </c>
      <c r="C10" s="771" t="s">
        <v>38</v>
      </c>
      <c r="D10" s="213"/>
      <c r="E10" s="212"/>
      <c r="F10" s="210" t="s">
        <v>616</v>
      </c>
      <c r="G10" s="211"/>
      <c r="H10" s="772"/>
    </row>
    <row r="11" spans="2:10" s="204" customFormat="1" ht="11.25" customHeight="1">
      <c r="B11" s="206"/>
      <c r="C11" s="773" t="s">
        <v>39</v>
      </c>
      <c r="D11" s="213">
        <f>+'[6]EEFF '!$B$8</f>
        <v>1000000</v>
      </c>
      <c r="E11" s="212">
        <v>3819055348</v>
      </c>
      <c r="F11" s="414" t="s">
        <v>533</v>
      </c>
      <c r="G11" s="211">
        <v>0</v>
      </c>
      <c r="H11" s="772">
        <v>5726846168</v>
      </c>
      <c r="J11" s="594"/>
    </row>
    <row r="12" spans="2:10" s="204" customFormat="1" ht="11.25" customHeight="1">
      <c r="B12" s="206"/>
      <c r="C12" s="773" t="s">
        <v>40</v>
      </c>
      <c r="D12" s="213">
        <v>0</v>
      </c>
      <c r="E12" s="212">
        <v>0</v>
      </c>
      <c r="F12" s="414" t="s">
        <v>41</v>
      </c>
      <c r="G12" s="211">
        <f>+'[6]EEFF '!$B$106-110002</f>
        <v>210861583</v>
      </c>
      <c r="H12" s="772">
        <v>535305930</v>
      </c>
    </row>
    <row r="13" spans="2:10" s="204" customFormat="1" ht="11.25" customHeight="1">
      <c r="B13" s="206"/>
      <c r="C13" s="773" t="s">
        <v>42</v>
      </c>
      <c r="D13" s="213">
        <f>+'[6]EEFF '!$B$9+'[6]EEFF '!$B$14+'[6]EEFF '!$B$19</f>
        <v>-20941034928</v>
      </c>
      <c r="E13" s="212">
        <v>2226806832</v>
      </c>
      <c r="F13" s="414" t="s">
        <v>534</v>
      </c>
      <c r="G13" s="212">
        <v>0</v>
      </c>
      <c r="H13" s="299">
        <v>110000</v>
      </c>
    </row>
    <row r="14" spans="2:10" s="204" customFormat="1" ht="11.25" customHeight="1">
      <c r="B14" s="206"/>
      <c r="C14" s="774"/>
      <c r="D14" s="217">
        <f>SUM(D11:D13)</f>
        <v>-20940034928</v>
      </c>
      <c r="E14" s="217">
        <v>6045862180</v>
      </c>
      <c r="F14" s="214" t="s">
        <v>522</v>
      </c>
      <c r="G14" s="211">
        <v>0</v>
      </c>
      <c r="H14" s="772">
        <v>0</v>
      </c>
    </row>
    <row r="15" spans="2:10" s="204" customFormat="1" ht="11.25" customHeight="1">
      <c r="B15" s="206"/>
      <c r="C15" s="774"/>
      <c r="D15" s="213"/>
      <c r="E15" s="212"/>
      <c r="F15" s="214" t="s">
        <v>43</v>
      </c>
      <c r="G15" s="211">
        <v>0</v>
      </c>
      <c r="H15" s="772">
        <v>0</v>
      </c>
    </row>
    <row r="16" spans="2:10" s="204" customFormat="1" ht="11.25" customHeight="1">
      <c r="B16" s="206"/>
      <c r="C16" s="774"/>
      <c r="D16" s="213"/>
      <c r="E16" s="212"/>
      <c r="F16" s="210"/>
      <c r="G16" s="217">
        <f>SUM(G11:G15)</f>
        <v>210861583</v>
      </c>
      <c r="H16" s="775">
        <v>6262262098</v>
      </c>
      <c r="J16" s="594"/>
    </row>
    <row r="17" spans="2:11" s="204" customFormat="1" ht="11.25" customHeight="1">
      <c r="B17" s="206" t="s">
        <v>44</v>
      </c>
      <c r="C17" s="771" t="s">
        <v>617</v>
      </c>
      <c r="D17" s="213">
        <v>0</v>
      </c>
      <c r="E17" s="212">
        <v>0</v>
      </c>
      <c r="F17" s="415" t="s">
        <v>45</v>
      </c>
      <c r="G17" s="211"/>
      <c r="H17" s="772"/>
    </row>
    <row r="18" spans="2:11" s="204" customFormat="1" ht="11.25" customHeight="1">
      <c r="B18" s="206" t="s">
        <v>46</v>
      </c>
      <c r="C18" s="774" t="s">
        <v>47</v>
      </c>
      <c r="D18" s="213">
        <f>+'[6]EEFF '!$B$24</f>
        <v>3064830000</v>
      </c>
      <c r="E18" s="212">
        <v>1250020000</v>
      </c>
      <c r="F18" s="214" t="s">
        <v>48</v>
      </c>
      <c r="G18" s="211">
        <v>0</v>
      </c>
      <c r="H18" s="772">
        <v>0</v>
      </c>
    </row>
    <row r="19" spans="2:11" s="204" customFormat="1" ht="11.25" customHeight="1">
      <c r="B19" s="206"/>
      <c r="C19" s="774" t="s">
        <v>49</v>
      </c>
      <c r="D19" s="213">
        <f>+'[6]EEFF '!$B$25</f>
        <v>72331753685</v>
      </c>
      <c r="E19" s="212">
        <v>123897600576</v>
      </c>
      <c r="F19" s="214" t="s">
        <v>50</v>
      </c>
      <c r="G19" s="211">
        <f>+'[6]EEFF '!$B$95</f>
        <v>26495875400</v>
      </c>
      <c r="H19" s="772">
        <v>29505799800</v>
      </c>
    </row>
    <row r="20" spans="2:11" s="204" customFormat="1" ht="11.25" customHeight="1">
      <c r="B20" s="206"/>
      <c r="C20" s="774" t="s">
        <v>757</v>
      </c>
      <c r="D20" s="213">
        <f>+'[6]EEFF '!$B$29+'[6]EEFF '!$B$31</f>
        <v>4906487326</v>
      </c>
      <c r="E20" s="212">
        <v>1811764209</v>
      </c>
      <c r="F20" s="214" t="s">
        <v>52</v>
      </c>
      <c r="G20" s="211">
        <f>+'[6]EEFF '!$B$98</f>
        <v>626363472</v>
      </c>
      <c r="H20" s="772">
        <v>-240243328</v>
      </c>
    </row>
    <row r="21" spans="2:11" s="204" customFormat="1" ht="11.25" customHeight="1">
      <c r="B21" s="206"/>
      <c r="C21" s="776" t="s">
        <v>51</v>
      </c>
      <c r="D21" s="213">
        <v>0</v>
      </c>
      <c r="E21" s="212">
        <v>0</v>
      </c>
      <c r="F21" s="214" t="s">
        <v>758</v>
      </c>
      <c r="G21" s="211">
        <f>+'[6]EEFF '!$B$101</f>
        <v>54006546707</v>
      </c>
      <c r="H21" s="772">
        <v>101801147485</v>
      </c>
    </row>
    <row r="22" spans="2:11" s="204" customFormat="1" ht="11.25" customHeight="1">
      <c r="B22" s="206"/>
      <c r="C22" s="774"/>
      <c r="D22" s="219">
        <f>SUM(D17:D21)</f>
        <v>80303071011</v>
      </c>
      <c r="E22" s="219">
        <v>126959384785</v>
      </c>
      <c r="F22" s="220"/>
      <c r="G22" s="219">
        <f>SUM(G17:G21)</f>
        <v>81128785579</v>
      </c>
      <c r="H22" s="777">
        <v>131066703957</v>
      </c>
      <c r="J22" s="221"/>
      <c r="K22" s="221"/>
    </row>
    <row r="23" spans="2:11" s="204" customFormat="1" ht="11.25" customHeight="1">
      <c r="B23" s="206"/>
      <c r="C23" s="771" t="s">
        <v>53</v>
      </c>
      <c r="D23" s="213"/>
      <c r="E23" s="212"/>
      <c r="F23" s="415" t="s">
        <v>535</v>
      </c>
      <c r="G23" s="211"/>
      <c r="H23" s="772"/>
    </row>
    <row r="24" spans="2:11" s="204" customFormat="1" ht="11.25" customHeight="1">
      <c r="B24" s="206"/>
      <c r="C24" s="773" t="s">
        <v>55</v>
      </c>
      <c r="D24" s="213">
        <f>+'[6]EEFF '!$B$35</f>
        <v>17570920280</v>
      </c>
      <c r="E24" s="215">
        <v>11358134441</v>
      </c>
      <c r="F24" s="214" t="s">
        <v>56</v>
      </c>
      <c r="G24" s="211">
        <v>0</v>
      </c>
      <c r="H24" s="772">
        <v>1740657839</v>
      </c>
    </row>
    <row r="25" spans="2:11" s="204" customFormat="1" ht="11.25" customHeight="1">
      <c r="B25" s="206"/>
      <c r="C25" s="773" t="s">
        <v>57</v>
      </c>
      <c r="D25" s="213">
        <f>+'[6]EEFF '!$B$39</f>
        <v>2297561930</v>
      </c>
      <c r="E25" s="212">
        <v>922158467</v>
      </c>
      <c r="F25" s="214" t="s">
        <v>58</v>
      </c>
      <c r="G25" s="211">
        <v>0</v>
      </c>
      <c r="H25" s="772">
        <v>0</v>
      </c>
    </row>
    <row r="26" spans="2:11" s="204" customFormat="1" ht="14.1" customHeight="1">
      <c r="B26" s="206"/>
      <c r="C26" s="773" t="s">
        <v>59</v>
      </c>
      <c r="D26" s="213">
        <f>+'[6]EEFF '!$B$49</f>
        <v>3200000</v>
      </c>
      <c r="E26" s="212">
        <v>3200000</v>
      </c>
      <c r="F26" s="214" t="s">
        <v>60</v>
      </c>
      <c r="G26" s="211">
        <v>0</v>
      </c>
      <c r="H26" s="772">
        <v>0</v>
      </c>
    </row>
    <row r="27" spans="2:11" s="204" customFormat="1" ht="11.25" customHeight="1">
      <c r="B27" s="206"/>
      <c r="C27" s="776" t="s">
        <v>61</v>
      </c>
      <c r="D27" s="213">
        <v>0</v>
      </c>
      <c r="E27" s="212">
        <v>0</v>
      </c>
      <c r="F27" s="214" t="s">
        <v>62</v>
      </c>
      <c r="G27" s="211">
        <f>+'[6]EEFF '!$B$114</f>
        <v>61343110</v>
      </c>
      <c r="H27" s="772">
        <v>49929495</v>
      </c>
    </row>
    <row r="28" spans="2:11" s="204" customFormat="1" ht="11.25" customHeight="1">
      <c r="B28" s="206"/>
      <c r="C28" s="773" t="s">
        <v>63</v>
      </c>
      <c r="D28" s="213">
        <f>+'[6]EEFF '!$B$52</f>
        <v>2929043298</v>
      </c>
      <c r="E28" s="212">
        <v>1309229323</v>
      </c>
      <c r="F28" s="214" t="s">
        <v>64</v>
      </c>
      <c r="G28" s="211">
        <v>0</v>
      </c>
      <c r="H28" s="772">
        <v>0</v>
      </c>
    </row>
    <row r="29" spans="2:11" s="204" customFormat="1" ht="11.25" customHeight="1">
      <c r="B29" s="206" t="s">
        <v>65</v>
      </c>
      <c r="C29" s="776" t="s">
        <v>66</v>
      </c>
      <c r="D29" s="213">
        <v>0</v>
      </c>
      <c r="E29" s="212">
        <v>0</v>
      </c>
      <c r="F29" s="214"/>
      <c r="G29" s="211"/>
      <c r="H29" s="772"/>
    </row>
    <row r="30" spans="2:11" s="204" customFormat="1" ht="11.25" customHeight="1">
      <c r="B30" s="206" t="s">
        <v>67</v>
      </c>
      <c r="C30" s="773" t="s">
        <v>68</v>
      </c>
      <c r="D30" s="213">
        <v>0</v>
      </c>
      <c r="E30" s="212">
        <v>0</v>
      </c>
      <c r="F30" s="214"/>
      <c r="G30" s="211"/>
      <c r="H30" s="772"/>
      <c r="J30" s="221"/>
      <c r="K30" s="221"/>
    </row>
    <row r="31" spans="2:11" s="204" customFormat="1" ht="11.25" customHeight="1">
      <c r="B31" s="206" t="s">
        <v>69</v>
      </c>
      <c r="C31" s="773"/>
      <c r="D31" s="217">
        <f>SUM(D24:D30)</f>
        <v>22800725508</v>
      </c>
      <c r="E31" s="217">
        <v>13592722231</v>
      </c>
      <c r="F31" s="214"/>
      <c r="G31" s="217">
        <f>SUM(G24:G30)</f>
        <v>61343110</v>
      </c>
      <c r="H31" s="775">
        <v>1790587334</v>
      </c>
      <c r="I31" s="221"/>
      <c r="J31" s="221"/>
      <c r="K31" s="221"/>
    </row>
    <row r="32" spans="2:11" s="204" customFormat="1" ht="11.25" customHeight="1">
      <c r="B32" s="206"/>
      <c r="C32" s="778" t="s">
        <v>70</v>
      </c>
      <c r="D32" s="213"/>
      <c r="E32" s="212"/>
      <c r="F32" s="415" t="s">
        <v>701</v>
      </c>
      <c r="G32" s="211"/>
      <c r="H32" s="772"/>
      <c r="I32" s="222"/>
    </row>
    <row r="33" spans="2:12" s="204" customFormat="1" ht="11.25" customHeight="1">
      <c r="B33" s="206" t="s">
        <v>72</v>
      </c>
      <c r="C33" s="779" t="s">
        <v>667</v>
      </c>
      <c r="D33" s="208"/>
      <c r="E33" s="209"/>
      <c r="F33" s="223" t="s">
        <v>760</v>
      </c>
      <c r="G33" s="224"/>
      <c r="H33" s="780"/>
    </row>
    <row r="34" spans="2:12" s="204" customFormat="1" ht="11.25" customHeight="1">
      <c r="B34" s="206" t="s">
        <v>73</v>
      </c>
      <c r="C34" s="773" t="s">
        <v>666</v>
      </c>
      <c r="D34" s="213">
        <f>+'[6]EEFF '!$B$58+'[6]EEFF '!$B$59</f>
        <v>332106029</v>
      </c>
      <c r="E34" s="212">
        <v>452015256</v>
      </c>
      <c r="F34" s="214" t="s">
        <v>700</v>
      </c>
      <c r="G34" s="211">
        <f>+'[6]EEFF '!$B$118+'[6]EEFF '!$B$119</f>
        <v>15731055</v>
      </c>
      <c r="H34" s="772">
        <v>14244884</v>
      </c>
    </row>
    <row r="35" spans="2:12" s="204" customFormat="1" ht="11.25" customHeight="1">
      <c r="B35" s="206" t="s">
        <v>74</v>
      </c>
      <c r="C35" s="773" t="s">
        <v>668</v>
      </c>
      <c r="D35" s="213">
        <f>+'[6]EEFF '!$B$57</f>
        <v>14674893</v>
      </c>
      <c r="E35" s="212">
        <v>6582803</v>
      </c>
      <c r="F35" s="214" t="s">
        <v>75</v>
      </c>
      <c r="G35" s="211">
        <v>0</v>
      </c>
      <c r="H35" s="772">
        <v>0</v>
      </c>
      <c r="I35" s="222"/>
    </row>
    <row r="36" spans="2:12" s="204" customFormat="1" ht="11.25" customHeight="1">
      <c r="B36" s="206" t="s">
        <v>76</v>
      </c>
      <c r="C36" s="773" t="s">
        <v>577</v>
      </c>
      <c r="D36" s="213">
        <v>0</v>
      </c>
      <c r="E36" s="212">
        <v>0</v>
      </c>
      <c r="F36" s="214" t="s">
        <v>77</v>
      </c>
      <c r="G36" s="211">
        <f>+'[6]EEFF '!$B$116+'[6]EEFF '!$B$117</f>
        <v>13066121918</v>
      </c>
      <c r="H36" s="772">
        <v>0</v>
      </c>
    </row>
    <row r="37" spans="2:12" s="204" customFormat="1" ht="11.25" customHeight="1">
      <c r="B37" s="206"/>
      <c r="C37" s="773"/>
      <c r="D37" s="213"/>
      <c r="E37" s="212"/>
      <c r="F37" s="214"/>
      <c r="G37" s="211"/>
      <c r="H37" s="781"/>
      <c r="J37" s="594"/>
    </row>
    <row r="38" spans="2:12" s="204" customFormat="1" ht="11.25" customHeight="1">
      <c r="B38" s="206"/>
      <c r="C38" s="778"/>
      <c r="D38" s="217">
        <f>SUM(D34:D37)</f>
        <v>346780922</v>
      </c>
      <c r="E38" s="217">
        <v>458598059</v>
      </c>
      <c r="F38" s="214"/>
      <c r="G38" s="217">
        <f>SUM(G34:G37)</f>
        <v>13081852973</v>
      </c>
      <c r="H38" s="782">
        <v>14244884</v>
      </c>
      <c r="J38" s="221"/>
      <c r="K38" s="222"/>
    </row>
    <row r="39" spans="2:12" s="204" customFormat="1" ht="11.25" customHeight="1" thickBot="1">
      <c r="B39" s="206" t="s">
        <v>78</v>
      </c>
      <c r="C39" s="783" t="s">
        <v>79</v>
      </c>
      <c r="D39" s="225">
        <f>+D14+D22+D31+D38</f>
        <v>82510542513</v>
      </c>
      <c r="E39" s="225">
        <v>147056567255</v>
      </c>
      <c r="F39" s="226" t="s">
        <v>80</v>
      </c>
      <c r="G39" s="225">
        <f>+G16+G22+G31+G38</f>
        <v>94482843245</v>
      </c>
      <c r="H39" s="784">
        <v>139133798273</v>
      </c>
      <c r="J39" s="221"/>
      <c r="L39" s="760"/>
    </row>
    <row r="40" spans="2:12" s="204" customFormat="1" ht="11.25" customHeight="1" thickTop="1">
      <c r="B40" s="206"/>
      <c r="C40" s="773"/>
      <c r="D40" s="227"/>
      <c r="E40" s="212"/>
      <c r="F40" s="220"/>
      <c r="G40" s="211"/>
      <c r="H40" s="772"/>
    </row>
    <row r="41" spans="2:12" s="204" customFormat="1" ht="11.25" customHeight="1">
      <c r="B41" s="206" t="s">
        <v>81</v>
      </c>
      <c r="C41" s="778" t="s">
        <v>82</v>
      </c>
      <c r="D41" s="213"/>
      <c r="E41" s="212"/>
      <c r="F41" s="210" t="s">
        <v>83</v>
      </c>
      <c r="G41" s="211"/>
      <c r="H41" s="772"/>
    </row>
    <row r="42" spans="2:12" s="204" customFormat="1" ht="11.25" customHeight="1">
      <c r="B42" s="206" t="s">
        <v>84</v>
      </c>
      <c r="C42" s="771" t="s">
        <v>85</v>
      </c>
      <c r="D42" s="213"/>
      <c r="E42" s="212"/>
      <c r="F42" s="210" t="s">
        <v>616</v>
      </c>
      <c r="G42" s="211"/>
      <c r="H42" s="772"/>
    </row>
    <row r="43" spans="2:12" s="204" customFormat="1" ht="11.25" customHeight="1">
      <c r="B43" s="206"/>
      <c r="C43" s="773" t="s">
        <v>47</v>
      </c>
      <c r="D43" s="213">
        <f>+'[6]EEFF '!$B$62</f>
        <v>41332500000</v>
      </c>
      <c r="E43" s="212">
        <v>25108500000</v>
      </c>
      <c r="F43" s="214" t="s">
        <v>533</v>
      </c>
      <c r="G43" s="211">
        <v>0</v>
      </c>
      <c r="H43" s="772">
        <v>0</v>
      </c>
    </row>
    <row r="44" spans="2:12" s="204" customFormat="1" ht="11.25" customHeight="1">
      <c r="B44" s="206"/>
      <c r="C44" s="773" t="s">
        <v>88</v>
      </c>
      <c r="D44" s="213">
        <v>0</v>
      </c>
      <c r="E44" s="212"/>
      <c r="F44" s="214" t="s">
        <v>41</v>
      </c>
      <c r="G44" s="211">
        <v>0</v>
      </c>
      <c r="H44" s="772">
        <v>0</v>
      </c>
    </row>
    <row r="45" spans="2:12" s="204" customFormat="1" ht="11.25" customHeight="1">
      <c r="B45" s="206"/>
      <c r="C45" s="773" t="s">
        <v>89</v>
      </c>
      <c r="D45" s="213">
        <f>+'[6]EEFF '!$B$71</f>
        <v>900000000</v>
      </c>
      <c r="E45" s="212">
        <v>900000000</v>
      </c>
      <c r="F45" s="214" t="s">
        <v>534</v>
      </c>
      <c r="G45" s="212">
        <v>0</v>
      </c>
      <c r="H45" s="299">
        <v>0</v>
      </c>
    </row>
    <row r="46" spans="2:12" s="204" customFormat="1" ht="11.25" customHeight="1">
      <c r="B46" s="206"/>
      <c r="C46" s="773" t="s">
        <v>90</v>
      </c>
      <c r="D46" s="213">
        <f>+'[6]EEFF '!$B$72</f>
        <v>4000000000</v>
      </c>
      <c r="E46" s="212">
        <v>1000000000</v>
      </c>
      <c r="F46" s="214" t="s">
        <v>522</v>
      </c>
      <c r="G46" s="211">
        <v>0</v>
      </c>
      <c r="H46" s="772">
        <v>0</v>
      </c>
    </row>
    <row r="47" spans="2:12" s="204" customFormat="1" ht="11.25" customHeight="1">
      <c r="B47" s="229" t="s">
        <v>92</v>
      </c>
      <c r="C47" s="773" t="s">
        <v>93</v>
      </c>
      <c r="D47" s="213">
        <v>0</v>
      </c>
      <c r="E47" s="212">
        <v>0</v>
      </c>
      <c r="F47" s="214" t="s">
        <v>43</v>
      </c>
      <c r="G47" s="211">
        <v>0</v>
      </c>
      <c r="H47" s="772">
        <v>0</v>
      </c>
    </row>
    <row r="48" spans="2:12" s="204" customFormat="1" ht="11.25" customHeight="1">
      <c r="B48" s="206" t="s">
        <v>94</v>
      </c>
      <c r="C48" s="773" t="s">
        <v>759</v>
      </c>
      <c r="D48" s="213">
        <f>+'[6]EEFF '!$B$68</f>
        <v>47451703</v>
      </c>
      <c r="E48" s="212">
        <v>47451703</v>
      </c>
      <c r="F48" s="214"/>
      <c r="G48" s="211"/>
      <c r="H48" s="772"/>
    </row>
    <row r="49" spans="2:8" s="204" customFormat="1" ht="11.25" customHeight="1">
      <c r="B49" s="206" t="s">
        <v>96</v>
      </c>
      <c r="C49" s="776" t="s">
        <v>61</v>
      </c>
      <c r="D49" s="213">
        <v>0</v>
      </c>
      <c r="E49" s="212">
        <v>0</v>
      </c>
      <c r="F49" s="210"/>
      <c r="G49" s="211"/>
      <c r="H49" s="772"/>
    </row>
    <row r="50" spans="2:8" s="204" customFormat="1" ht="11.25" customHeight="1">
      <c r="B50" s="206"/>
      <c r="C50" s="774"/>
      <c r="D50" s="217">
        <f>SUM(D43:D49)</f>
        <v>46279951703</v>
      </c>
      <c r="E50" s="217">
        <v>27055951703</v>
      </c>
      <c r="F50" s="210"/>
      <c r="G50" s="217">
        <f>SUM(G43:G49)</f>
        <v>0</v>
      </c>
      <c r="H50" s="775">
        <v>0</v>
      </c>
    </row>
    <row r="51" spans="2:8" s="204" customFormat="1" ht="11.25" customHeight="1">
      <c r="B51" s="206"/>
      <c r="C51" s="771" t="s">
        <v>53</v>
      </c>
      <c r="D51" s="213"/>
      <c r="E51" s="212"/>
      <c r="F51" s="210" t="s">
        <v>45</v>
      </c>
      <c r="G51" s="211"/>
      <c r="H51" s="772"/>
    </row>
    <row r="52" spans="2:8" s="204" customFormat="1" ht="11.25" customHeight="1">
      <c r="B52" s="206" t="s">
        <v>100</v>
      </c>
      <c r="C52" s="773" t="s">
        <v>55</v>
      </c>
      <c r="D52" s="213">
        <v>0</v>
      </c>
      <c r="E52" s="213">
        <v>0</v>
      </c>
      <c r="F52" s="214" t="s">
        <v>87</v>
      </c>
      <c r="G52" s="211">
        <v>0</v>
      </c>
      <c r="H52" s="772">
        <v>0</v>
      </c>
    </row>
    <row r="53" spans="2:8" s="204" customFormat="1" ht="11.25" customHeight="1">
      <c r="B53" s="206" t="s">
        <v>101</v>
      </c>
      <c r="C53" s="773" t="s">
        <v>59</v>
      </c>
      <c r="D53" s="213">
        <v>0</v>
      </c>
      <c r="E53" s="213">
        <v>0</v>
      </c>
      <c r="F53" s="214" t="s">
        <v>52</v>
      </c>
      <c r="G53" s="211">
        <v>0</v>
      </c>
      <c r="H53" s="772">
        <v>0</v>
      </c>
    </row>
    <row r="54" spans="2:8" s="204" customFormat="1" ht="11.25" customHeight="1">
      <c r="B54" s="206" t="s">
        <v>104</v>
      </c>
      <c r="C54" s="773" t="s">
        <v>102</v>
      </c>
      <c r="D54" s="213"/>
      <c r="E54" s="213"/>
      <c r="F54" s="228"/>
      <c r="G54" s="217">
        <v>0</v>
      </c>
      <c r="H54" s="777">
        <v>0</v>
      </c>
    </row>
    <row r="55" spans="2:8" s="204" customFormat="1" ht="11.25" customHeight="1">
      <c r="B55" s="206" t="s">
        <v>106</v>
      </c>
      <c r="C55" s="776" t="s">
        <v>61</v>
      </c>
      <c r="D55" s="213"/>
      <c r="E55" s="213"/>
      <c r="F55" s="210" t="s">
        <v>91</v>
      </c>
      <c r="G55" s="211"/>
      <c r="H55" s="772"/>
    </row>
    <row r="56" spans="2:8" s="204" customFormat="1" ht="11.25" customHeight="1">
      <c r="B56" s="206"/>
      <c r="C56" s="773" t="s">
        <v>63</v>
      </c>
      <c r="D56" s="213"/>
      <c r="E56" s="213"/>
      <c r="F56" s="214" t="s">
        <v>95</v>
      </c>
      <c r="G56" s="211">
        <v>0</v>
      </c>
      <c r="H56" s="772">
        <v>0</v>
      </c>
    </row>
    <row r="57" spans="2:8" s="204" customFormat="1" ht="11.25" customHeight="1">
      <c r="B57" s="206"/>
      <c r="C57" s="776" t="s">
        <v>66</v>
      </c>
      <c r="D57" s="213"/>
      <c r="E57" s="213"/>
      <c r="F57" s="214" t="s">
        <v>97</v>
      </c>
      <c r="G57" s="211">
        <v>0</v>
      </c>
      <c r="H57" s="772">
        <v>0</v>
      </c>
    </row>
    <row r="58" spans="2:8" s="204" customFormat="1" ht="11.25" customHeight="1">
      <c r="B58" s="206"/>
      <c r="C58" s="773" t="s">
        <v>68</v>
      </c>
      <c r="D58" s="213"/>
      <c r="E58" s="213"/>
      <c r="F58" s="214" t="s">
        <v>99</v>
      </c>
      <c r="G58" s="211"/>
      <c r="H58" s="772"/>
    </row>
    <row r="59" spans="2:8" s="204" customFormat="1" ht="11.25" customHeight="1">
      <c r="B59" s="206" t="s">
        <v>109</v>
      </c>
      <c r="C59" s="773"/>
      <c r="D59" s="213"/>
      <c r="E59" s="212"/>
      <c r="F59" s="220"/>
      <c r="G59" s="217">
        <v>0</v>
      </c>
      <c r="H59" s="777">
        <v>0</v>
      </c>
    </row>
    <row r="60" spans="2:8" s="204" customFormat="1" ht="11.25" customHeight="1" thickBot="1">
      <c r="B60" s="206"/>
      <c r="C60" s="774"/>
      <c r="D60" s="217">
        <f>SUM(D52:D59)</f>
        <v>0</v>
      </c>
      <c r="E60" s="217">
        <v>0</v>
      </c>
      <c r="F60" s="226" t="s">
        <v>103</v>
      </c>
      <c r="G60" s="217">
        <f>+G50+G54+G59</f>
        <v>0</v>
      </c>
      <c r="H60" s="785">
        <v>0</v>
      </c>
    </row>
    <row r="61" spans="2:8" s="204" customFormat="1" ht="11.25" customHeight="1" thickTop="1">
      <c r="B61" s="206"/>
      <c r="C61" s="771" t="s">
        <v>110</v>
      </c>
      <c r="D61" s="213"/>
      <c r="E61" s="212"/>
      <c r="F61" s="230" t="s">
        <v>105</v>
      </c>
      <c r="G61" s="231">
        <f>+G39+G60</f>
        <v>94482843245</v>
      </c>
      <c r="H61" s="786">
        <v>139133798273</v>
      </c>
    </row>
    <row r="62" spans="2:8" s="204" customFormat="1" ht="11.25" customHeight="1">
      <c r="B62" s="206"/>
      <c r="C62" s="773" t="s">
        <v>112</v>
      </c>
      <c r="D62" s="213">
        <f>+'[6]EEFF '!$B$73-D63</f>
        <v>13440901345</v>
      </c>
      <c r="E62" s="212">
        <v>13290773438</v>
      </c>
      <c r="F62" s="415" t="s">
        <v>107</v>
      </c>
      <c r="G62" s="211"/>
      <c r="H62" s="772"/>
    </row>
    <row r="63" spans="2:8" s="204" customFormat="1" ht="11.25" customHeight="1">
      <c r="B63" s="206"/>
      <c r="C63" s="773" t="s">
        <v>114</v>
      </c>
      <c r="D63" s="213">
        <f>+'[6]EEFF '!$B$81</f>
        <v>-957359047</v>
      </c>
      <c r="E63" s="212">
        <v>-957359047</v>
      </c>
      <c r="F63" s="210" t="s">
        <v>249</v>
      </c>
      <c r="G63" s="211"/>
      <c r="H63" s="772"/>
    </row>
    <row r="64" spans="2:8" s="204" customFormat="1" ht="11.25" customHeight="1">
      <c r="B64" s="206"/>
      <c r="C64" s="773"/>
      <c r="D64" s="217">
        <f>SUM(D62:D63)</f>
        <v>12483542298</v>
      </c>
      <c r="E64" s="217">
        <v>12333414391</v>
      </c>
      <c r="F64" s="214" t="s">
        <v>108</v>
      </c>
      <c r="G64" s="211">
        <f>+'[5]EEFF 31 03 2022'!$B$134</f>
        <v>42764000001</v>
      </c>
      <c r="H64" s="772">
        <v>27164000001</v>
      </c>
    </row>
    <row r="65" spans="2:11" s="204" customFormat="1" ht="11.25" customHeight="1">
      <c r="B65" s="206"/>
      <c r="C65" s="771" t="s">
        <v>117</v>
      </c>
      <c r="D65" s="213"/>
      <c r="E65" s="212"/>
      <c r="F65" s="214"/>
      <c r="G65" s="217">
        <f>SUM(G64)</f>
        <v>42764000001</v>
      </c>
      <c r="H65" s="775">
        <v>27164000001</v>
      </c>
    </row>
    <row r="66" spans="2:11" s="204" customFormat="1" ht="11.25" customHeight="1">
      <c r="B66" s="206"/>
      <c r="C66" s="773" t="s">
        <v>118</v>
      </c>
      <c r="D66" s="213">
        <f>+'[6]EEFF '!$B$83+'[6]EEFF '!$B$86+'[6]EEFF '!$B$87-D67</f>
        <v>196728092</v>
      </c>
      <c r="E66" s="212">
        <v>180580005</v>
      </c>
      <c r="F66" s="210" t="s">
        <v>250</v>
      </c>
      <c r="G66" s="211"/>
      <c r="H66" s="772"/>
    </row>
    <row r="67" spans="2:11" s="204" customFormat="1" ht="11.25" customHeight="1">
      <c r="B67" s="206"/>
      <c r="C67" s="773" t="s">
        <v>119</v>
      </c>
      <c r="D67" s="213">
        <f>+'[4]EEFF '!$B$87</f>
        <v>46295765</v>
      </c>
      <c r="E67" s="212">
        <v>22988235</v>
      </c>
      <c r="F67" s="214" t="s">
        <v>113</v>
      </c>
      <c r="G67" s="211">
        <v>1546573343</v>
      </c>
      <c r="H67" s="772">
        <v>1546573343</v>
      </c>
    </row>
    <row r="68" spans="2:11" s="204" customFormat="1" ht="11.25" customHeight="1">
      <c r="B68" s="206"/>
      <c r="C68" s="773" t="s">
        <v>120</v>
      </c>
      <c r="D68" s="213">
        <v>27866433</v>
      </c>
      <c r="E68" s="212">
        <v>27866433</v>
      </c>
      <c r="F68" s="214" t="s">
        <v>115</v>
      </c>
      <c r="G68" s="211">
        <v>0</v>
      </c>
      <c r="H68" s="787">
        <v>0</v>
      </c>
    </row>
    <row r="69" spans="2:11" s="204" customFormat="1" ht="11.25" customHeight="1">
      <c r="B69" s="206"/>
      <c r="C69" s="773" t="s">
        <v>121</v>
      </c>
      <c r="D69" s="213">
        <v>2752296184</v>
      </c>
      <c r="E69" s="212">
        <v>2752296184</v>
      </c>
      <c r="F69" s="214" t="s">
        <v>116</v>
      </c>
      <c r="G69" s="211">
        <v>49000000</v>
      </c>
      <c r="H69" s="772">
        <v>49000000</v>
      </c>
    </row>
    <row r="70" spans="2:11" s="204" customFormat="1" ht="11.25" customHeight="1">
      <c r="B70" s="206"/>
      <c r="C70" s="773" t="s">
        <v>619</v>
      </c>
      <c r="D70" s="213">
        <v>4448595000</v>
      </c>
      <c r="E70" s="212">
        <v>4448595000</v>
      </c>
      <c r="F70" s="788"/>
      <c r="G70" s="217">
        <f>SUM(G67:G69)</f>
        <v>1595573343</v>
      </c>
      <c r="H70" s="775">
        <v>1595573343</v>
      </c>
    </row>
    <row r="71" spans="2:11" s="204" customFormat="1" ht="11.25" customHeight="1">
      <c r="B71" s="206"/>
      <c r="C71" s="773" t="s">
        <v>123</v>
      </c>
      <c r="D71" s="232">
        <v>-2634196428</v>
      </c>
      <c r="E71" s="218">
        <v>-2634196428</v>
      </c>
      <c r="F71" s="223" t="s">
        <v>761</v>
      </c>
      <c r="G71" s="211"/>
      <c r="H71" s="787"/>
    </row>
    <row r="72" spans="2:11" s="204" customFormat="1" ht="11.25" customHeight="1">
      <c r="B72" s="206" t="s">
        <v>125</v>
      </c>
      <c r="C72" s="774"/>
      <c r="D72" s="217">
        <f>SUM(D66:D71)</f>
        <v>4837585046</v>
      </c>
      <c r="E72" s="217">
        <v>4798129429</v>
      </c>
      <c r="F72" s="214" t="s">
        <v>762</v>
      </c>
      <c r="G72" s="211">
        <v>0</v>
      </c>
      <c r="H72" s="772">
        <v>0</v>
      </c>
      <c r="J72" s="221"/>
      <c r="K72" s="594"/>
    </row>
    <row r="73" spans="2:11" s="204" customFormat="1" ht="11.25" customHeight="1">
      <c r="B73" s="206" t="s">
        <v>127</v>
      </c>
      <c r="C73" s="778" t="s">
        <v>70</v>
      </c>
      <c r="D73" s="213"/>
      <c r="E73" s="212"/>
      <c r="F73" s="788" t="s">
        <v>763</v>
      </c>
      <c r="G73" s="211">
        <v>8933184</v>
      </c>
      <c r="H73" s="772">
        <v>8933184</v>
      </c>
    </row>
    <row r="74" spans="2:11" s="204" customFormat="1" ht="11.25" customHeight="1">
      <c r="B74" s="206"/>
      <c r="C74" s="771" t="s">
        <v>670</v>
      </c>
      <c r="D74" s="213"/>
      <c r="E74" s="212"/>
      <c r="F74" s="210"/>
      <c r="G74" s="217">
        <f>SUM(G72:G73)</f>
        <v>8933184</v>
      </c>
      <c r="H74" s="775">
        <v>8933184</v>
      </c>
    </row>
    <row r="75" spans="2:11" s="204" customFormat="1" ht="11.25" customHeight="1">
      <c r="B75" s="206" t="s">
        <v>129</v>
      </c>
      <c r="C75" s="773" t="s">
        <v>669</v>
      </c>
      <c r="D75" s="213">
        <v>0</v>
      </c>
      <c r="E75" s="212">
        <v>0</v>
      </c>
      <c r="F75" s="210" t="s">
        <v>618</v>
      </c>
      <c r="G75" s="224"/>
      <c r="H75" s="780"/>
    </row>
    <row r="76" spans="2:11" ht="11.25" customHeight="1">
      <c r="B76" s="238" t="s">
        <v>131</v>
      </c>
      <c r="C76" s="773" t="s">
        <v>130</v>
      </c>
      <c r="D76" s="213">
        <v>0</v>
      </c>
      <c r="E76" s="212">
        <v>0</v>
      </c>
      <c r="F76" s="220" t="s">
        <v>122</v>
      </c>
      <c r="G76" s="211">
        <f>+'[6]EEFF '!$B$133</f>
        <v>241757977</v>
      </c>
      <c r="H76" s="772">
        <v>9411087</v>
      </c>
    </row>
    <row r="77" spans="2:11" ht="11.25" customHeight="1">
      <c r="B77" s="238" t="s">
        <v>133</v>
      </c>
      <c r="C77" s="773" t="s">
        <v>132</v>
      </c>
      <c r="D77" s="213">
        <v>0</v>
      </c>
      <c r="E77" s="212">
        <v>0</v>
      </c>
      <c r="F77" s="220" t="s">
        <v>124</v>
      </c>
      <c r="G77" s="233">
        <f>+'[6]EEFF '!$B$136</f>
        <v>7018513809.9700003</v>
      </c>
      <c r="H77" s="789">
        <v>23332346890.369999</v>
      </c>
    </row>
    <row r="78" spans="2:11" ht="11.25" customHeight="1">
      <c r="B78" s="238" t="s">
        <v>134</v>
      </c>
      <c r="C78" s="774"/>
      <c r="D78" s="239">
        <v>0</v>
      </c>
      <c r="E78" s="239">
        <v>0</v>
      </c>
      <c r="F78" s="220"/>
      <c r="G78" s="234">
        <f>SUM(G76:G77)</f>
        <v>7260271786.9700003</v>
      </c>
      <c r="H78" s="790">
        <v>23341757977.369999</v>
      </c>
    </row>
    <row r="79" spans="2:11" ht="11.25" customHeight="1">
      <c r="B79" s="238" t="s">
        <v>136</v>
      </c>
      <c r="C79" s="791" t="s">
        <v>135</v>
      </c>
      <c r="D79" s="237">
        <f>+D50+D60+D64+D72+D78</f>
        <v>63601079047</v>
      </c>
      <c r="E79" s="236">
        <v>44187495523</v>
      </c>
      <c r="F79" s="235" t="s">
        <v>126</v>
      </c>
      <c r="G79" s="236">
        <f>+G65+G70+G74+G78</f>
        <v>51628778314.970001</v>
      </c>
      <c r="H79" s="792">
        <v>52110264505.369995</v>
      </c>
    </row>
    <row r="80" spans="2:11" ht="11.25" customHeight="1" thickBot="1">
      <c r="B80" s="238"/>
      <c r="C80" s="793" t="s">
        <v>137</v>
      </c>
      <c r="D80" s="794">
        <f>+D79+D39</f>
        <v>146111621560</v>
      </c>
      <c r="E80" s="794">
        <v>191244062778</v>
      </c>
      <c r="F80" s="795" t="s">
        <v>128</v>
      </c>
      <c r="G80" s="794">
        <f>+G79+G61</f>
        <v>146111621559.97</v>
      </c>
      <c r="H80" s="796">
        <v>191244062778.37</v>
      </c>
    </row>
    <row r="81" spans="2:8" ht="11.25" hidden="1" customHeight="1">
      <c r="B81" s="238" t="s">
        <v>138</v>
      </c>
      <c r="C81" s="766" t="s">
        <v>702</v>
      </c>
      <c r="D81" s="766"/>
      <c r="E81" s="766"/>
      <c r="F81" s="766"/>
      <c r="G81" s="766"/>
      <c r="H81" s="766"/>
    </row>
    <row r="82" spans="2:8" ht="11.25" customHeight="1">
      <c r="B82" s="238" t="s">
        <v>139</v>
      </c>
      <c r="D82" s="240"/>
      <c r="G82" s="240"/>
    </row>
    <row r="83" spans="2:8" ht="11.25" customHeight="1">
      <c r="B83" s="238" t="s">
        <v>140</v>
      </c>
      <c r="D83" s="241"/>
      <c r="G83" s="241"/>
    </row>
    <row r="84" spans="2:8" ht="11.25" customHeight="1">
      <c r="B84" s="238"/>
      <c r="D84" s="241"/>
      <c r="G84" s="241"/>
    </row>
    <row r="85" spans="2:8" ht="11.25" customHeight="1">
      <c r="B85" s="238" t="s">
        <v>141</v>
      </c>
    </row>
    <row r="86" spans="2:8" ht="11.25" customHeight="1">
      <c r="B86" s="238"/>
    </row>
    <row r="87" spans="2:8" ht="11.25" customHeight="1">
      <c r="B87" s="238"/>
      <c r="F87" s="25"/>
      <c r="G87" s="25"/>
      <c r="H87" s="25"/>
    </row>
    <row r="88" spans="2:8" ht="11.25" customHeight="1">
      <c r="B88" s="238"/>
    </row>
    <row r="89" spans="2:8" ht="11.25" customHeight="1">
      <c r="B89" s="238"/>
    </row>
    <row r="90" spans="2:8" ht="11.25" customHeight="1">
      <c r="B90" s="242">
        <v>2</v>
      </c>
    </row>
    <row r="91" spans="2:8" ht="11.25" customHeight="1">
      <c r="B91" s="243" t="s">
        <v>142</v>
      </c>
    </row>
    <row r="92" spans="2:8" ht="11.25" customHeight="1">
      <c r="B92" s="238" t="s">
        <v>143</v>
      </c>
      <c r="C92" s="244"/>
      <c r="D92" s="245"/>
      <c r="E92" s="245"/>
    </row>
    <row r="93" spans="2:8" ht="11.25" customHeight="1">
      <c r="B93" s="238" t="s">
        <v>144</v>
      </c>
    </row>
    <row r="94" spans="2:8" ht="11.25" customHeight="1">
      <c r="B94" s="238" t="s">
        <v>145</v>
      </c>
    </row>
    <row r="95" spans="2:8" ht="11.25" customHeight="1">
      <c r="B95" s="238"/>
    </row>
    <row r="96" spans="2:8" ht="11.25" customHeight="1">
      <c r="B96" s="238" t="s">
        <v>146</v>
      </c>
    </row>
    <row r="97" spans="2:7" ht="11.25" customHeight="1">
      <c r="B97" s="238" t="s">
        <v>147</v>
      </c>
    </row>
    <row r="98" spans="2:7" ht="11.25" customHeight="1">
      <c r="B98" s="238" t="s">
        <v>148</v>
      </c>
      <c r="G98" s="246"/>
    </row>
    <row r="99" spans="2:7" ht="11.25" customHeight="1">
      <c r="B99" s="238" t="s">
        <v>149</v>
      </c>
    </row>
    <row r="100" spans="2:7" ht="11.25" customHeight="1">
      <c r="B100" s="238"/>
    </row>
    <row r="101" spans="2:7" ht="11.25" customHeight="1">
      <c r="B101" s="238" t="s">
        <v>150</v>
      </c>
    </row>
    <row r="102" spans="2:7" ht="11.25" customHeight="1">
      <c r="B102" s="238" t="s">
        <v>151</v>
      </c>
    </row>
    <row r="103" spans="2:7" ht="11.25" customHeight="1">
      <c r="B103" s="238" t="s">
        <v>152</v>
      </c>
    </row>
    <row r="104" spans="2:7" ht="11.25" customHeight="1">
      <c r="B104" s="238" t="s">
        <v>153</v>
      </c>
    </row>
    <row r="105" spans="2:7" ht="11.25" customHeight="1">
      <c r="B105" s="238"/>
    </row>
    <row r="106" spans="2:7" ht="11.25" customHeight="1">
      <c r="B106" s="238" t="s">
        <v>154</v>
      </c>
    </row>
    <row r="107" spans="2:7" ht="11.25" customHeight="1">
      <c r="B107" s="238" t="s">
        <v>155</v>
      </c>
    </row>
    <row r="108" spans="2:7" ht="11.25" customHeight="1">
      <c r="B108" s="238"/>
    </row>
    <row r="109" spans="2:7" ht="11.25" customHeight="1">
      <c r="B109" s="238"/>
    </row>
    <row r="110" spans="2:7" ht="11.25" customHeight="1">
      <c r="B110" s="238"/>
    </row>
    <row r="111" spans="2:7" ht="11.25" customHeight="1">
      <c r="B111" s="238" t="s">
        <v>156</v>
      </c>
    </row>
    <row r="112" spans="2:7" ht="11.25" customHeight="1">
      <c r="B112" s="238"/>
    </row>
    <row r="113" spans="2:2" ht="11.25" customHeight="1">
      <c r="B113" s="238" t="s">
        <v>157</v>
      </c>
    </row>
    <row r="114" spans="2:2" ht="11.25" customHeight="1">
      <c r="B114" s="238" t="s">
        <v>158</v>
      </c>
    </row>
    <row r="115" spans="2:2" ht="11.25" customHeight="1">
      <c r="B115" s="238" t="s">
        <v>159</v>
      </c>
    </row>
    <row r="116" spans="2:2" ht="11.25" customHeight="1">
      <c r="B116" s="238"/>
    </row>
    <row r="117" spans="2:2" ht="11.25" customHeight="1">
      <c r="B117" s="238" t="s">
        <v>160</v>
      </c>
    </row>
    <row r="118" spans="2:2" ht="11.25" customHeight="1">
      <c r="B118" s="238" t="s">
        <v>161</v>
      </c>
    </row>
    <row r="119" spans="2:2" ht="11.25" customHeight="1">
      <c r="B119" s="238" t="s">
        <v>162</v>
      </c>
    </row>
    <row r="120" spans="2:2" ht="11.25" customHeight="1">
      <c r="B120" s="238"/>
    </row>
    <row r="121" spans="2:2" ht="11.25" customHeight="1">
      <c r="B121" s="238"/>
    </row>
    <row r="122" spans="2:2" ht="11.25" customHeight="1">
      <c r="B122" s="238"/>
    </row>
    <row r="123" spans="2:2" ht="11.25" customHeight="1">
      <c r="B123" s="238"/>
    </row>
    <row r="124" spans="2:2" ht="11.25" customHeight="1">
      <c r="B124" s="238"/>
    </row>
    <row r="125" spans="2:2" ht="11.25" customHeight="1">
      <c r="B125" s="238" t="s">
        <v>163</v>
      </c>
    </row>
    <row r="126" spans="2:2" ht="11.25" customHeight="1">
      <c r="B126" s="238" t="s">
        <v>164</v>
      </c>
    </row>
    <row r="127" spans="2:2" ht="11.25" customHeight="1">
      <c r="B127" s="238" t="s">
        <v>165</v>
      </c>
    </row>
    <row r="128" spans="2:2" ht="11.25" customHeight="1">
      <c r="B128" s="238" t="s">
        <v>166</v>
      </c>
    </row>
    <row r="129" spans="2:2" ht="11.25" customHeight="1">
      <c r="B129" s="238"/>
    </row>
    <row r="130" spans="2:2" ht="11.25" customHeight="1">
      <c r="B130" s="238" t="s">
        <v>167</v>
      </c>
    </row>
    <row r="131" spans="2:2" ht="11.25" customHeight="1">
      <c r="B131" s="238" t="s">
        <v>168</v>
      </c>
    </row>
    <row r="132" spans="2:2" ht="11.25" customHeight="1">
      <c r="B132" s="238" t="s">
        <v>169</v>
      </c>
    </row>
    <row r="133" spans="2:2" ht="11.25" customHeight="1">
      <c r="B133" s="238" t="s">
        <v>170</v>
      </c>
    </row>
    <row r="134" spans="2:2" ht="11.25" customHeight="1">
      <c r="B134" s="238" t="s">
        <v>171</v>
      </c>
    </row>
    <row r="135" spans="2:2" ht="11.25" customHeight="1">
      <c r="B135" s="238"/>
    </row>
    <row r="136" spans="2:2" ht="11.25" customHeight="1">
      <c r="B136" s="238" t="s">
        <v>172</v>
      </c>
    </row>
    <row r="137" spans="2:2" ht="11.25" customHeight="1">
      <c r="B137" s="238" t="s">
        <v>173</v>
      </c>
    </row>
    <row r="138" spans="2:2" ht="11.25" customHeight="1">
      <c r="B138" s="238" t="s">
        <v>174</v>
      </c>
    </row>
    <row r="139" spans="2:2" ht="11.25" customHeight="1">
      <c r="B139" s="238"/>
    </row>
    <row r="140" spans="2:2" ht="11.25" customHeight="1">
      <c r="B140" s="238"/>
    </row>
    <row r="141" spans="2:2" ht="11.25" customHeight="1">
      <c r="B141" s="238"/>
    </row>
    <row r="144" spans="2:2" ht="11.25" customHeight="1"/>
    <row r="145" spans="4:5" ht="11.25" customHeight="1">
      <c r="D145" s="247"/>
      <c r="E145" s="247"/>
    </row>
    <row r="146" spans="4:5">
      <c r="D146" s="248">
        <v>0</v>
      </c>
      <c r="E146" s="247">
        <v>0</v>
      </c>
    </row>
    <row r="148" spans="4:5" ht="11.25" customHeight="1"/>
    <row r="149" spans="4:5">
      <c r="D149" s="249"/>
    </row>
  </sheetData>
  <mergeCells count="5">
    <mergeCell ref="C4:H4"/>
    <mergeCell ref="C5:H5"/>
    <mergeCell ref="C6:H6"/>
    <mergeCell ref="C7:H7"/>
    <mergeCell ref="C81:H81"/>
  </mergeCells>
  <hyperlinks>
    <hyperlink ref="C10" location="'NOTA D - DISPONIBILIDADES'!A1" display="DISPONIBILIDADES Nota 5 d" xr:uid="{00000000-0004-0000-0200-000000000000}"/>
    <hyperlink ref="C9" location="'NOTA 5 A-C CRITERIOS ESPECIF.'!A1" display="ACTIVO CORRIENTE Nota 5 a" xr:uid="{00000000-0004-0000-0200-000001000000}"/>
    <hyperlink ref="C17" location="'NOTA E - INVERSIONES'!A1" display="INVERSIONES TEMPORARIAS  NOTA 5 E" xr:uid="{00000000-0004-0000-0200-000002000000}"/>
    <hyperlink ref="C23" location="'NOTA F - CREDITOS'!A1" display="CREDITOS Nota 5 f" xr:uid="{00000000-0004-0000-0200-000003000000}"/>
    <hyperlink ref="C33" location="'NOTA H CARGOS DIFERIDOS'!A1" display="GASTOS NO DEVENGADOS - Nota 5 h" xr:uid="{00000000-0004-0000-0200-000004000000}"/>
    <hyperlink ref="C42" location="'NOTA E - INVERSIONES'!A1" display="INVERSIONES PERMANENTES Nota 5 e" xr:uid="{00000000-0004-0000-0200-000005000000}"/>
    <hyperlink ref="C51" location="'NOTA F - CREDITOS'!A1" display="CREDITOS Nota 5 f" xr:uid="{00000000-0004-0000-0200-000006000000}"/>
    <hyperlink ref="C61" location="'NOTA G BIENES DE USO'!A1" display="BIENES DE USO Nota 5 g" xr:uid="{00000000-0004-0000-0200-000007000000}"/>
    <hyperlink ref="C65" location="' NOTA I INTANGIBLES'!A1" display="ACTIVOS INTANGIBLES  Nota 5 i" xr:uid="{00000000-0004-0000-0200-000008000000}"/>
    <hyperlink ref="C74" location="'NOTA J OTROS ACTIVOS CTES y NO '!A1" display="GASTOS NO DEVENGADOS  - Nota 5 j" xr:uid="{00000000-0004-0000-0200-000009000000}"/>
    <hyperlink ref="F11" location="'NOTAS M-Q ACREED y CTAS A PAG'!A1" display="Acreedores por Intermediación. Nota 5 m" xr:uid="{00000000-0004-0000-0200-00000A000000}"/>
    <hyperlink ref="F12" location="'NOTA L DOCUM y CTAS A PAG'!A1" display="Acreedores Varios  - Nota 5 l" xr:uid="{00000000-0004-0000-0200-00000B000000}"/>
    <hyperlink ref="F13" location="'NOTAS M-Q ACREED y CTAS A PAG'!A1" display="Cuentas por Pagar a Personas y Emp. Relacionadas. Nota o" xr:uid="{00000000-0004-0000-0200-00000C000000}"/>
    <hyperlink ref="F17" location="'NOTA K PRESTAMOS'!A1" display="PRESTAMOS FINANCIEROS - Nota 5 k" xr:uid="{00000000-0004-0000-0200-00000D000000}"/>
    <hyperlink ref="F23" location="'NOTAS M-Q ACREED y CTAS A PAG'!A1" display="PROVISIONES. Nota q" xr:uid="{00000000-0004-0000-0200-00000E000000}"/>
    <hyperlink ref="F62" location="' NOTA T PATRIMONIO Y PREVIS'!A1" display="PATRIMONIO NETO  Nota 5 t" xr:uid="{00000000-0004-0000-0200-00000F000000}"/>
    <hyperlink ref="F32" location="'NOTAS M-Q ACREED y CTAS A PAG'!A1" display="OTROS PASIVOS - Nota q" xr:uid="{00000000-0004-0000-0200-000010000000}"/>
  </hyperlinks>
  <pageMargins left="0.25" right="0.25" top="0.75" bottom="0.75" header="0.3" footer="0.3"/>
  <pageSetup paperSize="9" scale="6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002060"/>
    <pageSetUpPr fitToPage="1"/>
  </sheetPr>
  <dimension ref="B3:J113"/>
  <sheetViews>
    <sheetView showGridLines="0" zoomScale="94" zoomScaleNormal="94" workbookViewId="0">
      <selection activeCell="B77" sqref="B77"/>
    </sheetView>
  </sheetViews>
  <sheetFormatPr baseColWidth="10" defaultColWidth="11.44140625" defaultRowHeight="12"/>
  <cols>
    <col min="1" max="1" width="5.6640625" style="202" customWidth="1"/>
    <col min="2" max="2" width="50.6640625" style="202" customWidth="1"/>
    <col min="3" max="3" width="0.33203125" style="202" hidden="1" customWidth="1"/>
    <col min="4" max="5" width="25.6640625" style="202" customWidth="1"/>
    <col min="6" max="6" width="0.109375" style="202" customWidth="1"/>
    <col min="7" max="7" width="16" style="247" bestFit="1" customWidth="1"/>
    <col min="8" max="8" width="15.109375" style="202" bestFit="1" customWidth="1"/>
    <col min="9" max="9" width="16.6640625" style="202" bestFit="1" customWidth="1"/>
    <col min="10" max="10" width="13.5546875" style="202" bestFit="1" customWidth="1"/>
    <col min="11" max="16384" width="11.44140625" style="202"/>
  </cols>
  <sheetData>
    <row r="3" spans="2:8" ht="15" customHeight="1">
      <c r="B3" s="671"/>
      <c r="C3" s="671"/>
      <c r="D3" s="671"/>
      <c r="E3" s="671"/>
    </row>
    <row r="4" spans="2:8" ht="15" customHeight="1">
      <c r="B4" s="671"/>
      <c r="C4" s="671"/>
      <c r="D4" s="671"/>
      <c r="E4" s="671"/>
    </row>
    <row r="5" spans="2:8" ht="9.75" customHeight="1">
      <c r="B5" s="671" t="s">
        <v>0</v>
      </c>
      <c r="C5" s="671"/>
      <c r="D5" s="671"/>
      <c r="E5" s="671"/>
    </row>
    <row r="6" spans="2:8">
      <c r="B6" s="671" t="s">
        <v>175</v>
      </c>
      <c r="C6" s="671"/>
      <c r="D6" s="671"/>
      <c r="E6" s="671"/>
    </row>
    <row r="7" spans="2:8" ht="26.25" customHeight="1">
      <c r="B7" s="705" t="s">
        <v>1018</v>
      </c>
      <c r="C7" s="705"/>
      <c r="D7" s="705"/>
      <c r="E7" s="705"/>
    </row>
    <row r="8" spans="2:8">
      <c r="B8" s="706" t="s">
        <v>176</v>
      </c>
      <c r="C8" s="706"/>
      <c r="D8" s="706"/>
      <c r="E8" s="706"/>
    </row>
    <row r="9" spans="2:8" ht="12.6" thickBot="1">
      <c r="B9" s="708"/>
      <c r="C9" s="708"/>
      <c r="D9" s="708"/>
      <c r="E9" s="708"/>
    </row>
    <row r="10" spans="2:8" ht="10.199999999999999" customHeight="1" thickBot="1">
      <c r="B10" s="293"/>
      <c r="C10" s="294"/>
      <c r="D10" s="295">
        <f>+Indice!G7</f>
        <v>44834</v>
      </c>
      <c r="E10" s="295">
        <f>+Indice!H7</f>
        <v>44469</v>
      </c>
    </row>
    <row r="11" spans="2:8" ht="10.199999999999999" customHeight="1">
      <c r="B11" s="419" t="s">
        <v>690</v>
      </c>
      <c r="C11" s="366"/>
      <c r="D11" s="367"/>
      <c r="E11" s="368"/>
      <c r="G11" s="247">
        <f>+D12+D26+D29+D30+D34+D28+D27</f>
        <v>17927426254</v>
      </c>
      <c r="H11" s="247">
        <f>+E12+E26+E28+E29+E30+E34+E27</f>
        <v>15149749166</v>
      </c>
    </row>
    <row r="12" spans="2:8" ht="10.199999999999999" customHeight="1">
      <c r="B12" s="296" t="s">
        <v>177</v>
      </c>
      <c r="C12" s="297"/>
      <c r="D12" s="300">
        <f>SUM(D13:D14)</f>
        <v>917791510</v>
      </c>
      <c r="E12" s="301">
        <v>507637023</v>
      </c>
      <c r="G12" s="253">
        <v>359883274935</v>
      </c>
    </row>
    <row r="13" spans="2:8" ht="10.199999999999999" customHeight="1">
      <c r="B13" s="302" t="s">
        <v>178</v>
      </c>
      <c r="C13" s="297"/>
      <c r="D13" s="303">
        <v>0</v>
      </c>
      <c r="E13" s="304">
        <v>0</v>
      </c>
    </row>
    <row r="14" spans="2:8" ht="10.199999999999999" customHeight="1">
      <c r="B14" s="302" t="s">
        <v>179</v>
      </c>
      <c r="C14" s="297"/>
      <c r="D14" s="303">
        <f>+'[6]EERR '!$B$6</f>
        <v>917791510</v>
      </c>
      <c r="E14" s="304">
        <v>507637023</v>
      </c>
      <c r="G14" s="247">
        <f>+G12-G11</f>
        <v>341955848681</v>
      </c>
    </row>
    <row r="15" spans="2:8" ht="10.199999999999999" customHeight="1">
      <c r="B15" s="302"/>
      <c r="C15" s="297"/>
      <c r="D15" s="303"/>
      <c r="E15" s="304"/>
      <c r="G15" s="247">
        <f>+'[6]EERR '!$B$44+'[6]EERR '!$B$45+'[6]EERR '!$B$46+'[6]EERR '!$B$48</f>
        <v>337657995204</v>
      </c>
      <c r="H15" s="241">
        <f>+D87+D93+D100</f>
        <v>4297853477</v>
      </c>
    </row>
    <row r="16" spans="2:8" ht="10.199999999999999" customHeight="1">
      <c r="B16" s="296" t="s">
        <v>180</v>
      </c>
      <c r="C16" s="297"/>
      <c r="D16" s="303"/>
      <c r="E16" s="304"/>
      <c r="G16" s="247">
        <f>+G14-G15</f>
        <v>4297853477</v>
      </c>
      <c r="H16" s="246">
        <f>+H15-G16</f>
        <v>0</v>
      </c>
    </row>
    <row r="17" spans="2:8" ht="10.199999999999999" customHeight="1">
      <c r="B17" s="302" t="s">
        <v>181</v>
      </c>
      <c r="C17" s="297"/>
      <c r="D17" s="303">
        <v>0</v>
      </c>
      <c r="E17" s="304">
        <v>0</v>
      </c>
    </row>
    <row r="18" spans="2:8" ht="10.199999999999999" customHeight="1">
      <c r="B18" s="302" t="s">
        <v>182</v>
      </c>
      <c r="C18" s="297"/>
      <c r="D18" s="303">
        <v>0</v>
      </c>
      <c r="E18" s="304">
        <v>0</v>
      </c>
    </row>
    <row r="19" spans="2:8" ht="10.199999999999999" customHeight="1">
      <c r="B19" s="302"/>
      <c r="C19" s="297"/>
      <c r="D19" s="303"/>
      <c r="E19" s="304"/>
    </row>
    <row r="20" spans="2:8" ht="10.199999999999999" customHeight="1">
      <c r="B20" s="296" t="s">
        <v>183</v>
      </c>
      <c r="C20" s="297"/>
      <c r="D20" s="303"/>
      <c r="E20" s="304"/>
    </row>
    <row r="21" spans="2:8" ht="10.199999999999999" customHeight="1">
      <c r="B21" s="302" t="s">
        <v>184</v>
      </c>
      <c r="C21" s="297"/>
      <c r="D21" s="303">
        <v>0</v>
      </c>
      <c r="E21" s="304">
        <v>0</v>
      </c>
    </row>
    <row r="22" spans="2:8" ht="10.199999999999999" customHeight="1">
      <c r="B22" s="302" t="s">
        <v>185</v>
      </c>
      <c r="C22" s="297"/>
      <c r="D22" s="303">
        <v>0</v>
      </c>
      <c r="E22" s="304">
        <v>0</v>
      </c>
    </row>
    <row r="23" spans="2:8" ht="10.199999999999999" customHeight="1">
      <c r="B23" s="302"/>
      <c r="C23" s="297"/>
      <c r="D23" s="303"/>
      <c r="E23" s="304"/>
    </row>
    <row r="24" spans="2:8" ht="10.199999999999999" customHeight="1">
      <c r="B24" s="296" t="s">
        <v>524</v>
      </c>
      <c r="C24" s="297"/>
      <c r="D24" s="303">
        <v>0</v>
      </c>
      <c r="E24" s="304">
        <v>0</v>
      </c>
    </row>
    <row r="25" spans="2:8" ht="10.199999999999999" customHeight="1">
      <c r="B25" s="296" t="s">
        <v>525</v>
      </c>
      <c r="C25" s="297"/>
      <c r="D25" s="300">
        <v>0</v>
      </c>
      <c r="E25" s="304">
        <v>0</v>
      </c>
    </row>
    <row r="26" spans="2:8" ht="10.199999999999999" customHeight="1">
      <c r="B26" s="296" t="s">
        <v>186</v>
      </c>
      <c r="C26" s="297"/>
      <c r="D26" s="300">
        <f>+'[6]EERR '!$B$12</f>
        <v>1010189028</v>
      </c>
      <c r="E26" s="301">
        <v>6605954379</v>
      </c>
    </row>
    <row r="27" spans="2:8" ht="10.199999999999999" customHeight="1">
      <c r="B27" s="296" t="s">
        <v>187</v>
      </c>
      <c r="C27" s="297"/>
      <c r="D27" s="762">
        <f>+'[6]EERR '!$B$25+'[6]EERR '!$B$28-'[6]EERR '!$B$48</f>
        <v>11243966834</v>
      </c>
      <c r="E27" s="301">
        <v>1901112877</v>
      </c>
    </row>
    <row r="28" spans="2:8" ht="10.199999999999999" customHeight="1">
      <c r="B28" s="296" t="s">
        <v>188</v>
      </c>
      <c r="C28" s="297"/>
      <c r="D28" s="300">
        <f>+'[6]EERR '!$B$16-'[6]EERR '!$B$44-'[6]EERR '!$B$45-'[6]EERR '!$B$46</f>
        <v>4021360150</v>
      </c>
      <c r="E28" s="301">
        <v>5137799147</v>
      </c>
      <c r="F28" s="246"/>
      <c r="H28" s="246"/>
    </row>
    <row r="29" spans="2:8" ht="10.199999999999999" customHeight="1">
      <c r="B29" s="296" t="s">
        <v>189</v>
      </c>
      <c r="C29" s="297"/>
      <c r="D29" s="300">
        <v>0</v>
      </c>
      <c r="E29" s="304">
        <v>198595000</v>
      </c>
    </row>
    <row r="30" spans="2:8" ht="10.199999999999999" customHeight="1">
      <c r="B30" s="296" t="s">
        <v>190</v>
      </c>
      <c r="C30" s="297"/>
      <c r="D30" s="300">
        <v>0</v>
      </c>
      <c r="E30" s="304">
        <v>0</v>
      </c>
    </row>
    <row r="31" spans="2:8" ht="10.199999999999999" customHeight="1">
      <c r="B31" s="302"/>
      <c r="C31" s="298"/>
      <c r="D31" s="303"/>
      <c r="E31" s="304"/>
      <c r="F31" s="247"/>
    </row>
    <row r="32" spans="2:8" ht="10.199999999999999" customHeight="1">
      <c r="B32" s="296" t="s">
        <v>498</v>
      </c>
      <c r="C32" s="297"/>
      <c r="D32" s="303">
        <v>0</v>
      </c>
      <c r="E32" s="304">
        <v>0</v>
      </c>
      <c r="H32" s="247"/>
    </row>
    <row r="33" spans="2:10" ht="10.199999999999999" customHeight="1">
      <c r="B33" s="296"/>
      <c r="C33" s="297"/>
      <c r="D33" s="298"/>
      <c r="E33" s="304"/>
      <c r="H33" s="247"/>
    </row>
    <row r="34" spans="2:10" ht="10.199999999999999" customHeight="1">
      <c r="B34" s="296" t="s">
        <v>191</v>
      </c>
      <c r="C34" s="297"/>
      <c r="D34" s="300">
        <f>SUM(D35:D37)</f>
        <v>734118732</v>
      </c>
      <c r="E34" s="301">
        <v>798650740</v>
      </c>
    </row>
    <row r="35" spans="2:10" ht="10.199999999999999" customHeight="1">
      <c r="B35" s="302" t="s">
        <v>192</v>
      </c>
      <c r="C35" s="297"/>
      <c r="D35" s="300">
        <v>0</v>
      </c>
      <c r="E35" s="301">
        <v>0</v>
      </c>
    </row>
    <row r="36" spans="2:10" ht="10.199999999999999" customHeight="1">
      <c r="B36" s="305" t="s">
        <v>620</v>
      </c>
      <c r="C36" s="310"/>
      <c r="D36" s="303">
        <v>0</v>
      </c>
      <c r="E36" s="304">
        <v>0</v>
      </c>
    </row>
    <row r="37" spans="2:10" ht="10.199999999999999" customHeight="1">
      <c r="B37" s="305" t="s">
        <v>191</v>
      </c>
      <c r="C37" s="310"/>
      <c r="D37" s="303">
        <f>+'[6]EERR '!$B$29</f>
        <v>734118732</v>
      </c>
      <c r="E37" s="304">
        <v>798650740</v>
      </c>
      <c r="H37" s="240"/>
      <c r="I37" s="246"/>
      <c r="J37" s="240"/>
    </row>
    <row r="38" spans="2:10" ht="10.199999999999999" customHeight="1">
      <c r="B38" s="302"/>
      <c r="C38" s="310"/>
      <c r="D38" s="303"/>
      <c r="E38" s="304"/>
      <c r="H38" s="240"/>
      <c r="I38" s="246"/>
    </row>
    <row r="39" spans="2:10" ht="10.199999999999999" customHeight="1">
      <c r="B39" s="423" t="s">
        <v>692</v>
      </c>
      <c r="C39" s="310"/>
      <c r="D39" s="300">
        <f>SUM(D40:D42)</f>
        <v>7657027295</v>
      </c>
      <c r="E39" s="301">
        <v>1206903448</v>
      </c>
      <c r="H39" s="311"/>
      <c r="I39" s="246"/>
    </row>
    <row r="40" spans="2:10" ht="10.199999999999999" customHeight="1">
      <c r="B40" s="302" t="s">
        <v>193</v>
      </c>
      <c r="C40" s="310"/>
      <c r="D40" s="303">
        <v>0</v>
      </c>
      <c r="E40" s="304">
        <v>869572122</v>
      </c>
    </row>
    <row r="41" spans="2:10" ht="10.199999999999999" customHeight="1">
      <c r="B41" s="302" t="s">
        <v>194</v>
      </c>
      <c r="C41" s="310"/>
      <c r="D41" s="303">
        <f>+[6]!Tabla22[[#This Row],[30 09 2022]]+'[6]EERR '!$B$42+'[6]EERR '!$B$43+'[6]EERR '!$B$47+'[6]EERR '!$B$49</f>
        <v>746496447</v>
      </c>
      <c r="E41" s="304">
        <v>289850313</v>
      </c>
    </row>
    <row r="42" spans="2:10" ht="10.199999999999999" customHeight="1">
      <c r="B42" s="302" t="s">
        <v>578</v>
      </c>
      <c r="C42" s="310"/>
      <c r="D42" s="303">
        <f>+'[6]EERR '!$B$50</f>
        <v>6910530848</v>
      </c>
      <c r="E42" s="420">
        <v>47481013</v>
      </c>
      <c r="H42" s="241"/>
    </row>
    <row r="43" spans="2:10" ht="10.199999999999999" customHeight="1" thickBot="1">
      <c r="B43" s="644" t="s">
        <v>195</v>
      </c>
      <c r="C43" s="645"/>
      <c r="D43" s="646">
        <f>+D12+D26+D28+D34-D39+D29+D30+D27</f>
        <v>10270398959</v>
      </c>
      <c r="E43" s="763">
        <f>+E12+E26+E28+E34-E39+E29+E30+E27</f>
        <v>13942845718</v>
      </c>
    </row>
    <row r="44" spans="2:10" ht="10.199999999999999" customHeight="1">
      <c r="B44" s="648"/>
      <c r="C44" s="649"/>
      <c r="D44" s="650"/>
      <c r="E44" s="368"/>
      <c r="F44" s="249"/>
      <c r="H44" s="246"/>
      <c r="I44" s="253"/>
    </row>
    <row r="45" spans="2:10" ht="10.199999999999999" customHeight="1">
      <c r="B45" s="422" t="s">
        <v>691</v>
      </c>
      <c r="C45" s="297"/>
      <c r="D45" s="300">
        <f>SUM(D46:D48)</f>
        <v>220439299</v>
      </c>
      <c r="E45" s="332">
        <v>1139957399</v>
      </c>
      <c r="F45" s="249"/>
    </row>
    <row r="46" spans="2:10" ht="10.199999999999999" customHeight="1">
      <c r="B46" s="305" t="s">
        <v>789</v>
      </c>
      <c r="C46" s="297"/>
      <c r="D46" s="303">
        <v>0</v>
      </c>
      <c r="E46" s="299">
        <v>550493093</v>
      </c>
      <c r="F46" s="249"/>
    </row>
    <row r="47" spans="2:10" ht="10.199999999999999" customHeight="1">
      <c r="B47" s="305" t="s">
        <v>790</v>
      </c>
      <c r="C47" s="297"/>
      <c r="D47" s="303">
        <v>0</v>
      </c>
      <c r="E47" s="299">
        <v>0</v>
      </c>
      <c r="F47" s="568"/>
    </row>
    <row r="48" spans="2:10" ht="10.199999999999999" customHeight="1">
      <c r="B48" s="305" t="s">
        <v>791</v>
      </c>
      <c r="C48" s="297"/>
      <c r="D48" s="303">
        <f>+'[6]EERR '!$B$54</f>
        <v>220439299</v>
      </c>
      <c r="E48" s="299">
        <v>589464306</v>
      </c>
      <c r="F48" s="249"/>
    </row>
    <row r="49" spans="2:7" ht="10.199999999999999" customHeight="1">
      <c r="B49" s="305"/>
      <c r="C49" s="310"/>
      <c r="D49" s="303"/>
      <c r="E49" s="299"/>
      <c r="F49" s="249"/>
    </row>
    <row r="50" spans="2:7" ht="10.199999999999999" customHeight="1">
      <c r="B50" s="422" t="s">
        <v>963</v>
      </c>
      <c r="C50" s="310" t="s">
        <v>963</v>
      </c>
      <c r="D50" s="300">
        <v>6914695280</v>
      </c>
      <c r="E50" s="332">
        <v>5347206831</v>
      </c>
      <c r="F50" s="249"/>
    </row>
    <row r="51" spans="2:7" s="438" customFormat="1" ht="10.199999999999999" customHeight="1">
      <c r="B51" s="308" t="s">
        <v>764</v>
      </c>
      <c r="C51" s="297" t="s">
        <v>764</v>
      </c>
      <c r="D51" s="300">
        <v>2454199372</v>
      </c>
      <c r="E51" s="332">
        <v>2102141916</v>
      </c>
      <c r="F51" s="254"/>
      <c r="G51" s="437"/>
    </row>
    <row r="52" spans="2:7" s="570" customFormat="1" ht="10.199999999999999" customHeight="1">
      <c r="B52" s="305" t="s">
        <v>765</v>
      </c>
      <c r="C52" s="310" t="s">
        <v>765</v>
      </c>
      <c r="D52" s="303">
        <v>1986936746</v>
      </c>
      <c r="E52" s="299">
        <v>1642245506</v>
      </c>
      <c r="F52" s="568"/>
      <c r="G52" s="569"/>
    </row>
    <row r="53" spans="2:7" ht="10.199999999999999" customHeight="1">
      <c r="B53" s="305" t="s">
        <v>201</v>
      </c>
      <c r="C53" s="310" t="s">
        <v>201</v>
      </c>
      <c r="D53" s="303">
        <v>328834565</v>
      </c>
      <c r="E53" s="299">
        <v>277895011</v>
      </c>
      <c r="F53" s="249"/>
    </row>
    <row r="54" spans="2:7" ht="10.199999999999999" customHeight="1">
      <c r="B54" s="305" t="s">
        <v>766</v>
      </c>
      <c r="C54" s="310" t="s">
        <v>766</v>
      </c>
      <c r="D54" s="303">
        <v>73845098</v>
      </c>
      <c r="E54" s="299">
        <v>92389443</v>
      </c>
      <c r="F54" s="249"/>
    </row>
    <row r="55" spans="2:7" ht="10.199999999999999" customHeight="1">
      <c r="B55" s="305" t="s">
        <v>1003</v>
      </c>
      <c r="C55" s="310" t="s">
        <v>767</v>
      </c>
      <c r="D55" s="303">
        <v>8294291</v>
      </c>
      <c r="E55" s="299">
        <v>8363889</v>
      </c>
      <c r="F55" s="249"/>
    </row>
    <row r="56" spans="2:7" ht="10.199999999999999" customHeight="1">
      <c r="B56" s="305" t="s">
        <v>767</v>
      </c>
      <c r="C56" s="310" t="s">
        <v>768</v>
      </c>
      <c r="D56" s="303">
        <v>48917739</v>
      </c>
      <c r="E56" s="299">
        <v>9415454</v>
      </c>
      <c r="F56" s="249"/>
    </row>
    <row r="57" spans="2:7" ht="10.199999999999999" customHeight="1">
      <c r="B57" s="305" t="s">
        <v>768</v>
      </c>
      <c r="C57" s="310" t="s">
        <v>964</v>
      </c>
      <c r="D57" s="303">
        <v>7370933</v>
      </c>
      <c r="E57" s="299">
        <v>6007503</v>
      </c>
      <c r="F57" s="249"/>
    </row>
    <row r="58" spans="2:7" s="438" customFormat="1" ht="10.199999999999999" customHeight="1">
      <c r="B58" s="308" t="s">
        <v>964</v>
      </c>
      <c r="C58" s="297" t="s">
        <v>965</v>
      </c>
      <c r="D58" s="300">
        <v>1841023646</v>
      </c>
      <c r="E58" s="332">
        <v>922113293</v>
      </c>
      <c r="F58" s="254"/>
      <c r="G58" s="437"/>
    </row>
    <row r="59" spans="2:7" ht="10.199999999999999" customHeight="1">
      <c r="B59" s="305" t="s">
        <v>965</v>
      </c>
      <c r="C59" s="310" t="s">
        <v>769</v>
      </c>
      <c r="D59" s="303">
        <v>1782669199</v>
      </c>
      <c r="E59" s="299">
        <v>889566592</v>
      </c>
      <c r="F59" s="249"/>
    </row>
    <row r="60" spans="2:7" s="438" customFormat="1" ht="10.199999999999999" customHeight="1">
      <c r="B60" s="305" t="s">
        <v>769</v>
      </c>
      <c r="C60" s="310" t="s">
        <v>770</v>
      </c>
      <c r="D60" s="303">
        <v>58354447</v>
      </c>
      <c r="E60" s="299">
        <v>32546701</v>
      </c>
      <c r="F60" s="254"/>
      <c r="G60" s="437"/>
    </row>
    <row r="61" spans="2:7" s="438" customFormat="1" ht="10.199999999999999" customHeight="1">
      <c r="B61" s="308" t="s">
        <v>770</v>
      </c>
      <c r="C61" s="297" t="s">
        <v>771</v>
      </c>
      <c r="D61" s="300">
        <v>2619472262</v>
      </c>
      <c r="E61" s="332">
        <v>2322951623</v>
      </c>
      <c r="F61" s="254"/>
      <c r="G61" s="437"/>
    </row>
    <row r="62" spans="2:7" ht="10.199999999999999" customHeight="1">
      <c r="B62" s="305" t="s">
        <v>771</v>
      </c>
      <c r="C62" s="310" t="s">
        <v>772</v>
      </c>
      <c r="D62" s="303">
        <v>424481218</v>
      </c>
      <c r="E62" s="299">
        <v>403740238</v>
      </c>
      <c r="F62" s="249"/>
    </row>
    <row r="63" spans="2:7" s="438" customFormat="1" ht="10.199999999999999" customHeight="1">
      <c r="B63" s="305" t="s">
        <v>772</v>
      </c>
      <c r="C63" s="310" t="s">
        <v>773</v>
      </c>
      <c r="D63" s="303">
        <v>416027799</v>
      </c>
      <c r="E63" s="299">
        <v>370691450</v>
      </c>
      <c r="F63" s="254"/>
      <c r="G63" s="437"/>
    </row>
    <row r="64" spans="2:7" ht="10.199999999999999" customHeight="1">
      <c r="B64" s="305" t="s">
        <v>773</v>
      </c>
      <c r="C64" s="310" t="s">
        <v>774</v>
      </c>
      <c r="D64" s="303">
        <v>431101005</v>
      </c>
      <c r="E64" s="299">
        <v>547757674</v>
      </c>
      <c r="F64" s="249"/>
    </row>
    <row r="65" spans="2:7" ht="10.199999999999999" customHeight="1">
      <c r="B65" s="305" t="s">
        <v>774</v>
      </c>
      <c r="C65" s="310" t="s">
        <v>775</v>
      </c>
      <c r="D65" s="303">
        <v>105336645</v>
      </c>
      <c r="E65" s="299">
        <v>100560469</v>
      </c>
      <c r="F65" s="249"/>
    </row>
    <row r="66" spans="2:7" ht="10.199999999999999" customHeight="1">
      <c r="B66" s="305" t="s">
        <v>775</v>
      </c>
      <c r="C66" s="310" t="s">
        <v>776</v>
      </c>
      <c r="D66" s="303">
        <v>2098654</v>
      </c>
      <c r="E66" s="299">
        <v>1132723</v>
      </c>
      <c r="F66" s="249"/>
    </row>
    <row r="67" spans="2:7" ht="10.199999999999999" customHeight="1">
      <c r="B67" s="305" t="s">
        <v>776</v>
      </c>
      <c r="C67" s="310" t="s">
        <v>777</v>
      </c>
      <c r="D67" s="303">
        <v>30946381</v>
      </c>
      <c r="E67" s="299">
        <v>22968042</v>
      </c>
      <c r="F67" s="249"/>
    </row>
    <row r="68" spans="2:7" ht="10.199999999999999" customHeight="1">
      <c r="B68" s="305" t="s">
        <v>777</v>
      </c>
      <c r="C68" s="310" t="s">
        <v>778</v>
      </c>
      <c r="D68" s="303">
        <v>105894825</v>
      </c>
      <c r="E68" s="299">
        <v>37043587</v>
      </c>
      <c r="F68" s="249"/>
    </row>
    <row r="69" spans="2:7" ht="10.199999999999999" customHeight="1">
      <c r="B69" s="305" t="s">
        <v>778</v>
      </c>
      <c r="C69" s="310" t="s">
        <v>966</v>
      </c>
      <c r="D69" s="303">
        <v>18375285</v>
      </c>
      <c r="E69" s="299">
        <v>21096545</v>
      </c>
      <c r="F69" s="254"/>
    </row>
    <row r="70" spans="2:7" ht="10.199999999999999" customHeight="1">
      <c r="B70" s="305" t="s">
        <v>966</v>
      </c>
      <c r="C70" s="310" t="s">
        <v>779</v>
      </c>
      <c r="D70" s="303">
        <v>14794083</v>
      </c>
      <c r="E70" s="299">
        <v>0</v>
      </c>
      <c r="F70" s="254"/>
    </row>
    <row r="71" spans="2:7" ht="10.199999999999999" customHeight="1">
      <c r="B71" s="305" t="s">
        <v>779</v>
      </c>
      <c r="C71" s="310" t="s">
        <v>780</v>
      </c>
      <c r="D71" s="303">
        <v>69847853</v>
      </c>
      <c r="E71" s="299">
        <v>61820312</v>
      </c>
      <c r="F71" s="254"/>
    </row>
    <row r="72" spans="2:7" ht="10.199999999999999" customHeight="1">
      <c r="B72" s="305" t="s">
        <v>780</v>
      </c>
      <c r="C72" s="310" t="s">
        <v>781</v>
      </c>
      <c r="D72" s="303">
        <v>2741818</v>
      </c>
      <c r="E72" s="299">
        <v>63636</v>
      </c>
    </row>
    <row r="73" spans="2:7" ht="10.199999999999999" customHeight="1">
      <c r="B73" s="305" t="s">
        <v>781</v>
      </c>
      <c r="C73" s="310" t="s">
        <v>967</v>
      </c>
      <c r="D73" s="303">
        <v>46524627</v>
      </c>
      <c r="E73" s="299">
        <v>21276729</v>
      </c>
    </row>
    <row r="74" spans="2:7" ht="10.199999999999999" customHeight="1">
      <c r="B74" s="305" t="s">
        <v>967</v>
      </c>
      <c r="C74" s="310" t="s">
        <v>782</v>
      </c>
      <c r="D74" s="303">
        <v>25064217</v>
      </c>
      <c r="E74" s="299">
        <v>0</v>
      </c>
    </row>
    <row r="75" spans="2:7" ht="10.199999999999999" customHeight="1">
      <c r="B75" s="305" t="s">
        <v>782</v>
      </c>
      <c r="C75" s="310" t="s">
        <v>783</v>
      </c>
      <c r="D75" s="303">
        <v>41976657</v>
      </c>
      <c r="E75" s="299">
        <v>200307035</v>
      </c>
    </row>
    <row r="76" spans="2:7" ht="10.199999999999999" customHeight="1">
      <c r="B76" s="305" t="s">
        <v>783</v>
      </c>
      <c r="C76" s="310" t="s">
        <v>784</v>
      </c>
      <c r="D76" s="303">
        <v>332320</v>
      </c>
      <c r="E76" s="299">
        <v>984342</v>
      </c>
    </row>
    <row r="77" spans="2:7" ht="10.199999999999999" customHeight="1">
      <c r="B77" s="305" t="s">
        <v>784</v>
      </c>
      <c r="C77" s="310" t="s">
        <v>785</v>
      </c>
      <c r="D77" s="303">
        <v>35000</v>
      </c>
      <c r="E77" s="299">
        <v>14621019</v>
      </c>
    </row>
    <row r="78" spans="2:7" ht="10.199999999999999" customHeight="1">
      <c r="B78" s="305" t="s">
        <v>785</v>
      </c>
      <c r="C78" s="310" t="s">
        <v>786</v>
      </c>
      <c r="D78" s="303">
        <v>26051364</v>
      </c>
      <c r="E78" s="299">
        <v>16093106</v>
      </c>
    </row>
    <row r="79" spans="2:7" s="438" customFormat="1" ht="10.199999999999999" customHeight="1">
      <c r="B79" s="308" t="s">
        <v>786</v>
      </c>
      <c r="C79" s="297" t="s">
        <v>787</v>
      </c>
      <c r="D79" s="300">
        <v>857842510</v>
      </c>
      <c r="E79" s="332">
        <v>487989721</v>
      </c>
      <c r="G79" s="437"/>
    </row>
    <row r="80" spans="2:7" ht="10.199999999999999" customHeight="1">
      <c r="B80" s="305" t="s">
        <v>787</v>
      </c>
      <c r="C80" s="310" t="s">
        <v>788</v>
      </c>
      <c r="D80" s="303">
        <v>108750</v>
      </c>
      <c r="E80" s="299">
        <v>380637513</v>
      </c>
    </row>
    <row r="81" spans="2:8" ht="10.199999999999999" customHeight="1">
      <c r="B81" s="305" t="s">
        <v>788</v>
      </c>
      <c r="C81" s="310"/>
      <c r="D81" s="303">
        <v>430596563</v>
      </c>
      <c r="E81" s="299">
        <v>93807813</v>
      </c>
    </row>
    <row r="82" spans="2:8" ht="10.199999999999999" customHeight="1">
      <c r="B82" s="305" t="s">
        <v>1019</v>
      </c>
      <c r="C82" s="310"/>
      <c r="D82" s="303">
        <v>427137197</v>
      </c>
      <c r="E82" s="299">
        <v>0</v>
      </c>
    </row>
    <row r="83" spans="2:8" ht="10.199999999999999" customHeight="1" thickBot="1">
      <c r="B83" s="651"/>
      <c r="C83" s="652"/>
      <c r="D83" s="653"/>
      <c r="E83" s="654"/>
    </row>
    <row r="84" spans="2:8" ht="10.199999999999999" customHeight="1">
      <c r="B84" s="331" t="s">
        <v>202</v>
      </c>
      <c r="C84" s="309"/>
      <c r="D84" s="647">
        <f>+D43-D45-D50</f>
        <v>3135264380</v>
      </c>
      <c r="E84" s="420">
        <f>+E43-E45-E50</f>
        <v>7455681488</v>
      </c>
    </row>
    <row r="85" spans="2:8" ht="10.199999999999999" customHeight="1">
      <c r="B85" s="305"/>
      <c r="C85" s="310"/>
      <c r="D85" s="303"/>
      <c r="E85" s="332"/>
    </row>
    <row r="86" spans="2:8" ht="10.199999999999999" customHeight="1">
      <c r="B86" s="422" t="s">
        <v>695</v>
      </c>
      <c r="C86" s="297"/>
      <c r="D86" s="300">
        <f>+D87-D88</f>
        <v>925723625</v>
      </c>
      <c r="E86" s="332">
        <v>0</v>
      </c>
    </row>
    <row r="87" spans="2:8" ht="10.199999999999999" customHeight="1">
      <c r="B87" s="305" t="s">
        <v>203</v>
      </c>
      <c r="C87" s="297"/>
      <c r="D87" s="303">
        <f>+'[6]EERR '!$B$37+'[6]EERR '!$B$13+'[6]EERR '!$B$14-1</f>
        <v>925723625</v>
      </c>
      <c r="E87" s="299">
        <v>0</v>
      </c>
    </row>
    <row r="88" spans="2:8" ht="10.199999999999999" customHeight="1">
      <c r="B88" s="305" t="s">
        <v>204</v>
      </c>
      <c r="C88" s="297"/>
      <c r="D88" s="303">
        <v>0</v>
      </c>
      <c r="E88" s="299">
        <v>0</v>
      </c>
    </row>
    <row r="89" spans="2:8" ht="10.199999999999999" customHeight="1">
      <c r="B89" s="308"/>
      <c r="C89" s="310"/>
      <c r="D89" s="303"/>
      <c r="E89" s="332"/>
    </row>
    <row r="90" spans="2:8" ht="10.199999999999999" customHeight="1">
      <c r="B90" s="422" t="s">
        <v>694</v>
      </c>
      <c r="C90" s="310"/>
      <c r="D90" s="300">
        <f>+D92+D95</f>
        <v>2957578135</v>
      </c>
      <c r="E90" s="332">
        <v>828777980</v>
      </c>
      <c r="F90" s="255"/>
      <c r="G90" s="256"/>
      <c r="H90" s="256"/>
    </row>
    <row r="91" spans="2:8" ht="10.199999999999999" customHeight="1">
      <c r="B91" s="308"/>
      <c r="C91" s="310"/>
      <c r="D91" s="300"/>
      <c r="E91" s="332"/>
    </row>
    <row r="92" spans="2:8" ht="10.199999999999999" customHeight="1">
      <c r="B92" s="308" t="s">
        <v>205</v>
      </c>
      <c r="C92" s="310"/>
      <c r="D92" s="300">
        <f>SUM(D93:D94)</f>
        <v>5561364871</v>
      </c>
      <c r="E92" s="332">
        <v>3162484022</v>
      </c>
      <c r="F92" s="246"/>
    </row>
    <row r="93" spans="2:8" ht="10.199999999999999" customHeight="1">
      <c r="B93" s="305" t="s">
        <v>206</v>
      </c>
      <c r="C93" s="310"/>
      <c r="D93" s="303">
        <f>+'[6]EERR '!$B$22+'[6]EERR '!$B$23+'[6]EERR '!$B$24+'[6]EERR '!$B$26</f>
        <v>3362423825</v>
      </c>
      <c r="E93" s="299">
        <v>160132404</v>
      </c>
      <c r="F93" s="246"/>
    </row>
    <row r="94" spans="2:8" ht="10.199999999999999" customHeight="1">
      <c r="B94" s="305" t="s">
        <v>207</v>
      </c>
      <c r="C94" s="310"/>
      <c r="D94" s="303">
        <f>-'[6]EERR '!$B$98</f>
        <v>2198941046</v>
      </c>
      <c r="E94" s="299">
        <v>3002351618</v>
      </c>
      <c r="F94" s="246"/>
    </row>
    <row r="95" spans="2:8" ht="10.199999999999999" customHeight="1">
      <c r="B95" s="308" t="s">
        <v>208</v>
      </c>
      <c r="C95" s="310"/>
      <c r="D95" s="300">
        <f>SUM(D96:D97)*-1</f>
        <v>-2603786736</v>
      </c>
      <c r="E95" s="332">
        <v>-2333706042</v>
      </c>
    </row>
    <row r="96" spans="2:8" ht="10.199999999999999" customHeight="1">
      <c r="B96" s="305" t="s">
        <v>209</v>
      </c>
      <c r="C96" s="310"/>
      <c r="D96" s="303">
        <f>+'[6]EERR '!$B$90</f>
        <v>1187829481</v>
      </c>
      <c r="E96" s="299">
        <v>1189983783</v>
      </c>
    </row>
    <row r="97" spans="2:9" ht="10.199999999999999" customHeight="1">
      <c r="B97" s="305" t="s">
        <v>207</v>
      </c>
      <c r="C97" s="310"/>
      <c r="D97" s="303">
        <f>+'[6]EERR '!$B$99</f>
        <v>1415957255</v>
      </c>
      <c r="E97" s="299">
        <v>1143722259</v>
      </c>
    </row>
    <row r="98" spans="2:9" ht="10.199999999999999" customHeight="1">
      <c r="B98" s="305"/>
      <c r="C98" s="310"/>
      <c r="D98" s="303"/>
      <c r="E98" s="332"/>
      <c r="I98" s="241"/>
    </row>
    <row r="99" spans="2:9" ht="10.199999999999999" customHeight="1">
      <c r="B99" s="423" t="s">
        <v>698</v>
      </c>
      <c r="C99" s="297"/>
      <c r="D99" s="300">
        <f>+D100-D101</f>
        <v>-52330</v>
      </c>
      <c r="E99" s="332">
        <v>0</v>
      </c>
    </row>
    <row r="100" spans="2:9" ht="10.199999999999999" customHeight="1">
      <c r="B100" s="302" t="s">
        <v>210</v>
      </c>
      <c r="C100" s="310"/>
      <c r="D100" s="303">
        <f>+'[6]EERR '!$B$36</f>
        <v>9706027</v>
      </c>
      <c r="E100" s="299">
        <v>0</v>
      </c>
    </row>
    <row r="101" spans="2:9" ht="10.199999999999999" customHeight="1">
      <c r="B101" s="302" t="s">
        <v>211</v>
      </c>
      <c r="C101" s="310"/>
      <c r="D101" s="303">
        <f>+'[6]EERR '!$B$102</f>
        <v>9758357</v>
      </c>
      <c r="E101" s="299">
        <v>0</v>
      </c>
      <c r="F101" s="246"/>
    </row>
    <row r="102" spans="2:9" ht="10.199999999999999" customHeight="1">
      <c r="B102" s="302"/>
      <c r="C102" s="310"/>
      <c r="D102" s="303"/>
      <c r="E102" s="332"/>
    </row>
    <row r="103" spans="2:9" ht="10.199999999999999" customHeight="1">
      <c r="B103" s="296" t="s">
        <v>212</v>
      </c>
      <c r="C103" s="297"/>
      <c r="D103" s="300">
        <v>0</v>
      </c>
      <c r="E103" s="332">
        <v>0</v>
      </c>
    </row>
    <row r="104" spans="2:9" ht="10.199999999999999" customHeight="1">
      <c r="B104" s="302" t="s">
        <v>213</v>
      </c>
      <c r="C104" s="310"/>
      <c r="D104" s="303">
        <v>0</v>
      </c>
      <c r="E104" s="299">
        <v>0</v>
      </c>
      <c r="F104" s="246"/>
    </row>
    <row r="105" spans="2:9" ht="10.199999999999999" customHeight="1">
      <c r="B105" s="302" t="s">
        <v>214</v>
      </c>
      <c r="C105" s="310"/>
      <c r="D105" s="303"/>
      <c r="E105" s="299"/>
      <c r="F105" s="249"/>
    </row>
    <row r="106" spans="2:9" ht="10.199999999999999" customHeight="1">
      <c r="B106" s="302"/>
      <c r="C106" s="310"/>
      <c r="D106" s="303"/>
      <c r="E106" s="299"/>
    </row>
    <row r="107" spans="2:9" ht="10.199999999999999" customHeight="1">
      <c r="B107" s="306" t="s">
        <v>215</v>
      </c>
      <c r="C107" s="307"/>
      <c r="D107" s="334">
        <f>+D84+D90+D99+D103+D86</f>
        <v>7018513810</v>
      </c>
      <c r="E107" s="764">
        <f>+E84+E90+E99+E103+E86</f>
        <v>8284459468</v>
      </c>
    </row>
    <row r="108" spans="2:9" ht="10.199999999999999" customHeight="1">
      <c r="B108" s="302"/>
      <c r="C108" s="310"/>
      <c r="D108" s="303"/>
      <c r="E108" s="299"/>
    </row>
    <row r="109" spans="2:9" ht="10.199999999999999" customHeight="1">
      <c r="B109" s="296" t="s">
        <v>216</v>
      </c>
      <c r="C109" s="297"/>
      <c r="D109" s="303">
        <v>0</v>
      </c>
      <c r="E109" s="299">
        <v>0</v>
      </c>
    </row>
    <row r="110" spans="2:9" ht="10.199999999999999" customHeight="1">
      <c r="B110" s="331" t="s">
        <v>113</v>
      </c>
      <c r="C110" s="309"/>
      <c r="D110" s="303">
        <v>0</v>
      </c>
      <c r="E110" s="299">
        <v>0</v>
      </c>
    </row>
    <row r="111" spans="2:9" ht="10.199999999999999" customHeight="1" thickBot="1">
      <c r="B111" s="333" t="s">
        <v>217</v>
      </c>
      <c r="C111" s="335"/>
      <c r="D111" s="336">
        <f>+D107-D109-D110</f>
        <v>7018513810</v>
      </c>
      <c r="E111" s="765">
        <f>+E107-E109-E110</f>
        <v>8284459468</v>
      </c>
      <c r="G111" s="202"/>
    </row>
    <row r="112" spans="2:9" ht="10.199999999999999" customHeight="1">
      <c r="B112" s="707" t="s">
        <v>702</v>
      </c>
      <c r="C112" s="707"/>
      <c r="D112" s="707"/>
      <c r="E112" s="707"/>
      <c r="G112" s="202"/>
    </row>
    <row r="113" spans="4:5" ht="10.199999999999999" customHeight="1">
      <c r="D113" s="761">
        <f>+D111-'Balance Gral. Resol. 30'!G77</f>
        <v>2.9999732971191406E-2</v>
      </c>
      <c r="E113" s="311"/>
    </row>
  </sheetData>
  <mergeCells count="7">
    <mergeCell ref="B112:E112"/>
    <mergeCell ref="B8:E9"/>
    <mergeCell ref="B4:E4"/>
    <mergeCell ref="B3:E3"/>
    <mergeCell ref="B5:E5"/>
    <mergeCell ref="B6:E6"/>
    <mergeCell ref="B7:E7"/>
  </mergeCells>
  <hyperlinks>
    <hyperlink ref="B11" location="'NOTA V INGRESOS OPERATIVOS'!A1" display="Ingresos Operativos - Nota v" xr:uid="{00000000-0004-0000-0300-000000000000}"/>
    <hyperlink ref="B45" location="'NOTA W OTROS GASTOS OPER'!A1" display="Gastos de Comercialización -Nota w" xr:uid="{00000000-0004-0000-0300-000001000000}"/>
    <hyperlink ref="B39" location="'NOTA W OTROS GASTOS OPER'!A1" display="Gastos Operativos - Nota W" xr:uid="{00000000-0004-0000-0300-000002000000}"/>
    <hyperlink ref="B50" location="'NOTA W OTROS GASTOS OPER'!A1" display="Gastos de administración - Nota w" xr:uid="{00000000-0004-0000-0300-000003000000}"/>
    <hyperlink ref="B86" location="'NOTA X OTROS INGRESOS Y EGR'!A1" display="Otros ingresos y Egresos" xr:uid="{00000000-0004-0000-0300-000004000000}"/>
    <hyperlink ref="B90" location="'NOTA Y RESULTADOS FINANC'!A1" display="Resultados financieros" xr:uid="{00000000-0004-0000-0300-000005000000}"/>
    <hyperlink ref="B99" location="'NOTA Z RESULT EXTRA'!A1" display="Resultados  extraordinarias -Nota z" xr:uid="{00000000-0004-0000-0300-000006000000}"/>
  </hyperlinks>
  <pageMargins left="0.25" right="0.25" top="0.75" bottom="0.75" header="0.3" footer="0.3"/>
  <pageSetup paperSize="9" scale="76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rgb="FF002060"/>
  </sheetPr>
  <dimension ref="C1:F58"/>
  <sheetViews>
    <sheetView showGridLines="0" topLeftCell="B30" zoomScale="120" zoomScaleNormal="120" workbookViewId="0">
      <selection activeCell="B77" sqref="B77"/>
    </sheetView>
  </sheetViews>
  <sheetFormatPr baseColWidth="10" defaultColWidth="11.44140625" defaultRowHeight="12"/>
  <cols>
    <col min="1" max="1" width="11.44140625" style="202"/>
    <col min="2" max="2" width="5.6640625" style="202" customWidth="1"/>
    <col min="3" max="3" width="70.33203125" style="202" customWidth="1"/>
    <col min="4" max="5" width="25.6640625" style="202" customWidth="1"/>
    <col min="6" max="6" width="14.33203125" style="202" hidden="1" customWidth="1"/>
    <col min="7" max="8" width="0" style="202" hidden="1" customWidth="1"/>
    <col min="9" max="16384" width="11.44140625" style="202"/>
  </cols>
  <sheetData>
    <row r="1" spans="3:6">
      <c r="C1" s="671"/>
      <c r="D1" s="671"/>
      <c r="E1" s="671"/>
    </row>
    <row r="2" spans="3:6" ht="35.25" customHeight="1">
      <c r="C2" s="671"/>
      <c r="D2" s="671"/>
      <c r="E2" s="671"/>
    </row>
    <row r="3" spans="3:6" ht="14.4">
      <c r="C3" s="711" t="s">
        <v>0</v>
      </c>
      <c r="D3" s="711"/>
      <c r="E3" s="711"/>
    </row>
    <row r="4" spans="3:6">
      <c r="C4" s="671" t="s">
        <v>218</v>
      </c>
      <c r="D4" s="671"/>
      <c r="E4" s="671"/>
    </row>
    <row r="5" spans="3:6" ht="19.5" customHeight="1">
      <c r="C5" s="705" t="s">
        <v>1018</v>
      </c>
      <c r="D5" s="705"/>
      <c r="E5" s="705"/>
    </row>
    <row r="6" spans="3:6">
      <c r="C6" s="710" t="s">
        <v>31</v>
      </c>
      <c r="D6" s="710"/>
      <c r="E6" s="710"/>
    </row>
    <row r="7" spans="3:6" ht="38.25" customHeight="1">
      <c r="C7" s="312"/>
      <c r="D7" s="655">
        <f>+Indice!G5</f>
        <v>44834</v>
      </c>
      <c r="E7" s="655">
        <f>+Indice!H7</f>
        <v>44469</v>
      </c>
    </row>
    <row r="8" spans="3:6">
      <c r="C8" s="207" t="s">
        <v>219</v>
      </c>
      <c r="D8" s="313"/>
      <c r="E8" s="314"/>
    </row>
    <row r="9" spans="3:6" ht="12" customHeight="1">
      <c r="C9" s="216"/>
      <c r="D9" s="274"/>
      <c r="E9" s="315"/>
      <c r="F9" s="249"/>
    </row>
    <row r="10" spans="3:6">
      <c r="C10" s="216" t="s">
        <v>220</v>
      </c>
      <c r="D10" s="315">
        <f>+' Flujo de Fondos Calculo INVEST'!B61</f>
        <v>-459434545</v>
      </c>
      <c r="E10" s="315">
        <v>14817517819</v>
      </c>
      <c r="F10" s="249"/>
    </row>
    <row r="11" spans="3:6" ht="12.6" customHeight="1">
      <c r="C11" s="216" t="s">
        <v>221</v>
      </c>
      <c r="D11" s="315">
        <f>+' Flujo de Fondos Calculo INVEST'!B64</f>
        <v>-1986936746</v>
      </c>
      <c r="E11" s="315">
        <v>-1934511909</v>
      </c>
    </row>
    <row r="12" spans="3:6">
      <c r="C12" s="216" t="s">
        <v>222</v>
      </c>
      <c r="D12" s="315">
        <f>+' Flujo de Fondos Calculo INVEST'!B62</f>
        <v>546864563</v>
      </c>
      <c r="E12" s="315">
        <v>-660699636</v>
      </c>
    </row>
    <row r="13" spans="3:6">
      <c r="C13" s="216"/>
      <c r="D13" s="315"/>
      <c r="E13" s="315"/>
    </row>
    <row r="14" spans="3:6">
      <c r="C14" s="316" t="s">
        <v>223</v>
      </c>
      <c r="D14" s="317"/>
      <c r="E14" s="317"/>
    </row>
    <row r="15" spans="3:6">
      <c r="C15" s="316" t="s">
        <v>224</v>
      </c>
      <c r="D15" s="318">
        <f>SUM(D10:D13)</f>
        <v>-1899506728</v>
      </c>
      <c r="E15" s="318">
        <v>12222306274</v>
      </c>
    </row>
    <row r="16" spans="3:6">
      <c r="C16" s="319"/>
      <c r="D16" s="317"/>
      <c r="E16" s="317"/>
    </row>
    <row r="17" spans="3:5">
      <c r="C17" s="316" t="s">
        <v>225</v>
      </c>
      <c r="D17" s="317"/>
      <c r="E17" s="317"/>
    </row>
    <row r="18" spans="3:5">
      <c r="C18" s="319"/>
      <c r="D18" s="317"/>
      <c r="E18" s="317"/>
    </row>
    <row r="19" spans="3:5">
      <c r="C19" s="319" t="s">
        <v>226</v>
      </c>
      <c r="D19" s="317">
        <v>0</v>
      </c>
      <c r="E19" s="317">
        <v>0</v>
      </c>
    </row>
    <row r="20" spans="3:5">
      <c r="C20" s="319"/>
      <c r="D20" s="338">
        <f>SUM(D18:D19)</f>
        <v>0</v>
      </c>
      <c r="E20" s="318">
        <v>0</v>
      </c>
    </row>
    <row r="21" spans="3:5">
      <c r="C21" s="316" t="s">
        <v>227</v>
      </c>
      <c r="D21" s="317"/>
      <c r="E21" s="317"/>
    </row>
    <row r="22" spans="3:5">
      <c r="C22" s="319" t="s">
        <v>883</v>
      </c>
      <c r="D22" s="317">
        <f>+' Flujo de Fondos Calculo INVEST'!B65</f>
        <v>3558266094</v>
      </c>
      <c r="E22" s="317">
        <v>0</v>
      </c>
    </row>
    <row r="23" spans="3:5">
      <c r="C23" s="319"/>
      <c r="D23" s="317"/>
      <c r="E23" s="317"/>
    </row>
    <row r="24" spans="3:5">
      <c r="C24" s="316" t="s">
        <v>228</v>
      </c>
      <c r="D24" s="338">
        <f>D15+D20+D22</f>
        <v>1658759366</v>
      </c>
      <c r="E24" s="318">
        <v>12222306274</v>
      </c>
    </row>
    <row r="25" spans="3:5">
      <c r="C25" s="319"/>
      <c r="D25" s="317"/>
      <c r="E25" s="317"/>
    </row>
    <row r="26" spans="3:5">
      <c r="C26" s="319" t="s">
        <v>216</v>
      </c>
      <c r="D26" s="317">
        <f>+' Flujo de Fondos Calculo INVEST'!B66</f>
        <v>0</v>
      </c>
      <c r="E26" s="317">
        <v>-71022483</v>
      </c>
    </row>
    <row r="27" spans="3:5">
      <c r="C27" s="319"/>
      <c r="D27" s="317"/>
      <c r="E27" s="317"/>
    </row>
    <row r="28" spans="3:5">
      <c r="C28" s="316" t="s">
        <v>229</v>
      </c>
      <c r="D28" s="318">
        <f>+D24+D26</f>
        <v>1658759366</v>
      </c>
      <c r="E28" s="318">
        <v>12151283791</v>
      </c>
    </row>
    <row r="29" spans="3:5">
      <c r="C29" s="316"/>
      <c r="D29" s="320"/>
      <c r="E29" s="320"/>
    </row>
    <row r="30" spans="3:5">
      <c r="C30" s="316" t="s">
        <v>230</v>
      </c>
      <c r="D30" s="317"/>
      <c r="E30" s="317"/>
    </row>
    <row r="31" spans="3:5">
      <c r="C31" s="316"/>
      <c r="D31" s="317"/>
      <c r="E31" s="317"/>
    </row>
    <row r="32" spans="3:5">
      <c r="C32" s="319" t="s">
        <v>231</v>
      </c>
      <c r="D32" s="317">
        <f>+' Flujo de Fondos Calculo INVEST'!B70</f>
        <v>-19224000000</v>
      </c>
      <c r="E32" s="317">
        <v>-2572595000</v>
      </c>
    </row>
    <row r="33" spans="3:5">
      <c r="C33" s="319" t="s">
        <v>232</v>
      </c>
      <c r="D33" s="317">
        <v>0</v>
      </c>
      <c r="E33" s="317">
        <v>0</v>
      </c>
    </row>
    <row r="34" spans="3:5">
      <c r="C34" s="319" t="s">
        <v>233</v>
      </c>
      <c r="D34" s="317">
        <v>0</v>
      </c>
      <c r="E34" s="317">
        <v>0</v>
      </c>
    </row>
    <row r="35" spans="3:5">
      <c r="C35" s="319" t="s">
        <v>234</v>
      </c>
      <c r="D35" s="317">
        <f>+' Flujo de Fondos Calculo INVEST'!B71-1</f>
        <v>-189583525</v>
      </c>
      <c r="E35" s="317">
        <v>-1009192577</v>
      </c>
    </row>
    <row r="36" spans="3:5">
      <c r="C36" s="319" t="s">
        <v>235</v>
      </c>
      <c r="D36" s="317">
        <f>+' Flujo de Fondos Calculo INVEST'!B72</f>
        <v>49197504185</v>
      </c>
      <c r="E36" s="317">
        <v>-15758831249</v>
      </c>
    </row>
    <row r="37" spans="3:5">
      <c r="C37" s="319" t="s">
        <v>236</v>
      </c>
      <c r="D37" s="317" t="s">
        <v>531</v>
      </c>
      <c r="E37" s="317" t="s">
        <v>531</v>
      </c>
    </row>
    <row r="38" spans="3:5">
      <c r="C38" s="319" t="s">
        <v>237</v>
      </c>
      <c r="D38" s="317" t="s">
        <v>531</v>
      </c>
      <c r="E38" s="317" t="s">
        <v>531</v>
      </c>
    </row>
    <row r="39" spans="3:5">
      <c r="C39" s="319"/>
      <c r="D39" s="317"/>
      <c r="E39" s="317"/>
    </row>
    <row r="40" spans="3:5">
      <c r="C40" s="316" t="s">
        <v>238</v>
      </c>
      <c r="D40" s="318">
        <f>SUM(D32:D38)</f>
        <v>29783920660</v>
      </c>
      <c r="E40" s="318">
        <v>-19340618826</v>
      </c>
    </row>
    <row r="41" spans="3:5">
      <c r="C41" s="316"/>
      <c r="D41" s="320"/>
      <c r="E41" s="320"/>
    </row>
    <row r="42" spans="3:5">
      <c r="C42" s="316" t="s">
        <v>239</v>
      </c>
      <c r="D42" s="317"/>
      <c r="E42" s="317"/>
    </row>
    <row r="43" spans="3:5">
      <c r="C43" s="316"/>
      <c r="D43" s="317"/>
      <c r="E43" s="317"/>
    </row>
    <row r="44" spans="3:5">
      <c r="C44" s="319" t="s">
        <v>240</v>
      </c>
      <c r="D44" s="317">
        <f>+' Flujo de Fondos Calculo INVEST'!B84</f>
        <v>0</v>
      </c>
      <c r="E44" s="317" t="s">
        <v>531</v>
      </c>
    </row>
    <row r="45" spans="3:5">
      <c r="C45" s="319" t="s">
        <v>241</v>
      </c>
      <c r="D45" s="317">
        <f>+' Flujo de Fondos Calculo INVEST'!B82+1</f>
        <v>-50928577134</v>
      </c>
      <c r="E45" s="317">
        <v>25189155271</v>
      </c>
    </row>
    <row r="46" spans="3:5">
      <c r="C46" s="319" t="s">
        <v>242</v>
      </c>
      <c r="D46" s="317">
        <f>+' Flujo de Fondos Calculo INVEST'!B83</f>
        <v>-7500000000</v>
      </c>
      <c r="E46" s="317">
        <v>-5434782609</v>
      </c>
    </row>
    <row r="47" spans="3:5" ht="12.75" customHeight="1">
      <c r="C47" s="319" t="s">
        <v>209</v>
      </c>
      <c r="D47" s="317" t="s">
        <v>531</v>
      </c>
      <c r="E47" s="317" t="s">
        <v>531</v>
      </c>
    </row>
    <row r="48" spans="3:5" ht="12.75" customHeight="1">
      <c r="C48" s="319"/>
      <c r="D48" s="317"/>
      <c r="E48" s="317"/>
    </row>
    <row r="49" spans="3:6" ht="12.75" customHeight="1">
      <c r="C49" s="316" t="s">
        <v>243</v>
      </c>
      <c r="D49" s="318">
        <f>SUM(D44:D48)</f>
        <v>-58428577134</v>
      </c>
      <c r="E49" s="318">
        <v>19754372662</v>
      </c>
    </row>
    <row r="50" spans="3:6">
      <c r="C50" s="319"/>
      <c r="D50" s="317"/>
      <c r="E50" s="317"/>
    </row>
    <row r="51" spans="3:6">
      <c r="C51" s="316" t="s">
        <v>244</v>
      </c>
      <c r="D51" s="317"/>
      <c r="E51" s="317"/>
    </row>
    <row r="52" spans="3:6">
      <c r="C52" s="316"/>
      <c r="D52" s="317"/>
      <c r="E52" s="317"/>
    </row>
    <row r="53" spans="3:6" ht="16.5" customHeight="1">
      <c r="C53" s="319" t="s">
        <v>245</v>
      </c>
      <c r="D53" s="320">
        <f>+D24+D26+D40+D49</f>
        <v>-26985897108</v>
      </c>
      <c r="E53" s="320">
        <v>12565037627</v>
      </c>
      <c r="F53" s="252"/>
    </row>
    <row r="54" spans="3:6">
      <c r="C54" s="321" t="s">
        <v>246</v>
      </c>
      <c r="D54" s="322">
        <f>+'Balance Gral. Resol. 30'!E14</f>
        <v>6045862180</v>
      </c>
      <c r="E54" s="322">
        <v>3899258412</v>
      </c>
    </row>
    <row r="55" spans="3:6" ht="12.6" thickBot="1">
      <c r="C55" s="323" t="s">
        <v>247</v>
      </c>
      <c r="D55" s="324">
        <f>D53+D54</f>
        <v>-20940034928</v>
      </c>
      <c r="E55" s="324">
        <v>16464296039</v>
      </c>
    </row>
    <row r="56" spans="3:6" ht="12.6" thickTop="1">
      <c r="C56" s="709" t="s">
        <v>702</v>
      </c>
      <c r="D56" s="709"/>
      <c r="E56" s="709"/>
      <c r="F56" s="427"/>
    </row>
    <row r="57" spans="3:6" hidden="1">
      <c r="D57" s="311">
        <f>+D55-'Balance Gral. Resol. 30'!D14</f>
        <v>0</v>
      </c>
    </row>
    <row r="58" spans="3:6">
      <c r="D58" s="311">
        <f>+D55-'Balance Gral. Resol. 30'!D14</f>
        <v>0</v>
      </c>
      <c r="E58" s="311">
        <v>0</v>
      </c>
    </row>
  </sheetData>
  <mergeCells count="7">
    <mergeCell ref="C56:E56"/>
    <mergeCell ref="C6:E6"/>
    <mergeCell ref="C1:E1"/>
    <mergeCell ref="C2:E2"/>
    <mergeCell ref="C3:E3"/>
    <mergeCell ref="C4:E4"/>
    <mergeCell ref="C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002060"/>
  </sheetPr>
  <dimension ref="B1:M34"/>
  <sheetViews>
    <sheetView showGridLines="0" topLeftCell="A18" zoomScale="110" zoomScaleNormal="110" workbookViewId="0">
      <selection activeCell="B77" sqref="B77"/>
    </sheetView>
  </sheetViews>
  <sheetFormatPr baseColWidth="10" defaultColWidth="11.44140625" defaultRowHeight="12"/>
  <cols>
    <col min="1" max="1" width="5.33203125" style="25" customWidth="1"/>
    <col min="2" max="2" width="40.33203125" style="25" customWidth="1"/>
    <col min="3" max="5" width="15.6640625" style="39" customWidth="1"/>
    <col min="6" max="8" width="15.6640625" style="39" hidden="1" customWidth="1"/>
    <col min="9" max="11" width="15.6640625" style="25" customWidth="1"/>
    <col min="12" max="13" width="12.88671875" style="25" bestFit="1" customWidth="1"/>
    <col min="14" max="16384" width="11.44140625" style="25"/>
  </cols>
  <sheetData>
    <row r="1" spans="2:11" ht="79.2" customHeight="1"/>
    <row r="2" spans="2:11" ht="15.6">
      <c r="B2" s="713" t="s">
        <v>0</v>
      </c>
      <c r="C2" s="713"/>
      <c r="D2" s="713"/>
      <c r="E2" s="713"/>
      <c r="F2" s="713"/>
      <c r="G2" s="713"/>
      <c r="H2" s="713"/>
      <c r="I2" s="713"/>
      <c r="J2" s="713"/>
      <c r="K2" s="713"/>
    </row>
    <row r="3" spans="2:11">
      <c r="B3" s="671" t="s">
        <v>248</v>
      </c>
      <c r="C3" s="671"/>
      <c r="D3" s="671"/>
      <c r="E3" s="671"/>
      <c r="F3" s="671"/>
      <c r="G3" s="671"/>
      <c r="H3" s="671"/>
      <c r="I3" s="671"/>
      <c r="J3" s="671"/>
      <c r="K3" s="671"/>
    </row>
    <row r="4" spans="2:11">
      <c r="B4" s="671" t="s">
        <v>1022</v>
      </c>
      <c r="C4" s="671"/>
      <c r="D4" s="671"/>
      <c r="E4" s="671"/>
      <c r="F4" s="671"/>
      <c r="G4" s="671"/>
      <c r="H4" s="671"/>
      <c r="I4" s="671"/>
      <c r="J4" s="671"/>
      <c r="K4" s="671"/>
    </row>
    <row r="5" spans="2:11" ht="15" customHeight="1">
      <c r="B5" s="706" t="s">
        <v>31</v>
      </c>
      <c r="C5" s="706"/>
      <c r="D5" s="706"/>
      <c r="E5" s="706"/>
      <c r="F5" s="706"/>
      <c r="G5" s="706"/>
      <c r="H5" s="706"/>
      <c r="I5" s="706"/>
      <c r="J5" s="706"/>
      <c r="K5" s="706"/>
    </row>
    <row r="6" spans="2:11" ht="15" customHeight="1" thickBot="1">
      <c r="B6" s="238"/>
      <c r="C6" s="238"/>
      <c r="D6" s="25"/>
      <c r="E6" s="25"/>
      <c r="F6" s="25"/>
      <c r="G6" s="25"/>
      <c r="H6" s="25"/>
    </row>
    <row r="7" spans="2:11" s="257" customFormat="1" ht="13.5" customHeight="1" thickBot="1">
      <c r="B7" s="238"/>
      <c r="C7" s="714" t="s">
        <v>249</v>
      </c>
      <c r="D7" s="715"/>
      <c r="E7" s="714" t="s">
        <v>250</v>
      </c>
      <c r="F7" s="715"/>
      <c r="G7" s="716"/>
      <c r="H7" s="715" t="s">
        <v>251</v>
      </c>
      <c r="I7" s="717"/>
      <c r="J7" s="718" t="s">
        <v>252</v>
      </c>
      <c r="K7" s="716"/>
    </row>
    <row r="8" spans="2:11" s="257" customFormat="1" ht="12.6" thickBot="1">
      <c r="B8" s="258" t="s">
        <v>253</v>
      </c>
      <c r="C8" s="259" t="s">
        <v>254</v>
      </c>
      <c r="D8" s="260" t="s">
        <v>255</v>
      </c>
      <c r="E8" s="261" t="s">
        <v>256</v>
      </c>
      <c r="F8" s="262" t="s">
        <v>500</v>
      </c>
      <c r="G8" s="260" t="s">
        <v>257</v>
      </c>
      <c r="H8" s="261" t="s">
        <v>258</v>
      </c>
      <c r="I8" s="263" t="s">
        <v>259</v>
      </c>
      <c r="J8" s="349">
        <f>+'Estado de Resultado Resol. 30'!D10</f>
        <v>44834</v>
      </c>
      <c r="K8" s="350">
        <f>+'Flujo de Efectivo Resol. Res 30'!E7</f>
        <v>44469</v>
      </c>
    </row>
    <row r="9" spans="2:11" s="132" customFormat="1">
      <c r="B9" s="264"/>
      <c r="C9" s="265"/>
      <c r="D9" s="266"/>
      <c r="E9" s="265"/>
      <c r="F9" s="267"/>
      <c r="G9" s="266"/>
      <c r="H9" s="265"/>
      <c r="I9" s="266"/>
      <c r="J9" s="265"/>
      <c r="K9" s="266"/>
    </row>
    <row r="10" spans="2:11" s="132" customFormat="1" ht="24" customHeight="1">
      <c r="B10" s="264" t="s">
        <v>260</v>
      </c>
      <c r="C10" s="265">
        <f>+'Balance Gral. Resol. 30'!H74</f>
        <v>8933184</v>
      </c>
      <c r="D10" s="266">
        <f>+'Balance Gral. Resol. 30'!H64</f>
        <v>27164000001</v>
      </c>
      <c r="E10" s="265">
        <f>+'Balance Gral. Resol. 30'!H67</f>
        <v>1546573343</v>
      </c>
      <c r="F10" s="267">
        <f>+'Balance Gral. Resol. 30'!H69</f>
        <v>49000000</v>
      </c>
      <c r="G10" s="266">
        <f>+'Balance Gral. Resol. 30'!H68</f>
        <v>0</v>
      </c>
      <c r="H10" s="268">
        <f>+'Balance Gral. Resol. 30'!H76</f>
        <v>9411087</v>
      </c>
      <c r="I10" s="266">
        <f>+'Balance Gral. Resol. 30'!H77</f>
        <v>23332346890.369999</v>
      </c>
      <c r="J10" s="269">
        <f>SUM(C10:I10)</f>
        <v>52110264505.369995</v>
      </c>
      <c r="K10" s="270">
        <v>24288000000</v>
      </c>
    </row>
    <row r="11" spans="2:11" s="132" customFormat="1" ht="24" customHeight="1">
      <c r="B11" s="264"/>
      <c r="C11" s="265"/>
      <c r="D11" s="266"/>
      <c r="E11" s="265"/>
      <c r="F11" s="267"/>
      <c r="G11" s="266"/>
      <c r="H11" s="268"/>
      <c r="I11" s="266"/>
      <c r="J11" s="269">
        <f t="shared" ref="J11:J25" si="0">SUM(C11:I11)</f>
        <v>0</v>
      </c>
      <c r="K11" s="270">
        <v>0</v>
      </c>
    </row>
    <row r="12" spans="2:11" s="132" customFormat="1" ht="24" customHeight="1">
      <c r="B12" s="271" t="s">
        <v>261</v>
      </c>
      <c r="C12" s="265"/>
      <c r="D12" s="266"/>
      <c r="E12" s="265"/>
      <c r="F12" s="272"/>
      <c r="G12" s="273"/>
      <c r="H12" s="268"/>
      <c r="I12" s="266"/>
      <c r="J12" s="269">
        <f t="shared" si="0"/>
        <v>0</v>
      </c>
      <c r="K12" s="270">
        <v>0</v>
      </c>
    </row>
    <row r="13" spans="2:11" s="132" customFormat="1" ht="24" customHeight="1">
      <c r="B13" s="264"/>
      <c r="C13" s="265"/>
      <c r="D13" s="266"/>
      <c r="E13" s="265"/>
      <c r="F13" s="272"/>
      <c r="G13" s="273"/>
      <c r="H13" s="268"/>
      <c r="I13" s="266"/>
      <c r="J13" s="269">
        <f t="shared" si="0"/>
        <v>0</v>
      </c>
      <c r="K13" s="270">
        <v>0</v>
      </c>
    </row>
    <row r="14" spans="2:11" s="132" customFormat="1" ht="24" customHeight="1">
      <c r="B14" s="264" t="s">
        <v>262</v>
      </c>
      <c r="C14" s="265" t="s">
        <v>263</v>
      </c>
      <c r="D14" s="266" t="s">
        <v>263</v>
      </c>
      <c r="E14" s="268">
        <f>+E26-E10</f>
        <v>0</v>
      </c>
      <c r="F14" s="272">
        <v>0</v>
      </c>
      <c r="G14" s="273" t="s">
        <v>263</v>
      </c>
      <c r="H14" s="268" t="s">
        <v>263</v>
      </c>
      <c r="I14" s="266" t="s">
        <v>263</v>
      </c>
      <c r="J14" s="269">
        <f t="shared" si="0"/>
        <v>0</v>
      </c>
      <c r="K14" s="270">
        <v>1546573343</v>
      </c>
    </row>
    <row r="15" spans="2:11" s="132" customFormat="1" ht="24" customHeight="1">
      <c r="B15" s="264"/>
      <c r="C15" s="265"/>
      <c r="D15" s="266"/>
      <c r="E15" s="268"/>
      <c r="F15" s="272"/>
      <c r="G15" s="273"/>
      <c r="H15" s="268"/>
      <c r="I15" s="266"/>
      <c r="J15" s="269">
        <f t="shared" si="0"/>
        <v>0</v>
      </c>
      <c r="K15" s="270">
        <v>0</v>
      </c>
    </row>
    <row r="16" spans="2:11" s="132" customFormat="1" ht="24" customHeight="1">
      <c r="B16" s="264" t="s">
        <v>264</v>
      </c>
      <c r="C16" s="265" t="s">
        <v>263</v>
      </c>
      <c r="D16" s="266" t="s">
        <v>263</v>
      </c>
      <c r="E16" s="268" t="s">
        <v>263</v>
      </c>
      <c r="F16" s="274">
        <v>0</v>
      </c>
      <c r="G16" s="273">
        <f>+G26-G10-G24</f>
        <v>0</v>
      </c>
      <c r="H16" s="268" t="s">
        <v>263</v>
      </c>
      <c r="I16" s="266" t="s">
        <v>263</v>
      </c>
      <c r="J16" s="269">
        <f t="shared" si="0"/>
        <v>0</v>
      </c>
      <c r="K16" s="270">
        <v>49000000</v>
      </c>
    </row>
    <row r="17" spans="2:13" s="132" customFormat="1" ht="24" customHeight="1">
      <c r="B17" s="264"/>
      <c r="C17" s="265"/>
      <c r="D17" s="266"/>
      <c r="E17" s="268"/>
      <c r="F17" s="272"/>
      <c r="G17" s="273"/>
      <c r="H17" s="268"/>
      <c r="I17" s="266"/>
      <c r="J17" s="269">
        <f t="shared" si="0"/>
        <v>0</v>
      </c>
      <c r="K17" s="270">
        <v>0</v>
      </c>
    </row>
    <row r="18" spans="2:13" s="132" customFormat="1" ht="24" customHeight="1">
      <c r="B18" s="264" t="s">
        <v>122</v>
      </c>
      <c r="C18" s="265" t="s">
        <v>263</v>
      </c>
      <c r="D18" s="266" t="s">
        <v>263</v>
      </c>
      <c r="E18" s="268" t="s">
        <v>263</v>
      </c>
      <c r="F18" s="274" t="s">
        <v>263</v>
      </c>
      <c r="G18" s="273" t="s">
        <v>263</v>
      </c>
      <c r="H18" s="268" t="s">
        <v>263</v>
      </c>
      <c r="I18" s="266" t="s">
        <v>263</v>
      </c>
      <c r="J18" s="269">
        <f t="shared" si="0"/>
        <v>0</v>
      </c>
      <c r="K18" s="270">
        <v>9411087</v>
      </c>
    </row>
    <row r="19" spans="2:13" s="132" customFormat="1" ht="24" customHeight="1">
      <c r="B19" s="264"/>
      <c r="C19" s="265"/>
      <c r="D19" s="266"/>
      <c r="E19" s="268"/>
      <c r="F19" s="274"/>
      <c r="G19" s="273"/>
      <c r="H19" s="268"/>
      <c r="I19" s="266"/>
      <c r="J19" s="269">
        <f t="shared" si="0"/>
        <v>0</v>
      </c>
      <c r="K19" s="270">
        <v>0</v>
      </c>
    </row>
    <row r="20" spans="2:13" s="132" customFormat="1" ht="24" customHeight="1">
      <c r="B20" s="264" t="s">
        <v>265</v>
      </c>
      <c r="C20" s="265">
        <f>+C26-C10</f>
        <v>0</v>
      </c>
      <c r="E20" s="268">
        <v>0</v>
      </c>
      <c r="F20" s="274" t="s">
        <v>263</v>
      </c>
      <c r="G20" s="273" t="s">
        <v>263</v>
      </c>
      <c r="H20" s="268"/>
      <c r="I20" s="266" t="s">
        <v>263</v>
      </c>
      <c r="J20" s="269">
        <f t="shared" si="0"/>
        <v>0</v>
      </c>
      <c r="K20" s="270">
        <v>0</v>
      </c>
    </row>
    <row r="21" spans="2:13" s="132" customFormat="1" ht="24" customHeight="1">
      <c r="B21" s="264"/>
      <c r="C21" s="265"/>
      <c r="D21" s="266"/>
      <c r="E21" s="268"/>
      <c r="F21" s="274"/>
      <c r="G21" s="273"/>
      <c r="H21" s="268"/>
      <c r="I21" s="266"/>
      <c r="J21" s="269">
        <f t="shared" si="0"/>
        <v>0</v>
      </c>
      <c r="K21" s="270">
        <v>0</v>
      </c>
    </row>
    <row r="22" spans="2:13" s="132" customFormat="1" ht="24" customHeight="1">
      <c r="B22" s="264" t="s">
        <v>266</v>
      </c>
      <c r="C22" s="265" t="s">
        <v>263</v>
      </c>
      <c r="D22" s="266">
        <v>0</v>
      </c>
      <c r="E22" s="268" t="s">
        <v>263</v>
      </c>
      <c r="F22" s="274" t="s">
        <v>263</v>
      </c>
      <c r="G22" s="273" t="s">
        <v>263</v>
      </c>
      <c r="H22" s="268">
        <v>0</v>
      </c>
      <c r="I22" s="266">
        <v>-7500000000</v>
      </c>
      <c r="J22" s="269">
        <f t="shared" si="0"/>
        <v>-7500000000</v>
      </c>
      <c r="K22" s="266">
        <v>0</v>
      </c>
    </row>
    <row r="23" spans="2:13" s="132" customFormat="1" ht="24" customHeight="1">
      <c r="B23" s="264"/>
      <c r="C23" s="265"/>
      <c r="D23" s="266"/>
      <c r="E23" s="268"/>
      <c r="F23" s="272"/>
      <c r="G23" s="273"/>
      <c r="H23" s="268"/>
      <c r="I23" s="266"/>
      <c r="J23" s="269">
        <f t="shared" si="0"/>
        <v>0</v>
      </c>
      <c r="K23" s="270">
        <v>0</v>
      </c>
    </row>
    <row r="24" spans="2:13" s="132" customFormat="1" ht="24" customHeight="1">
      <c r="B24" s="264" t="s">
        <v>267</v>
      </c>
      <c r="C24" s="265">
        <v>0</v>
      </c>
      <c r="D24" s="266">
        <f>+D26-D27</f>
        <v>15756000000</v>
      </c>
      <c r="E24" s="268">
        <v>0</v>
      </c>
      <c r="F24" s="274">
        <v>0</v>
      </c>
      <c r="G24" s="273">
        <f>+G26-G10</f>
        <v>0</v>
      </c>
      <c r="H24" s="268">
        <f>+H26-H10</f>
        <v>232346890</v>
      </c>
      <c r="I24" s="266">
        <f>-I10+7500000000-156000000</f>
        <v>-15988346890.369999</v>
      </c>
      <c r="J24" s="269">
        <f t="shared" si="0"/>
        <v>-0.36999893188476563</v>
      </c>
      <c r="K24" s="270">
        <v>2720000001</v>
      </c>
    </row>
    <row r="25" spans="2:13" s="132" customFormat="1" ht="24" customHeight="1" thickBot="1">
      <c r="B25" s="264" t="s">
        <v>124</v>
      </c>
      <c r="C25" s="275" t="s">
        <v>263</v>
      </c>
      <c r="D25" s="276" t="s">
        <v>263</v>
      </c>
      <c r="E25" s="275" t="s">
        <v>263</v>
      </c>
      <c r="F25" s="277">
        <v>0</v>
      </c>
      <c r="G25" s="276" t="s">
        <v>263</v>
      </c>
      <c r="H25" s="278"/>
      <c r="I25" s="276">
        <f>+I26</f>
        <v>7018513809.9700003</v>
      </c>
      <c r="J25" s="269">
        <f t="shared" si="0"/>
        <v>7018513809.9700003</v>
      </c>
      <c r="K25" s="279">
        <v>8284459467</v>
      </c>
    </row>
    <row r="26" spans="2:13" s="132" customFormat="1" ht="24" customHeight="1" thickBot="1">
      <c r="B26" s="280" t="s">
        <v>1021</v>
      </c>
      <c r="C26" s="281">
        <f>+'Balance Gral. Resol. 30'!G74</f>
        <v>8933184</v>
      </c>
      <c r="D26" s="282">
        <f>+'Balance Gral. Resol. 30'!G64</f>
        <v>42764000001</v>
      </c>
      <c r="E26" s="283">
        <f>+'Balance Gral. Resol. 30'!G67</f>
        <v>1546573343</v>
      </c>
      <c r="F26" s="282">
        <f>+'Balance Gral. Resol. 30'!G69</f>
        <v>49000000</v>
      </c>
      <c r="G26" s="284">
        <f>+'Balance Gral. Resol. 30'!G68</f>
        <v>0</v>
      </c>
      <c r="H26" s="281">
        <f>+'Balance Gral. Resol. 30'!G76</f>
        <v>241757977</v>
      </c>
      <c r="I26" s="282">
        <f>+'Balance Gral. Resol. 30'!G77</f>
        <v>7018513809.9700003</v>
      </c>
      <c r="J26" s="285">
        <f>SUM(C26:I26)</f>
        <v>51628778314.970001</v>
      </c>
      <c r="K26" s="286">
        <f>SUM(K10:K25)</f>
        <v>36897443898</v>
      </c>
      <c r="L26" s="159"/>
      <c r="M26" s="159"/>
    </row>
    <row r="27" spans="2:13" s="132" customFormat="1" ht="24" customHeight="1" thickBot="1">
      <c r="B27" s="287" t="s">
        <v>1020</v>
      </c>
      <c r="C27" s="288">
        <v>0</v>
      </c>
      <c r="D27" s="288">
        <v>27008000001</v>
      </c>
      <c r="E27" s="288">
        <v>1546573343</v>
      </c>
      <c r="F27" s="288">
        <v>49000000</v>
      </c>
      <c r="G27" s="288">
        <v>0</v>
      </c>
      <c r="H27" s="288">
        <v>9411087</v>
      </c>
      <c r="I27" s="288">
        <v>8284459467</v>
      </c>
      <c r="J27" s="285"/>
      <c r="K27" s="571">
        <f>SUM(C27:I27)</f>
        <v>36897443898</v>
      </c>
      <c r="L27" s="159"/>
    </row>
    <row r="28" spans="2:13">
      <c r="B28" s="712" t="s">
        <v>702</v>
      </c>
      <c r="C28" s="712"/>
      <c r="D28" s="712"/>
      <c r="E28" s="712"/>
      <c r="F28" s="712"/>
      <c r="G28" s="712"/>
      <c r="H28" s="712"/>
      <c r="I28" s="712"/>
      <c r="J28" s="712"/>
      <c r="K28" s="712"/>
    </row>
    <row r="29" spans="2:13" hidden="1">
      <c r="D29" s="39">
        <f>SUM(D10:D25)</f>
        <v>42920000001</v>
      </c>
      <c r="E29" s="39">
        <f t="shared" ref="E29:J29" si="1">SUM(E10:E25)</f>
        <v>1546573343</v>
      </c>
      <c r="F29" s="39">
        <f t="shared" si="1"/>
        <v>49000000</v>
      </c>
      <c r="G29" s="39">
        <f t="shared" si="1"/>
        <v>0</v>
      </c>
      <c r="H29" s="39">
        <f t="shared" si="1"/>
        <v>241757977</v>
      </c>
      <c r="I29" s="39">
        <f t="shared" si="1"/>
        <v>6862513809.9700003</v>
      </c>
      <c r="J29" s="39">
        <f t="shared" si="1"/>
        <v>51628778314.970001</v>
      </c>
      <c r="K29" s="55">
        <f>+J26-'Balance Gral. Resol. 30'!G79</f>
        <v>0</v>
      </c>
    </row>
    <row r="30" spans="2:13" hidden="1"/>
    <row r="31" spans="2:13" hidden="1">
      <c r="C31" s="55">
        <f t="shared" ref="C31:I31" si="2">+C29-C26</f>
        <v>-8933184</v>
      </c>
      <c r="D31" s="55">
        <f t="shared" si="2"/>
        <v>156000000</v>
      </c>
      <c r="E31" s="55">
        <f t="shared" si="2"/>
        <v>0</v>
      </c>
      <c r="F31" s="55">
        <f t="shared" si="2"/>
        <v>0</v>
      </c>
      <c r="G31" s="55">
        <f t="shared" si="2"/>
        <v>0</v>
      </c>
      <c r="H31" s="55">
        <f t="shared" si="2"/>
        <v>0</v>
      </c>
      <c r="I31" s="55">
        <f t="shared" si="2"/>
        <v>-156000000</v>
      </c>
      <c r="J31" s="55">
        <f>+J29-J26</f>
        <v>0</v>
      </c>
    </row>
    <row r="32" spans="2:13">
      <c r="J32" s="55">
        <f>+J26-'Balance Gral. Resol. 30'!G79</f>
        <v>0</v>
      </c>
      <c r="K32" s="55">
        <f>+'[7]Balance Gral. Resol. 30'!$G$77-K26</f>
        <v>0</v>
      </c>
    </row>
    <row r="34" spans="10:11">
      <c r="J34" s="55"/>
      <c r="K34" s="55"/>
    </row>
  </sheetData>
  <mergeCells count="9">
    <mergeCell ref="B28:K28"/>
    <mergeCell ref="B2:K2"/>
    <mergeCell ref="C7:D7"/>
    <mergeCell ref="E7:G7"/>
    <mergeCell ref="H7:I7"/>
    <mergeCell ref="J7:K7"/>
    <mergeCell ref="B3:K3"/>
    <mergeCell ref="B4:K4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32794"/>
  </sheetPr>
  <dimension ref="A1:DG99"/>
  <sheetViews>
    <sheetView zoomScale="130" zoomScaleNormal="130" workbookViewId="0">
      <pane xSplit="1" ySplit="7" topLeftCell="J11" activePane="bottomRight" state="frozen"/>
      <selection pane="topRight" activeCell="B1" sqref="B1"/>
      <selection pane="bottomLeft" activeCell="A8" sqref="A8"/>
      <selection pane="bottomRight" activeCell="M11" sqref="M11"/>
    </sheetView>
  </sheetViews>
  <sheetFormatPr baseColWidth="10" defaultColWidth="11.44140625" defaultRowHeight="13.2"/>
  <cols>
    <col min="1" max="1" width="45.6640625" style="441" customWidth="1"/>
    <col min="2" max="2" width="28.33203125" style="441" bestFit="1" customWidth="1"/>
    <col min="3" max="3" width="18.44140625" style="441" bestFit="1" customWidth="1"/>
    <col min="4" max="4" width="19.33203125" style="441" bestFit="1" customWidth="1"/>
    <col min="5" max="5" width="17.33203125" style="441" bestFit="1" customWidth="1"/>
    <col min="6" max="6" width="16" style="441" customWidth="1"/>
    <col min="7" max="7" width="18.44140625" style="441" bestFit="1" customWidth="1"/>
    <col min="8" max="8" width="14.44140625" style="441" bestFit="1" customWidth="1"/>
    <col min="9" max="11" width="15.33203125" style="441" customWidth="1"/>
    <col min="12" max="12" width="18.44140625" style="441" customWidth="1"/>
    <col min="13" max="13" width="18.44140625" style="643" customWidth="1"/>
    <col min="14" max="14" width="20.109375" style="441" bestFit="1" customWidth="1"/>
    <col min="15" max="15" width="17.44140625" style="441" customWidth="1"/>
    <col min="16" max="16384" width="11.44140625" style="441"/>
  </cols>
  <sheetData>
    <row r="1" spans="1:15" ht="17.399999999999999">
      <c r="A1" s="439" t="s">
        <v>792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638"/>
      <c r="N1" s="440"/>
      <c r="O1" s="440"/>
    </row>
    <row r="2" spans="1:15" ht="17.399999999999999">
      <c r="A2" s="439"/>
      <c r="B2" s="440"/>
      <c r="C2" s="440"/>
      <c r="D2" s="440"/>
      <c r="E2" s="440"/>
      <c r="F2" s="440" t="s">
        <v>793</v>
      </c>
      <c r="G2" s="440" t="s">
        <v>794</v>
      </c>
      <c r="H2" s="440"/>
      <c r="I2" s="440"/>
      <c r="J2" s="440"/>
      <c r="K2" s="440"/>
      <c r="L2" s="440"/>
      <c r="M2" s="638"/>
      <c r="N2" s="440"/>
      <c r="O2" s="440"/>
    </row>
    <row r="3" spans="1:15" ht="18" thickBot="1">
      <c r="A3" s="439"/>
      <c r="B3" s="440"/>
      <c r="C3" s="440"/>
      <c r="D3" s="440"/>
      <c r="E3" s="440"/>
      <c r="F3" s="440" t="s">
        <v>795</v>
      </c>
      <c r="G3" s="440" t="s">
        <v>796</v>
      </c>
      <c r="H3" s="440"/>
      <c r="I3" s="440"/>
      <c r="J3" s="440"/>
      <c r="K3" s="440"/>
      <c r="L3" s="440"/>
      <c r="M3" s="638"/>
      <c r="N3" s="440"/>
      <c r="O3" s="440"/>
    </row>
    <row r="4" spans="1:15">
      <c r="A4" s="442"/>
      <c r="B4" s="443"/>
      <c r="C4" s="444"/>
      <c r="D4" s="445"/>
      <c r="E4" s="443"/>
      <c r="F4" s="443"/>
      <c r="G4" s="442"/>
      <c r="H4" s="446"/>
      <c r="I4" s="446"/>
      <c r="J4" s="446"/>
      <c r="K4" s="446"/>
      <c r="L4" s="446"/>
      <c r="M4" s="447" t="s">
        <v>797</v>
      </c>
      <c r="N4" s="447" t="s">
        <v>798</v>
      </c>
      <c r="O4" s="448"/>
    </row>
    <row r="5" spans="1:15" ht="13.8" thickBot="1">
      <c r="A5" s="449" t="s">
        <v>253</v>
      </c>
      <c r="B5" s="450" t="s">
        <v>799</v>
      </c>
      <c r="C5" s="451" t="s">
        <v>800</v>
      </c>
      <c r="D5" s="452"/>
      <c r="E5" s="450" t="s">
        <v>799</v>
      </c>
      <c r="F5" s="450" t="s">
        <v>801</v>
      </c>
      <c r="G5" s="453" t="s">
        <v>802</v>
      </c>
      <c r="H5" s="454"/>
      <c r="I5" s="454"/>
      <c r="J5" s="454"/>
      <c r="K5" s="454"/>
      <c r="L5" s="454"/>
      <c r="M5" s="450" t="s">
        <v>803</v>
      </c>
      <c r="N5" s="455" t="s">
        <v>804</v>
      </c>
      <c r="O5" s="456" t="s">
        <v>805</v>
      </c>
    </row>
    <row r="6" spans="1:15">
      <c r="A6" s="457"/>
      <c r="B6" s="450" t="s">
        <v>251</v>
      </c>
      <c r="C6" s="443"/>
      <c r="D6" s="458"/>
      <c r="E6" s="450" t="s">
        <v>251</v>
      </c>
      <c r="F6" s="447" t="s">
        <v>806</v>
      </c>
      <c r="G6" s="459" t="s">
        <v>807</v>
      </c>
      <c r="H6" s="447" t="s">
        <v>808</v>
      </c>
      <c r="I6" s="460" t="s">
        <v>809</v>
      </c>
      <c r="J6" s="460" t="s">
        <v>810</v>
      </c>
      <c r="K6" s="461" t="s">
        <v>811</v>
      </c>
      <c r="L6" s="462" t="s">
        <v>812</v>
      </c>
      <c r="M6" s="460" t="s">
        <v>813</v>
      </c>
      <c r="N6" s="460" t="s">
        <v>813</v>
      </c>
      <c r="O6" s="456"/>
    </row>
    <row r="7" spans="1:15" ht="14.4" thickBot="1">
      <c r="A7" s="463"/>
      <c r="B7" s="656">
        <f>+Indice!G5</f>
        <v>44834</v>
      </c>
      <c r="C7" s="465" t="s">
        <v>806</v>
      </c>
      <c r="D7" s="466" t="s">
        <v>98</v>
      </c>
      <c r="E7" s="464" t="s">
        <v>814</v>
      </c>
      <c r="F7" s="465" t="s">
        <v>815</v>
      </c>
      <c r="G7" s="467" t="s">
        <v>816</v>
      </c>
      <c r="H7" s="465" t="s">
        <v>817</v>
      </c>
      <c r="I7" s="468" t="s">
        <v>818</v>
      </c>
      <c r="J7" s="469" t="s">
        <v>819</v>
      </c>
      <c r="K7" s="469" t="s">
        <v>820</v>
      </c>
      <c r="L7" s="470" t="s">
        <v>821</v>
      </c>
      <c r="M7" s="468" t="s">
        <v>822</v>
      </c>
      <c r="N7" s="468" t="s">
        <v>822</v>
      </c>
      <c r="O7" s="471"/>
    </row>
    <row r="8" spans="1:15">
      <c r="A8" s="472" t="s">
        <v>823</v>
      </c>
      <c r="B8" s="473"/>
      <c r="C8" s="473"/>
      <c r="D8" s="474"/>
      <c r="E8" s="473"/>
      <c r="F8" s="473"/>
      <c r="G8" s="473"/>
      <c r="H8" s="473"/>
      <c r="I8" s="473"/>
      <c r="J8" s="473"/>
      <c r="K8" s="473"/>
      <c r="L8" s="473"/>
      <c r="M8" s="639"/>
      <c r="N8" s="473"/>
      <c r="O8" s="475"/>
    </row>
    <row r="9" spans="1:15">
      <c r="A9" s="476" t="s">
        <v>303</v>
      </c>
      <c r="B9" s="477">
        <f>+'Balance Gral. Resol. 30'!D14</f>
        <v>-20940034928</v>
      </c>
      <c r="C9" s="477"/>
      <c r="D9" s="478"/>
      <c r="E9" s="477">
        <f>+'Balance Gral. Resol. 30'!E14</f>
        <v>6045862180</v>
      </c>
      <c r="F9" s="477">
        <f t="shared" ref="F9:F21" si="0">B9-E9+C9-D9</f>
        <v>-26985897108</v>
      </c>
      <c r="G9" s="477"/>
      <c r="H9" s="477"/>
      <c r="I9" s="477"/>
      <c r="J9" s="477"/>
      <c r="K9" s="477"/>
      <c r="L9" s="477"/>
      <c r="M9" s="640"/>
      <c r="N9" s="477"/>
      <c r="O9" s="479">
        <f>F9</f>
        <v>-26985897108</v>
      </c>
    </row>
    <row r="10" spans="1:15" ht="13.8">
      <c r="A10" s="476" t="s">
        <v>824</v>
      </c>
      <c r="B10" s="480">
        <v>517257872</v>
      </c>
      <c r="C10" s="477"/>
      <c r="D10" s="478"/>
      <c r="E10" s="477">
        <v>517257872</v>
      </c>
      <c r="F10" s="477">
        <f t="shared" si="0"/>
        <v>0</v>
      </c>
      <c r="G10" s="477"/>
      <c r="H10" s="477"/>
      <c r="I10" s="477"/>
      <c r="J10" s="477"/>
      <c r="K10" s="477"/>
      <c r="L10" s="477">
        <f>-F10</f>
        <v>0</v>
      </c>
      <c r="M10" s="640"/>
      <c r="N10" s="477"/>
      <c r="O10" s="479"/>
    </row>
    <row r="11" spans="1:15">
      <c r="A11" s="481" t="s">
        <v>825</v>
      </c>
      <c r="B11" s="482">
        <v>0</v>
      </c>
      <c r="C11" s="482">
        <v>0</v>
      </c>
      <c r="D11" s="483"/>
      <c r="E11" s="482">
        <v>0</v>
      </c>
      <c r="F11" s="482">
        <f t="shared" si="0"/>
        <v>0</v>
      </c>
      <c r="G11" s="477"/>
      <c r="H11" s="477"/>
      <c r="I11" s="477"/>
      <c r="J11" s="477">
        <f>-F11</f>
        <v>0</v>
      </c>
      <c r="K11" s="477"/>
      <c r="L11" s="477"/>
      <c r="M11" s="640"/>
      <c r="N11" s="477"/>
      <c r="O11" s="479"/>
    </row>
    <row r="12" spans="1:15">
      <c r="A12" s="484" t="s">
        <v>391</v>
      </c>
      <c r="B12" s="485">
        <f>+'Balance Gral. Resol. 30'!D24</f>
        <v>17570920280</v>
      </c>
      <c r="C12" s="485"/>
      <c r="D12" s="486"/>
      <c r="E12" s="485">
        <f>+'Balance Gral. Resol. 30'!E24</f>
        <v>11358134441</v>
      </c>
      <c r="F12" s="477">
        <f t="shared" si="0"/>
        <v>6212785839</v>
      </c>
      <c r="G12" s="485">
        <f>-F12</f>
        <v>-6212785839</v>
      </c>
      <c r="H12" s="485"/>
      <c r="I12" s="485"/>
      <c r="J12" s="485"/>
      <c r="K12" s="485"/>
      <c r="L12" s="485"/>
      <c r="M12" s="641"/>
      <c r="N12" s="485"/>
      <c r="O12" s="487"/>
    </row>
    <row r="13" spans="1:15">
      <c r="A13" s="484" t="s">
        <v>826</v>
      </c>
      <c r="B13" s="485">
        <f>+'Balance Gral. Resol. 30'!D31-B12-B11-B10</f>
        <v>4712547356</v>
      </c>
      <c r="C13" s="485"/>
      <c r="D13" s="485"/>
      <c r="E13" s="485">
        <f>+'Balance Gral. Resol. 30'!E31-E12-E11-E10</f>
        <v>1717329918</v>
      </c>
      <c r="F13" s="477">
        <f t="shared" si="0"/>
        <v>2995217438</v>
      </c>
      <c r="H13" s="485"/>
      <c r="I13" s="485"/>
      <c r="J13" s="485"/>
      <c r="K13" s="485"/>
      <c r="L13" s="485">
        <f>-F13</f>
        <v>-2995217438</v>
      </c>
      <c r="M13" s="641"/>
      <c r="N13" s="485"/>
      <c r="O13" s="487"/>
    </row>
    <row r="14" spans="1:15">
      <c r="A14" s="488" t="s">
        <v>827</v>
      </c>
      <c r="B14" s="489">
        <v>0</v>
      </c>
      <c r="C14" s="489"/>
      <c r="D14" s="489"/>
      <c r="E14" s="489">
        <v>0</v>
      </c>
      <c r="F14" s="477">
        <f t="shared" si="0"/>
        <v>0</v>
      </c>
      <c r="G14" s="490"/>
      <c r="H14" s="490"/>
      <c r="I14" s="490"/>
      <c r="J14" s="490"/>
      <c r="K14" s="490"/>
      <c r="L14" s="490"/>
      <c r="M14" s="642"/>
      <c r="N14" s="490"/>
      <c r="O14" s="491"/>
    </row>
    <row r="15" spans="1:15">
      <c r="A15" s="484" t="s">
        <v>828</v>
      </c>
      <c r="B15" s="485">
        <f>+'Balance Gral. Resol. 30'!D22</f>
        <v>80303071011</v>
      </c>
      <c r="C15" s="485"/>
      <c r="D15" s="485">
        <f>+C40</f>
        <v>2541190411</v>
      </c>
      <c r="E15" s="485">
        <f>+'Balance Gral. Resol. 30'!E22</f>
        <v>126959384785</v>
      </c>
      <c r="F15" s="477">
        <f t="shared" si="0"/>
        <v>-49197504185</v>
      </c>
      <c r="G15" s="485"/>
      <c r="H15" s="485"/>
      <c r="I15" s="485"/>
      <c r="J15" s="485"/>
      <c r="K15" s="485"/>
      <c r="L15" s="485"/>
      <c r="M15" s="641">
        <f>-F15</f>
        <v>49197504185</v>
      </c>
      <c r="N15" s="485"/>
      <c r="O15" s="487"/>
    </row>
    <row r="16" spans="1:15">
      <c r="A16" s="484" t="s">
        <v>829</v>
      </c>
      <c r="B16" s="485">
        <f>+'Balance Gral. Resol. 30'!D50</f>
        <v>46279951703</v>
      </c>
      <c r="C16" s="485"/>
      <c r="D16" s="485">
        <f>+C34</f>
        <v>0</v>
      </c>
      <c r="E16" s="485">
        <f>+'Balance Gral. Resol. 30'!E50</f>
        <v>27055951703</v>
      </c>
      <c r="F16" s="477">
        <f t="shared" si="0"/>
        <v>19224000000</v>
      </c>
      <c r="G16" s="485"/>
      <c r="H16" s="485"/>
      <c r="I16" s="485"/>
      <c r="J16" s="485"/>
      <c r="K16" s="485"/>
      <c r="L16" s="485"/>
      <c r="M16" s="641">
        <f>-F16</f>
        <v>-19224000000</v>
      </c>
      <c r="N16" s="485"/>
      <c r="O16" s="487"/>
    </row>
    <row r="17" spans="1:18">
      <c r="A17" s="488" t="s">
        <v>830</v>
      </c>
      <c r="B17" s="489">
        <f>+'Balance Gral. Resol. 30'!D62</f>
        <v>13440901345</v>
      </c>
      <c r="C17" s="492"/>
      <c r="D17" s="489"/>
      <c r="E17" s="489">
        <f>+'Balance Gral. Resol. 30'!E62</f>
        <v>13290773438</v>
      </c>
      <c r="F17" s="477">
        <f t="shared" si="0"/>
        <v>150127907</v>
      </c>
      <c r="G17" s="485"/>
      <c r="H17" s="485"/>
      <c r="I17" s="485"/>
      <c r="J17" s="485"/>
      <c r="K17" s="485"/>
      <c r="L17" s="485"/>
      <c r="M17" s="641">
        <f>-F17</f>
        <v>-150127907</v>
      </c>
      <c r="N17" s="485"/>
      <c r="O17" s="487"/>
    </row>
    <row r="18" spans="1:18">
      <c r="A18" s="493" t="s">
        <v>831</v>
      </c>
      <c r="B18" s="494">
        <f>+'Balance Gral. Resol. 30'!D63</f>
        <v>-957359047</v>
      </c>
      <c r="C18" s="494">
        <v>0</v>
      </c>
      <c r="D18" s="495"/>
      <c r="E18" s="494">
        <f>+'Balance Gral. Resol. 30'!E63</f>
        <v>-957359047</v>
      </c>
      <c r="F18" s="496">
        <f t="shared" si="0"/>
        <v>0</v>
      </c>
      <c r="G18" s="490"/>
      <c r="H18" s="490"/>
      <c r="I18" s="490"/>
      <c r="J18" s="490"/>
      <c r="K18" s="490"/>
      <c r="L18" s="490"/>
      <c r="M18" s="642"/>
      <c r="N18" s="490"/>
      <c r="O18" s="491"/>
    </row>
    <row r="19" spans="1:18">
      <c r="A19" s="488" t="s">
        <v>832</v>
      </c>
      <c r="B19" s="489">
        <f>+'Balance Gral. Resol. 30'!D72-B20</f>
        <v>7471781474</v>
      </c>
      <c r="C19" s="492"/>
      <c r="D19" s="489"/>
      <c r="E19" s="489">
        <f>+'Balance Gral. Resol. 30'!E72-E20</f>
        <v>7432325857</v>
      </c>
      <c r="F19" s="477">
        <f t="shared" si="0"/>
        <v>39455617</v>
      </c>
      <c r="G19" s="485"/>
      <c r="H19" s="485"/>
      <c r="I19" s="485"/>
      <c r="J19" s="485"/>
      <c r="K19" s="485"/>
      <c r="L19" s="485"/>
      <c r="M19" s="641">
        <f>-F19</f>
        <v>-39455617</v>
      </c>
      <c r="N19" s="485"/>
      <c r="O19" s="487"/>
    </row>
    <row r="20" spans="1:18">
      <c r="A20" s="493" t="s">
        <v>833</v>
      </c>
      <c r="B20" s="494">
        <f>+'Balance Gral. Resol. 30'!D71</f>
        <v>-2634196428</v>
      </c>
      <c r="C20" s="494">
        <v>0</v>
      </c>
      <c r="D20" s="495"/>
      <c r="E20" s="494">
        <f>+'Balance Gral. Resol. 30'!E71</f>
        <v>-2634196428</v>
      </c>
      <c r="F20" s="496">
        <f t="shared" si="0"/>
        <v>0</v>
      </c>
      <c r="G20" s="490"/>
      <c r="H20" s="490"/>
      <c r="I20" s="490"/>
      <c r="J20" s="490"/>
      <c r="K20" s="490"/>
      <c r="L20" s="490"/>
      <c r="M20" s="642"/>
      <c r="N20" s="490"/>
      <c r="O20" s="491"/>
    </row>
    <row r="21" spans="1:18">
      <c r="A21" s="493" t="s">
        <v>834</v>
      </c>
      <c r="B21" s="494">
        <f>+'Balance Gral. Resol. 30'!D38</f>
        <v>346780922</v>
      </c>
      <c r="C21" s="494">
        <f>+D50</f>
        <v>18375285</v>
      </c>
      <c r="D21" s="495">
        <v>-93441852</v>
      </c>
      <c r="E21" s="494">
        <f>+'Balance Gral. Resol. 30'!E38</f>
        <v>458598059</v>
      </c>
      <c r="F21" s="496">
        <f t="shared" si="0"/>
        <v>0</v>
      </c>
      <c r="G21" s="490"/>
      <c r="H21" s="490"/>
      <c r="I21" s="490"/>
      <c r="J21" s="490"/>
      <c r="K21" s="490"/>
      <c r="L21" s="490"/>
      <c r="M21" s="642">
        <f>-F21</f>
        <v>0</v>
      </c>
      <c r="N21" s="490"/>
      <c r="O21" s="491"/>
      <c r="P21" s="441">
        <v>8975342</v>
      </c>
      <c r="Q21" s="441">
        <v>105780824</v>
      </c>
      <c r="R21" s="441">
        <f>+Q21+P21</f>
        <v>114756166</v>
      </c>
    </row>
    <row r="22" spans="1:18" ht="13.8" thickBot="1">
      <c r="A22" s="500" t="s">
        <v>835</v>
      </c>
      <c r="B22" s="501">
        <f>SUM(B9:B21)</f>
        <v>146111621560</v>
      </c>
      <c r="C22" s="485"/>
      <c r="D22" s="485"/>
      <c r="E22" s="501">
        <f>SUM(E9:E21)</f>
        <v>191244062778</v>
      </c>
      <c r="F22" s="477">
        <v>0</v>
      </c>
      <c r="G22" s="485"/>
      <c r="H22" s="485"/>
      <c r="I22" s="485"/>
      <c r="J22" s="485"/>
      <c r="K22" s="485"/>
      <c r="L22" s="485"/>
      <c r="M22" s="641"/>
      <c r="N22" s="485"/>
      <c r="O22" s="487"/>
      <c r="P22" s="498">
        <v>1599667</v>
      </c>
      <c r="Q22" s="498">
        <v>9474951</v>
      </c>
      <c r="R22" s="498">
        <f>+Q22+P22</f>
        <v>11074618</v>
      </c>
    </row>
    <row r="23" spans="1:18" ht="13.8" thickTop="1">
      <c r="A23" s="502" t="s">
        <v>836</v>
      </c>
      <c r="B23" s="503">
        <f>+B22-'Balance Gral. Resol. 30'!D80</f>
        <v>0</v>
      </c>
      <c r="C23" s="504"/>
      <c r="D23" s="504"/>
      <c r="E23" s="503">
        <f>+E22-'Balance Gral. Resol. 30'!E80</f>
        <v>0</v>
      </c>
      <c r="F23" s="505">
        <f t="shared" ref="F23:F38" si="1">B23-E23+C23-D23</f>
        <v>0</v>
      </c>
      <c r="G23" s="485"/>
      <c r="H23" s="485"/>
      <c r="I23" s="485"/>
      <c r="J23" s="485"/>
      <c r="K23" s="485"/>
      <c r="L23" s="485"/>
      <c r="M23" s="641"/>
      <c r="N23" s="485"/>
      <c r="O23" s="487"/>
      <c r="P23" s="498">
        <v>4727013</v>
      </c>
      <c r="Q23" s="498">
        <v>30725588</v>
      </c>
      <c r="R23" s="498">
        <f>+Q23+P23</f>
        <v>35452601</v>
      </c>
    </row>
    <row r="24" spans="1:18">
      <c r="A24" s="484" t="s">
        <v>837</v>
      </c>
      <c r="B24" s="506">
        <f>-'Balance Gral. Resol. 30'!G22</f>
        <v>-81128785579</v>
      </c>
      <c r="C24" s="485">
        <f>+D51</f>
        <v>1084100609</v>
      </c>
      <c r="D24" s="485">
        <f>-D21</f>
        <v>93441852</v>
      </c>
      <c r="E24" s="506">
        <f>-'Balance Gral. Resol. 30'!H22</f>
        <v>-131066703957</v>
      </c>
      <c r="F24" s="477">
        <f t="shared" si="1"/>
        <v>50928577135</v>
      </c>
      <c r="G24" s="485"/>
      <c r="H24" s="485"/>
      <c r="I24" s="485"/>
      <c r="J24" s="485"/>
      <c r="K24" s="485"/>
      <c r="L24" s="485"/>
      <c r="M24" s="641"/>
      <c r="N24" s="485">
        <f>-F24</f>
        <v>-50928577135</v>
      </c>
      <c r="O24" s="487"/>
      <c r="P24" s="498">
        <v>5522903</v>
      </c>
      <c r="Q24" s="498">
        <v>52954902</v>
      </c>
      <c r="R24" s="498">
        <f>+Q24+P24</f>
        <v>58477805</v>
      </c>
    </row>
    <row r="25" spans="1:18">
      <c r="A25" s="484" t="s">
        <v>838</v>
      </c>
      <c r="B25" s="485">
        <f>-'Balance Gral. Resol. 30'!G11</f>
        <v>0</v>
      </c>
      <c r="C25" s="485">
        <f>+D31</f>
        <v>0</v>
      </c>
      <c r="D25" s="485"/>
      <c r="E25" s="485">
        <f>-'Balance Gral. Resol. 30'!H11</f>
        <v>-5726846168</v>
      </c>
      <c r="F25" s="477">
        <f t="shared" si="1"/>
        <v>5726846168</v>
      </c>
      <c r="G25" s="485">
        <f>-F25</f>
        <v>-5726846168</v>
      </c>
      <c r="H25" s="485"/>
      <c r="J25" s="485"/>
      <c r="K25" s="485"/>
      <c r="L25" s="485"/>
      <c r="M25" s="641"/>
      <c r="N25" s="485"/>
      <c r="O25" s="487"/>
      <c r="P25" s="498">
        <v>1172931</v>
      </c>
      <c r="Q25" s="498">
        <v>51608984</v>
      </c>
      <c r="R25" s="498">
        <f>+Q25+P25</f>
        <v>52781915</v>
      </c>
    </row>
    <row r="26" spans="1:18">
      <c r="A26" s="484" t="s">
        <v>839</v>
      </c>
      <c r="B26" s="485">
        <f>(+'Balance Gral. Resol. 30'!G12+'Balance Gral. Resol. 30'!G13+'Balance Gral. Resol. 30'!G31+'Balance Gral. Resol. 30'!G34+B28+'Balance Gral. Resol. 30'!G36)*-1</f>
        <v>-11613399828</v>
      </c>
      <c r="C26" s="485">
        <v>0</v>
      </c>
      <c r="D26" s="485"/>
      <c r="E26" s="485">
        <f>(+'Balance Gral. Resol. 30'!H12+'Balance Gral. Resol. 30'!H13+'Balance Gral. Resol. 30'!J31+'Balance Gral. Resol. 30'!H34+E28+'Balance Gral. Resol. 30'!H31)*-1</f>
        <v>-599590310</v>
      </c>
      <c r="F26" s="477">
        <f t="shared" si="1"/>
        <v>-11013809518</v>
      </c>
      <c r="G26" s="485"/>
      <c r="H26" s="485"/>
      <c r="I26" s="485"/>
      <c r="J26" s="485"/>
      <c r="K26" s="485"/>
      <c r="L26" s="485">
        <f>-F26</f>
        <v>11013809518</v>
      </c>
      <c r="M26" s="641"/>
      <c r="N26" s="485"/>
      <c r="O26" s="487"/>
      <c r="P26" s="503">
        <f>SUM(P21:P25)</f>
        <v>21997856</v>
      </c>
      <c r="Q26" s="503">
        <f>SUM(Q21:Q25)</f>
        <v>250545249</v>
      </c>
      <c r="R26" s="503">
        <f>SUM(R21:R25)</f>
        <v>272543105</v>
      </c>
    </row>
    <row r="27" spans="1:18">
      <c r="A27" s="484" t="s">
        <v>840</v>
      </c>
      <c r="B27" s="485">
        <v>0</v>
      </c>
      <c r="C27" s="485">
        <v>7500000000</v>
      </c>
      <c r="D27" s="485"/>
      <c r="E27" s="485">
        <v>0</v>
      </c>
      <c r="F27" s="477">
        <f t="shared" si="1"/>
        <v>7500000000</v>
      </c>
      <c r="G27" s="485"/>
      <c r="H27" s="485"/>
      <c r="I27" s="485"/>
      <c r="J27" s="485"/>
      <c r="K27" s="485"/>
      <c r="L27" s="485">
        <v>0</v>
      </c>
      <c r="M27" s="641"/>
      <c r="N27" s="485">
        <f>-F27</f>
        <v>-7500000000</v>
      </c>
      <c r="O27" s="487"/>
      <c r="P27" s="498"/>
      <c r="Q27" s="498"/>
      <c r="R27" s="498"/>
    </row>
    <row r="28" spans="1:18">
      <c r="A28" s="484" t="s">
        <v>841</v>
      </c>
      <c r="B28" s="485">
        <v>-1740657838</v>
      </c>
      <c r="C28" s="485"/>
      <c r="D28" s="485"/>
      <c r="E28" s="485">
        <v>-1740657838</v>
      </c>
      <c r="F28" s="477">
        <f t="shared" si="1"/>
        <v>0</v>
      </c>
      <c r="G28" s="485"/>
      <c r="H28" s="485"/>
      <c r="I28" s="485"/>
      <c r="J28" s="485">
        <f>-F28</f>
        <v>0</v>
      </c>
      <c r="K28" s="440"/>
      <c r="M28" s="641"/>
      <c r="N28" s="485"/>
      <c r="O28" s="487"/>
      <c r="P28" s="498"/>
      <c r="Q28" s="498"/>
      <c r="R28" s="498"/>
    </row>
    <row r="29" spans="1:18">
      <c r="A29" s="484" t="s">
        <v>842</v>
      </c>
      <c r="B29" s="485">
        <v>0</v>
      </c>
      <c r="C29" s="507"/>
      <c r="D29" s="485"/>
      <c r="E29" s="485">
        <v>0</v>
      </c>
      <c r="F29" s="477">
        <f t="shared" si="1"/>
        <v>0</v>
      </c>
      <c r="G29" s="485"/>
      <c r="H29" s="485"/>
      <c r="I29" s="485"/>
      <c r="J29" s="485"/>
      <c r="K29" s="485"/>
      <c r="L29" s="485">
        <f>-F29</f>
        <v>0</v>
      </c>
      <c r="M29" s="641"/>
      <c r="N29" s="485"/>
      <c r="O29" s="487"/>
      <c r="P29" s="498"/>
      <c r="Q29" s="498"/>
      <c r="R29" s="498"/>
    </row>
    <row r="30" spans="1:18">
      <c r="A30" s="508" t="s">
        <v>843</v>
      </c>
      <c r="B30" s="509">
        <f>-'Balance Gral. Resol. 30'!G65</f>
        <v>-42764000001</v>
      </c>
      <c r="C30" s="510">
        <v>15600000000</v>
      </c>
      <c r="D30" s="509"/>
      <c r="E30" s="509">
        <f>-'Balance Gral. Resol. 30'!H65</f>
        <v>-27164000001</v>
      </c>
      <c r="F30" s="496">
        <f t="shared" si="1"/>
        <v>0</v>
      </c>
      <c r="G30" s="485"/>
      <c r="H30" s="485"/>
      <c r="I30" s="485"/>
      <c r="J30" s="485"/>
      <c r="K30" s="485"/>
      <c r="L30" s="485"/>
      <c r="M30" s="641"/>
      <c r="N30" s="485">
        <f>-F30</f>
        <v>0</v>
      </c>
      <c r="O30" s="487"/>
      <c r="P30" s="498"/>
      <c r="Q30" s="498"/>
      <c r="R30" s="498"/>
    </row>
    <row r="31" spans="1:18">
      <c r="A31" s="484" t="s">
        <v>882</v>
      </c>
      <c r="B31" s="485">
        <f>-'Balance Gral. Resol. 30'!G73</f>
        <v>-8933184</v>
      </c>
      <c r="C31" s="440"/>
      <c r="D31" s="485">
        <v>0</v>
      </c>
      <c r="E31" s="485">
        <f>-'Balance Gral. Resol. 30'!H73</f>
        <v>-8933184</v>
      </c>
      <c r="F31" s="477">
        <f t="shared" si="1"/>
        <v>0</v>
      </c>
      <c r="G31" s="485"/>
      <c r="H31" s="485"/>
      <c r="I31" s="485"/>
      <c r="J31" s="485"/>
      <c r="K31" s="485"/>
      <c r="L31" s="485"/>
      <c r="M31" s="641"/>
      <c r="N31" s="485">
        <f>-F31</f>
        <v>0</v>
      </c>
      <c r="O31" s="487"/>
      <c r="P31" s="498"/>
      <c r="Q31" s="498"/>
      <c r="R31" s="498"/>
    </row>
    <row r="32" spans="1:18">
      <c r="A32" s="493" t="s">
        <v>844</v>
      </c>
      <c r="B32" s="494">
        <v>0</v>
      </c>
      <c r="C32" s="494">
        <v>0</v>
      </c>
      <c r="D32" s="494">
        <v>0</v>
      </c>
      <c r="E32" s="494">
        <v>0</v>
      </c>
      <c r="F32" s="496">
        <f t="shared" si="1"/>
        <v>0</v>
      </c>
      <c r="G32" s="490"/>
      <c r="H32" s="490"/>
      <c r="I32" s="490"/>
      <c r="J32" s="490"/>
      <c r="K32" s="490"/>
      <c r="L32" s="490"/>
      <c r="M32" s="642"/>
      <c r="N32" s="490"/>
      <c r="O32" s="491"/>
      <c r="P32" s="498"/>
      <c r="Q32" s="498"/>
      <c r="R32" s="498"/>
    </row>
    <row r="33" spans="1:111">
      <c r="A33" s="493" t="s">
        <v>845</v>
      </c>
      <c r="B33" s="494">
        <f>-'Balance Gral. Resol. 30'!G67</f>
        <v>-1546573343</v>
      </c>
      <c r="C33" s="494">
        <v>0</v>
      </c>
      <c r="D33" s="494"/>
      <c r="E33" s="494">
        <f>-'Balance Gral. Resol. 30'!H67</f>
        <v>-1546573343</v>
      </c>
      <c r="F33" s="496">
        <f t="shared" si="1"/>
        <v>0</v>
      </c>
      <c r="G33" s="490"/>
      <c r="H33" s="490"/>
      <c r="I33" s="490"/>
      <c r="J33" s="490"/>
      <c r="K33" s="490"/>
      <c r="L33" s="490"/>
      <c r="M33" s="642"/>
      <c r="N33" s="490"/>
      <c r="O33" s="491"/>
      <c r="P33" s="498"/>
      <c r="Q33" s="498"/>
      <c r="R33" s="498"/>
    </row>
    <row r="34" spans="1:111">
      <c r="A34" s="493" t="s">
        <v>846</v>
      </c>
      <c r="B34" s="494">
        <f>-'Balance Gral. Resol. 30'!G69</f>
        <v>-49000000</v>
      </c>
      <c r="C34" s="494">
        <v>0</v>
      </c>
      <c r="D34" s="494">
        <v>0</v>
      </c>
      <c r="E34" s="494">
        <f>-'Balance Gral. Resol. 30'!H69</f>
        <v>-49000000</v>
      </c>
      <c r="F34" s="496">
        <f t="shared" si="1"/>
        <v>0</v>
      </c>
      <c r="G34" s="490"/>
      <c r="H34" s="490"/>
      <c r="I34" s="490"/>
      <c r="J34" s="490"/>
      <c r="K34" s="490"/>
      <c r="L34" s="490"/>
      <c r="M34" s="642"/>
      <c r="N34" s="490"/>
      <c r="O34" s="491"/>
      <c r="P34" s="498"/>
      <c r="Q34" s="498"/>
      <c r="R34" s="498"/>
    </row>
    <row r="35" spans="1:111" s="499" customFormat="1">
      <c r="A35" s="493" t="s">
        <v>847</v>
      </c>
      <c r="B35" s="494">
        <f>-'Balance Gral. Resol. 30'!G76</f>
        <v>-241757977</v>
      </c>
      <c r="C35" s="494">
        <v>232346890</v>
      </c>
      <c r="D35" s="494">
        <v>0</v>
      </c>
      <c r="E35" s="494">
        <f>-'Balance Gral. Resol. 30'!H76</f>
        <v>-9411087</v>
      </c>
      <c r="F35" s="496">
        <f t="shared" si="1"/>
        <v>0</v>
      </c>
      <c r="G35" s="490"/>
      <c r="H35" s="490"/>
      <c r="I35" s="490"/>
      <c r="J35" s="490"/>
      <c r="K35" s="490"/>
      <c r="L35" s="490"/>
      <c r="M35" s="642"/>
      <c r="N35" s="490"/>
      <c r="O35" s="491"/>
      <c r="P35" s="498"/>
      <c r="Q35" s="498"/>
      <c r="R35" s="498"/>
      <c r="S35" s="441"/>
      <c r="T35" s="441"/>
      <c r="U35" s="441"/>
      <c r="V35" s="441"/>
      <c r="W35" s="441"/>
      <c r="X35" s="441"/>
      <c r="Y35" s="441"/>
      <c r="Z35" s="441"/>
      <c r="AA35" s="441"/>
      <c r="AB35" s="441"/>
      <c r="AC35" s="441"/>
      <c r="AD35" s="441"/>
      <c r="AE35" s="441"/>
      <c r="AF35" s="441"/>
      <c r="AG35" s="441"/>
      <c r="AH35" s="441"/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41"/>
      <c r="CN35" s="441"/>
      <c r="CO35" s="441"/>
      <c r="CP35" s="441"/>
      <c r="CQ35" s="441"/>
      <c r="CR35" s="441"/>
      <c r="CS35" s="441"/>
      <c r="CT35" s="441"/>
      <c r="CU35" s="441"/>
      <c r="CV35" s="441"/>
      <c r="CW35" s="441"/>
      <c r="CX35" s="441"/>
      <c r="CY35" s="441"/>
      <c r="CZ35" s="441"/>
      <c r="DA35" s="441"/>
      <c r="DB35" s="441"/>
      <c r="DC35" s="441"/>
      <c r="DD35" s="441"/>
      <c r="DE35" s="441"/>
      <c r="DF35" s="441"/>
      <c r="DG35" s="441"/>
    </row>
    <row r="36" spans="1:111" s="499" customFormat="1">
      <c r="A36" s="493" t="s">
        <v>848</v>
      </c>
      <c r="B36" s="511">
        <v>0</v>
      </c>
      <c r="C36" s="494"/>
      <c r="D36" s="494"/>
      <c r="E36" s="511">
        <v>0</v>
      </c>
      <c r="F36" s="496">
        <f t="shared" si="1"/>
        <v>0</v>
      </c>
      <c r="G36" s="490"/>
      <c r="H36" s="490"/>
      <c r="I36" s="490"/>
      <c r="J36" s="490"/>
      <c r="K36" s="490"/>
      <c r="L36" s="512"/>
      <c r="M36" s="642"/>
      <c r="N36" s="490"/>
      <c r="O36" s="491"/>
      <c r="P36" s="498"/>
      <c r="Q36" s="498"/>
      <c r="R36" s="498"/>
      <c r="S36" s="441"/>
      <c r="T36" s="441"/>
      <c r="U36" s="441"/>
      <c r="V36" s="441"/>
      <c r="W36" s="441"/>
      <c r="X36" s="441"/>
      <c r="Y36" s="441"/>
      <c r="Z36" s="441"/>
      <c r="AA36" s="441"/>
      <c r="AB36" s="441"/>
      <c r="AC36" s="441"/>
      <c r="AD36" s="441"/>
      <c r="AE36" s="441"/>
      <c r="AF36" s="441"/>
      <c r="AG36" s="441"/>
      <c r="AH36" s="441"/>
      <c r="AI36" s="441"/>
      <c r="AJ36" s="441"/>
      <c r="AK36" s="441"/>
      <c r="AL36" s="441"/>
      <c r="AM36" s="441"/>
      <c r="AN36" s="441"/>
      <c r="AO36" s="441"/>
      <c r="AP36" s="441"/>
      <c r="AQ36" s="441"/>
      <c r="AR36" s="441"/>
      <c r="AS36" s="441"/>
      <c r="AT36" s="441"/>
      <c r="AU36" s="441"/>
      <c r="AV36" s="441"/>
      <c r="AW36" s="441"/>
      <c r="AX36" s="441"/>
      <c r="AY36" s="441"/>
      <c r="AZ36" s="441"/>
      <c r="BA36" s="441"/>
      <c r="BB36" s="441"/>
      <c r="BC36" s="441"/>
      <c r="BD36" s="441"/>
      <c r="BE36" s="441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1"/>
      <c r="BR36" s="441"/>
      <c r="BS36" s="441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1"/>
      <c r="CL36" s="441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1"/>
      <c r="DE36" s="441"/>
      <c r="DF36" s="441"/>
      <c r="DG36" s="441"/>
    </row>
    <row r="37" spans="1:111" s="499" customFormat="1" ht="13.8" thickBot="1">
      <c r="A37" s="493" t="s">
        <v>849</v>
      </c>
      <c r="B37" s="513">
        <f>-'Balance Gral. Resol. 30'!G77</f>
        <v>-7018513809.9700003</v>
      </c>
      <c r="C37" s="494">
        <f>+D54</f>
        <v>7018513810</v>
      </c>
      <c r="D37" s="514">
        <v>23332346890</v>
      </c>
      <c r="E37" s="513">
        <f>-'Balance Gral. Resol. 30'!H77</f>
        <v>-23332346890.369999</v>
      </c>
      <c r="F37" s="496">
        <f t="shared" si="1"/>
        <v>0.39999771118164063</v>
      </c>
      <c r="G37" s="490"/>
      <c r="H37" s="490"/>
      <c r="I37" s="490"/>
      <c r="J37" s="490"/>
      <c r="K37" s="490"/>
      <c r="L37" s="490"/>
      <c r="M37" s="642"/>
      <c r="N37" s="490"/>
      <c r="O37" s="491"/>
      <c r="P37" s="498"/>
      <c r="Q37" s="498"/>
      <c r="R37" s="498"/>
      <c r="S37" s="441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41"/>
      <c r="AE37" s="441"/>
      <c r="AF37" s="441"/>
      <c r="AG37" s="441"/>
      <c r="AH37" s="441"/>
      <c r="AI37" s="441"/>
      <c r="AJ37" s="441"/>
      <c r="AK37" s="441"/>
      <c r="AL37" s="441"/>
      <c r="AM37" s="441"/>
      <c r="AN37" s="441"/>
      <c r="AO37" s="441"/>
      <c r="AP37" s="441"/>
      <c r="AQ37" s="441"/>
      <c r="AR37" s="441"/>
      <c r="AS37" s="441"/>
      <c r="AT37" s="441"/>
      <c r="AU37" s="441"/>
      <c r="AV37" s="441"/>
      <c r="AW37" s="441"/>
      <c r="AX37" s="441"/>
      <c r="AY37" s="441"/>
      <c r="AZ37" s="441"/>
      <c r="BA37" s="441"/>
      <c r="BB37" s="441"/>
      <c r="BC37" s="441"/>
      <c r="BD37" s="441"/>
      <c r="BE37" s="441"/>
      <c r="BF37" s="441"/>
      <c r="BG37" s="441"/>
      <c r="BH37" s="441"/>
      <c r="BI37" s="441"/>
      <c r="BJ37" s="441"/>
      <c r="BK37" s="441"/>
      <c r="BL37" s="441"/>
      <c r="BM37" s="441"/>
      <c r="BN37" s="441"/>
      <c r="BO37" s="441"/>
      <c r="BP37" s="441"/>
      <c r="BQ37" s="441"/>
      <c r="BR37" s="441"/>
      <c r="BS37" s="441"/>
      <c r="BT37" s="441"/>
      <c r="BU37" s="441"/>
      <c r="BV37" s="441"/>
      <c r="BW37" s="441"/>
      <c r="BX37" s="441"/>
      <c r="BY37" s="441"/>
      <c r="BZ37" s="441"/>
      <c r="CA37" s="441"/>
      <c r="CB37" s="441"/>
      <c r="CC37" s="441"/>
      <c r="CD37" s="441"/>
      <c r="CE37" s="441"/>
      <c r="CF37" s="441"/>
      <c r="CG37" s="441"/>
      <c r="CH37" s="441"/>
      <c r="CI37" s="441"/>
      <c r="CJ37" s="441"/>
      <c r="CK37" s="441"/>
      <c r="CL37" s="441"/>
      <c r="CM37" s="441"/>
      <c r="CN37" s="441"/>
      <c r="CO37" s="441"/>
      <c r="CP37" s="441"/>
      <c r="CQ37" s="441"/>
      <c r="CR37" s="441"/>
      <c r="CS37" s="441"/>
      <c r="CT37" s="441"/>
      <c r="CU37" s="441"/>
      <c r="CV37" s="441"/>
      <c r="CW37" s="441"/>
      <c r="CX37" s="441"/>
      <c r="CY37" s="441"/>
      <c r="CZ37" s="441"/>
      <c r="DA37" s="441"/>
      <c r="DB37" s="441"/>
      <c r="DC37" s="441"/>
      <c r="DD37" s="441"/>
      <c r="DE37" s="441"/>
      <c r="DF37" s="441"/>
      <c r="DG37" s="441"/>
    </row>
    <row r="38" spans="1:111" ht="13.8" thickBot="1">
      <c r="A38" s="515" t="s">
        <v>850</v>
      </c>
      <c r="B38" s="501">
        <f>SUM(B24:B37)</f>
        <v>-146111621559.97</v>
      </c>
      <c r="C38" s="485"/>
      <c r="D38" s="485"/>
      <c r="E38" s="501">
        <f>SUM(E24:E37)</f>
        <v>-191244062778.37</v>
      </c>
      <c r="F38" s="477">
        <f t="shared" si="1"/>
        <v>45132441218.399994</v>
      </c>
      <c r="G38" s="485"/>
      <c r="H38" s="485"/>
      <c r="I38" s="485"/>
      <c r="J38" s="485"/>
      <c r="K38" s="485"/>
      <c r="L38" s="485"/>
      <c r="M38" s="641"/>
      <c r="N38" s="485"/>
      <c r="O38" s="487"/>
      <c r="P38" s="498"/>
      <c r="Q38" s="498"/>
      <c r="R38" s="498"/>
    </row>
    <row r="39" spans="1:111" ht="13.8" thickTop="1">
      <c r="A39" s="502" t="s">
        <v>851</v>
      </c>
      <c r="B39" s="516">
        <f>+B38+B22</f>
        <v>2.9998779296875E-2</v>
      </c>
      <c r="C39" s="485"/>
      <c r="D39" s="485"/>
      <c r="E39" s="516">
        <f>+E38+E22</f>
        <v>-0.3699951171875</v>
      </c>
      <c r="F39" s="477">
        <v>0</v>
      </c>
      <c r="G39" s="485"/>
      <c r="H39" s="485"/>
      <c r="I39" s="485"/>
      <c r="J39" s="485"/>
      <c r="K39" s="485"/>
      <c r="L39" s="485"/>
      <c r="M39" s="641"/>
      <c r="N39" s="485"/>
      <c r="O39" s="487"/>
      <c r="P39" s="498"/>
      <c r="Q39" s="498"/>
      <c r="R39" s="498"/>
    </row>
    <row r="40" spans="1:111">
      <c r="A40" s="484" t="s">
        <v>852</v>
      </c>
      <c r="B40" s="485">
        <f>-'[6]EERR '!$B$5</f>
        <v>-359336410372</v>
      </c>
      <c r="C40" s="485">
        <f>+'[4]EEFF '!$B$126</f>
        <v>2541190411</v>
      </c>
      <c r="D40" s="485"/>
      <c r="E40" s="485"/>
      <c r="F40" s="477">
        <f t="shared" ref="F40:F52" si="2">B40-E40+C40-D40</f>
        <v>-356795219961</v>
      </c>
      <c r="G40" s="485">
        <f>-F40</f>
        <v>356795219961</v>
      </c>
      <c r="H40" s="485"/>
      <c r="I40" s="485"/>
      <c r="J40" s="485"/>
      <c r="K40" s="485"/>
      <c r="L40" s="485"/>
      <c r="M40" s="641"/>
      <c r="N40" s="485"/>
      <c r="O40" s="487"/>
    </row>
    <row r="41" spans="1:111">
      <c r="A41" s="484" t="s">
        <v>853</v>
      </c>
      <c r="B41" s="485">
        <f>-'[6]EERR '!$B$34</f>
        <v>-546864563</v>
      </c>
      <c r="C41" s="485"/>
      <c r="D41" s="485"/>
      <c r="E41" s="485"/>
      <c r="F41" s="477">
        <f t="shared" si="2"/>
        <v>-546864563</v>
      </c>
      <c r="G41" s="485"/>
      <c r="H41" s="485">
        <f>-F41</f>
        <v>546864563</v>
      </c>
      <c r="I41" s="485"/>
      <c r="J41" s="485"/>
      <c r="K41" s="485"/>
      <c r="L41" s="485"/>
      <c r="M41" s="641"/>
      <c r="N41" s="485"/>
      <c r="O41" s="487"/>
    </row>
    <row r="42" spans="1:111">
      <c r="A42" s="484" t="s">
        <v>854</v>
      </c>
      <c r="B42" s="485">
        <v>0</v>
      </c>
      <c r="C42" s="485"/>
      <c r="D42" s="485"/>
      <c r="E42" s="485"/>
      <c r="F42" s="477">
        <f t="shared" si="2"/>
        <v>0</v>
      </c>
      <c r="G42" s="485"/>
      <c r="H42" s="485"/>
      <c r="I42" s="485"/>
      <c r="J42" s="485"/>
      <c r="K42" s="485"/>
      <c r="L42" s="485"/>
      <c r="M42" s="641">
        <f>-F42</f>
        <v>0</v>
      </c>
      <c r="N42" s="485"/>
      <c r="O42" s="487"/>
    </row>
    <row r="43" spans="1:111">
      <c r="A43" s="484" t="s">
        <v>855</v>
      </c>
      <c r="B43" s="485">
        <v>0</v>
      </c>
      <c r="C43" s="485"/>
      <c r="D43" s="485"/>
      <c r="E43" s="485"/>
      <c r="F43" s="477">
        <f t="shared" si="2"/>
        <v>0</v>
      </c>
      <c r="G43" s="485"/>
      <c r="H43" s="485"/>
      <c r="I43" s="485"/>
      <c r="J43" s="485"/>
      <c r="K43" s="485"/>
      <c r="L43" s="485"/>
      <c r="M43" s="641">
        <f>-B43</f>
        <v>0</v>
      </c>
      <c r="N43" s="485"/>
      <c r="O43" s="487"/>
    </row>
    <row r="44" spans="1:111">
      <c r="A44" s="484" t="s">
        <v>856</v>
      </c>
      <c r="B44" s="485">
        <f>+'[6]EERR '!$B$39</f>
        <v>345315022499</v>
      </c>
      <c r="C44" s="485"/>
      <c r="D44" s="485"/>
      <c r="E44" s="485"/>
      <c r="F44" s="477">
        <f t="shared" si="2"/>
        <v>345315022499</v>
      </c>
      <c r="G44" s="485">
        <f>-F44</f>
        <v>-345315022499</v>
      </c>
      <c r="H44" s="485"/>
      <c r="I44" s="485"/>
      <c r="J44" s="485"/>
      <c r="K44" s="485"/>
      <c r="L44" s="485"/>
      <c r="M44" s="641"/>
      <c r="N44" s="485"/>
      <c r="O44" s="487"/>
    </row>
    <row r="45" spans="1:111">
      <c r="A45" s="484" t="s">
        <v>857</v>
      </c>
      <c r="B45" s="485">
        <f>+'[6]EERR '!$B$59</f>
        <v>1986936746</v>
      </c>
      <c r="C45" s="485"/>
      <c r="D45" s="485">
        <v>0</v>
      </c>
      <c r="E45" s="485"/>
      <c r="F45" s="477">
        <f t="shared" si="2"/>
        <v>1986936746</v>
      </c>
      <c r="G45" s="485"/>
      <c r="H45" s="485"/>
      <c r="I45" s="485"/>
      <c r="J45" s="485"/>
      <c r="K45" s="485">
        <f>-F45</f>
        <v>-1986936746</v>
      </c>
      <c r="L45" s="485"/>
      <c r="M45" s="641"/>
      <c r="N45" s="485"/>
      <c r="O45" s="487"/>
    </row>
    <row r="46" spans="1:111">
      <c r="A46" s="484" t="s">
        <v>858</v>
      </c>
      <c r="B46" s="485">
        <f>+'Estado de Resultado Resol. 30'!D45</f>
        <v>220439299</v>
      </c>
      <c r="C46" s="485"/>
      <c r="D46" s="485"/>
      <c r="E46" s="485"/>
      <c r="F46" s="477">
        <f t="shared" si="2"/>
        <v>220439299</v>
      </c>
      <c r="G46" s="485"/>
      <c r="H46" s="485"/>
      <c r="I46" s="485"/>
      <c r="J46" s="485"/>
      <c r="K46" s="485"/>
      <c r="L46" s="485">
        <f>-F46</f>
        <v>-220439299</v>
      </c>
      <c r="M46" s="641"/>
      <c r="N46" s="485"/>
      <c r="O46" s="487"/>
    </row>
    <row r="47" spans="1:111">
      <c r="A47" s="484" t="s">
        <v>859</v>
      </c>
      <c r="B47" s="506">
        <f>+'Estado de Resultado Resol. 30'!D50+'[6]EERR '!$B$90+'[6]EERR '!$B$94+'[6]EERR '!$B$96+'[6]EERR '!$B$100-B45-B48-B49-B50-B51-'[6]EERR '!$B$94</f>
        <v>4239886687</v>
      </c>
      <c r="C47" s="485"/>
      <c r="D47" s="517">
        <v>0</v>
      </c>
      <c r="E47" s="506"/>
      <c r="F47" s="477">
        <f t="shared" si="2"/>
        <v>4239886687</v>
      </c>
      <c r="G47" s="485"/>
      <c r="H47" s="485"/>
      <c r="I47" s="485"/>
      <c r="J47" s="485"/>
      <c r="K47" s="485"/>
      <c r="L47" s="485">
        <f>-F47</f>
        <v>-4239886687</v>
      </c>
      <c r="M47" s="641"/>
      <c r="N47" s="485"/>
      <c r="O47" s="487"/>
    </row>
    <row r="48" spans="1:111">
      <c r="A48" s="518" t="s">
        <v>860</v>
      </c>
      <c r="B48" s="519">
        <v>0</v>
      </c>
      <c r="C48" s="497"/>
      <c r="D48" s="520">
        <f>+B48</f>
        <v>0</v>
      </c>
      <c r="E48" s="519"/>
      <c r="F48" s="482">
        <f t="shared" si="2"/>
        <v>0</v>
      </c>
      <c r="G48" s="490"/>
      <c r="H48" s="490"/>
      <c r="I48" s="490"/>
      <c r="J48" s="490"/>
      <c r="K48" s="490"/>
      <c r="L48" s="490">
        <f>F48</f>
        <v>0</v>
      </c>
      <c r="M48" s="642"/>
      <c r="N48" s="490"/>
      <c r="O48" s="491"/>
    </row>
    <row r="49" spans="1:15">
      <c r="A49" s="521" t="s">
        <v>845</v>
      </c>
      <c r="B49" s="522">
        <v>0</v>
      </c>
      <c r="C49" s="497"/>
      <c r="D49" s="520"/>
      <c r="E49" s="519"/>
      <c r="F49" s="482">
        <f t="shared" si="2"/>
        <v>0</v>
      </c>
      <c r="G49" s="490"/>
      <c r="H49" s="490"/>
      <c r="I49" s="490"/>
      <c r="J49" s="490"/>
      <c r="K49" s="490"/>
      <c r="L49" s="490">
        <f>-F49</f>
        <v>0</v>
      </c>
      <c r="M49" s="642"/>
      <c r="N49" s="490"/>
      <c r="O49" s="491"/>
    </row>
    <row r="50" spans="1:15">
      <c r="A50" s="523" t="s">
        <v>861</v>
      </c>
      <c r="B50" s="519">
        <f>+'[6]EERR '!$B$76</f>
        <v>18375285</v>
      </c>
      <c r="C50" s="497"/>
      <c r="D50" s="520">
        <f>+B50</f>
        <v>18375285</v>
      </c>
      <c r="E50" s="519"/>
      <c r="F50" s="482">
        <f t="shared" si="2"/>
        <v>0</v>
      </c>
      <c r="G50" s="490"/>
      <c r="H50" s="490"/>
      <c r="I50" s="490"/>
      <c r="J50" s="490"/>
      <c r="K50" s="490"/>
      <c r="L50" s="490">
        <f>-F50</f>
        <v>0</v>
      </c>
      <c r="M50" s="642"/>
      <c r="N50" s="490"/>
      <c r="O50" s="491"/>
    </row>
    <row r="51" spans="1:15">
      <c r="A51" s="518" t="s">
        <v>862</v>
      </c>
      <c r="B51" s="497">
        <f>+'[6]EERR '!$B$92</f>
        <v>1084100609</v>
      </c>
      <c r="C51" s="497"/>
      <c r="D51" s="520">
        <f>+B51</f>
        <v>1084100609</v>
      </c>
      <c r="E51" s="497"/>
      <c r="F51" s="482">
        <f t="shared" si="2"/>
        <v>0</v>
      </c>
      <c r="G51" s="485"/>
      <c r="H51" s="485"/>
      <c r="I51" s="485"/>
      <c r="J51" s="485"/>
      <c r="K51" s="485"/>
      <c r="L51" s="485"/>
      <c r="M51" s="641"/>
      <c r="N51" s="485">
        <f>+L5-F51</f>
        <v>0</v>
      </c>
      <c r="O51" s="487"/>
    </row>
    <row r="52" spans="1:15">
      <c r="A52" s="518"/>
      <c r="B52" s="497">
        <v>0</v>
      </c>
      <c r="C52" s="497"/>
      <c r="D52" s="520"/>
      <c r="E52" s="497"/>
      <c r="F52" s="482">
        <f t="shared" si="2"/>
        <v>0</v>
      </c>
      <c r="G52" s="485"/>
      <c r="H52" s="485"/>
      <c r="I52" s="485"/>
      <c r="J52" s="485"/>
      <c r="K52" s="485"/>
      <c r="L52" s="485"/>
      <c r="M52" s="641"/>
      <c r="N52" s="485"/>
      <c r="O52" s="487"/>
    </row>
    <row r="53" spans="1:15" ht="13.8" thickBot="1">
      <c r="A53" s="521" t="s">
        <v>863</v>
      </c>
      <c r="B53" s="525">
        <f>+'Estado de Resultado Resol. 30'!D109</f>
        <v>0</v>
      </c>
      <c r="C53" s="526"/>
      <c r="D53" s="527">
        <f>+B53</f>
        <v>0</v>
      </c>
      <c r="E53" s="520"/>
      <c r="F53" s="528">
        <f>B53-E53+C53-D53</f>
        <v>0</v>
      </c>
      <c r="G53" s="529"/>
      <c r="H53" s="490"/>
      <c r="I53" s="490"/>
      <c r="J53" s="490"/>
      <c r="K53" s="490"/>
      <c r="L53" s="490">
        <f>-F53</f>
        <v>0</v>
      </c>
      <c r="M53" s="642"/>
      <c r="N53" s="490"/>
      <c r="O53" s="491"/>
    </row>
    <row r="54" spans="1:15" ht="13.8" thickBot="1">
      <c r="A54" s="530" t="s">
        <v>864</v>
      </c>
      <c r="B54" s="531">
        <f>SUM(B40:B53)*-1</f>
        <v>7018513810</v>
      </c>
      <c r="C54" s="497"/>
      <c r="D54" s="520">
        <f>+B54</f>
        <v>7018513810</v>
      </c>
      <c r="E54" s="520"/>
      <c r="F54" s="528">
        <f>B54-E54+C54-D54</f>
        <v>0</v>
      </c>
      <c r="G54" s="490"/>
      <c r="H54" s="490"/>
      <c r="I54" s="490"/>
      <c r="J54" s="490"/>
      <c r="K54" s="490"/>
      <c r="L54" s="490">
        <f>-F54</f>
        <v>0</v>
      </c>
      <c r="M54" s="642"/>
      <c r="N54" s="490"/>
      <c r="O54" s="491"/>
    </row>
    <row r="55" spans="1:15" ht="13.8" thickBot="1">
      <c r="A55" s="532" t="s">
        <v>865</v>
      </c>
      <c r="B55" s="533">
        <v>0</v>
      </c>
      <c r="C55" s="533"/>
      <c r="D55" s="533"/>
      <c r="E55" s="534"/>
      <c r="F55" s="477"/>
      <c r="G55" s="524"/>
      <c r="H55" s="524"/>
      <c r="I55" s="524"/>
      <c r="J55" s="524"/>
      <c r="K55" s="524"/>
      <c r="L55" s="485"/>
      <c r="M55" s="641"/>
      <c r="N55" s="524"/>
      <c r="O55" s="487"/>
    </row>
    <row r="56" spans="1:15" ht="14.4" thickBot="1">
      <c r="A56" s="535" t="s">
        <v>805</v>
      </c>
      <c r="B56" s="534"/>
      <c r="C56" s="534">
        <f>SUM(C9:C54)</f>
        <v>33994527005</v>
      </c>
      <c r="D56" s="534">
        <f>SUM(D9:D55)</f>
        <v>33994527005</v>
      </c>
      <c r="E56" s="534"/>
      <c r="F56" s="477">
        <f>B56-E56+C56-D56</f>
        <v>0</v>
      </c>
      <c r="G56" s="536">
        <f t="shared" ref="G56:N56" si="3">SUM(G9:G54)</f>
        <v>-459434545</v>
      </c>
      <c r="H56" s="536">
        <f t="shared" si="3"/>
        <v>546864563</v>
      </c>
      <c r="I56" s="536">
        <f t="shared" si="3"/>
        <v>0</v>
      </c>
      <c r="J56" s="536">
        <f t="shared" si="3"/>
        <v>0</v>
      </c>
      <c r="K56" s="536">
        <f t="shared" si="3"/>
        <v>-1986936746</v>
      </c>
      <c r="L56" s="536">
        <f t="shared" si="3"/>
        <v>3558266094</v>
      </c>
      <c r="M56" s="536">
        <f>SUM(M9:M54)</f>
        <v>29783920661</v>
      </c>
      <c r="N56" s="536">
        <f t="shared" si="3"/>
        <v>-58428577135</v>
      </c>
      <c r="O56" s="537">
        <f>SUM(F56:N56)</f>
        <v>-26985897108</v>
      </c>
    </row>
    <row r="57" spans="1:15" ht="15.6">
      <c r="B57" s="538">
        <f>+B54-'Estado de Resultado Resol. 30'!D111</f>
        <v>0</v>
      </c>
      <c r="D57" s="539">
        <f>D56-C56</f>
        <v>0</v>
      </c>
      <c r="L57" s="440"/>
      <c r="O57" s="540">
        <f>O56-O9</f>
        <v>0</v>
      </c>
    </row>
    <row r="58" spans="1:15">
      <c r="A58" s="541"/>
      <c r="B58" s="541"/>
      <c r="C58" s="541"/>
    </row>
    <row r="59" spans="1:15" ht="21">
      <c r="A59" s="542" t="s">
        <v>866</v>
      </c>
      <c r="B59" s="543"/>
      <c r="C59" s="543"/>
      <c r="D59" s="544"/>
      <c r="E59" s="544"/>
    </row>
    <row r="60" spans="1:15" ht="15">
      <c r="A60" s="545"/>
      <c r="B60" s="545"/>
      <c r="C60" s="545"/>
      <c r="D60" s="546"/>
      <c r="E60" s="546">
        <v>0</v>
      </c>
    </row>
    <row r="61" spans="1:15" ht="15">
      <c r="A61" s="547" t="s">
        <v>867</v>
      </c>
      <c r="B61" s="548">
        <f>+G56</f>
        <v>-459434545</v>
      </c>
      <c r="C61" s="549"/>
      <c r="D61" s="548"/>
      <c r="E61" s="546"/>
    </row>
    <row r="62" spans="1:15" ht="15">
      <c r="A62" s="547" t="s">
        <v>868</v>
      </c>
      <c r="B62" s="548">
        <f>+H56</f>
        <v>546864563</v>
      </c>
      <c r="C62" s="549"/>
      <c r="D62" s="548"/>
      <c r="E62" s="546"/>
    </row>
    <row r="63" spans="1:15" ht="15">
      <c r="A63" s="547" t="s">
        <v>869</v>
      </c>
      <c r="B63" s="548">
        <f>+I56</f>
        <v>0</v>
      </c>
      <c r="C63" s="549"/>
      <c r="D63" s="548"/>
      <c r="E63" s="546"/>
    </row>
    <row r="64" spans="1:15" ht="15">
      <c r="A64" s="547" t="s">
        <v>870</v>
      </c>
      <c r="B64" s="548">
        <f>+K56</f>
        <v>-1986936746</v>
      </c>
      <c r="C64" s="549"/>
      <c r="D64" s="548"/>
      <c r="E64" s="546"/>
    </row>
    <row r="65" spans="1:5" ht="15">
      <c r="A65" s="547" t="s">
        <v>871</v>
      </c>
      <c r="B65" s="548">
        <f>+L56</f>
        <v>3558266094</v>
      </c>
      <c r="C65" s="549"/>
      <c r="D65" s="548"/>
      <c r="E65" s="546"/>
    </row>
    <row r="66" spans="1:5" ht="15">
      <c r="A66" s="547" t="s">
        <v>216</v>
      </c>
      <c r="B66" s="548">
        <f>+J56</f>
        <v>0</v>
      </c>
      <c r="C66" s="549"/>
      <c r="D66" s="548"/>
      <c r="E66" s="546"/>
    </row>
    <row r="67" spans="1:5" ht="15">
      <c r="A67" s="545"/>
      <c r="B67" s="548"/>
      <c r="C67" s="549"/>
      <c r="D67" s="548"/>
      <c r="E67" s="546"/>
    </row>
    <row r="68" spans="1:5" ht="15.6">
      <c r="A68" s="550" t="s">
        <v>866</v>
      </c>
      <c r="B68" s="548"/>
      <c r="C68" s="551">
        <f>SUM(B61:B66)</f>
        <v>1658759366</v>
      </c>
      <c r="D68" s="548"/>
      <c r="E68" s="546"/>
    </row>
    <row r="69" spans="1:5" ht="15">
      <c r="A69" s="545"/>
      <c r="B69" s="548"/>
      <c r="C69" s="549"/>
      <c r="D69" s="548"/>
      <c r="E69" s="546"/>
    </row>
    <row r="70" spans="1:5" ht="15">
      <c r="A70" s="547" t="s">
        <v>872</v>
      </c>
      <c r="B70" s="552">
        <f>+M16</f>
        <v>-19224000000</v>
      </c>
      <c r="C70" s="549"/>
      <c r="D70" s="548"/>
      <c r="E70" s="546"/>
    </row>
    <row r="71" spans="1:5" ht="15">
      <c r="A71" s="547" t="s">
        <v>873</v>
      </c>
      <c r="B71" s="552">
        <f>+M17+M19</f>
        <v>-189583524</v>
      </c>
      <c r="C71" s="549"/>
      <c r="D71" s="548"/>
      <c r="E71" s="546"/>
    </row>
    <row r="72" spans="1:5" ht="15">
      <c r="A72" s="547" t="s">
        <v>235</v>
      </c>
      <c r="B72" s="552">
        <f>+M15</f>
        <v>49197504185</v>
      </c>
      <c r="C72" s="549"/>
      <c r="D72" s="548"/>
      <c r="E72" s="546"/>
    </row>
    <row r="73" spans="1:5" ht="15">
      <c r="A73" s="547" t="s">
        <v>236</v>
      </c>
      <c r="B73" s="552">
        <v>0</v>
      </c>
      <c r="C73" s="549"/>
      <c r="D73" s="548"/>
      <c r="E73" s="546"/>
    </row>
    <row r="74" spans="1:5" ht="15">
      <c r="A74" s="547" t="s">
        <v>237</v>
      </c>
      <c r="B74" s="552">
        <v>0</v>
      </c>
      <c r="C74" s="549"/>
      <c r="D74" s="548"/>
      <c r="E74" s="546"/>
    </row>
    <row r="75" spans="1:5" ht="15">
      <c r="A75" s="547"/>
      <c r="B75" s="552"/>
      <c r="C75" s="549"/>
      <c r="D75" s="548"/>
      <c r="E75" s="546"/>
    </row>
    <row r="76" spans="1:5" ht="15">
      <c r="A76" s="547"/>
      <c r="B76" s="548">
        <v>0</v>
      </c>
      <c r="C76" s="549"/>
      <c r="D76" s="548"/>
      <c r="E76" s="546"/>
    </row>
    <row r="77" spans="1:5" ht="15">
      <c r="A77" s="545"/>
      <c r="B77" s="548"/>
      <c r="C77" s="549"/>
      <c r="D77" s="548"/>
      <c r="E77" s="546"/>
    </row>
    <row r="78" spans="1:5" ht="15.6">
      <c r="A78" s="550" t="s">
        <v>874</v>
      </c>
      <c r="B78" s="548"/>
      <c r="C78" s="551">
        <f>SUM(B70:B76)</f>
        <v>29783920661</v>
      </c>
      <c r="D78" s="548">
        <f>+C78-M56</f>
        <v>0</v>
      </c>
      <c r="E78" s="546"/>
    </row>
    <row r="79" spans="1:5" ht="15">
      <c r="A79" s="545"/>
      <c r="B79" s="548"/>
      <c r="C79" s="549"/>
      <c r="D79" s="548"/>
      <c r="E79" s="546"/>
    </row>
    <row r="80" spans="1:5" ht="15.6">
      <c r="A80" s="550" t="s">
        <v>875</v>
      </c>
      <c r="B80" s="548"/>
      <c r="C80" s="549"/>
      <c r="D80" s="548"/>
      <c r="E80" s="546"/>
    </row>
    <row r="81" spans="1:5" ht="15">
      <c r="A81" s="545"/>
      <c r="B81" s="548"/>
      <c r="C81" s="549"/>
      <c r="D81" s="548"/>
      <c r="E81" s="546"/>
    </row>
    <row r="82" spans="1:5" ht="15">
      <c r="A82" s="547" t="s">
        <v>876</v>
      </c>
      <c r="B82" s="548">
        <f>+N24</f>
        <v>-50928577135</v>
      </c>
      <c r="C82" s="549"/>
      <c r="D82" s="548"/>
      <c r="E82" s="546"/>
    </row>
    <row r="83" spans="1:5" ht="15">
      <c r="A83" s="547" t="s">
        <v>242</v>
      </c>
      <c r="B83" s="552">
        <f>+N27</f>
        <v>-7500000000</v>
      </c>
      <c r="C83" s="549"/>
      <c r="D83" s="548"/>
      <c r="E83" s="546"/>
    </row>
    <row r="84" spans="1:5" ht="15">
      <c r="A84" s="547" t="s">
        <v>877</v>
      </c>
      <c r="B84" s="548">
        <f>+N31+N30</f>
        <v>0</v>
      </c>
      <c r="C84" s="549"/>
      <c r="D84" s="548"/>
      <c r="E84" s="546"/>
    </row>
    <row r="85" spans="1:5" ht="15">
      <c r="A85" s="545"/>
      <c r="B85" s="548"/>
      <c r="C85" s="549"/>
      <c r="D85" s="548"/>
      <c r="E85" s="546"/>
    </row>
    <row r="86" spans="1:5" ht="15.6">
      <c r="A86" s="550" t="s">
        <v>878</v>
      </c>
      <c r="B86" s="548"/>
      <c r="C86" s="551">
        <f>SUM(B82:B84)</f>
        <v>-58428577135</v>
      </c>
      <c r="D86" s="548"/>
      <c r="E86" s="546"/>
    </row>
    <row r="87" spans="1:5" ht="15">
      <c r="A87" s="545"/>
      <c r="B87" s="548"/>
      <c r="C87" s="549"/>
      <c r="D87" s="548"/>
      <c r="E87" s="546"/>
    </row>
    <row r="88" spans="1:5" ht="15.6">
      <c r="A88" s="547" t="s">
        <v>879</v>
      </c>
      <c r="B88" s="548"/>
      <c r="C88" s="549">
        <f>C86+C78+C68</f>
        <v>-26985897108</v>
      </c>
      <c r="D88" s="548">
        <f>O56</f>
        <v>-26985897108</v>
      </c>
      <c r="E88" s="553">
        <f>D88-C88</f>
        <v>0</v>
      </c>
    </row>
    <row r="89" spans="1:5" ht="15.6">
      <c r="A89" s="547" t="s">
        <v>880</v>
      </c>
      <c r="B89" s="548"/>
      <c r="C89" s="549">
        <f>+E9</f>
        <v>6045862180</v>
      </c>
      <c r="D89" s="548"/>
      <c r="E89" s="553"/>
    </row>
    <row r="90" spans="1:5" ht="15.6">
      <c r="A90" s="550" t="s">
        <v>881</v>
      </c>
      <c r="B90" s="554"/>
      <c r="C90" s="554">
        <f>SUM(C88:C89)</f>
        <v>-20940034928</v>
      </c>
      <c r="D90" s="548">
        <f>B9</f>
        <v>-20940034928</v>
      </c>
      <c r="E90" s="553">
        <f>D90-C90</f>
        <v>0</v>
      </c>
    </row>
    <row r="91" spans="1:5" ht="15">
      <c r="A91" s="546"/>
      <c r="B91" s="546"/>
      <c r="C91" s="546"/>
      <c r="D91" s="546"/>
      <c r="E91" s="546"/>
    </row>
    <row r="92" spans="1:5" ht="15">
      <c r="A92" s="546"/>
      <c r="B92" s="546"/>
      <c r="C92" s="546"/>
      <c r="D92" s="546"/>
      <c r="E92" s="546"/>
    </row>
    <row r="93" spans="1:5" ht="15">
      <c r="A93" s="546"/>
      <c r="B93" s="546"/>
      <c r="C93" s="555"/>
      <c r="D93" s="546"/>
      <c r="E93" s="546"/>
    </row>
    <row r="94" spans="1:5" ht="15">
      <c r="A94" s="546"/>
      <c r="B94" s="546"/>
      <c r="C94" s="546"/>
      <c r="D94" s="546"/>
      <c r="E94" s="546"/>
    </row>
    <row r="95" spans="1:5" ht="15">
      <c r="A95" s="546"/>
      <c r="B95" s="546"/>
      <c r="C95" s="546"/>
      <c r="D95" s="546"/>
      <c r="E95" s="546"/>
    </row>
    <row r="96" spans="1:5" ht="15">
      <c r="A96" s="546"/>
      <c r="B96" s="546"/>
      <c r="C96" s="546"/>
      <c r="D96" s="546"/>
      <c r="E96" s="546"/>
    </row>
    <row r="97" spans="1:5" ht="15">
      <c r="A97" s="546"/>
      <c r="B97" s="546"/>
      <c r="C97" s="546"/>
      <c r="D97" s="546"/>
      <c r="E97" s="546"/>
    </row>
    <row r="98" spans="1:5" ht="15">
      <c r="A98" s="546"/>
      <c r="B98" s="546"/>
      <c r="C98" s="546"/>
      <c r="D98" s="546"/>
      <c r="E98" s="546"/>
    </row>
    <row r="99" spans="1:5" ht="15">
      <c r="A99" s="546"/>
      <c r="B99" s="546"/>
      <c r="C99" s="546"/>
      <c r="D99" s="546"/>
      <c r="E99" s="546"/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tabColor rgb="FF002060"/>
  </sheetPr>
  <dimension ref="B1:H58"/>
  <sheetViews>
    <sheetView showGridLines="0" topLeftCell="A45" zoomScale="120" zoomScaleNormal="120" workbookViewId="0">
      <selection activeCell="B77" sqref="B77"/>
    </sheetView>
  </sheetViews>
  <sheetFormatPr baseColWidth="10" defaultColWidth="9.109375" defaultRowHeight="12"/>
  <cols>
    <col min="1" max="1" width="5.6640625" style="25" customWidth="1"/>
    <col min="2" max="2" width="74.44140625" style="25" customWidth="1"/>
    <col min="3" max="4" width="11.44140625" style="25" customWidth="1"/>
    <col min="5" max="5" width="13.109375" style="25" customWidth="1"/>
    <col min="6" max="6" width="21.77734375" style="25" customWidth="1"/>
    <col min="7" max="7" width="39.5546875" style="25" customWidth="1"/>
    <col min="8" max="8" width="16.33203125" style="25" customWidth="1"/>
    <col min="9" max="255" width="11.44140625" style="25" customWidth="1"/>
    <col min="256" max="16384" width="9.109375" style="25"/>
  </cols>
  <sheetData>
    <row r="1" spans="2:4" ht="44.4" customHeight="1"/>
    <row r="2" spans="2:4" ht="15.6">
      <c r="B2" s="432" t="s">
        <v>268</v>
      </c>
    </row>
    <row r="3" spans="2:4">
      <c r="B3" s="192" t="s">
        <v>269</v>
      </c>
      <c r="C3" s="26"/>
      <c r="D3" s="26"/>
    </row>
    <row r="4" spans="2:4">
      <c r="B4" s="26"/>
    </row>
    <row r="5" spans="2:4" ht="36">
      <c r="B5" s="250" t="s">
        <v>1025</v>
      </c>
    </row>
    <row r="6" spans="2:4">
      <c r="B6" s="28"/>
    </row>
    <row r="7" spans="2:4">
      <c r="B7" s="26" t="s">
        <v>270</v>
      </c>
      <c r="C7" s="26"/>
      <c r="D7" s="26"/>
    </row>
    <row r="8" spans="2:4">
      <c r="B8" s="28"/>
    </row>
    <row r="9" spans="2:4">
      <c r="B9" s="27" t="s">
        <v>527</v>
      </c>
    </row>
    <row r="10" spans="2:4">
      <c r="B10" s="27"/>
    </row>
    <row r="11" spans="2:4" ht="60">
      <c r="B11" s="27" t="s">
        <v>528</v>
      </c>
    </row>
    <row r="12" spans="2:4">
      <c r="B12" s="28"/>
    </row>
    <row r="13" spans="2:4" ht="36">
      <c r="B13" s="28" t="s">
        <v>271</v>
      </c>
    </row>
    <row r="14" spans="2:4">
      <c r="B14" s="28"/>
    </row>
    <row r="15" spans="2:4">
      <c r="B15" s="28" t="s">
        <v>272</v>
      </c>
      <c r="D15" s="28"/>
    </row>
    <row r="16" spans="2:4" ht="14.4" customHeight="1">
      <c r="B16" s="431"/>
    </row>
    <row r="17" spans="2:5" ht="24">
      <c r="B17" s="28" t="s">
        <v>273</v>
      </c>
    </row>
    <row r="18" spans="2:5">
      <c r="B18" s="28" t="s">
        <v>274</v>
      </c>
    </row>
    <row r="19" spans="2:5">
      <c r="B19" s="28" t="s">
        <v>275</v>
      </c>
    </row>
    <row r="20" spans="2:5">
      <c r="B20" s="28" t="s">
        <v>276</v>
      </c>
    </row>
    <row r="21" spans="2:5">
      <c r="B21" s="28" t="s">
        <v>277</v>
      </c>
    </row>
    <row r="22" spans="2:5" ht="24">
      <c r="B22" s="28" t="s">
        <v>278</v>
      </c>
    </row>
    <row r="23" spans="2:5" ht="24">
      <c r="B23" s="28" t="s">
        <v>279</v>
      </c>
    </row>
    <row r="24" spans="2:5" ht="24">
      <c r="B24" s="28" t="s">
        <v>280</v>
      </c>
    </row>
    <row r="25" spans="2:5" ht="36">
      <c r="B25" s="28" t="s">
        <v>281</v>
      </c>
    </row>
    <row r="26" spans="2:5">
      <c r="B26" s="27"/>
    </row>
    <row r="27" spans="2:5">
      <c r="B27" s="27" t="s">
        <v>529</v>
      </c>
    </row>
    <row r="28" spans="2:5">
      <c r="B28" s="251"/>
    </row>
    <row r="29" spans="2:5" ht="48">
      <c r="B29" s="28" t="s">
        <v>1011</v>
      </c>
    </row>
    <row r="30" spans="2:5" ht="37.200000000000003" customHeight="1">
      <c r="B30" s="28" t="s">
        <v>1012</v>
      </c>
      <c r="D30" s="39"/>
      <c r="E30" s="39"/>
    </row>
    <row r="31" spans="2:5" ht="46.95" customHeight="1">
      <c r="B31" s="28" t="s">
        <v>608</v>
      </c>
    </row>
    <row r="32" spans="2:5" ht="32.4" customHeight="1">
      <c r="B32" s="28" t="s">
        <v>607</v>
      </c>
    </row>
    <row r="33" spans="2:6" ht="32.4" customHeight="1">
      <c r="B33" s="28" t="s">
        <v>1013</v>
      </c>
    </row>
    <row r="34" spans="2:6" ht="24">
      <c r="B34" s="28" t="s">
        <v>501</v>
      </c>
    </row>
    <row r="35" spans="2:6">
      <c r="B35" s="28"/>
    </row>
    <row r="36" spans="2:6">
      <c r="B36" s="26" t="s">
        <v>282</v>
      </c>
      <c r="C36" s="26"/>
      <c r="D36" s="26"/>
    </row>
    <row r="37" spans="2:6">
      <c r="B37" s="28"/>
    </row>
    <row r="38" spans="2:6">
      <c r="B38" s="27" t="s">
        <v>283</v>
      </c>
    </row>
    <row r="39" spans="2:6" ht="24">
      <c r="B39" s="28" t="s">
        <v>941</v>
      </c>
    </row>
    <row r="40" spans="2:6">
      <c r="B40" s="28"/>
    </row>
    <row r="41" spans="2:6">
      <c r="B41" s="27" t="s">
        <v>284</v>
      </c>
    </row>
    <row r="42" spans="2:6" ht="27" customHeight="1">
      <c r="B42" s="28" t="s">
        <v>942</v>
      </c>
      <c r="C42" s="28"/>
      <c r="D42" s="28"/>
      <c r="E42" s="28"/>
      <c r="F42" s="28"/>
    </row>
    <row r="43" spans="2:6">
      <c r="B43" s="28"/>
    </row>
    <row r="44" spans="2:6">
      <c r="B44" s="27" t="s">
        <v>285</v>
      </c>
    </row>
    <row r="45" spans="2:6">
      <c r="B45" s="28" t="s">
        <v>286</v>
      </c>
    </row>
    <row r="46" spans="2:6">
      <c r="B46" s="27"/>
    </row>
    <row r="47" spans="2:6">
      <c r="B47" s="27" t="s">
        <v>530</v>
      </c>
    </row>
    <row r="48" spans="2:6">
      <c r="B48" s="28" t="s">
        <v>579</v>
      </c>
    </row>
    <row r="49" spans="2:4">
      <c r="B49" s="28" t="s">
        <v>287</v>
      </c>
    </row>
    <row r="50" spans="2:4">
      <c r="B50" s="28"/>
    </row>
    <row r="51" spans="2:4">
      <c r="B51" s="27" t="s">
        <v>288</v>
      </c>
    </row>
    <row r="52" spans="2:4" ht="36">
      <c r="B52" s="28" t="s">
        <v>289</v>
      </c>
    </row>
    <row r="53" spans="2:4">
      <c r="B53" s="28"/>
    </row>
    <row r="54" spans="2:4">
      <c r="B54" s="27" t="s">
        <v>290</v>
      </c>
    </row>
    <row r="55" spans="2:4" ht="24">
      <c r="B55" s="28" t="s">
        <v>291</v>
      </c>
    </row>
    <row r="56" spans="2:4">
      <c r="B56" s="26"/>
    </row>
    <row r="57" spans="2:4">
      <c r="B57" s="26" t="s">
        <v>292</v>
      </c>
      <c r="C57" s="26"/>
      <c r="D57" s="26"/>
    </row>
    <row r="58" spans="2:4">
      <c r="B58" s="84" t="s">
        <v>293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C1:L102"/>
  <sheetViews>
    <sheetView showGridLines="0" zoomScaleNormal="100" workbookViewId="0">
      <selection activeCell="B77" sqref="B77"/>
    </sheetView>
  </sheetViews>
  <sheetFormatPr baseColWidth="10" defaultColWidth="11.44140625" defaultRowHeight="12"/>
  <cols>
    <col min="1" max="1" width="3" style="25" customWidth="1"/>
    <col min="2" max="2" width="5.6640625" style="25" customWidth="1"/>
    <col min="3" max="3" width="47.44140625" style="25" bestFit="1" customWidth="1"/>
    <col min="4" max="4" width="11.88671875" style="25" bestFit="1" customWidth="1"/>
    <col min="5" max="5" width="15.33203125" style="25" bestFit="1" customWidth="1"/>
    <col min="6" max="6" width="15.44140625" style="25" customWidth="1"/>
    <col min="7" max="7" width="12.77734375" style="39" bestFit="1" customWidth="1"/>
    <col min="8" max="8" width="10.5546875" style="25" bestFit="1" customWidth="1"/>
    <col min="9" max="9" width="12.44140625" style="25" customWidth="1"/>
    <col min="10" max="10" width="13.88671875" style="25" bestFit="1" customWidth="1"/>
    <col min="11" max="11" width="14.33203125" style="25" bestFit="1" customWidth="1"/>
    <col min="12" max="12" width="14.109375" style="25" bestFit="1" customWidth="1"/>
    <col min="13" max="16384" width="11.44140625" style="25"/>
  </cols>
  <sheetData>
    <row r="1" spans="3:11">
      <c r="C1" s="24"/>
    </row>
    <row r="2" spans="3:11" ht="40.950000000000003" customHeight="1"/>
    <row r="3" spans="3:11" ht="26.4" customHeight="1">
      <c r="C3" s="713" t="s">
        <v>294</v>
      </c>
      <c r="D3" s="713"/>
      <c r="E3" s="713"/>
      <c r="F3" s="713"/>
      <c r="G3" s="713"/>
      <c r="H3" s="713"/>
      <c r="I3" s="713"/>
      <c r="J3" s="713"/>
      <c r="K3" s="713"/>
    </row>
    <row r="4" spans="3:11" ht="14.4">
      <c r="C4" s="401" t="s">
        <v>665</v>
      </c>
      <c r="D4" s="397"/>
      <c r="E4" s="397"/>
      <c r="F4" s="397"/>
      <c r="G4" s="397"/>
      <c r="H4" s="397"/>
      <c r="I4" s="397"/>
      <c r="J4" s="397"/>
      <c r="K4" s="397"/>
    </row>
    <row r="5" spans="3:11" ht="18.75" customHeight="1">
      <c r="C5" s="27" t="s">
        <v>510</v>
      </c>
    </row>
    <row r="6" spans="3:11">
      <c r="C6" s="28"/>
    </row>
    <row r="7" spans="3:11">
      <c r="C7" s="29" t="s">
        <v>295</v>
      </c>
      <c r="D7" s="30">
        <v>44834</v>
      </c>
      <c r="E7" s="30">
        <v>44561</v>
      </c>
    </row>
    <row r="8" spans="3:11">
      <c r="C8" s="31" t="s">
        <v>296</v>
      </c>
      <c r="D8" s="32">
        <v>7078.87</v>
      </c>
      <c r="E8" s="32">
        <v>6870.81</v>
      </c>
    </row>
    <row r="9" spans="3:11">
      <c r="C9" s="33" t="s">
        <v>297</v>
      </c>
      <c r="D9" s="32">
        <v>7090.2</v>
      </c>
      <c r="E9" s="32">
        <v>6887.4</v>
      </c>
    </row>
    <row r="11" spans="3:11">
      <c r="C11" s="27" t="s">
        <v>511</v>
      </c>
    </row>
    <row r="12" spans="3:11">
      <c r="C12" s="27"/>
    </row>
    <row r="13" spans="3:11" ht="12.6" thickBot="1">
      <c r="C13" s="34" t="s">
        <v>298</v>
      </c>
    </row>
    <row r="14" spans="3:11" ht="15" customHeight="1">
      <c r="D14" s="721" t="str">
        <f>+'Balance Gral. Resol. 30'!D8</f>
        <v>PERIODO ACTUAL 30/09/ 2022</v>
      </c>
      <c r="E14" s="722"/>
      <c r="F14" s="722"/>
      <c r="G14" s="723"/>
      <c r="H14" s="721" t="str">
        <f>+'Balance Gral. Resol. 30'!E8</f>
        <v>PERIODO ANTERIOR   31/12/ 2021</v>
      </c>
      <c r="I14" s="722"/>
      <c r="J14" s="722"/>
      <c r="K14" s="723"/>
    </row>
    <row r="15" spans="3:11" ht="15" customHeight="1" thickBot="1">
      <c r="D15" s="724"/>
      <c r="E15" s="725"/>
      <c r="F15" s="725"/>
      <c r="G15" s="726"/>
      <c r="H15" s="724"/>
      <c r="I15" s="725"/>
      <c r="J15" s="725"/>
      <c r="K15" s="726"/>
    </row>
    <row r="16" spans="3:11" ht="48">
      <c r="C16" s="29" t="s">
        <v>299</v>
      </c>
      <c r="D16" s="155" t="s">
        <v>300</v>
      </c>
      <c r="E16" s="155" t="s">
        <v>301</v>
      </c>
      <c r="F16" s="155" t="s">
        <v>623</v>
      </c>
      <c r="G16" s="374" t="s">
        <v>621</v>
      </c>
      <c r="H16" s="155" t="s">
        <v>300</v>
      </c>
      <c r="I16" s="155" t="s">
        <v>301</v>
      </c>
      <c r="J16" s="155" t="s">
        <v>624</v>
      </c>
      <c r="K16" s="155" t="s">
        <v>622</v>
      </c>
    </row>
    <row r="17" spans="3:12">
      <c r="C17" s="36" t="s">
        <v>32</v>
      </c>
      <c r="D17" s="37"/>
      <c r="E17" s="37"/>
      <c r="F17" s="37"/>
      <c r="G17" s="371"/>
      <c r="H17" s="37"/>
      <c r="I17" s="37"/>
      <c r="J17" s="37"/>
      <c r="K17" s="37"/>
    </row>
    <row r="18" spans="3:12">
      <c r="C18" s="36" t="s">
        <v>302</v>
      </c>
      <c r="D18" s="37"/>
      <c r="E18" s="37"/>
      <c r="F18" s="37"/>
      <c r="G18" s="371"/>
      <c r="H18" s="37"/>
      <c r="I18" s="37"/>
      <c r="J18" s="37"/>
      <c r="K18" s="37"/>
    </row>
    <row r="19" spans="3:12">
      <c r="C19" s="36" t="s">
        <v>303</v>
      </c>
      <c r="D19" s="37"/>
      <c r="E19" s="38"/>
      <c r="F19" s="37"/>
      <c r="G19" s="371"/>
      <c r="H19" s="37"/>
      <c r="I19" s="38"/>
      <c r="J19" s="37"/>
      <c r="K19" s="37"/>
      <c r="L19" s="39"/>
    </row>
    <row r="20" spans="3:12">
      <c r="C20" s="37" t="s">
        <v>39</v>
      </c>
      <c r="D20" s="40" t="s">
        <v>304</v>
      </c>
      <c r="E20" s="41">
        <v>0</v>
      </c>
      <c r="F20" s="42">
        <f>+D8</f>
        <v>7078.87</v>
      </c>
      <c r="G20" s="369">
        <f>+F20*E20</f>
        <v>0</v>
      </c>
      <c r="H20" s="40" t="s">
        <v>304</v>
      </c>
      <c r="I20" s="41">
        <v>0</v>
      </c>
      <c r="J20" s="42">
        <f>+$E$8</f>
        <v>6870.81</v>
      </c>
      <c r="K20" s="369">
        <f>+I20*J20</f>
        <v>0</v>
      </c>
    </row>
    <row r="21" spans="3:12">
      <c r="C21" s="37" t="s">
        <v>42</v>
      </c>
      <c r="D21" s="40" t="s">
        <v>304</v>
      </c>
      <c r="E21" s="41">
        <f>+G21/F21</f>
        <v>-326591.86805238691</v>
      </c>
      <c r="F21" s="42">
        <f>+F20</f>
        <v>7078.87</v>
      </c>
      <c r="G21" s="369">
        <f>+'[6]EEFF '!$B$11+'[6]EEFF '!$B$16+'[6]EEFF '!$B$20</f>
        <v>-2311901377</v>
      </c>
      <c r="H21" s="40" t="s">
        <v>304</v>
      </c>
      <c r="I21" s="41">
        <v>101650.91</v>
      </c>
      <c r="J21" s="42">
        <f t="shared" ref="J21:J57" si="0">+$E$8</f>
        <v>6870.81</v>
      </c>
      <c r="K21" s="369">
        <f t="shared" ref="K21:K57" si="1">+I21*J21</f>
        <v>698424088.93710005</v>
      </c>
    </row>
    <row r="22" spans="3:12">
      <c r="C22" s="44" t="s">
        <v>523</v>
      </c>
      <c r="D22" s="45"/>
      <c r="E22" s="41"/>
      <c r="F22" s="42">
        <f t="shared" ref="F22:F57" si="2">+F21</f>
        <v>7078.87</v>
      </c>
      <c r="G22" s="369">
        <f t="shared" ref="G22:G57" si="3">+F22*E22</f>
        <v>0</v>
      </c>
      <c r="H22" s="45"/>
      <c r="I22" s="41"/>
      <c r="J22" s="42">
        <f t="shared" si="0"/>
        <v>6870.81</v>
      </c>
      <c r="K22" s="369">
        <f t="shared" si="1"/>
        <v>0</v>
      </c>
    </row>
    <row r="23" spans="3:12">
      <c r="C23" s="45" t="s">
        <v>316</v>
      </c>
      <c r="D23" s="46" t="s">
        <v>304</v>
      </c>
      <c r="E23" s="41">
        <v>0</v>
      </c>
      <c r="F23" s="42">
        <f t="shared" si="2"/>
        <v>7078.87</v>
      </c>
      <c r="G23" s="369">
        <f t="shared" si="3"/>
        <v>0</v>
      </c>
      <c r="H23" s="46" t="s">
        <v>304</v>
      </c>
      <c r="I23" s="41">
        <v>0</v>
      </c>
      <c r="J23" s="42">
        <f t="shared" si="0"/>
        <v>6870.81</v>
      </c>
      <c r="K23" s="369">
        <f t="shared" si="1"/>
        <v>0</v>
      </c>
    </row>
    <row r="24" spans="3:12">
      <c r="C24" s="45" t="s">
        <v>317</v>
      </c>
      <c r="D24" s="46" t="s">
        <v>304</v>
      </c>
      <c r="E24" s="41">
        <f>+G24/F24</f>
        <v>128661.85224477918</v>
      </c>
      <c r="F24" s="42">
        <f t="shared" si="2"/>
        <v>7078.87</v>
      </c>
      <c r="G24" s="369">
        <f>+'[6]EEFF '!$B$28+'[6]EEFF '!$B$33</f>
        <v>910780526</v>
      </c>
      <c r="H24" s="46" t="s">
        <v>304</v>
      </c>
      <c r="I24" s="189">
        <v>869000</v>
      </c>
      <c r="J24" s="42">
        <f t="shared" si="0"/>
        <v>6870.81</v>
      </c>
      <c r="K24" s="369">
        <f t="shared" si="1"/>
        <v>5970733890</v>
      </c>
    </row>
    <row r="25" spans="3:12">
      <c r="C25" s="45" t="s">
        <v>318</v>
      </c>
      <c r="D25" s="46" t="s">
        <v>304</v>
      </c>
      <c r="E25" s="41"/>
      <c r="F25" s="42">
        <f t="shared" si="2"/>
        <v>7078.87</v>
      </c>
      <c r="G25" s="369">
        <f t="shared" si="3"/>
        <v>0</v>
      </c>
      <c r="H25" s="46" t="s">
        <v>304</v>
      </c>
      <c r="I25" s="41"/>
      <c r="J25" s="42">
        <f t="shared" si="0"/>
        <v>6870.81</v>
      </c>
      <c r="K25" s="369">
        <f t="shared" si="1"/>
        <v>0</v>
      </c>
    </row>
    <row r="26" spans="3:12">
      <c r="C26" s="37"/>
      <c r="D26" s="40"/>
      <c r="E26" s="41"/>
      <c r="F26" s="42">
        <f t="shared" si="2"/>
        <v>7078.87</v>
      </c>
      <c r="G26" s="369">
        <f t="shared" si="3"/>
        <v>0</v>
      </c>
      <c r="H26" s="40"/>
      <c r="I26" s="41"/>
      <c r="J26" s="42">
        <f t="shared" si="0"/>
        <v>6870.81</v>
      </c>
      <c r="K26" s="369">
        <f t="shared" si="1"/>
        <v>0</v>
      </c>
    </row>
    <row r="27" spans="3:12">
      <c r="C27" s="36" t="s">
        <v>98</v>
      </c>
      <c r="D27" s="37"/>
      <c r="E27" s="41"/>
      <c r="F27" s="42">
        <f t="shared" si="2"/>
        <v>7078.87</v>
      </c>
      <c r="G27" s="369">
        <f t="shared" si="3"/>
        <v>0</v>
      </c>
      <c r="H27" s="37"/>
      <c r="I27" s="41"/>
      <c r="J27" s="42">
        <f t="shared" si="0"/>
        <v>6870.81</v>
      </c>
      <c r="K27" s="369">
        <f t="shared" si="1"/>
        <v>0</v>
      </c>
    </row>
    <row r="28" spans="3:12">
      <c r="C28" s="37" t="s">
        <v>55</v>
      </c>
      <c r="D28" s="40" t="s">
        <v>304</v>
      </c>
      <c r="E28" s="41">
        <f>+G28/F28</f>
        <v>836113.39606462617</v>
      </c>
      <c r="F28" s="42">
        <f t="shared" si="2"/>
        <v>7078.87</v>
      </c>
      <c r="G28" s="369">
        <f>+'[6]EEFF '!$B$37+'[6]EEFF '!$B$38</f>
        <v>5918738036</v>
      </c>
      <c r="H28" s="40" t="s">
        <v>304</v>
      </c>
      <c r="I28" s="41">
        <v>63254.57</v>
      </c>
      <c r="J28" s="42">
        <f t="shared" si="0"/>
        <v>6870.81</v>
      </c>
      <c r="K28" s="369">
        <f t="shared" si="1"/>
        <v>434610132.10170001</v>
      </c>
    </row>
    <row r="29" spans="3:12">
      <c r="C29" s="37" t="s">
        <v>305</v>
      </c>
      <c r="D29" s="40" t="s">
        <v>304</v>
      </c>
      <c r="E29" s="41">
        <v>0</v>
      </c>
      <c r="F29" s="42">
        <f t="shared" si="2"/>
        <v>7078.87</v>
      </c>
      <c r="G29" s="369">
        <f t="shared" si="3"/>
        <v>0</v>
      </c>
      <c r="H29" s="40" t="s">
        <v>304</v>
      </c>
      <c r="I29" s="41">
        <v>0</v>
      </c>
      <c r="J29" s="42">
        <f t="shared" si="0"/>
        <v>6870.81</v>
      </c>
      <c r="K29" s="369">
        <f t="shared" si="1"/>
        <v>0</v>
      </c>
    </row>
    <row r="30" spans="3:12">
      <c r="C30" s="37" t="s">
        <v>306</v>
      </c>
      <c r="D30" s="40" t="s">
        <v>304</v>
      </c>
      <c r="E30" s="41">
        <v>0</v>
      </c>
      <c r="F30" s="42">
        <f t="shared" si="2"/>
        <v>7078.87</v>
      </c>
      <c r="G30" s="369">
        <f t="shared" si="3"/>
        <v>0</v>
      </c>
      <c r="H30" s="40" t="s">
        <v>304</v>
      </c>
      <c r="I30" s="41">
        <v>0</v>
      </c>
      <c r="J30" s="42">
        <f t="shared" si="0"/>
        <v>6870.81</v>
      </c>
      <c r="K30" s="369">
        <f t="shared" si="1"/>
        <v>0</v>
      </c>
    </row>
    <row r="31" spans="3:12">
      <c r="C31" s="37" t="s">
        <v>307</v>
      </c>
      <c r="D31" s="40" t="s">
        <v>304</v>
      </c>
      <c r="E31" s="41">
        <v>0</v>
      </c>
      <c r="F31" s="42">
        <f t="shared" si="2"/>
        <v>7078.87</v>
      </c>
      <c r="G31" s="369">
        <f t="shared" si="3"/>
        <v>0</v>
      </c>
      <c r="H31" s="40" t="s">
        <v>304</v>
      </c>
      <c r="I31" s="41">
        <v>0</v>
      </c>
      <c r="J31" s="42">
        <f t="shared" si="0"/>
        <v>6870.81</v>
      </c>
      <c r="K31" s="369">
        <f t="shared" si="1"/>
        <v>0</v>
      </c>
    </row>
    <row r="32" spans="3:12">
      <c r="C32" s="37" t="s">
        <v>63</v>
      </c>
      <c r="D32" s="40" t="s">
        <v>304</v>
      </c>
      <c r="E32" s="41">
        <f>+G32/F32</f>
        <v>59657.149940597861</v>
      </c>
      <c r="F32" s="42">
        <f t="shared" si="2"/>
        <v>7078.87</v>
      </c>
      <c r="G32" s="369">
        <f>+'[6]EEFF '!$B$55</f>
        <v>422305209</v>
      </c>
      <c r="H32" s="40" t="s">
        <v>304</v>
      </c>
      <c r="I32" s="41">
        <v>14831.6</v>
      </c>
      <c r="J32" s="42">
        <f t="shared" si="0"/>
        <v>6870.81</v>
      </c>
      <c r="K32" s="369">
        <f t="shared" si="1"/>
        <v>101905105.59600002</v>
      </c>
    </row>
    <row r="33" spans="3:11">
      <c r="C33" s="37" t="s">
        <v>308</v>
      </c>
      <c r="D33" s="40" t="s">
        <v>304</v>
      </c>
      <c r="E33" s="41">
        <v>0</v>
      </c>
      <c r="F33" s="42">
        <f t="shared" si="2"/>
        <v>7078.87</v>
      </c>
      <c r="G33" s="369">
        <f t="shared" si="3"/>
        <v>0</v>
      </c>
      <c r="H33" s="40" t="s">
        <v>304</v>
      </c>
      <c r="I33" s="41">
        <v>0</v>
      </c>
      <c r="J33" s="42">
        <f t="shared" si="0"/>
        <v>6870.81</v>
      </c>
      <c r="K33" s="369">
        <f t="shared" si="1"/>
        <v>0</v>
      </c>
    </row>
    <row r="34" spans="3:11">
      <c r="C34" s="36" t="s">
        <v>309</v>
      </c>
      <c r="D34" s="37"/>
      <c r="E34" s="41"/>
      <c r="F34" s="42">
        <f t="shared" si="2"/>
        <v>7078.87</v>
      </c>
      <c r="G34" s="369">
        <f t="shared" si="3"/>
        <v>0</v>
      </c>
      <c r="H34" s="37"/>
      <c r="I34" s="41"/>
      <c r="J34" s="42">
        <f t="shared" si="0"/>
        <v>6870.81</v>
      </c>
      <c r="K34" s="369">
        <f t="shared" si="1"/>
        <v>0</v>
      </c>
    </row>
    <row r="35" spans="3:11">
      <c r="C35" s="37" t="s">
        <v>310</v>
      </c>
      <c r="D35" s="40" t="s">
        <v>304</v>
      </c>
      <c r="E35" s="41">
        <v>0</v>
      </c>
      <c r="F35" s="42">
        <f t="shared" si="2"/>
        <v>7078.87</v>
      </c>
      <c r="G35" s="369">
        <f t="shared" si="3"/>
        <v>0</v>
      </c>
      <c r="H35" s="40" t="s">
        <v>304</v>
      </c>
      <c r="I35" s="41">
        <v>0</v>
      </c>
      <c r="J35" s="42">
        <f t="shared" si="0"/>
        <v>6870.81</v>
      </c>
      <c r="K35" s="369">
        <f t="shared" si="1"/>
        <v>0</v>
      </c>
    </row>
    <row r="36" spans="3:11">
      <c r="C36" s="37" t="s">
        <v>311</v>
      </c>
      <c r="D36" s="40" t="s">
        <v>304</v>
      </c>
      <c r="E36" s="41">
        <v>0</v>
      </c>
      <c r="F36" s="42">
        <f t="shared" si="2"/>
        <v>7078.87</v>
      </c>
      <c r="G36" s="369">
        <f t="shared" si="3"/>
        <v>0</v>
      </c>
      <c r="H36" s="40" t="s">
        <v>304</v>
      </c>
      <c r="I36" s="41">
        <v>0</v>
      </c>
      <c r="J36" s="42">
        <f t="shared" si="0"/>
        <v>6870.81</v>
      </c>
      <c r="K36" s="369">
        <f t="shared" si="1"/>
        <v>0</v>
      </c>
    </row>
    <row r="37" spans="3:11">
      <c r="C37" s="36" t="s">
        <v>70</v>
      </c>
      <c r="D37" s="37"/>
      <c r="E37" s="41"/>
      <c r="F37" s="42">
        <f t="shared" si="2"/>
        <v>7078.87</v>
      </c>
      <c r="G37" s="369">
        <v>0</v>
      </c>
      <c r="H37" s="37"/>
      <c r="I37" s="41"/>
      <c r="J37" s="42">
        <f t="shared" si="0"/>
        <v>6870.81</v>
      </c>
      <c r="K37" s="369">
        <f t="shared" si="1"/>
        <v>0</v>
      </c>
    </row>
    <row r="38" spans="3:11">
      <c r="C38" s="37" t="s">
        <v>312</v>
      </c>
      <c r="D38" s="40" t="s">
        <v>304</v>
      </c>
      <c r="E38" s="41">
        <f>+G38/F38</f>
        <v>30022.101267575192</v>
      </c>
      <c r="F38" s="42">
        <f t="shared" si="2"/>
        <v>7078.87</v>
      </c>
      <c r="G38" s="369">
        <f>+'[6]EEFF '!$B$59</f>
        <v>212522552</v>
      </c>
      <c r="H38" s="40" t="s">
        <v>304</v>
      </c>
      <c r="I38" s="41">
        <v>39716.639999999999</v>
      </c>
      <c r="J38" s="42">
        <f t="shared" si="0"/>
        <v>6870.81</v>
      </c>
      <c r="K38" s="369">
        <f t="shared" si="1"/>
        <v>272885487.2784</v>
      </c>
    </row>
    <row r="39" spans="3:11">
      <c r="C39" s="37" t="s">
        <v>313</v>
      </c>
      <c r="D39" s="40" t="s">
        <v>304</v>
      </c>
      <c r="E39" s="41">
        <v>0</v>
      </c>
      <c r="F39" s="42">
        <f t="shared" si="2"/>
        <v>7078.87</v>
      </c>
      <c r="G39" s="369">
        <f t="shared" si="3"/>
        <v>0</v>
      </c>
      <c r="H39" s="40" t="s">
        <v>304</v>
      </c>
      <c r="I39" s="41">
        <v>0</v>
      </c>
      <c r="J39" s="42">
        <f t="shared" si="0"/>
        <v>6870.81</v>
      </c>
      <c r="K39" s="369">
        <f t="shared" si="1"/>
        <v>0</v>
      </c>
    </row>
    <row r="40" spans="3:11">
      <c r="C40" s="43" t="s">
        <v>82</v>
      </c>
      <c r="D40" s="40"/>
      <c r="E40" s="41"/>
      <c r="F40" s="42">
        <f t="shared" si="2"/>
        <v>7078.87</v>
      </c>
      <c r="G40" s="369">
        <f t="shared" si="3"/>
        <v>0</v>
      </c>
      <c r="H40" s="40"/>
      <c r="I40" s="41"/>
      <c r="J40" s="42">
        <f t="shared" si="0"/>
        <v>6870.81</v>
      </c>
      <c r="K40" s="369">
        <f t="shared" si="1"/>
        <v>0</v>
      </c>
    </row>
    <row r="41" spans="3:11">
      <c r="C41" s="44" t="s">
        <v>98</v>
      </c>
      <c r="D41" s="45"/>
      <c r="E41" s="41"/>
      <c r="F41" s="42">
        <f t="shared" si="2"/>
        <v>7078.87</v>
      </c>
      <c r="G41" s="369">
        <f t="shared" si="3"/>
        <v>0</v>
      </c>
      <c r="H41" s="45"/>
      <c r="I41" s="41"/>
      <c r="J41" s="42">
        <f t="shared" si="0"/>
        <v>6870.81</v>
      </c>
      <c r="K41" s="369">
        <f t="shared" si="1"/>
        <v>0</v>
      </c>
    </row>
    <row r="42" spans="3:11" ht="14.25" customHeight="1">
      <c r="C42" s="45" t="s">
        <v>314</v>
      </c>
      <c r="D42" s="46" t="s">
        <v>304</v>
      </c>
      <c r="E42" s="41">
        <v>0</v>
      </c>
      <c r="F42" s="42">
        <f t="shared" si="2"/>
        <v>7078.87</v>
      </c>
      <c r="G42" s="369">
        <f t="shared" si="3"/>
        <v>0</v>
      </c>
      <c r="H42" s="46" t="s">
        <v>304</v>
      </c>
      <c r="I42" s="41">
        <v>0</v>
      </c>
      <c r="J42" s="42">
        <f t="shared" si="0"/>
        <v>6870.81</v>
      </c>
      <c r="K42" s="369">
        <f t="shared" si="1"/>
        <v>0</v>
      </c>
    </row>
    <row r="43" spans="3:11">
      <c r="C43" s="44" t="s">
        <v>315</v>
      </c>
      <c r="D43" s="45"/>
      <c r="E43" s="41"/>
      <c r="F43" s="42">
        <f t="shared" si="2"/>
        <v>7078.87</v>
      </c>
      <c r="G43" s="369">
        <f t="shared" si="3"/>
        <v>0</v>
      </c>
      <c r="H43" s="45"/>
      <c r="I43" s="41"/>
      <c r="J43" s="42">
        <f t="shared" si="0"/>
        <v>6870.81</v>
      </c>
      <c r="K43" s="369">
        <f t="shared" si="1"/>
        <v>0</v>
      </c>
    </row>
    <row r="44" spans="3:11">
      <c r="C44" s="45" t="s">
        <v>316</v>
      </c>
      <c r="D44" s="46" t="s">
        <v>304</v>
      </c>
      <c r="E44" s="41">
        <v>0</v>
      </c>
      <c r="F44" s="42">
        <f t="shared" si="2"/>
        <v>7078.87</v>
      </c>
      <c r="G44" s="369">
        <f t="shared" si="3"/>
        <v>0</v>
      </c>
      <c r="H44" s="46" t="s">
        <v>304</v>
      </c>
      <c r="I44" s="41">
        <v>0</v>
      </c>
      <c r="J44" s="42">
        <f t="shared" si="0"/>
        <v>6870.81</v>
      </c>
      <c r="K44" s="369">
        <f t="shared" si="1"/>
        <v>0</v>
      </c>
    </row>
    <row r="45" spans="3:11">
      <c r="C45" s="45" t="s">
        <v>317</v>
      </c>
      <c r="D45" s="46" t="s">
        <v>304</v>
      </c>
      <c r="E45" s="41">
        <v>0</v>
      </c>
      <c r="F45" s="42">
        <f t="shared" si="2"/>
        <v>7078.87</v>
      </c>
      <c r="G45" s="369">
        <f t="shared" si="3"/>
        <v>0</v>
      </c>
      <c r="H45" s="46" t="s">
        <v>304</v>
      </c>
      <c r="I45" s="189">
        <v>0</v>
      </c>
      <c r="J45" s="42">
        <f t="shared" si="0"/>
        <v>6870.81</v>
      </c>
      <c r="K45" s="369">
        <f t="shared" si="1"/>
        <v>0</v>
      </c>
    </row>
    <row r="46" spans="3:11">
      <c r="C46" s="45" t="s">
        <v>318</v>
      </c>
      <c r="D46" s="46" t="s">
        <v>304</v>
      </c>
      <c r="E46" s="41"/>
      <c r="F46" s="42">
        <f t="shared" si="2"/>
        <v>7078.87</v>
      </c>
      <c r="G46" s="369">
        <f t="shared" si="3"/>
        <v>0</v>
      </c>
      <c r="H46" s="46" t="s">
        <v>304</v>
      </c>
      <c r="I46" s="41"/>
      <c r="J46" s="42">
        <f t="shared" si="0"/>
        <v>6870.81</v>
      </c>
      <c r="K46" s="369">
        <f t="shared" si="1"/>
        <v>0</v>
      </c>
    </row>
    <row r="47" spans="3:11">
      <c r="C47" s="44" t="s">
        <v>319</v>
      </c>
      <c r="D47" s="45"/>
      <c r="E47" s="41"/>
      <c r="F47" s="42">
        <f t="shared" si="2"/>
        <v>7078.87</v>
      </c>
      <c r="G47" s="369">
        <f t="shared" si="3"/>
        <v>0</v>
      </c>
      <c r="H47" s="45"/>
      <c r="I47" s="41"/>
      <c r="J47" s="42">
        <f t="shared" si="0"/>
        <v>6870.81</v>
      </c>
      <c r="K47" s="369">
        <f t="shared" si="1"/>
        <v>0</v>
      </c>
    </row>
    <row r="48" spans="3:11">
      <c r="C48" s="45" t="s">
        <v>320</v>
      </c>
      <c r="D48" s="46" t="s">
        <v>304</v>
      </c>
      <c r="E48" s="41">
        <v>0</v>
      </c>
      <c r="F48" s="42">
        <f t="shared" si="2"/>
        <v>7078.87</v>
      </c>
      <c r="G48" s="369">
        <f t="shared" si="3"/>
        <v>0</v>
      </c>
      <c r="H48" s="46" t="s">
        <v>304</v>
      </c>
      <c r="I48" s="41">
        <v>0</v>
      </c>
      <c r="J48" s="42">
        <f t="shared" si="0"/>
        <v>6870.81</v>
      </c>
      <c r="K48" s="369">
        <f t="shared" si="1"/>
        <v>0</v>
      </c>
    </row>
    <row r="49" spans="3:11">
      <c r="C49" s="45" t="s">
        <v>321</v>
      </c>
      <c r="D49" s="46" t="s">
        <v>304</v>
      </c>
      <c r="E49" s="41">
        <v>0</v>
      </c>
      <c r="F49" s="42">
        <f t="shared" si="2"/>
        <v>7078.87</v>
      </c>
      <c r="G49" s="369">
        <f t="shared" si="3"/>
        <v>0</v>
      </c>
      <c r="H49" s="46" t="s">
        <v>304</v>
      </c>
      <c r="I49" s="41">
        <v>0</v>
      </c>
      <c r="J49" s="42">
        <f t="shared" si="0"/>
        <v>6870.81</v>
      </c>
      <c r="K49" s="369">
        <f t="shared" si="1"/>
        <v>0</v>
      </c>
    </row>
    <row r="50" spans="3:11">
      <c r="C50" s="44" t="s">
        <v>322</v>
      </c>
      <c r="D50" s="45"/>
      <c r="E50" s="41"/>
      <c r="F50" s="42">
        <f t="shared" si="2"/>
        <v>7078.87</v>
      </c>
      <c r="G50" s="369">
        <f t="shared" si="3"/>
        <v>0</v>
      </c>
      <c r="H50" s="45"/>
      <c r="I50" s="41"/>
      <c r="J50" s="42">
        <f t="shared" si="0"/>
        <v>6870.81</v>
      </c>
      <c r="K50" s="369">
        <f t="shared" si="1"/>
        <v>0</v>
      </c>
    </row>
    <row r="51" spans="3:11">
      <c r="C51" s="45" t="s">
        <v>118</v>
      </c>
      <c r="D51" s="46" t="s">
        <v>304</v>
      </c>
      <c r="E51" s="41">
        <v>0</v>
      </c>
      <c r="F51" s="42">
        <f t="shared" si="2"/>
        <v>7078.87</v>
      </c>
      <c r="G51" s="369">
        <f t="shared" si="3"/>
        <v>0</v>
      </c>
      <c r="H51" s="46" t="s">
        <v>304</v>
      </c>
      <c r="I51" s="41">
        <v>0</v>
      </c>
      <c r="J51" s="42">
        <f t="shared" si="0"/>
        <v>6870.81</v>
      </c>
      <c r="K51" s="369">
        <f t="shared" si="1"/>
        <v>0</v>
      </c>
    </row>
    <row r="52" spans="3:11">
      <c r="C52" s="45" t="s">
        <v>119</v>
      </c>
      <c r="D52" s="46" t="s">
        <v>304</v>
      </c>
      <c r="E52" s="41">
        <v>0</v>
      </c>
      <c r="F52" s="42">
        <f t="shared" si="2"/>
        <v>7078.87</v>
      </c>
      <c r="G52" s="369">
        <f t="shared" si="3"/>
        <v>0</v>
      </c>
      <c r="H52" s="46" t="s">
        <v>304</v>
      </c>
      <c r="I52" s="41">
        <v>0</v>
      </c>
      <c r="J52" s="42">
        <f t="shared" si="0"/>
        <v>6870.81</v>
      </c>
      <c r="K52" s="369">
        <f t="shared" si="1"/>
        <v>0</v>
      </c>
    </row>
    <row r="53" spans="3:11">
      <c r="C53" s="45" t="s">
        <v>121</v>
      </c>
      <c r="D53" s="46" t="s">
        <v>304</v>
      </c>
      <c r="E53" s="41">
        <v>0</v>
      </c>
      <c r="F53" s="42">
        <f t="shared" si="2"/>
        <v>7078.87</v>
      </c>
      <c r="G53" s="369">
        <f t="shared" si="3"/>
        <v>0</v>
      </c>
      <c r="H53" s="46" t="s">
        <v>304</v>
      </c>
      <c r="I53" s="41">
        <v>0</v>
      </c>
      <c r="J53" s="42">
        <f t="shared" si="0"/>
        <v>6870.81</v>
      </c>
      <c r="K53" s="369">
        <f t="shared" si="1"/>
        <v>0</v>
      </c>
    </row>
    <row r="54" spans="3:11">
      <c r="C54" s="45" t="s">
        <v>323</v>
      </c>
      <c r="D54" s="46" t="s">
        <v>304</v>
      </c>
      <c r="E54" s="41">
        <v>0</v>
      </c>
      <c r="F54" s="42">
        <f t="shared" si="2"/>
        <v>7078.87</v>
      </c>
      <c r="G54" s="369">
        <f t="shared" si="3"/>
        <v>0</v>
      </c>
      <c r="H54" s="46" t="s">
        <v>304</v>
      </c>
      <c r="I54" s="41">
        <v>0</v>
      </c>
      <c r="J54" s="42">
        <f t="shared" si="0"/>
        <v>6870.81</v>
      </c>
      <c r="K54" s="369">
        <f t="shared" si="1"/>
        <v>0</v>
      </c>
    </row>
    <row r="55" spans="3:11">
      <c r="C55" s="45" t="s">
        <v>123</v>
      </c>
      <c r="D55" s="46" t="s">
        <v>304</v>
      </c>
      <c r="E55" s="41">
        <v>0</v>
      </c>
      <c r="F55" s="42">
        <f t="shared" si="2"/>
        <v>7078.87</v>
      </c>
      <c r="G55" s="369">
        <f t="shared" si="3"/>
        <v>0</v>
      </c>
      <c r="H55" s="46" t="s">
        <v>304</v>
      </c>
      <c r="I55" s="41">
        <v>0</v>
      </c>
      <c r="J55" s="42">
        <f t="shared" si="0"/>
        <v>6870.81</v>
      </c>
      <c r="K55" s="369">
        <f t="shared" si="1"/>
        <v>0</v>
      </c>
    </row>
    <row r="56" spans="3:11">
      <c r="C56" s="43" t="s">
        <v>70</v>
      </c>
      <c r="D56" s="47"/>
      <c r="E56" s="41"/>
      <c r="F56" s="42">
        <f t="shared" si="2"/>
        <v>7078.87</v>
      </c>
      <c r="G56" s="369">
        <f t="shared" si="3"/>
        <v>0</v>
      </c>
      <c r="H56" s="47"/>
      <c r="I56" s="41"/>
      <c r="J56" s="42">
        <f t="shared" si="0"/>
        <v>6870.81</v>
      </c>
      <c r="K56" s="369">
        <f t="shared" si="1"/>
        <v>0</v>
      </c>
    </row>
    <row r="57" spans="3:11">
      <c r="C57" s="45" t="s">
        <v>324</v>
      </c>
      <c r="D57" s="46" t="s">
        <v>304</v>
      </c>
      <c r="E57" s="41">
        <v>0</v>
      </c>
      <c r="F57" s="42">
        <f t="shared" si="2"/>
        <v>7078.87</v>
      </c>
      <c r="G57" s="369">
        <f t="shared" si="3"/>
        <v>0</v>
      </c>
      <c r="H57" s="46" t="s">
        <v>304</v>
      </c>
      <c r="I57" s="41">
        <v>0</v>
      </c>
      <c r="J57" s="42">
        <f t="shared" si="0"/>
        <v>6870.81</v>
      </c>
      <c r="K57" s="369">
        <f t="shared" si="1"/>
        <v>0</v>
      </c>
    </row>
    <row r="60" spans="3:11" ht="48">
      <c r="C60" s="29" t="s">
        <v>299</v>
      </c>
      <c r="D60" s="35" t="s">
        <v>300</v>
      </c>
      <c r="E60" s="35" t="s">
        <v>301</v>
      </c>
      <c r="F60" s="35" t="str">
        <f>+F16</f>
        <v xml:space="preserve">CAMBIO CIERRE PERIODO ACTUAL </v>
      </c>
      <c r="G60" s="370" t="str">
        <f>+G16</f>
        <v>CAMBIO CIERRE PERIODO ACTUAL GUARANIES</v>
      </c>
      <c r="H60" s="35" t="s">
        <v>300</v>
      </c>
      <c r="I60" s="35" t="s">
        <v>301</v>
      </c>
      <c r="J60" s="35" t="str">
        <f>+J16</f>
        <v xml:space="preserve">CAMBIO CIERRE PERIODO ANTERIOR </v>
      </c>
      <c r="K60" s="35" t="str">
        <f>+K16</f>
        <v>CAMBIO CIERRE PERIODO ANTERIOR GUARANIES</v>
      </c>
    </row>
    <row r="61" spans="3:11">
      <c r="C61" s="43" t="s">
        <v>33</v>
      </c>
      <c r="D61" s="47"/>
      <c r="E61" s="47"/>
      <c r="F61" s="47"/>
      <c r="G61" s="372"/>
      <c r="H61" s="47"/>
      <c r="I61" s="47"/>
      <c r="J61" s="47"/>
      <c r="K61" s="47"/>
    </row>
    <row r="62" spans="3:11">
      <c r="C62" s="43" t="s">
        <v>36</v>
      </c>
      <c r="D62" s="47"/>
      <c r="E62" s="47"/>
      <c r="F62" s="47"/>
      <c r="G62" s="372"/>
      <c r="H62" s="47"/>
      <c r="I62" s="47"/>
      <c r="J62" s="47"/>
      <c r="K62" s="47"/>
    </row>
    <row r="63" spans="3:11">
      <c r="C63" s="36" t="s">
        <v>325</v>
      </c>
      <c r="D63" s="37"/>
      <c r="E63" s="38"/>
      <c r="F63" s="48"/>
      <c r="G63" s="369"/>
      <c r="H63" s="37"/>
      <c r="I63" s="38"/>
      <c r="J63" s="37"/>
      <c r="K63" s="37"/>
    </row>
    <row r="64" spans="3:11">
      <c r="C64" s="37" t="s">
        <v>326</v>
      </c>
      <c r="D64" s="40" t="s">
        <v>304</v>
      </c>
      <c r="E64" s="41">
        <f>+G64/F64</f>
        <v>12147.229979408197</v>
      </c>
      <c r="F64" s="42">
        <f>+D9</f>
        <v>7090.2</v>
      </c>
      <c r="G64" s="369">
        <f>+'[6]EEFF '!$B$108</f>
        <v>86126290</v>
      </c>
      <c r="H64" s="40" t="s">
        <v>304</v>
      </c>
      <c r="I64" s="41">
        <v>1475.51</v>
      </c>
      <c r="J64" s="42">
        <f>+$E$9</f>
        <v>6887.4</v>
      </c>
      <c r="K64" s="369">
        <f t="shared" ref="K64:K88" si="4">+I64*J64</f>
        <v>10162427.573999999</v>
      </c>
    </row>
    <row r="65" spans="3:11">
      <c r="C65" s="37" t="s">
        <v>327</v>
      </c>
      <c r="D65" s="40" t="s">
        <v>304</v>
      </c>
      <c r="E65" s="41">
        <f>+G65/F65</f>
        <v>0</v>
      </c>
      <c r="F65" s="42">
        <f>+F64</f>
        <v>7090.2</v>
      </c>
      <c r="G65" s="369">
        <v>0</v>
      </c>
      <c r="H65" s="40" t="s">
        <v>304</v>
      </c>
      <c r="I65" s="41">
        <v>559891.07999999996</v>
      </c>
      <c r="J65" s="42">
        <f t="shared" ref="J65:J88" si="5">+$E$9</f>
        <v>6887.4</v>
      </c>
      <c r="K65" s="369">
        <f t="shared" si="4"/>
        <v>3856193824.3919997</v>
      </c>
    </row>
    <row r="66" spans="3:11">
      <c r="C66" s="37" t="s">
        <v>328</v>
      </c>
      <c r="D66" s="40" t="s">
        <v>304</v>
      </c>
      <c r="E66" s="41">
        <v>0</v>
      </c>
      <c r="F66" s="42">
        <f t="shared" ref="F66:F88" si="6">+F65</f>
        <v>7090.2</v>
      </c>
      <c r="G66" s="369">
        <f t="shared" ref="G66:G87" si="7">+F66*E66</f>
        <v>0</v>
      </c>
      <c r="H66" s="40" t="s">
        <v>304</v>
      </c>
      <c r="I66" s="41">
        <v>0</v>
      </c>
      <c r="J66" s="42">
        <f t="shared" si="5"/>
        <v>6887.4</v>
      </c>
      <c r="K66" s="369">
        <f t="shared" si="4"/>
        <v>0</v>
      </c>
    </row>
    <row r="67" spans="3:11">
      <c r="C67" s="37" t="s">
        <v>329</v>
      </c>
      <c r="D67" s="40" t="s">
        <v>304</v>
      </c>
      <c r="E67" s="41">
        <v>0</v>
      </c>
      <c r="F67" s="42">
        <f t="shared" si="6"/>
        <v>7090.2</v>
      </c>
      <c r="G67" s="369">
        <f t="shared" si="7"/>
        <v>0</v>
      </c>
      <c r="H67" s="40" t="s">
        <v>304</v>
      </c>
      <c r="I67" s="41">
        <v>0</v>
      </c>
      <c r="J67" s="42">
        <f t="shared" si="5"/>
        <v>6887.4</v>
      </c>
      <c r="K67" s="369">
        <f t="shared" si="4"/>
        <v>0</v>
      </c>
    </row>
    <row r="68" spans="3:11">
      <c r="C68" s="36" t="s">
        <v>86</v>
      </c>
      <c r="D68" s="37"/>
      <c r="E68" s="41"/>
      <c r="F68" s="42">
        <f t="shared" si="6"/>
        <v>7090.2</v>
      </c>
      <c r="G68" s="369">
        <f t="shared" si="7"/>
        <v>0</v>
      </c>
      <c r="H68" s="37"/>
      <c r="I68" s="41"/>
      <c r="J68" s="42">
        <f t="shared" si="5"/>
        <v>6887.4</v>
      </c>
      <c r="K68" s="369">
        <f t="shared" si="4"/>
        <v>0</v>
      </c>
    </row>
    <row r="69" spans="3:11">
      <c r="C69" s="37" t="s">
        <v>330</v>
      </c>
      <c r="D69" s="40" t="s">
        <v>304</v>
      </c>
      <c r="E69" s="41">
        <v>1627000</v>
      </c>
      <c r="F69" s="42">
        <f t="shared" si="6"/>
        <v>7090.2</v>
      </c>
      <c r="G69" s="369">
        <f>+'[6]EEFF '!$B$97</f>
        <v>15789875400</v>
      </c>
      <c r="H69" s="40" t="s">
        <v>304</v>
      </c>
      <c r="I69" s="41">
        <v>1627000</v>
      </c>
      <c r="J69" s="42">
        <f t="shared" si="5"/>
        <v>6887.4</v>
      </c>
      <c r="K69" s="369">
        <f t="shared" si="4"/>
        <v>11205799800</v>
      </c>
    </row>
    <row r="70" spans="3:11">
      <c r="C70" s="37" t="s">
        <v>331</v>
      </c>
      <c r="D70" s="40" t="s">
        <v>304</v>
      </c>
      <c r="E70" s="41">
        <f>+G70/F70</f>
        <v>37859.800005641591</v>
      </c>
      <c r="F70" s="42">
        <f t="shared" si="6"/>
        <v>7090.2</v>
      </c>
      <c r="G70" s="369">
        <f>+'[6]EEFF '!$B$100</f>
        <v>268433554</v>
      </c>
      <c r="H70" s="40" t="s">
        <v>304</v>
      </c>
      <c r="I70" s="41">
        <v>44129.599999999999</v>
      </c>
      <c r="J70" s="42">
        <f t="shared" si="5"/>
        <v>6887.4</v>
      </c>
      <c r="K70" s="369">
        <f t="shared" si="4"/>
        <v>303938207.03999996</v>
      </c>
    </row>
    <row r="71" spans="3:11">
      <c r="C71" s="37" t="s">
        <v>884</v>
      </c>
      <c r="D71" s="40" t="s">
        <v>304</v>
      </c>
      <c r="E71" s="41">
        <v>0</v>
      </c>
      <c r="F71" s="42">
        <f t="shared" si="6"/>
        <v>7090.2</v>
      </c>
      <c r="G71" s="369">
        <f t="shared" si="7"/>
        <v>0</v>
      </c>
      <c r="H71" s="40" t="s">
        <v>304</v>
      </c>
      <c r="I71" s="41">
        <v>361.69</v>
      </c>
      <c r="J71" s="42">
        <f t="shared" si="5"/>
        <v>6887.4</v>
      </c>
      <c r="K71" s="369">
        <f t="shared" si="4"/>
        <v>2491103.7059999998</v>
      </c>
    </row>
    <row r="72" spans="3:11">
      <c r="C72" s="37" t="s">
        <v>885</v>
      </c>
      <c r="D72" s="40" t="s">
        <v>304</v>
      </c>
      <c r="E72" s="41">
        <v>0</v>
      </c>
      <c r="F72" s="42">
        <f t="shared" si="6"/>
        <v>7090.2</v>
      </c>
      <c r="G72" s="369">
        <f>+F72*E72</f>
        <v>0</v>
      </c>
      <c r="H72" s="40" t="s">
        <v>304</v>
      </c>
      <c r="I72" s="41">
        <v>685999.73</v>
      </c>
      <c r="J72" s="42">
        <f t="shared" si="5"/>
        <v>6887.4</v>
      </c>
      <c r="K72" s="369">
        <f>+I72*J72</f>
        <v>4724754540.4019995</v>
      </c>
    </row>
    <row r="73" spans="3:11">
      <c r="C73" s="37" t="s">
        <v>886</v>
      </c>
      <c r="D73" s="40" t="s">
        <v>304</v>
      </c>
      <c r="E73" s="41">
        <v>0</v>
      </c>
      <c r="F73" s="42">
        <f t="shared" si="6"/>
        <v>7090.2</v>
      </c>
      <c r="G73" s="369">
        <f>+F73*E73</f>
        <v>0</v>
      </c>
      <c r="H73" s="40" t="s">
        <v>304</v>
      </c>
      <c r="I73" s="41">
        <v>-3327.12</v>
      </c>
      <c r="J73" s="42">
        <f t="shared" si="5"/>
        <v>6887.4</v>
      </c>
      <c r="K73" s="369">
        <f>+I73*J73</f>
        <v>-22915206.287999999</v>
      </c>
    </row>
    <row r="74" spans="3:11">
      <c r="C74" s="36" t="s">
        <v>54</v>
      </c>
      <c r="D74" s="37"/>
      <c r="E74" s="41"/>
      <c r="F74" s="42">
        <f>+F71</f>
        <v>7090.2</v>
      </c>
      <c r="G74" s="369">
        <f t="shared" si="7"/>
        <v>0</v>
      </c>
      <c r="H74" s="37"/>
      <c r="I74" s="41"/>
      <c r="J74" s="42">
        <f t="shared" si="5"/>
        <v>6887.4</v>
      </c>
      <c r="K74" s="369">
        <f t="shared" si="4"/>
        <v>0</v>
      </c>
    </row>
    <row r="75" spans="3:11">
      <c r="C75" s="37" t="s">
        <v>332</v>
      </c>
      <c r="D75" s="40" t="s">
        <v>304</v>
      </c>
      <c r="E75" s="41">
        <v>0</v>
      </c>
      <c r="F75" s="42">
        <f t="shared" si="6"/>
        <v>7090.2</v>
      </c>
      <c r="G75" s="369">
        <f t="shared" si="7"/>
        <v>0</v>
      </c>
      <c r="H75" s="40" t="s">
        <v>304</v>
      </c>
      <c r="I75" s="41">
        <v>0</v>
      </c>
      <c r="J75" s="42">
        <f t="shared" si="5"/>
        <v>6887.4</v>
      </c>
      <c r="K75" s="369">
        <f t="shared" si="4"/>
        <v>0</v>
      </c>
    </row>
    <row r="76" spans="3:11">
      <c r="C76" s="37" t="s">
        <v>333</v>
      </c>
      <c r="D76" s="40" t="s">
        <v>304</v>
      </c>
      <c r="E76" s="41">
        <v>0</v>
      </c>
      <c r="F76" s="42">
        <f t="shared" si="6"/>
        <v>7090.2</v>
      </c>
      <c r="G76" s="369">
        <f t="shared" si="7"/>
        <v>0</v>
      </c>
      <c r="H76" s="40" t="s">
        <v>304</v>
      </c>
      <c r="I76" s="41">
        <v>0</v>
      </c>
      <c r="J76" s="42">
        <f t="shared" si="5"/>
        <v>6887.4</v>
      </c>
      <c r="K76" s="369">
        <f t="shared" si="4"/>
        <v>0</v>
      </c>
    </row>
    <row r="77" spans="3:11">
      <c r="C77" s="37" t="s">
        <v>62</v>
      </c>
      <c r="D77" s="40" t="s">
        <v>304</v>
      </c>
      <c r="E77" s="41">
        <v>0</v>
      </c>
      <c r="F77" s="42">
        <f t="shared" si="6"/>
        <v>7090.2</v>
      </c>
      <c r="G77" s="369">
        <f t="shared" si="7"/>
        <v>0</v>
      </c>
      <c r="H77" s="40" t="s">
        <v>304</v>
      </c>
      <c r="I77" s="41">
        <v>0</v>
      </c>
      <c r="J77" s="42">
        <f t="shared" si="5"/>
        <v>6887.4</v>
      </c>
      <c r="K77" s="369">
        <f t="shared" si="4"/>
        <v>0</v>
      </c>
    </row>
    <row r="78" spans="3:11">
      <c r="C78" s="37" t="s">
        <v>75</v>
      </c>
      <c r="D78" s="40" t="s">
        <v>304</v>
      </c>
      <c r="E78" s="41">
        <v>0</v>
      </c>
      <c r="F78" s="42">
        <f t="shared" si="6"/>
        <v>7090.2</v>
      </c>
      <c r="G78" s="369">
        <f t="shared" si="7"/>
        <v>0</v>
      </c>
      <c r="H78" s="40" t="s">
        <v>304</v>
      </c>
      <c r="I78" s="41">
        <v>0</v>
      </c>
      <c r="J78" s="42">
        <f t="shared" si="5"/>
        <v>6887.4</v>
      </c>
      <c r="K78" s="369">
        <f t="shared" si="4"/>
        <v>0</v>
      </c>
    </row>
    <row r="79" spans="3:11">
      <c r="C79" s="37" t="s">
        <v>334</v>
      </c>
      <c r="D79" s="40" t="s">
        <v>304</v>
      </c>
      <c r="E79" s="41">
        <v>0</v>
      </c>
      <c r="F79" s="42">
        <f t="shared" si="6"/>
        <v>7090.2</v>
      </c>
      <c r="G79" s="369">
        <f t="shared" si="7"/>
        <v>0</v>
      </c>
      <c r="H79" s="40" t="s">
        <v>304</v>
      </c>
      <c r="I79" s="41">
        <v>0</v>
      </c>
      <c r="J79" s="42">
        <f t="shared" si="5"/>
        <v>6887.4</v>
      </c>
      <c r="K79" s="369">
        <f t="shared" si="4"/>
        <v>0</v>
      </c>
    </row>
    <row r="80" spans="3:11">
      <c r="C80" s="43" t="s">
        <v>335</v>
      </c>
      <c r="D80" s="47"/>
      <c r="E80" s="41"/>
      <c r="F80" s="42">
        <f t="shared" si="6"/>
        <v>7090.2</v>
      </c>
      <c r="G80" s="369">
        <f t="shared" si="7"/>
        <v>0</v>
      </c>
      <c r="H80" s="47"/>
      <c r="I80" s="41"/>
      <c r="J80" s="42">
        <f t="shared" si="5"/>
        <v>6887.4</v>
      </c>
      <c r="K80" s="369">
        <f t="shared" si="4"/>
        <v>0</v>
      </c>
    </row>
    <row r="81" spans="3:11">
      <c r="C81" s="36" t="s">
        <v>86</v>
      </c>
      <c r="D81" s="37"/>
      <c r="E81" s="41"/>
      <c r="F81" s="42">
        <f t="shared" si="6"/>
        <v>7090.2</v>
      </c>
      <c r="G81" s="369">
        <f t="shared" si="7"/>
        <v>0</v>
      </c>
      <c r="H81" s="37"/>
      <c r="I81" s="41"/>
      <c r="J81" s="42">
        <f t="shared" si="5"/>
        <v>6887.4</v>
      </c>
      <c r="K81" s="369">
        <f t="shared" si="4"/>
        <v>0</v>
      </c>
    </row>
    <row r="82" spans="3:11">
      <c r="C82" s="37" t="s">
        <v>330</v>
      </c>
      <c r="D82" s="40" t="s">
        <v>304</v>
      </c>
      <c r="E82" s="41">
        <v>0</v>
      </c>
      <c r="F82" s="42">
        <f t="shared" si="6"/>
        <v>7090.2</v>
      </c>
      <c r="G82" s="369">
        <f t="shared" si="7"/>
        <v>0</v>
      </c>
      <c r="H82" s="40" t="s">
        <v>304</v>
      </c>
      <c r="I82" s="41">
        <v>0</v>
      </c>
      <c r="J82" s="42">
        <f t="shared" si="5"/>
        <v>6887.4</v>
      </c>
      <c r="K82" s="369">
        <f t="shared" si="4"/>
        <v>0</v>
      </c>
    </row>
    <row r="83" spans="3:11">
      <c r="C83" s="37" t="s">
        <v>331</v>
      </c>
      <c r="D83" s="40" t="s">
        <v>304</v>
      </c>
      <c r="E83" s="41">
        <v>0</v>
      </c>
      <c r="F83" s="42">
        <f t="shared" si="6"/>
        <v>7090.2</v>
      </c>
      <c r="G83" s="369">
        <f t="shared" si="7"/>
        <v>0</v>
      </c>
      <c r="H83" s="40" t="s">
        <v>304</v>
      </c>
      <c r="I83" s="41">
        <v>0</v>
      </c>
      <c r="J83" s="42">
        <f t="shared" si="5"/>
        <v>6887.4</v>
      </c>
      <c r="K83" s="369">
        <f t="shared" si="4"/>
        <v>0</v>
      </c>
    </row>
    <row r="84" spans="3:11">
      <c r="C84" s="36" t="s">
        <v>71</v>
      </c>
      <c r="D84" s="37"/>
      <c r="E84" s="41"/>
      <c r="F84" s="42">
        <f t="shared" si="6"/>
        <v>7090.2</v>
      </c>
      <c r="G84" s="369">
        <f t="shared" si="7"/>
        <v>0</v>
      </c>
      <c r="H84" s="37"/>
      <c r="I84" s="41"/>
      <c r="J84" s="42">
        <f t="shared" si="5"/>
        <v>6887.4</v>
      </c>
      <c r="K84" s="369">
        <f t="shared" si="4"/>
        <v>0</v>
      </c>
    </row>
    <row r="85" spans="3:11">
      <c r="C85" s="37" t="s">
        <v>52</v>
      </c>
      <c r="D85" s="40" t="s">
        <v>304</v>
      </c>
      <c r="E85" s="41">
        <v>0</v>
      </c>
      <c r="F85" s="42">
        <f t="shared" si="6"/>
        <v>7090.2</v>
      </c>
      <c r="G85" s="369">
        <f t="shared" si="7"/>
        <v>0</v>
      </c>
      <c r="H85" s="40" t="s">
        <v>304</v>
      </c>
      <c r="I85" s="41">
        <v>0</v>
      </c>
      <c r="J85" s="42">
        <f t="shared" si="5"/>
        <v>6887.4</v>
      </c>
      <c r="K85" s="369">
        <f t="shared" si="4"/>
        <v>0</v>
      </c>
    </row>
    <row r="86" spans="3:11">
      <c r="C86" s="37" t="s">
        <v>336</v>
      </c>
      <c r="D86" s="40" t="s">
        <v>304</v>
      </c>
      <c r="E86" s="41">
        <v>0</v>
      </c>
      <c r="F86" s="42">
        <f t="shared" si="6"/>
        <v>7090.2</v>
      </c>
      <c r="G86" s="369">
        <f t="shared" si="7"/>
        <v>0</v>
      </c>
      <c r="H86" s="40" t="s">
        <v>304</v>
      </c>
      <c r="I86" s="41">
        <v>0</v>
      </c>
      <c r="J86" s="42">
        <f t="shared" si="5"/>
        <v>6887.4</v>
      </c>
      <c r="K86" s="369">
        <f t="shared" si="4"/>
        <v>0</v>
      </c>
    </row>
    <row r="87" spans="3:11">
      <c r="C87" s="37" t="s">
        <v>337</v>
      </c>
      <c r="D87" s="40" t="s">
        <v>304</v>
      </c>
      <c r="E87" s="41">
        <v>0</v>
      </c>
      <c r="F87" s="42">
        <f t="shared" si="6"/>
        <v>7090.2</v>
      </c>
      <c r="G87" s="369">
        <f t="shared" si="7"/>
        <v>0</v>
      </c>
      <c r="H87" s="40" t="s">
        <v>304</v>
      </c>
      <c r="I87" s="41">
        <v>0</v>
      </c>
      <c r="J87" s="42">
        <f t="shared" si="5"/>
        <v>6887.4</v>
      </c>
      <c r="K87" s="369">
        <f t="shared" si="4"/>
        <v>0</v>
      </c>
    </row>
    <row r="88" spans="3:11">
      <c r="C88" s="37" t="s">
        <v>968</v>
      </c>
      <c r="D88" s="40" t="s">
        <v>304</v>
      </c>
      <c r="E88" s="41">
        <f>+G88/F88</f>
        <v>0</v>
      </c>
      <c r="F88" s="42">
        <f t="shared" si="6"/>
        <v>7090.2</v>
      </c>
      <c r="G88" s="369">
        <v>0</v>
      </c>
      <c r="H88" s="40" t="s">
        <v>304</v>
      </c>
      <c r="I88" s="41">
        <v>0</v>
      </c>
      <c r="J88" s="42">
        <f t="shared" si="5"/>
        <v>6887.4</v>
      </c>
      <c r="K88" s="369">
        <f t="shared" si="4"/>
        <v>0</v>
      </c>
    </row>
    <row r="91" spans="3:11">
      <c r="C91" s="27" t="s">
        <v>512</v>
      </c>
    </row>
    <row r="93" spans="3:11">
      <c r="C93" s="49"/>
      <c r="D93" s="719">
        <f>+D7</f>
        <v>44834</v>
      </c>
      <c r="E93" s="720"/>
      <c r="F93" s="719">
        <f>+E7</f>
        <v>44561</v>
      </c>
      <c r="G93" s="719"/>
      <c r="H93" s="720"/>
    </row>
    <row r="94" spans="3:11" ht="48">
      <c r="C94" s="35" t="s">
        <v>338</v>
      </c>
      <c r="D94" s="50" t="s">
        <v>339</v>
      </c>
      <c r="E94" s="50" t="s">
        <v>340</v>
      </c>
      <c r="F94" s="50" t="s">
        <v>341</v>
      </c>
      <c r="G94" s="373"/>
      <c r="H94" s="50" t="s">
        <v>342</v>
      </c>
    </row>
    <row r="95" spans="3:11" ht="25.5" customHeight="1">
      <c r="C95" s="51" t="s">
        <v>343</v>
      </c>
      <c r="D95" s="52">
        <f>+D8</f>
        <v>7078.87</v>
      </c>
      <c r="E95" s="53">
        <f>+'Estado de Resultado Resol. 30'!D94</f>
        <v>2198941046</v>
      </c>
      <c r="F95" s="54">
        <v>6891.96</v>
      </c>
      <c r="G95" s="53"/>
      <c r="H95" s="53">
        <f>+'Estado de Resultado Resol. 30'!E94</f>
        <v>3002351618</v>
      </c>
      <c r="I95" s="325"/>
      <c r="J95" s="55"/>
      <c r="K95" s="55"/>
    </row>
    <row r="96" spans="3:11" ht="25.5" customHeight="1">
      <c r="C96" s="51" t="s">
        <v>344</v>
      </c>
      <c r="D96" s="52">
        <f>+D9</f>
        <v>7090.2</v>
      </c>
      <c r="E96" s="53">
        <v>0</v>
      </c>
      <c r="F96" s="54">
        <v>6941.65</v>
      </c>
      <c r="G96" s="53"/>
      <c r="H96" s="53">
        <v>0</v>
      </c>
      <c r="J96" s="115"/>
      <c r="K96" s="115"/>
    </row>
    <row r="97" spans="3:8" ht="25.5" customHeight="1">
      <c r="C97" s="51" t="s">
        <v>345</v>
      </c>
      <c r="D97" s="52">
        <f>+D95</f>
        <v>7078.87</v>
      </c>
      <c r="E97" s="53">
        <f>+'Estado de Resultado Resol. 30'!D97</f>
        <v>1415957255</v>
      </c>
      <c r="F97" s="54">
        <v>6891.96</v>
      </c>
      <c r="G97" s="53"/>
      <c r="H97" s="53">
        <f>+'Estado de Resultado Resol. 30'!E97</f>
        <v>1143722259</v>
      </c>
    </row>
    <row r="98" spans="3:8" ht="25.5" customHeight="1">
      <c r="C98" s="51" t="s">
        <v>346</v>
      </c>
      <c r="D98" s="52">
        <f>+D96</f>
        <v>7090.2</v>
      </c>
      <c r="E98" s="53">
        <v>0</v>
      </c>
      <c r="F98" s="54">
        <v>6941.65</v>
      </c>
      <c r="G98" s="53"/>
      <c r="H98" s="53">
        <v>0</v>
      </c>
    </row>
    <row r="99" spans="3:8">
      <c r="C99" s="49" t="s">
        <v>347</v>
      </c>
      <c r="D99" s="56"/>
      <c r="E99" s="56">
        <f>+E95+E96-E97-E98</f>
        <v>782983791</v>
      </c>
      <c r="F99" s="56"/>
      <c r="G99" s="118"/>
      <c r="H99" s="56">
        <f>+H95+H96-H97-H98</f>
        <v>1858629359</v>
      </c>
    </row>
    <row r="100" spans="3:8">
      <c r="E100" s="326"/>
    </row>
    <row r="101" spans="3:8">
      <c r="E101" s="572">
        <f>+'Estado de Resultado Resol. 30'!D94-'Estado de Resultado Resol. 30'!D97-E99</f>
        <v>0</v>
      </c>
      <c r="F101" s="39"/>
      <c r="H101" s="572">
        <f>+'Estado de Resultado Resol. 30'!E94-'Estado de Resultado Resol. 30'!E97-H99</f>
        <v>0</v>
      </c>
    </row>
    <row r="102" spans="3:8">
      <c r="E102" s="39"/>
      <c r="F102" s="39"/>
      <c r="H102" s="39"/>
    </row>
  </sheetData>
  <mergeCells count="5">
    <mergeCell ref="D93:E93"/>
    <mergeCell ref="F93:H93"/>
    <mergeCell ref="D14:G15"/>
    <mergeCell ref="H14:K15"/>
    <mergeCell ref="C3:K3"/>
  </mergeCells>
  <hyperlinks>
    <hyperlink ref="C4" location="'Balance Gral. Resol. 30'!A1" display="'Balance Gral. Resol. 30'!A1" xr:uid="{00000000-0004-0000-0800-000000000000}"/>
  </hyperlinks>
  <pageMargins left="0.7" right="0.7" top="0.75" bottom="0.75" header="0.3" footer="0.3"/>
  <pageSetup paperSize="9" orientation="portrait" horizontalDpi="300" verticalDpi="300"/>
  <drawing r:id="rId1"/>
</worksheet>
</file>

<file path=_xmlsignatures/_rels/origin1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iutXd3ghipajvrknlbG6BCUFePhPPAJLu25GcAybvfE=</DigestValue>
    </Reference>
    <Reference Type="http://www.w3.org/2000/09/xmldsig#Object" URI="#idOfficeObject">
      <DigestMethod Algorithm="http://www.w3.org/2001/04/xmlenc#sha256"/>
      <DigestValue>y0ZtTZ3frBEFxdPPKxK0wjvjKQqVgJzVMVwx7Dy4EFQ=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AEBPOGk+ZWiB5smCU3+WGL7Vjwcz7yhFSlDyj8DprO0=</DigestValue>
    </Reference>
    <Reference Type="http://www.w3.org/2000/09/xmldsig#Object" URI="#idValidSigLnImg">
      <DigestMethod Algorithm="http://www.w3.org/2001/04/xmlenc#sha256"/>
      <DigestValue>+N1zKY+cfJKBrCW4sU8S6W5kkDxX3xotuBrT5BZ+i7o=</DigestValue>
    </Reference>
    <Reference Type="http://www.w3.org/2000/09/xmldsig#Object" URI="#idInvalidSigLnImg">
      <DigestMethod Algorithm="http://www.w3.org/2001/04/xmlenc#sha256"/>
      <DigestValue>3QJZOIP46qalDdoAFviWhZkalcN2kMyYfmN7wbYB25Q=</DigestValue>
    </Reference>
  </SignedInfo>
  <SignatureValue>Uq2/kLzrLBY+8j42uR2q7Rw4Dxk/IxFhPl9KtmN/OXZoPz4GGDVl0jGBD2KsICFYZfyJd9dhH68i
uutiAXuX/98gjr9MHgdbv0L2usz5lD+bn56BVB2uOdqC0LfjoELbTcHRvdu1y0tuoUEQEclrVlld
bAs0Ule5Qyo86snpnNSFidnHsTtf9Zm3Na+KBeO6O+PbZYhuY82BeeGfb3Yk8ZzpJdHlWZYgzttx
lK3Rn9S2I910o8L08qE1vNGpyMelxQYkfgeEtuPtFF0/CW47ZuirMCz/SNzbqP8nM0fIPDx4faeP
UbBX/O5zvUXfW+IiJDjwF/bvIMGoSjQYN3qnMw==</SignatureValue>
  <KeyInfo>
    <X509Data>
      <X509Certificate>MIIH9DCCBdygAwIBAgIIUtUs/w76PIAwDQYJKoZIhvcNAQELBQAwWzEXMBUGA1UEBRMOUlVDIDgwMDUwMTcyLTExGjAYBgNVBAMTEUNBLURPQ1VNRU5UQSBTLkEuMRcwFQYDVQQKEw5ET0NVTUVOVEEgUy5BLjELMAkGA1UEBhMCUFkwHhcNMjEwNzEzMTk1MDM4WhcNMjMwNzEzMjAwMDM4WjCBjzELMAkGA1UEBhMCUFkxEDAOBgNVBAQMB1BFUkVJUkExEjAQBgNVBAUTCUNJMTU0Nzk1ODESMBAGA1UEKgwJU0FEWSBTTUlEMRcwFQYDVQQKDA5QRVJTT05BIEZJU0lDQTERMA8GA1UECwwIRklSTUEgRjIxGjAYBgNVBAMMEVNBRFkgU01JRCBQRVJFSVJBMIIBIjANBgkqhkiG9w0BAQEFAAOCAQ8AMIIBCgKCAQEArt41jT0GieWkuyfrfvkSLWbpUv4h6xmCwXZu+NE4qktvu+e+Hbx7hYCeyZsjgD47+ZOYpJer4/57Gp95icMpwFI8WDd31Cg7w4Yu2j+oZSEyKvL5tpa2x0RR3FdnsNu9vu5xziRk6BZ48nb701+Hp6inkVOgF6UPl9RDeddz3mgDRflWG4hfZluMaqfs6uMdMQ6F+nez9VXmf2YX72TUzCSxzI9F1QHHhPozMy8bnOnhQkKrssStO5gpSxwrl9OEaCQDYbNd1IK1T66148LmektBBqiDI099RFLUYXTrlcBuSSqWU7dt1mC+V0/c/AFU8O6jW1fLapXzx2VR5pY2BQIDAQABo4IDhTCCA4EwDAYDVR0TAQH/BAIwADAOBgNVHQ8BAf8EBAMCBeAwKgYDVR0lAQH/BCAwHgYIKwYBBQUHAwEGCCsGAQUFBwMCBggrBgEFBQcDBDAdBgNVHQ4EFgQUVPthvMLN92wA+cWG7NWsBfWynqMwgZcGCCsGAQUFBwEBBIGKMIGHMDoGCCsGAQUFBzABhi5odHRwczovL3d3dy5kb2N1bWVudGEuY29tLnB5L2Zpcm1hZGlnaXRhbC9vc2NwMEkGCCsGAQUFBzAChj1odHRwczovL3d3dy5kb2N1bWVudGEuY29tLnB5L2Zpcm1hZGlnaXRhbC9kZXNjYXJnYXMvY2Fkb2MuY3J0MB8GA1UdIwQYMBaAFEAmrCZcYo/G9QJU5I3BGibW7qWyME8GA1UdHwRIMEYwRKBCoECGPmh0dHBzOi8vd3d3LmRvY3VtZW50YS5jb20ucHkvZmlybWFkaWdpdGFsL2Rlc2Nhcmdhcy9jcmxkb2MuY3JsMCkGA1UdEQQiMCCBHnNhZHkucGVyZWlyYUBpbnBvc2l0aXZhLmNvbS5weTCCAd0GA1UdIASCAdQwggHQMIIBzAYOKwYBBAGC+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FORXPTGtJOmLsZaKmB5CTme0/+xJkT/FfdwugysWEhSs3ePJmJ3RqsSsGbJCLay1uwUDLXTwNFrO23Qtu3+Huc61jrzZkxqdMzzPToBw2QeoxeTsywerWvbIM04MDczr+OPSe5o5VvyQ+kSS3+FY47ecHIMhYkCn8+zUjcT8lJ701cGSH6PcjjKPOs2yqTCADtS19YauiQeUVcoS0YipSBztVteeXYzu0IVMwsWOHmkwDEtKwuDo07XwSUAnaNRK2qpgLfhU+M8kSsUhcwZ3oMdr2gK/qHMhdDqwzzqHbxCXj2+3m7cpMpeauftQp98qAORlqQixSTgw9hnQ36ItxjVg1cvmImDj8q7qsz5PKzG4INCRYb8eJk9XCVAQi24EeaviLr7imIf5NyRO7as7rWT/Jxle/iaeJgdrUj7eoSZAgjxJoOKwPI34jr07NRUoYBgnXNBOb5YpSTY3UGh1CLIrw2vG6t9YYimneJfJdjuoymv56BrmfYMgKGj59aQ5lSVQSJVsfznkSj7fMVCs8dvdpjfGOS18DQOxDQlZNE8aWPIs21ysE0+YnudfXvIG/yDRGDgPLJspyxPqfi2DnfVBAQ5EJ5jC7Fx79DzQiWPeH915B5vpoX4IfxIcEJqQMWMhk+Qs/el5Qwx7D1AgpsBWAvPjPZ7CyJmK2llI47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DY/jaOQPWhWmcbkqVDKEjwyKdetOhntbOxh5PmHV44Y=</DigestValue>
      </Reference>
      <Reference URI="/xl/calcChain.xml?ContentType=application/vnd.openxmlformats-officedocument.spreadsheetml.calcChain+xml">
        <DigestMethod Algorithm="http://www.w3.org/2001/04/xmlenc#sha256"/>
        <DigestValue>e7aNCECBVH6zBzUP4Z/jmnAgpuvTlH6PfxHfdiG0N4U=</DigestValue>
      </Reference>
      <Reference URI="/xl/comments1.xml?ContentType=application/vnd.openxmlformats-officedocument.spreadsheetml.comments+xml">
        <DigestMethod Algorithm="http://www.w3.org/2001/04/xmlenc#sha256"/>
        <DigestValue>FQEmLUVp4bU3K796vBKZ5jQfY2KE2hj2q4I8rC0gAeg=</DigestValue>
      </Reference>
      <Reference URI="/xl/comments2.xml?ContentType=application/vnd.openxmlformats-officedocument.spreadsheetml.comments+xml">
        <DigestMethod Algorithm="http://www.w3.org/2001/04/xmlenc#sha256"/>
        <DigestValue>91+i9ilkZvzMMEqdJFve/LqH86D9H1mgaetfFfcuCWE=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QBGRECwR0XOmOfLaC+mT0g4rVxEIMgWxf6UbzIzBS2M=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7uvnapVg0/Y3PmP7gmt4GR0ywN9FnOr8ujPWXu0tkj4=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rJxMnzeU9eTlC6zMQFEz88mU6dcMOQWWzK0onhOH5Rg=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wiVXcumh6XRk4gh9ePNTZYLp6zAWq5kSxnA3Dnf6ChM=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MWO52TusuC6HBjk/jKqQbr4b/cGPk1HPL5gMkQXvhjg=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WucWt59+Ya9ds73FAtdeK0yBo3jdFNm8cEbwTlEVgog=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sFkbjBQ210f/6OZ2/s0ZyG6fwKVn1+Q/VUMl+RfdppA=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jcdjE7CI5cOc8SWLiXvvSgcAJQTkajAMN9vCiRmxV5s=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2XEJzTeHFmlBxwDTFLW04cOe0zHEItv5/9XmjJ/7zSc=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pYBTBUOMcRvE6spqZliIq/D8kueE3P0yqmFZCQjrxTU=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NdrNV4OTE/kTC6PmJWNAw3AXczhtLiDBpKGMk859sIg=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tZ/VXIVJP/94RMYzaAXufLc42FzGsqsL6XY7jc6JzAA=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jyhYPhXJVl9Z6NquIRkNP5P8m5FLQxYEOhh/7hLUceY=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V36SKR7s6zN+dPfpLTn0XwD2z6Xatj2GPc8KgBimHdo=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SzUwfM+070WfaihxKf2Tz9lK1xmsim2Zq7/Kq5lbAZ0=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9oZOvz116V2KJExU+fflxJ2HMBOVSpuYRl6+lYugQdA=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t4ijl1+v8IzzX/jMcI30Wqf1ef/NpgEjiPHxDPAoTmM=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8lZnWYrt8tB8aouUUDyUhZImLeEXtf0jolkx+Yi7024=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j79VH7ko70R7pttbrbb54NwBUX8PiGH2zPclev8hocs=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gFfeqwamM25+Fvm4soG/GGqnzMqGsvCzfb3WapD3ZDw=</DigestValue>
      </Reference>
      <Reference URI="/xl/drawings/drawing1.xml?ContentType=application/vnd.openxmlformats-officedocument.drawing+xml">
        <DigestMethod Algorithm="http://www.w3.org/2001/04/xmlenc#sha256"/>
        <DigestValue>ufu79n8uQmSfXgJLvbOO43QrONArlKTcPHzFfwJBcfA=</DigestValue>
      </Reference>
      <Reference URI="/xl/drawings/drawing10.xml?ContentType=application/vnd.openxmlformats-officedocument.drawing+xml">
        <DigestMethod Algorithm="http://www.w3.org/2001/04/xmlenc#sha256"/>
        <DigestValue>bMzYlbFZlOEYZv6ldxn5d/Z1Eq0AbQdo7DWU2i59c94=</DigestValue>
      </Reference>
      <Reference URI="/xl/drawings/drawing11.xml?ContentType=application/vnd.openxmlformats-officedocument.drawing+xml">
        <DigestMethod Algorithm="http://www.w3.org/2001/04/xmlenc#sha256"/>
        <DigestValue>J/82zSRKkU7jj1FXa0SAEzyee/RMd42eXJpWePqALZs=</DigestValue>
      </Reference>
      <Reference URI="/xl/drawings/drawing12.xml?ContentType=application/vnd.openxmlformats-officedocument.drawing+xml">
        <DigestMethod Algorithm="http://www.w3.org/2001/04/xmlenc#sha256"/>
        <DigestValue>6rWsSrxLtkOjx+qqo29b2WpZF2vhk4aqojrwZGTHYjs=</DigestValue>
      </Reference>
      <Reference URI="/xl/drawings/drawing13.xml?ContentType=application/vnd.openxmlformats-officedocument.drawing+xml">
        <DigestMethod Algorithm="http://www.w3.org/2001/04/xmlenc#sha256"/>
        <DigestValue>U9WtVfh7rGAdkTjGMWLpeyqnhlY0Xk24Ey0GbRDv49g=</DigestValue>
      </Reference>
      <Reference URI="/xl/drawings/drawing14.xml?ContentType=application/vnd.openxmlformats-officedocument.drawing+xml">
        <DigestMethod Algorithm="http://www.w3.org/2001/04/xmlenc#sha256"/>
        <DigestValue>qxeDrAaokxFrD4PMYLONtt+OX2lJMOZmokWiCBzN4y4=</DigestValue>
      </Reference>
      <Reference URI="/xl/drawings/drawing15.xml?ContentType=application/vnd.openxmlformats-officedocument.drawing+xml">
        <DigestMethod Algorithm="http://www.w3.org/2001/04/xmlenc#sha256"/>
        <DigestValue>a7NidxZ5He6DVnLx3AnsZg0vmiJQo/2aw1BIynWdOX0=</DigestValue>
      </Reference>
      <Reference URI="/xl/drawings/drawing16.xml?ContentType=application/vnd.openxmlformats-officedocument.drawing+xml">
        <DigestMethod Algorithm="http://www.w3.org/2001/04/xmlenc#sha256"/>
        <DigestValue>CIQeGlSSTdb0/X3lUeGqSJpRYVdPVyQPSMyHwBsw8zk=</DigestValue>
      </Reference>
      <Reference URI="/xl/drawings/drawing17.xml?ContentType=application/vnd.openxmlformats-officedocument.drawing+xml">
        <DigestMethod Algorithm="http://www.w3.org/2001/04/xmlenc#sha256"/>
        <DigestValue>4jQGTbe4TSqtisgr6X5El+GKU0rCzLY6f+s0riMXims=</DigestValue>
      </Reference>
      <Reference URI="/xl/drawings/drawing18.xml?ContentType=application/vnd.openxmlformats-officedocument.drawing+xml">
        <DigestMethod Algorithm="http://www.w3.org/2001/04/xmlenc#sha256"/>
        <DigestValue>hXlbdPeAhyWc8mQb7p5KTOQzyArfalSY4VuHQ8UbTvc=</DigestValue>
      </Reference>
      <Reference URI="/xl/drawings/drawing19.xml?ContentType=application/vnd.openxmlformats-officedocument.drawing+xml">
        <DigestMethod Algorithm="http://www.w3.org/2001/04/xmlenc#sha256"/>
        <DigestValue>pGOHBayKv3B0S6jHpNrCTUOm/uPtsSZIuHveVHfh+A8=</DigestValue>
      </Reference>
      <Reference URI="/xl/drawings/drawing2.xml?ContentType=application/vnd.openxmlformats-officedocument.drawing+xml">
        <DigestMethod Algorithm="http://www.w3.org/2001/04/xmlenc#sha256"/>
        <DigestValue>F7+D+TJC0aga8aHva21vdUem9PQ2E3qz/4opyJJNvP0=</DigestValue>
      </Reference>
      <Reference URI="/xl/drawings/drawing20.xml?ContentType=application/vnd.openxmlformats-officedocument.drawing+xml">
        <DigestMethod Algorithm="http://www.w3.org/2001/04/xmlenc#sha256"/>
        <DigestValue>7ybzdYLBjXrq98Lz4L0pIhCcXYspACI4LY8zuqVQfMw=</DigestValue>
      </Reference>
      <Reference URI="/xl/drawings/drawing21.xml?ContentType=application/vnd.openxmlformats-officedocument.drawing+xml">
        <DigestMethod Algorithm="http://www.w3.org/2001/04/xmlenc#sha256"/>
        <DigestValue>v8B94MfOtXxV5lkFQEoOJo9qIYsIbMZecvjUin0EP5g=</DigestValue>
      </Reference>
      <Reference URI="/xl/drawings/drawing22.xml?ContentType=application/vnd.openxmlformats-officedocument.drawing+xml">
        <DigestMethod Algorithm="http://www.w3.org/2001/04/xmlenc#sha256"/>
        <DigestValue>6ydlXxFN7dalJ+QvS1WIbLznC7yBGPAkXuAkYZnsyyY=</DigestValue>
      </Reference>
      <Reference URI="/xl/drawings/drawing23.xml?ContentType=application/vnd.openxmlformats-officedocument.drawing+xml">
        <DigestMethod Algorithm="http://www.w3.org/2001/04/xmlenc#sha256"/>
        <DigestValue>EZjMn8BQoGBUhZ6qV2/dIenygy8bZaiqAyilvmvp/v4=</DigestValue>
      </Reference>
      <Reference URI="/xl/drawings/drawing24.xml?ContentType=application/vnd.openxmlformats-officedocument.drawing+xml">
        <DigestMethod Algorithm="http://www.w3.org/2001/04/xmlenc#sha256"/>
        <DigestValue>fEvwN+EoGKfJNpB76l3PPgogAXPiPEdMr/xtfp6oCZk=</DigestValue>
      </Reference>
      <Reference URI="/xl/drawings/drawing25.xml?ContentType=application/vnd.openxmlformats-officedocument.drawing+xml">
        <DigestMethod Algorithm="http://www.w3.org/2001/04/xmlenc#sha256"/>
        <DigestValue>mFE5xjCi3TisXDu4Arkr1mCggWKoYLJAW5OyhhbFOVs=</DigestValue>
      </Reference>
      <Reference URI="/xl/drawings/drawing26.xml?ContentType=application/vnd.openxmlformats-officedocument.drawing+xml">
        <DigestMethod Algorithm="http://www.w3.org/2001/04/xmlenc#sha256"/>
        <DigestValue>nRxi2JkSctSIid0aiubIFPwUh+5soh10ejnyuG10MB4=</DigestValue>
      </Reference>
      <Reference URI="/xl/drawings/drawing27.xml?ContentType=application/vnd.openxmlformats-officedocument.drawing+xml">
        <DigestMethod Algorithm="http://www.w3.org/2001/04/xmlenc#sha256"/>
        <DigestValue>4XBZ/7gZW6V5V+At7ddkvx/A6OqiSLOKt0tw2m8tTpo=</DigestValue>
      </Reference>
      <Reference URI="/xl/drawings/drawing3.xml?ContentType=application/vnd.openxmlformats-officedocument.drawing+xml">
        <DigestMethod Algorithm="http://www.w3.org/2001/04/xmlenc#sha256"/>
        <DigestValue>rQuif9XqGpRkrgWiNWoCXX5Crxw+sysbXwxK1hU2Vwg=</DigestValue>
      </Reference>
      <Reference URI="/xl/drawings/drawing4.xml?ContentType=application/vnd.openxmlformats-officedocument.drawing+xml">
        <DigestMethod Algorithm="http://www.w3.org/2001/04/xmlenc#sha256"/>
        <DigestValue>9E9hqa7lNCKzvG5cl22NonpqaG2PglMd+Vv5u1dlwtw=</DigestValue>
      </Reference>
      <Reference URI="/xl/drawings/drawing5.xml?ContentType=application/vnd.openxmlformats-officedocument.drawing+xml">
        <DigestMethod Algorithm="http://www.w3.org/2001/04/xmlenc#sha256"/>
        <DigestValue>ZfSTRHmJhGEhifJ/0tiGXkxyJYHCiY3IBFnYpVL8meQ=</DigestValue>
      </Reference>
      <Reference URI="/xl/drawings/drawing6.xml?ContentType=application/vnd.openxmlformats-officedocument.drawing+xml">
        <DigestMethod Algorithm="http://www.w3.org/2001/04/xmlenc#sha256"/>
        <DigestValue>6la5PHoQGnBr/4Yb/oQFHRurvMqJZDugu/u5MmfnMmY=</DigestValue>
      </Reference>
      <Reference URI="/xl/drawings/drawing7.xml?ContentType=application/vnd.openxmlformats-officedocument.drawing+xml">
        <DigestMethod Algorithm="http://www.w3.org/2001/04/xmlenc#sha256"/>
        <DigestValue>Br/Ho7U6vf1fXmKSIFPkSTD6b72Q+4chd3Aq/Kgc0Fs=</DigestValue>
      </Reference>
      <Reference URI="/xl/drawings/drawing8.xml?ContentType=application/vnd.openxmlformats-officedocument.drawing+xml">
        <DigestMethod Algorithm="http://www.w3.org/2001/04/xmlenc#sha256"/>
        <DigestValue>/GrbYfM02CEFnvMEi9tdw8i96d+5m/tvAyfEPYQQ+zo=</DigestValue>
      </Reference>
      <Reference URI="/xl/drawings/drawing9.xml?ContentType=application/vnd.openxmlformats-officedocument.drawing+xml">
        <DigestMethod Algorithm="http://www.w3.org/2001/04/xmlenc#sha256"/>
        <DigestValue>mHbWi6amgkrgD5T4m6aPkyX59R6rAxsnZO71hRUqd4U=</DigestValue>
      </Reference>
      <Reference URI="/xl/drawings/vmlDrawing1.vml?ContentType=application/vnd.openxmlformats-officedocument.vmlDrawing">
        <DigestMethod Algorithm="http://www.w3.org/2001/04/xmlenc#sha256"/>
        <DigestValue>bTssVfWjAo9Z7cAaPvzZcI/L+/vRjlSq7y/coej/0vg=</DigestValue>
      </Reference>
      <Reference URI="/xl/drawings/vmlDrawing2.vml?ContentType=application/vnd.openxmlformats-officedocument.vmlDrawing">
        <DigestMethod Algorithm="http://www.w3.org/2001/04/xmlenc#sha256"/>
        <DigestValue>qUwWspRnWQmHN59RcaDhvnEHtDILM8FXeGWu76yT5iw=</DigestValue>
      </Reference>
      <Reference URI="/xl/drawings/vmlDrawing3.vml?ContentType=application/vnd.openxmlformats-officedocument.vmlDrawing">
        <DigestMethod Algorithm="http://www.w3.org/2001/04/xmlenc#sha256"/>
        <DigestValue>5oQaJ8Ii13h9NCvCZKtn1LdwTbYPNKM9BpcZrYlQeX0=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uWAOY4Iu2pcUiZ9YhGX7Rck8c9WzAN8+Zy/XjcBE6Pc=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nc1aASMLIXyIkoUP6YIrCCvmvuByxqXZ8yP1Ceattnw=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EU62LlnH8Pa+ZZbVkO+TrRDr2eJk7+0WoUp70FMSpQA=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T2oVCtd2EEdu5GnmW/kmePzRwPy4q9hftzgKnuqewsU=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7G2PP01HNhddgWOJssZuxwiQeVurYxlbAqe7Hd/IEbw=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fQ8w1ki5VWYsz29kLTk2sg9hJ9/gXLRT1t+E6HV8mPc=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fUpAYqdpeFHTWoq60uj0zsOqMYHKH8a83UElcSX8QvU=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6HLYxfxruTSIp0nHOTaDVE8szkGzSOBeoy0pSo2VSNs=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Jxv1rQKZnfEFOoxbvuKkI4CCWtZ56tnizzNQGMESkbY=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GguMh+0mvld0y0YPg+uS4elUh6p5kFvIVi89O+THOZY=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/dBhU+jDAdzjb7iveRmI22cNlrSPaU/jNJVOVoO8bmU=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Uv6ItKJqMDQqxcR9BbVAaXSjkvQAi/6RDJlon0IV8Po=</DigestValue>
      </Reference>
      <Reference URI="/xl/media/image1.jpeg?ContentType=image/jpeg">
        <DigestMethod Algorithm="http://www.w3.org/2001/04/xmlenc#sha256"/>
        <DigestValue>n74/6hMahXOHJMx4WvzgWwhiD5xMpfB9meYG2iaBCD8=</DigestValue>
      </Reference>
      <Reference URI="/xl/media/image10.jpeg?ContentType=image/jpeg">
        <DigestMethod Algorithm="http://www.w3.org/2001/04/xmlenc#sha256"/>
        <DigestValue>pXadGojiFK1bfSqN0MqJB5WEivn1gP+s6wZic+GcD6o=</DigestValue>
      </Reference>
      <Reference URI="/xl/media/image11.jpeg?ContentType=image/jpeg">
        <DigestMethod Algorithm="http://www.w3.org/2001/04/xmlenc#sha256"/>
        <DigestValue>VhpKFb2/T+OWBPUXO/qatVnlu9l+ZSLSkFaJH61p424=</DigestValue>
      </Reference>
      <Reference URI="/xl/media/image12.jpeg?ContentType=image/jpeg">
        <DigestMethod Algorithm="http://www.w3.org/2001/04/xmlenc#sha256"/>
        <DigestValue>v28SkczqzYKIY3m9Kh4gXtfFKDfJxkq2eRQbOja+5Jo=</DigestValue>
      </Reference>
      <Reference URI="/xl/media/image13.jpeg?ContentType=image/jpeg">
        <DigestMethod Algorithm="http://www.w3.org/2001/04/xmlenc#sha256"/>
        <DigestValue>oc+5b0e4S8bPRQBblJGUMUYVkfkR9vzVzkU+edt25Oo=</DigestValue>
      </Reference>
      <Reference URI="/xl/media/image14.jpeg?ContentType=image/jpeg">
        <DigestMethod Algorithm="http://www.w3.org/2001/04/xmlenc#sha256"/>
        <DigestValue>L8wG8UlcngdGU5tCsCsGt+Tbi6yn55oVps1iZ2LkwSM=</DigestValue>
      </Reference>
      <Reference URI="/xl/media/image15.jpeg?ContentType=image/jpeg">
        <DigestMethod Algorithm="http://www.w3.org/2001/04/xmlenc#sha256"/>
        <DigestValue>0HwGJ+0rCoheXzKIWN2g9Ys/56ySRZ/4Q9gg0neSFyU=</DigestValue>
      </Reference>
      <Reference URI="/xl/media/image16.jpeg?ContentType=image/jpeg">
        <DigestMethod Algorithm="http://www.w3.org/2001/04/xmlenc#sha256"/>
        <DigestValue>ncTBDh7SVjtSas+YHM5m0WN1XOqpSZFHtGV5WmUnCog=</DigestValue>
      </Reference>
      <Reference URI="/xl/media/image17.jpeg?ContentType=image/jpeg">
        <DigestMethod Algorithm="http://www.w3.org/2001/04/xmlenc#sha256"/>
        <DigestValue>2TEGt8Wczr/kiZ3tEMFTgSYbynbK9qwPyLgHPvWKJEc=</DigestValue>
      </Reference>
      <Reference URI="/xl/media/image18.jpeg?ContentType=image/jpeg">
        <DigestMethod Algorithm="http://www.w3.org/2001/04/xmlenc#sha256"/>
        <DigestValue>w77tbw8DJXt4mramX19QNCMzvYIQmmIPu3sbunlU+5o=</DigestValue>
      </Reference>
      <Reference URI="/xl/media/image19.jpeg?ContentType=image/jpeg">
        <DigestMethod Algorithm="http://www.w3.org/2001/04/xmlenc#sha256"/>
        <DigestValue>OMIqJG6StErtoj41fjLC3sCX1GnQcM0pKU+iguq5plI=</DigestValue>
      </Reference>
      <Reference URI="/xl/media/image2.png?ContentType=image/png">
        <DigestMethod Algorithm="http://www.w3.org/2001/04/xmlenc#sha256"/>
        <DigestValue>2aiLeRWQ7DSEqYHtVtpWEVpYjwa80q5EAe0Y3H6bnqY=</DigestValue>
      </Reference>
      <Reference URI="/xl/media/image20.jpeg?ContentType=image/jpeg">
        <DigestMethod Algorithm="http://www.w3.org/2001/04/xmlenc#sha256"/>
        <DigestValue>IWpHvGq9Le3urmlOCxRcAuqwJvFrBpb0npGPUJUEHg8=</DigestValue>
      </Reference>
      <Reference URI="/xl/media/image21.jpeg?ContentType=image/jpeg">
        <DigestMethod Algorithm="http://www.w3.org/2001/04/xmlenc#sha256"/>
        <DigestValue>zWHsHt4tgdrtkEXOqpuBv6aG/gepmKuf/udpC4m3IrU=</DigestValue>
      </Reference>
      <Reference URI="/xl/media/image22.jpeg?ContentType=image/jpeg">
        <DigestMethod Algorithm="http://www.w3.org/2001/04/xmlenc#sha256"/>
        <DigestValue>vv0nhgohd9zE36puPfAgocgfUoQzp1kBNBx65LY7gr8=</DigestValue>
      </Reference>
      <Reference URI="/xl/media/image23.jpeg?ContentType=image/jpeg">
        <DigestMethod Algorithm="http://www.w3.org/2001/04/xmlenc#sha256"/>
        <DigestValue>RNzkHEpPXN32KTAkmCflxGznXjzHWKKLtC/oH6rRgD4=</DigestValue>
      </Reference>
      <Reference URI="/xl/media/image24.jpeg?ContentType=image/jpeg">
        <DigestMethod Algorithm="http://www.w3.org/2001/04/xmlenc#sha256"/>
        <DigestValue>7mO+vHuspRv90St6UvfTYiVNjS2+itw5wf1diqvThkM=</DigestValue>
      </Reference>
      <Reference URI="/xl/media/image3.jpeg?ContentType=image/jpeg">
        <DigestMethod Algorithm="http://www.w3.org/2001/04/xmlenc#sha256"/>
        <DigestValue>D1XTM301U5+qxDMOVMSPvpemh5/dc9CcH/xPYRXqhBg=</DigestValue>
      </Reference>
      <Reference URI="/xl/media/image4.emf?ContentType=image/x-emf">
        <DigestMethod Algorithm="http://www.w3.org/2001/04/xmlenc#sha256"/>
        <DigestValue>7QKImOHS/p4FdDjoq3318o/m4D6+Pn3Bm9Cwy+uMpzM=</DigestValue>
      </Reference>
      <Reference URI="/xl/media/image5.emf?ContentType=image/x-emf">
        <DigestMethod Algorithm="http://www.w3.org/2001/04/xmlenc#sha256"/>
        <DigestValue>LC4UQs4UEBb70bZ6eWd4NklnO9LCjZALCHyLWosNnVo=</DigestValue>
      </Reference>
      <Reference URI="/xl/media/image6.jpeg?ContentType=image/jpeg">
        <DigestMethod Algorithm="http://www.w3.org/2001/04/xmlenc#sha256"/>
        <DigestValue>+VV/+wQWzMe817snuzpgOS0pqzVQHbYc1pasrtFNt60=</DigestValue>
      </Reference>
      <Reference URI="/xl/media/image7.jpeg?ContentType=image/jpeg">
        <DigestMethod Algorithm="http://www.w3.org/2001/04/xmlenc#sha256"/>
        <DigestValue>1XeKQ/1tciZDihNj+nshVP3bOUgn6MsL1y9ca2W1Gqc=</DigestValue>
      </Reference>
      <Reference URI="/xl/media/image8.jpeg?ContentType=image/jpeg">
        <DigestMethod Algorithm="http://www.w3.org/2001/04/xmlenc#sha256"/>
        <DigestValue>/BOqjwF/CUc/d78k006qoC8YfPCOD7ZjoJ4W0l/xmeE=</DigestValue>
      </Reference>
      <Reference URI="/xl/media/image9.jpeg?ContentType=image/jpeg">
        <DigestMethod Algorithm="http://www.w3.org/2001/04/xmlenc#sha256"/>
        <DigestValue>JiJWxfL5MTyjJkZVzkjchEePe27rZP7BjrbTnrCKBsQ=</DigestValue>
      </Reference>
      <Reference URI="/xl/persons/person.xml?ContentType=application/vnd.ms-excel.person+xml">
        <DigestMethod Algorithm="http://www.w3.org/2001/04/xmlenc#sha256"/>
        <DigestValue>xETDL4wweeeAvwYqCXlKrLkvwX+7HkZAY+jGD6uzKoc=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7FK+7ND2wkX5JRID7I5pGN2xS08AkOKCreOpDVpwU38=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kVk8PUww/KLBxPMDbbtfl+DscFooavbqVwRNUDoaaXQ=</DigestValue>
      </Reference>
      <Reference URI="/xl/sharedStrings.xml?ContentType=application/vnd.openxmlformats-officedocument.spreadsheetml.sharedStrings+xml">
        <DigestMethod Algorithm="http://www.w3.org/2001/04/xmlenc#sha256"/>
        <DigestValue>8yU8oZjrSmM1HirbwAKOL+pCjvGhpnX5QqpZ+QEM9Mc=</DigestValue>
      </Reference>
      <Reference URI="/xl/styles.xml?ContentType=application/vnd.openxmlformats-officedocument.spreadsheetml.styles+xml">
        <DigestMethod Algorithm="http://www.w3.org/2001/04/xmlenc#sha256"/>
        <DigestValue>wNh7VNdp80e6qo4Eiejjbuh6E45G/10/rIQXvQEUi+I=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eHOanvuZtkLoibWsilz/SIVdSFbmd1zatAqwf3uQxPs=</DigestValue>
      </Reference>
      <Reference URI="/xl/workbook.xml?ContentType=application/vnd.openxmlformats-officedocument.spreadsheetml.sheet.main+xml">
        <DigestMethod Algorithm="http://www.w3.org/2001/04/xmlenc#sha256"/>
        <DigestValue>GG3ShlkwIe6+laBUW1cFv/flpLI0JaDVet39UCmanro=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hlX9gQHuzx56YhcKzgHvK3N5MwnGcFK7/Yfps5n9mUE=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Xet1BY6IM0Rtl7sCB63O3akUmC5SBpqmcFW1IR+Uhf4=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Jy8QUNxrX6WRT8nF6vEJpsGsfq5aqyxc0AcRfdPFR28=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EVXMmtbrK05YSYRgw5FgQD3Dc1yMJuinCK6QQtulNOM=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sheet1.xml?ContentType=application/vnd.openxmlformats-officedocument.spreadsheetml.worksheet+xml">
        <DigestMethod Algorithm="http://www.w3.org/2001/04/xmlenc#sha256"/>
        <DigestValue>HzhTyj5n2cH0vr8MTmFleEE42pOKiLscKCRmKLLnMf4=</DigestValue>
      </Reference>
      <Reference URI="/xl/worksheets/sheet10.xml?ContentType=application/vnd.openxmlformats-officedocument.spreadsheetml.worksheet+xml">
        <DigestMethod Algorithm="http://www.w3.org/2001/04/xmlenc#sha256"/>
        <DigestValue>1SlHKj8u7oDgHcCWwI9O74vsd2Yy+E2UQFR0FHdRJJI=</DigestValue>
      </Reference>
      <Reference URI="/xl/worksheets/sheet11.xml?ContentType=application/vnd.openxmlformats-officedocument.spreadsheetml.worksheet+xml">
        <DigestMethod Algorithm="http://www.w3.org/2001/04/xmlenc#sha256"/>
        <DigestValue>eYD6ckI/BWl8OIXG4sBygr669MyRhLAa+R1jbaVd02A=</DigestValue>
      </Reference>
      <Reference URI="/xl/worksheets/sheet12.xml?ContentType=application/vnd.openxmlformats-officedocument.spreadsheetml.worksheet+xml">
        <DigestMethod Algorithm="http://www.w3.org/2001/04/xmlenc#sha256"/>
        <DigestValue>bUuvNGjCK8Ab0ZYHYaH3dVSQdZcxO8SNPOfCCB2jpNE=</DigestValue>
      </Reference>
      <Reference URI="/xl/worksheets/sheet13.xml?ContentType=application/vnd.openxmlformats-officedocument.spreadsheetml.worksheet+xml">
        <DigestMethod Algorithm="http://www.w3.org/2001/04/xmlenc#sha256"/>
        <DigestValue>Ammmetid3lteDF/NtJzovMYze6T4tlRyT7yYviE192Y=</DigestValue>
      </Reference>
      <Reference URI="/xl/worksheets/sheet14.xml?ContentType=application/vnd.openxmlformats-officedocument.spreadsheetml.worksheet+xml">
        <DigestMethod Algorithm="http://www.w3.org/2001/04/xmlenc#sha256"/>
        <DigestValue>eselzf2H3tZmGD3avmyWPxatKrrzUNtS1O7GBDpLEJk=</DigestValue>
      </Reference>
      <Reference URI="/xl/worksheets/sheet15.xml?ContentType=application/vnd.openxmlformats-officedocument.spreadsheetml.worksheet+xml">
        <DigestMethod Algorithm="http://www.w3.org/2001/04/xmlenc#sha256"/>
        <DigestValue>Bx1EiaHYHFIfxQO9tPrGxApX7ddRyIIZJV8Qvx0BmYk=</DigestValue>
      </Reference>
      <Reference URI="/xl/worksheets/sheet16.xml?ContentType=application/vnd.openxmlformats-officedocument.spreadsheetml.worksheet+xml">
        <DigestMethod Algorithm="http://www.w3.org/2001/04/xmlenc#sha256"/>
        <DigestValue>ZuJTZR1Uk4xNzRyoii20P3uIk8O+FAGc5mK8TiWdsaI=</DigestValue>
      </Reference>
      <Reference URI="/xl/worksheets/sheet17.xml?ContentType=application/vnd.openxmlformats-officedocument.spreadsheetml.worksheet+xml">
        <DigestMethod Algorithm="http://www.w3.org/2001/04/xmlenc#sha256"/>
        <DigestValue>pR1O+mniAge0EEeC9b6IrA5botaPlHG/8kVVah1fLPQ=</DigestValue>
      </Reference>
      <Reference URI="/xl/worksheets/sheet18.xml?ContentType=application/vnd.openxmlformats-officedocument.spreadsheetml.worksheet+xml">
        <DigestMethod Algorithm="http://www.w3.org/2001/04/xmlenc#sha256"/>
        <DigestValue>dTXKIvwv57XVkIf3FOP6EBQlmTUfMHCNbgaJC7o2jIQ=</DigestValue>
      </Reference>
      <Reference URI="/xl/worksheets/sheet19.xml?ContentType=application/vnd.openxmlformats-officedocument.spreadsheetml.worksheet+xml">
        <DigestMethod Algorithm="http://www.w3.org/2001/04/xmlenc#sha256"/>
        <DigestValue>fIyQClsDUQHCuoejoF/17qwSFnNyTdibgxycdbR4c6o=</DigestValue>
      </Reference>
      <Reference URI="/xl/worksheets/sheet2.xml?ContentType=application/vnd.openxmlformats-officedocument.spreadsheetml.worksheet+xml">
        <DigestMethod Algorithm="http://www.w3.org/2001/04/xmlenc#sha256"/>
        <DigestValue>aEAcSNXBvJhGuAiq+0YqcVd0fE70tFyQ97xqHZhR7Sw=</DigestValue>
      </Reference>
      <Reference URI="/xl/worksheets/sheet20.xml?ContentType=application/vnd.openxmlformats-officedocument.spreadsheetml.worksheet+xml">
        <DigestMethod Algorithm="http://www.w3.org/2001/04/xmlenc#sha256"/>
        <DigestValue>QghlWzMW9twBcZh+4UdoUqafXFfFOB6lCbHakF4L8mU=</DigestValue>
      </Reference>
      <Reference URI="/xl/worksheets/sheet21.xml?ContentType=application/vnd.openxmlformats-officedocument.spreadsheetml.worksheet+xml">
        <DigestMethod Algorithm="http://www.w3.org/2001/04/xmlenc#sha256"/>
        <DigestValue>JiRNkEn1rbBVyaKogZl/fgVjllgWOm3j/76bQYe5gis=</DigestValue>
      </Reference>
      <Reference URI="/xl/worksheets/sheet22.xml?ContentType=application/vnd.openxmlformats-officedocument.spreadsheetml.worksheet+xml">
        <DigestMethod Algorithm="http://www.w3.org/2001/04/xmlenc#sha256"/>
        <DigestValue>/zvddBbl8UlmUTuYtAXkU8fydrWyBKT+V1NDNA22Gt0=</DigestValue>
      </Reference>
      <Reference URI="/xl/worksheets/sheet23.xml?ContentType=application/vnd.openxmlformats-officedocument.spreadsheetml.worksheet+xml">
        <DigestMethod Algorithm="http://www.w3.org/2001/04/xmlenc#sha256"/>
        <DigestValue>mstwXoDa0Jn2J3W9M7jMEHO5GFhqz/1RG2MO+Ahjd0Q=</DigestValue>
      </Reference>
      <Reference URI="/xl/worksheets/sheet24.xml?ContentType=application/vnd.openxmlformats-officedocument.spreadsheetml.worksheet+xml">
        <DigestMethod Algorithm="http://www.w3.org/2001/04/xmlenc#sha256"/>
        <DigestValue>/GsJg5vo6J7LnD4dk/JJTbwGO6rJTFb3N/JyPfh8lHo=</DigestValue>
      </Reference>
      <Reference URI="/xl/worksheets/sheet25.xml?ContentType=application/vnd.openxmlformats-officedocument.spreadsheetml.worksheet+xml">
        <DigestMethod Algorithm="http://www.w3.org/2001/04/xmlenc#sha256"/>
        <DigestValue>OqE31pgPyb37hDcJhQAQvhtr8Dn8XO5DM3jAU79B0Zc=</DigestValue>
      </Reference>
      <Reference URI="/xl/worksheets/sheet26.xml?ContentType=application/vnd.openxmlformats-officedocument.spreadsheetml.worksheet+xml">
        <DigestMethod Algorithm="http://www.w3.org/2001/04/xmlenc#sha256"/>
        <DigestValue>UAa9zHoRWwprKnvSCRIzYPq/uQtVBfu4TUM74NkVfAI=</DigestValue>
      </Reference>
      <Reference URI="/xl/worksheets/sheet27.xml?ContentType=application/vnd.openxmlformats-officedocument.spreadsheetml.worksheet+xml">
        <DigestMethod Algorithm="http://www.w3.org/2001/04/xmlenc#sha256"/>
        <DigestValue>y4dU0Ce3X8cbvV+vS0IaVIUVUz652HwVIWTwEZm2m8s=</DigestValue>
      </Reference>
      <Reference URI="/xl/worksheets/sheet28.xml?ContentType=application/vnd.openxmlformats-officedocument.spreadsheetml.worksheet+xml">
        <DigestMethod Algorithm="http://www.w3.org/2001/04/xmlenc#sha256"/>
        <DigestValue>3FVfqXsn97KMui0Njn7hUBEN+FsV8p12H3n69HERBNI=</DigestValue>
      </Reference>
      <Reference URI="/xl/worksheets/sheet3.xml?ContentType=application/vnd.openxmlformats-officedocument.spreadsheetml.worksheet+xml">
        <DigestMethod Algorithm="http://www.w3.org/2001/04/xmlenc#sha256"/>
        <DigestValue>OfYP2jDmjCLNikwvz4sArkji8RkdBUyNfJzo3Ja5xgc=</DigestValue>
      </Reference>
      <Reference URI="/xl/worksheets/sheet4.xml?ContentType=application/vnd.openxmlformats-officedocument.spreadsheetml.worksheet+xml">
        <DigestMethod Algorithm="http://www.w3.org/2001/04/xmlenc#sha256"/>
        <DigestValue>DVHBW/7LKvGvvjNWtFbCGzIT0IW4m1Uz0RL/FSlkLZI=</DigestValue>
      </Reference>
      <Reference URI="/xl/worksheets/sheet5.xml?ContentType=application/vnd.openxmlformats-officedocument.spreadsheetml.worksheet+xml">
        <DigestMethod Algorithm="http://www.w3.org/2001/04/xmlenc#sha256"/>
        <DigestValue>3tyWnKoxsrzEJip8OHGfHQAwelKXCt/gqN97FnKip/M=</DigestValue>
      </Reference>
      <Reference URI="/xl/worksheets/sheet6.xml?ContentType=application/vnd.openxmlformats-officedocument.spreadsheetml.worksheet+xml">
        <DigestMethod Algorithm="http://www.w3.org/2001/04/xmlenc#sha256"/>
        <DigestValue>5L/UC+rEJqJREdetDv3buztRLoWrfAZSToR/9bdIcLI=</DigestValue>
      </Reference>
      <Reference URI="/xl/worksheets/sheet7.xml?ContentType=application/vnd.openxmlformats-officedocument.spreadsheetml.worksheet+xml">
        <DigestMethod Algorithm="http://www.w3.org/2001/04/xmlenc#sha256"/>
        <DigestValue>vCTr2EJFqDCz4IMKVR706OB/4xLjXTL1CY1kTYUEFdM=</DigestValue>
      </Reference>
      <Reference URI="/xl/worksheets/sheet8.xml?ContentType=application/vnd.openxmlformats-officedocument.spreadsheetml.worksheet+xml">
        <DigestMethod Algorithm="http://www.w3.org/2001/04/xmlenc#sha256"/>
        <DigestValue>vpQYxptJ7XP2sNbUxvqR9CK+vKMQ6+81uNK97NU8PaU=</DigestValue>
      </Reference>
      <Reference URI="/xl/worksheets/sheet9.xml?ContentType=application/vnd.openxmlformats-officedocument.spreadsheetml.worksheet+xml">
        <DigestMethod Algorithm="http://www.w3.org/2001/04/xmlenc#sha256"/>
        <DigestValue>ww2JUN9GLDV8RA63f8KK3y/cBqVqndLGbeyuO7WAmlQ=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2022-11-15T00:27:58Z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{6BACF563-08FD-44F5-AD47-1E12C17925DA}</SetupID>
          <SignatureText>SSP</SignatureText>
          <SignatureImage/>
          <SignatureComments/>
          <WindowsVersion>10.0</WindowsVersion>
          <OfficeVersion>16.0.15726/23</OfficeVersion>
          <ApplicationVersion>16.0.15726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2022-11-15T00:27:58Z</xd:SigningTime>
          <xd:SigningCertificate>
            <xd:Cert>
              <xd:CertDigest>
                <DigestMethod Algorithm="http://www.w3.org/2001/04/xmlenc#sha256"/>
                <DigestValue>RR82xaApwsdPRi5aWWFB1dGt18jdore6L+DwQwFIPoU=</DigestValue>
              </xd:CertDigest>
              <xd:IssuerSerial>
                <X509IssuerName>C=PY, O=DOCUMENTA S.A., CN=CA-DOCUMENTA S.A., SERIALNUMBER=RUC 80050172-1</X509IssuerName>
                <X509SerialNumber>5968726355129023616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D8BAACfAAAAAAAAAAAAAABlFgAAKwsAACBFTUYAAAEAJBsAAKo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O4AAAAFAAAAMQEAABUAAADuAAAABQAAAEQ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GC277rJAAAAEwAAAAAAAABIAAAAAAAAAAQemZv4fwAAoOO2m/h/AABAIpmb+H8AAAEAAAAAAAAAyEeZm/h/AAAAAJgL+X8AAAAAAAAAAAAAAAAAAAAAAACH9eAL+X8AABBvoQEWAgAAq9+hCfl/AAAwt++6yQAAAMm377rJAAAAAAAAAAAAAAAAAAAAZHYACAAAAAAlAAAADAAAAAEAAAAYAAAADAAAAAAAAAASAAAADAAAAAEAAAAeAAAAGAAAAO4AAAAFAAAAMgEAABYAAAAlAAAADAAAAAEAAABUAAAAiAAAAO8AAAAFAAAAMAEAABUAAAABAAAAVVWPQYX2jkHvAAAABQAAAAoAAABMAAAAAAAAAAAAAAAAAAAA//////////9gAAAAMQA0AC8AMQAxAC8AMgAwADIAMg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EAAAAWAgAASCfuuskAAAAA8WVC81kAAIg+xQn5fwAAAAAAAAAAAAAJAAAAAAAAAAAAAAAAAAAAiCsJm/h/AAAAAAAAAAAAAAAAAAAAAAAA+rOOwykkAADIKO66yQAAAAQAAAAAAAAA0B31NhYCAAAQb6EBFgIAAPAp7roAAAAAAAAAAAAAAAAHAAAAAAAAADjDAxAWAgAALCnuuskAAABpKe66yQAAAHHNnQn5fwAAaQBhAGwAAAAAAAAAAAAAAAAAAAAAAAAAAAAAAAAAAAAQb6EBFgIAAKvfoQn5fwAA0CjuuskAAABpKe66yQAAANAd9TYWAgAAAAAAAGR2AAgAAAAAJQAAAAwAAAACAAAAJwAAABgAAAADAAAAAAAAAAAAAAAAAAAAJQAAAAwAAAADAAAATAAAAGQAAAAAAAAAAAAAAP//////////AAAAABwAAAAAAAAAPwAAACEA8AAAAAAAAAAAAAAAgD8AAAAAAAAAAAAAgD8AAAAAAAAAAAAAAAAAAAAAAAAAAAAAAAAAAAAAAAAAACUAAAAMAAAAAAAAgCgAAAAMAAAAAwAAACcAAAAYAAAAAwAAAAAAAAAAAAAAAAAAACUAAAAMAAAAAwAAAEwAAABkAAAAAAAAAAAAAAD//////////wAAAAAcAAAAQAEAAAAAAAAhAPAAAAAAAAAAAAAAAIA/AAAAAAAAAAAAAIA/AAAAAAAAAAAAAAAAAAAAAAAAAAAAAAAAAAAAAAAAAAAlAAAADAAAAAAAAIAoAAAADAAAAAMAAAAnAAAAGAAAAAMAAAAAAAAAAAAAAAAAAAAlAAAADAAAAAMAAABMAAAAZAAAAAAAAAAAAAAA//////////9AAQAAHAAAAAAAAAA/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///8AAAAAACUAAAAMAAAAAwAAAEwAAABkAAAAAAAAABwAAAA/AQAAWgAAAAAAAAAcAAAAQAEAAD8AAAAhAPAAAAAAAAAAAAAAAIA/AAAAAAAAAAAAAIA/AAAAAAAAAAAAAAAAAAAAAAAAAAAAAAAAAAAAAAAAAAAlAAAADAAAAAAAAIAoAAAADAAAAAMAAAAnAAAAGAAAAAMAAAAAAAAA////AAAAAAAlAAAADAAAAAMAAABMAAAAZAAAAAsAAAA3AAAAIQAAAFoAAAALAAAANwAAABcAAAAkAAAAIQDwAAAAAAAAAAAAAACAPwAAAAAAAAAAAACAPwAAAAAAAAAAAAAAAAAAAAAAAAAAAAAAAAAAAAAAAAAAJQAAAAwAAAAAAACAKAAAAAwAAAADAAAAUgAAAHABAAADAAAA4P///wAAAAAAAAAAAAAAAJABAAAAAAABAAAAAGEAcgBpAGEAbAAAAAAAAAAAAAAAAAAAAAAAAAAAAAAAAAAAAAAAAAAAAAAAAAAAAAAAAAAAAAAAAAAAAAAAAAAAAAAAqN18mvh/AACJjPaZ+H8AAAAAAAD4fwAAiD7FCfl/AAAAAAAAAAAAAJBbfJr4fwAAAQAAAAAAAAAg43ya+H8AAAAAAAAAAAAAAAAAAAAAAABqsI7DKSQAAMEn7rrJAAAAkPZjEBYCAADg////AAAAABBvoQEWAgAAmCnuugAAAAAAAAAAAAAAAAYAAAAAAAAAIAAAAAAAAAC8KO66yQAAAPko7rrJAAAAcc2dCfl/AADgCmR/FgIAAAAAAAAAAAAAICnuuskAAAA8hR2p+H8AABBvoQEWAgAAq9+hCfl/AABgKO66yQAAAPko7rrJAAAAAAavARYCAAAAAAAAZHYACAAAAAAlAAAADAAAAAMAAAAYAAAADAAAAAAAAAASAAAADAAAAAEAAAAWAAAADAAAAAgAAABUAAAAVAAAAAwAAAA3AAAAIAAAAFoAAAABAAAAVVWPQYX2jkEMAAAAWwAAAAEAAABMAAAABAAAAAsAAAA3AAAAIgAAAFsAAABQAAAAWAAAABUAAAAWAAAADAAAAAAAAAAlAAAADAAAAAIAAAAnAAAAGAAAAAQAAAAAAAAA////AAAAAAAlAAAADAAAAAQAAABMAAAAZAAAADAAAAAgAAAANAEAAFoAAAAwAAAAIAAAAAUBAAA7AAAAIQDwAAAAAAAAAAAAAACAPwAAAAAAAAAAAACAPwAAAAAAAAAAAAAAAAAAAAAAAAAAAAAAAAAAAAAAAAAAJQAAAAwAAAAAAACAKAAAAAwAAAAEAAAAJwAAABgAAAAEAAAAAAAAAP///wAAAAAAJQAAAAwAAAAEAAAATAAAAGQAAAAwAAAAIAAAADQBAABWAAAAMAAAACAAAAAFAQAANwAAACEA8AAAAAAAAAAAAAAAgD8AAAAAAAAAAAAAgD8AAAAAAAAAAAAAAAAAAAAAAAAAAAAAAAAAAAAAAAAAACUAAAAMAAAAAAAAgCgAAAAMAAAABAAAACcAAAAYAAAABAAAAAAAAAD///8AAAAAACUAAAAMAAAABAAAAEwAAABkAAAAMAAAADsAAABSAAAAVgAAADAAAAA7AAAAIwAAABwAAAAhAPAAAAAAAAAAAAAAAIA/AAAAAAAAAAAAAIA/AAAAAAAAAAAAAAAAAAAAAAAAAAAAAAAAAAAAAAAAAAAlAAAADAAAAAAAAIAoAAAADAAAAAQAAABSAAAAcAEAAAQAAADs////AAAAAAAAAAAAAAAAkAEAAAAAAAEAAAAAcwBlAGcAbwBlACAAdQBpAAAAAAAAAAAAAAAAAAAAAAAAAAAAAAAAAAAAAAAAAAAAAAAAAAAAAAAAAAAAAAAAAAAAAAAAAAAAAAAAAAgAAAD/////2PN8mvh/AACIPsUJ+X8AAAAAAAAAAAAAcHfqNxYCAABwd+o3FgIAAAAAAAAAAAAAAAAAAAAAAAAAAAAAAAAAAKqzjsMpJAAAtnLtmfh/AADY83ya+H8AAOz///8AAAAAEG+hARYCAADYKe66AAAAAAAAAAAAAAAACQAAAAAAAAAgAAAAAAAAAPwo7rrJAAAAOSnuuskAAABxzZ0J+X8AANjzfJr4fwAA2PN8mgAAAAAIAAAAAAEAAAAAAAAAAAAAEG+hARYCAACr36EJ+X8AAKAo7rrJAAAAOSnuuskAAACwIvU2FgIAAAAAAABkdgAIAAAAACUAAAAMAAAABAAAABgAAAAMAAAAAAAAABIAAAAMAAAAAQAAAB4AAAAYAAAAMAAAADsAAABTAAAAVwAAACUAAAAMAAAABAAAAFQAAABgAAAAMQAAADsAAABRAAAAVgAAAAEAAABVVY9BhfaOQTEAAAA7AAAAAwAAAEwAAAAAAAAAAAAAAAAAAAD//////////1QAAABTAFMAUAAAAAsAAAALAAAACwAAAEsAAABAAAAAMAAAAAUAAAAgAAAAAQAAAAEAAAAQAAAAAAAAAAAAAABAAQAAoAAAAAAAAAAAAAAAQAEAAKAAAAAlAAAADAAAAAIAAAAnAAAAGAAAAAUAAAAAAAAA////AAAAAAAlAAAADAAAAAUAAABMAAAAZAAAAAAAAABhAAAAPwEAAJsAAAAAAAAAYQAAAEABAAA7AAAAIQDwAAAAAAAAAAAAAACAPwAAAAAAAAAAAACAPwAAAAAAAAAAAAAAAAAAAAAAAAAAAAAAAAAAAAAAAAAAJQAAAAwAAAAAAACAKAAAAAwAAAAFAAAAJwAAABgAAAAFAAAAAAAAAP///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0AAAADwAAAGEAAABtAAAAcQAAAAEAAABVVY9BhfaOQQ8AAABhAAAAEQAAAEwAAAAAAAAAAAAAAAAAAAD//////////3AAAABMAGkAYwAuACAAUwBhAGQAeQAgAFAAZQByAGUAaQByAGEAAAAGAAAAAwAAAAYAAAADAAAABAAAAAcAAAAHAAAACAAAAAYAAAAEAAAABwAAAAcAAAAFAAAABwAAAAMAAAAFAAAABwAAAEsAAABAAAAAMAAAAAUAAAAgAAAAAQAAAAEAAAAQAAAAAAAAAAAAAABAAQAAoAAAAAAAAAAAAAAAQAEAAKAAAAAlAAAADAAAAAIAAAAnAAAAGAAAAAUAAAAAAAAA////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HwAAAAPAAAAdgAAAEUAAACGAAAAAQAAAFVVj0GF9o5BDwAAAHYAAAAIAAAATAAAAAAAAAAAAAAAAAAAAP//////////XAAAAEMAbwBuAHQAYQBkAG8AcgAIAAAACAAAAAcAAAAEAAAABwAAAAgAAAAIAAAABQAAAEsAAABAAAAAMAAAAAUAAAAgAAAAAQAAAAEAAAAQAAAAAAAAAAAAAABAAQAAoAAAAAAAAAAAAAAAQAEAAKAAAAAlAAAADAAAAAIAAAAnAAAAGAAAAAUAAAAAAAAA////AAAAAAAlAAAADAAAAAUAAABMAAAAZAAAAA4AAACLAAAA1QAAAJsAAAAOAAAAiwAAAMgAAAARAAAAIQDwAAAAAAAAAAAAAACAPwAAAAAAAAAAAACAPwAAAAAAAAAAAAAAAAAAAAAAAAAAAAAAAAAAAAAAAAAAJQAAAAwAAAAAAACAKAAAAAwAAAAFAAAAJQAAAAwAAAABAAAAGAAAAAwAAAAAAAAAEgAAAAwAAAABAAAAFgAAAAwAAAAAAAAAVAAAAAABAAAPAAAAiwAAANQAAACbAAAAAQAAAFVVj0GF9o5BDwAAAIsAAAAeAAAATAAAAAQAAAAOAAAAiwAAANYAAACcAAAAiAAAAEYAaQByAG0AYQBkAG8AIABwAG8AcgA6ACAAUwBBAEQAWQAgAFMATQBJAEQAIABQAEUAUgBFAEkAUgBBAAYAAAADAAAABQAAAAsAAAAHAAAACAAAAAgAAAAEAAAACAAAAAgAAAAFAAAAAwAAAAQAAAAHAAAACAAAAAkAAAAHAAAABAAAAAcAAAAMAAAAAwAAAAkAAAAEAAAABwAAAAcAAAAIAAAABwAAAAMAAAAIAAAACAAAABYAAAAMAAAAAAAAACUAAAAMAAAAAgAAAA4AAAAUAAAAAAAAABAAAAAUAAAA</Object>
  <Object Id="idInvalidSigLnImg">AQAAAGwAAAAAAAAAAAAAAD8BAACfAAAAAAAAAAAAAABlFgAAKwsAACBFTUYAAAEAkCAAALEAAAAGAAAAAAAAAAAAAAAAAAAAgAcAADgEAABYAQAAwQAAAAAAAAAAAAAAAAAAAMA/BQDo8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/AQAAnwAAAAAAAAAAAAAAQAEAAKAAAAAhAPAAAAAAAAAAAAAAAIA/AAAAAAAAAAAAAIA/AAAAAAAAAAAAAAAAAAAAAAAAAAAAAAAAAAAAAAAAAAAlAAAADAAAAAAAAIAoAAAADAAAAAEAAAAnAAAAGAAAAAEAAAAAAAAA////AAAAAAAlAAAADAAAAAEAAABMAAAAZAAAAAAAAAAAAAAAPwEAAJ8AAAAAAAAAAAAAAEABAACgAAAAIQDwAAAAAAAAAAAAAACAPwAAAAAAAAAAAACAPwAAAAAAAAAAAAAAAAAAAAAAAAAAAAAAAAAAAAAAAAAAJQAAAAwAAAAAAACAKAAAAAwAAAABAAAAJwAAABgAAAABAAAAAAAAAP///wAAAAAAJQAAAAwAAAABAAAATAAAAGQAAAAAAAAAAAAAAD8BAACfAAAAAAAAAAAAAABAAQAAoAAAACEA8AAAAAAAAAAAAAAAgD8AAAAAAAAAAAAAgD8AAAAAAAAAAAAAAAAAAAAAAAAAAAAAAAAAAAAAAAAAACUAAAAMAAAAAAAAgCgAAAAMAAAAAQAAACcAAAAYAAAAAQAAAAAAAAD///8AAAAAACUAAAAMAAAAAQAAAEwAAABkAAAAAAAAAAQAAAA/AQAAFwAAAAAAAAAEAAAAQAEAABQAAAAhAPAAAAAAAAAAAAAAAIA/AAAAAAAAAAAAAIA/AAAAAAAAAAAAAAAAAAAAAAAAAAAAAAAAAAAAAAAAAAAlAAAADAAAAAAAAIAoAAAADAAAAAEAAAAnAAAAGAAAAAEAAAAAAAAA////AAAAAAAlAAAADAAAAAEAAABMAAAAZAAAAA4AAAAEAAAAIQAAABcAAAAOAAAABAAAABQAAAAUAAAAIQDwAAAAAAAAAAAAAACAPwAAAAAAAAAAAACAPwAAAAAAAAAAAAAAAAAAAAAAAAAAAAAAAAAAAAAAAAAAJQAAAAwAAAAAAACAKAAAAAwAAAABAAAAFQAAAAwAAAADAAAAcgAAAKAEAAAQAAAABQAAAB8AAAAUAAAAEAAAAAUAAAAQAAAAEAAAAAAA/wEAAAAAAAAAAAAAgD8AAAAAAAAAAAAAgD8AAAAAAAAAAP///wAAAAAAbAAAADQAAACgAAAAAAQAABAAAAAQAAAAKAAAABAAAAAQAAAAAQAgAAMAAAAABAAAAAAAAAAAAAAAAAAAAAAAAAAA/wAA/wAA/wAAAAAAAAAAAAAAAAAAAAAAAAArLCzDCwsLMQAAAAAAAAAAAAAAAC0us8ETE0tRAAAAAAAAAAAAAAAAExNLUS0us8EAAAAAAAAAAAAAAAAAAAAAODo6/z5AQPkhIiKXCwsLMQYGBhwTE0tRNTfW5hMTS1EAAAAAExNLUTU31uYTE0tRAAAAAAAAAAAAAAAAAAAAADg6Ov/l5eX/dHZ2+Dg6Ov+DhITmHh4eHxMTS1E1N9bmHh93gDU31uYTE0tRAAAAAAAAAAAAAAAAAAAAAAAAAAA4Ojr/+vr6//r6+v/6+vr/+vr6/8HBwcUAAAAAHh93gDs97f8eH3eAAAAAAAAAAAAAAAAAAAAAAAAAAAAAAAAAODo6//r6+v/6+vr/+vr6/97e3uIeHh4fExNLUTU31uYeH3eANTfW5hMTS1EAAAAAAAAAAAAAAAAAAAAAAAAAADg6Ov/6+vr/+vr6/97e3uIeHh4fExNLUTU31uYTE0tRAAAAABMTS1E1N9bmExNLUQAAAAAAAAAAAAAAAAAAAAA4Ojr/+vr6//r6+v88PDw9AAAAAC0us8ETE0tRAAAAAAAAAAAAAAAAExNLUS0us8EAAAAAAAAAAAAAAAAAAAAAODo6/5GSkv9OUFD/VFZW+iEhITgAAAAABgYGHAAAAAAAAAAAAAAAAAAAAAAAAAAAAAAAAAAAAAAAAAAAAAAAADg6Ov9xcnL/1dXV//r6+v/MzMzlOzs7UkRGRukAAAAAAAAAAAAAAAAAAAAAAAAAAAAAAAAAAAAAAAAAAB4fH4poaWn3+vr6//r6+v/6+vr/+vr6//r6+v9oaWn3Hh8figAAAAAAAAAAAAAAAAAAAAAAAAAAAAAAAAAAAABCRETy1dXV//r6+v/6+vr/+vr6//r6+v/6+vr/1dXV/0JERPIAAAAAAAAAAAAAAAAAAAAAAAAAAAAAAAAAAAAAODo6//r6+v/6+vr/+vr6//r6+v/6+vr/+vr6//r6+v84Ojr/AAAAAAAAAAAAAAAAAAAAAAAAAAAAAAAAAAAAAERGRvTV1dX/+vr6//r6+v/6+vr/+vr6//r6+v/V1dX/REZG9AAAAAAAAAAAAAAAAAAAAAAAAAAAAAAAAAAAAAAsLS2Ybm9v/Pr6+v/6+vr/+vr6//r6+v/6+vr/bm9v/CwtLZgAAAAAAAAAAAAAAAAAAAAAAAAAAAAAAAAAAAAABgYGHERGRulub2/81dXV//r6+v/V1dX/bm9v/EdJSewGBgYcAAAAAAAAAAAAAAAAAAAAAAAAAAAAAAAAAAAAAAAAAAAGBgYcOjs7pkVHR/Y4Ojr/RUdH9jo7O6YGBgYcAAAAAAAAAAAAAAAAAAAAAAAAAAAnAAAAGAAAAAEAAAAAAAAA////AAAAAAAlAAAADAAAAAEAAABMAAAAZAAAADAAAAAFAAAAigAAABUAAAAwAAAABQAAAFsAAAARAAAAIQDwAAAAAAAAAAAAAACAPwAAAAAAAAAAAACAPwAAAAAAAAAAAAAAAAAAAAAAAAAAAAAAAAAAAAAAAAAAJQAAAAwAAAAAAACAKAAAAAwAAAABAAAAUgAAAHABAAABAAAA8////wAAAAAAAAAAAAAAAJABAAAAAAABAAAAAHMAZQBnAG8AZQAgAHUAaQAAAAAAAAAAAAAAAAAAAAAAAAAAAAAAAAAAAAAAAAAAAAAAAAAAAAAAAAAAAAAAAAAAAAAAACAAAAAAAAAA4Lab+H8AAADgtpv4fwAAEwAAAAAAAAAAAJgL+X8AAEUpCZv4fwAAMBaYC/l/AAATAAAAAAAAAOAWAAAAAAAAQAAAwPh/AAAAAJgL+X8AABUsCZv4fwAABAAAAAAAAAAwFpgL+X8AAGC277rJAAAAEwAAAAAAAABIAAAAAAAAAAQemZv4fwAAoOO2m/h/AABAIpmb+H8AAAEAAAAAAAAAyEeZm/h/AAAAAJgL+X8AAAAAAAAAAAAAAAAAAAAAAACH9eAL+X8AABBvoQEWAgAAq9+hCfl/AAAwt++6yQAAAMm377rJAAAAAAAAAAAAAAAAAAAAZHYACAAAAAAlAAAADAAAAAEAAAAYAAAADAAAAP8AAAASAAAADAAAAAEAAAAeAAAAGAAAADAAAAAFAAAAiwAAABYAAAAlAAAADAAAAAEAAABUAAAAqAAAADEAAAAFAAAAiQAAABUAAAABAAAAVVWPQYX2jkExAAAABQAAAA8AAABMAAAAAAAAAAAAAAAAAAAA//////////9sAAAARgBpAHIAbQBhACAAbgBvACAAdgDhAGwAaQBkAGEAMTs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BYCAABIJ+66yQAAAADxZULzWQAAiD7FCfl/AAAAAAAAAAAAAAkAAAAAAAAAAAAAAAAAAACIKwmb+H8AAAAAAAAAAAAAAAAAAAAAAAD6s47DKSQAAMgo7rrJAAAABAAAAAAAAADQHfU2FgIAABBvoQEWAgAA8CnuugAAAAAAAAAAAAAAAAcAAAAAAAAAOMMDEBYCAAAsKe66yQAAAGkp7rrJAAAAcc2dCfl/AABpAGEAbAAAAAAAAAAAAAAAAAAAAAAAAAAAAAAAAAAAABBvoQEWAgAAq9+hCfl/AADQKO66yQAAAGkp7rrJAAAA0B31NhYCAAAAAAAAZHYACAAAAAAlAAAADAAAAAIAAAAnAAAAGAAAAAMAAAAAAAAAAAAAAAAAAAAlAAAADAAAAAMAAABMAAAAZAAAAAAAAAAAAAAA//////////8AAAAAHAAAAAAAAAA/AAAAIQDwAAAAAAAAAAAAAACAPwAAAAAAAAAAAACAPwAAAAAAAAAAAAAAAAAAAAAAAAAAAAAAAAAAAAAAAAAAJQAAAAwAAAAAAACAKAAAAAwAAAADAAAAJwAAABgAAAADAAAAAAAAAAAAAAAAAAAAJQAAAAwAAAADAAAATAAAAGQAAAAAAAAAAAAAAP//////////AAAAABwAAABAAQAAAAAAACEA8AAAAAAAAAAAAAAAgD8AAAAAAAAAAAAAgD8AAAAAAAAAAAAAAAAAAAAAAAAAAAAAAAAAAAAAAAAAACUAAAAMAAAAAAAAgCgAAAAMAAAAAwAAACcAAAAYAAAAAwAAAAAAAAAAAAAAAAAAACUAAAAMAAAAAwAAAEwAAABkAAAAAAAAAAAAAAD//////////0ABAAAcAAAAAAAAAD8AAAAhAPAAAAAAAAAAAAAAAIA/AAAAAAAAAAAAAIA/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///wAAAAAAJQAAAAwAAAADAAAATAAAAGQAAAAAAAAAHAAAAD8BAABaAAAAAAAAABwAAABAAQAAPwAAACEA8AAAAAAAAAAAAAAAgD8AAAAAAAAAAAAAgD8AAAAAAAAAAAAAAAAAAAAAAAAAAAAAAAAAAAAAAAAAACUAAAAMAAAAAAAAgCgAAAAMAAAAAwAAACcAAAAYAAAAAwAAAAAAAAD///8AAAAAACUAAAAMAAAAAwAAAEwAAABkAAAACwAAADcAAAAhAAAAWgAAAAsAAAA3AAAAFwAAACQAAAAhAPAAAAAAAAAAAAAAAIA/AAAAAAAAAAAAAIA/AAAAAAAAAAAAAAAAAAAAAAAAAAAAAAAAAAAAAAAAAAAlAAAADAAAAAAAAIAoAAAADAAAAAMAAABSAAAAcAEAAAMAAADg////AAAAAAAAAAAAAAAAkAEAAAAAAAEAAAAAYQByAGkAYQBsAAAAAAAAAAAAAAAAAAAAAAAAAAAAAAAAAAAAAAAAAAAAAAAAAAAAAAAAAAAAAAAAAAAAAAAAAAAAAACo3Xya+H8AAImM9pn4fwAAAAAAAPh/AACIPsUJ+X8AAAAAAAAAAAAAkFt8mvh/AAABAAAAAAAAACDjfJr4fwAAAAAAAAAAAAAAAAAAAAAAAGqwjsMpJAAAwSfuuskAAACQ9mMQFgIAAOD///8AAAAAEG+hARYCAACYKe66AAAAAAAAAAAAAAAABgAAAAAAAAAgAAAAAAAAALwo7rrJAAAA+SjuuskAAABxzZ0J+X8AAOAKZH8WAgAAAAAAAAAAAAAgKe66yQAAADyFHan4fwAAEG+hARYCAACr36EJ+X8AAGAo7rrJAAAA+SjuuskAAAAABq8BFgIAAAAAAABkdgAIAAAAACUAAAAMAAAAAwAAABgAAAAMAAAAAAAAABIAAAAMAAAAAQAAABYAAAAMAAAACAAAAFQAAABUAAAADAAAADcAAAAgAAAAWgAAAAEAAABVVY9BhfaOQQwAAABbAAAAAQAAAEwAAAAEAAAACwAAADcAAAAiAAAAWwAAAFAAAABYAFJCFQAAABYAAAAMAAAAAAAAACUAAAAMAAAAAgAAACcAAAAYAAAABAAAAAAAAAD///8AAAAAACUAAAAMAAAABAAAAEwAAABkAAAAMAAAACAAAAA0AQAAWgAAADAAAAAgAAAABQEAADsAAAAhAPAAAAAAAAAAAAAAAIA/AAAAAAAAAAAAAIA/AAAAAAAAAAAAAAAAAAAAAAAAAAAAAAAAAAAAAAAAAAAlAAAADAAAAAAAAIAoAAAADAAAAAQAAAAnAAAAGAAAAAQAAAAAAAAA////AAAAAAAlAAAADAAAAAQAAABMAAAAZAAAADAAAAAgAAAANAEAAFYAAAAwAAAAIAAAAAUBAAA3AAAAIQDwAAAAAAAAAAAAAACAPwAAAAAAAAAAAACAPwAAAAAAAAAAAAAAAAAAAAAAAAAAAAAAAAAAAAAAAAAAJQAAAAwAAAAAAACAKAAAAAwAAAAEAAAAJwAAABgAAAAEAAAAAAAAAP///wAAAAAAJQAAAAwAAAAEAAAATAAAAGQAAAAwAAAAOwAAAFIAAABWAAAAMAAAADsAAAAjAAAAHAAAACEA8AAAAAAAAAAAAAAAgD8AAAAAAAAAAAAAgD8AAAAAAAAAAAAAAAAAAAAAAAAAAAAAAAAAAAAAAAAAACUAAAAMAAAAAAAAgCgAAAAMAAAABAAAAFIAAABwAQAABAAAAOz///8AAAAAAAAAAAAAAACQAQAAAAAAAQAAAABzAGUAZwBvAGUAIAB1AGkAAAAAAAAAAAAAAAAAAAAAAAAAAAAAAAAAAAAAAAAAAAAAAAAAAAAAAAAAAAAAAAAAAAAAAAAAAAAAAAAACAAAAP/////Y83ya+H8AAIg+xQn5fwAAAAAAAAAAAABwd+o3FgIAAHB36jcWAgAAAAAAAAAAAAAAAAAAAAAAAAAAAAAAAAAAqrOOwykkAAC2cu2Z+H8AANjzfJr4fwAA7P///wAAAAAQb6EBFgIAANgp7roAAAAAAAAAAAAAAAAJAAAAAAAAACAAAAAAAAAA/CjuuskAAAA5Ke66yQAAAHHNnQn5fwAA2PN8mvh/AADY83yaAAAAAAgAAAAAAQAAAAAAAAAAAAAQb6EBFgIAAKvfoQn5fwAAoCjuuskAAAA5Ke66yQAAALAi9TYWAgAAAAAAAGR2AAgAAAAAJQAAAAwAAAAEAAAAGAAAAAwAAAAAAAAAEgAAAAwAAAABAAAAHgAAABgAAAAwAAAAOwAAAFMAAABXAAAAJQAAAAwAAAAEAAAAVAAAAGAAAAAxAAAAOwAAAFEAAABWAAAAAQAAAFVVj0GF9o5BMQAAADsAAAADAAAATAAAAAAAAAAAAAAAAAAAAP//////////VAAAAFMAUwBQAPUPCwAAAAsAAAALAAAASwAAAEAAAAAwAAAABQAAACAAAAABAAAAAQAAABAAAAAAAAAAAAAAAEABAACgAAAAAAAAAAAAAABAAQAAoAAAACUAAAAMAAAAAgAAACcAAAAYAAAABQAAAAAAAAD///8AAAAAACUAAAAMAAAABQAAAEwAAABkAAAAAAAAAGEAAAA/AQAAmwAAAAAAAABhAAAAQAEAADsAAAAhAPAAAAAAAAAAAAAAAIA/AAAAAAAAAAAAAIA/AAAAAAAAAAAAAAAAAAAAAAAAAAAAAAAAAAAAAAAAAAAlAAAADAAAAAAAAIAoAAAADAAAAAUAAAAnAAAAGAAAAAUAAAAAAAAA////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G0AAABxAAAAAQAAAFVVj0GF9o5BDwAAAGEAAAARAAAATAAAAAAAAAAAAAAAAAAAAP//////////cAAAAEwAaQBjAC4AIABTAGEAZAB5ACAAUABlAHIAZQBpAHIAYQCkOAYAAAADAAAABgAAAAMAAAAEAAAABwAAAAcAAAAIAAAABgAAAAQAAAAHAAAABwAAAAUAAAAHAAAAAwAAAAUAAAAHAAAASwAAAEAAAAAwAAAABQAAACAAAAABAAAAAQAAABAAAAAAAAAAAAAAAEABAACgAAAAAAAAAAAAAABAAQAAoAAAACUAAAAMAAAAAgAAACcAAAAYAAAABQAAAAAAAAD///8AAAAAACUAAAAMAAAABQAAAEwAAABkAAAADgAAAHYAAAAxAQAAhgAAAA4AAAB2AAAAJAEAABEAAAAhAPAAAAAAAAAAAAAAAIA/AAAAAAAAAAAAAIA/AAAAAAAAAAAAAAAAAAAAAAAAAAAAAAAAAAAAAAAAAAAlAAAADAAAAAAAAIAoAAAADAAAAAUAAAAlAAAADAAAAAEAAAAYAAAADAAAAAAAAAASAAAADAAAAAEAAAAeAAAAGAAAAA4AAAB2AAAAMgEAAIcAAAAlAAAADAAAAAEAAABUAAAAfAAAAA8AAAB2AAAARQAAAIYAAAABAAAAVVWPQYX2jkEPAAAAdgAAAAgAAABMAAAAAAAAAAAAAAAAAAAA//////////9cAAAAQwBvAG4AdABhAGQAbwByAAgAAAAIAAAABwAAAAQAAAAHAAAACAAAAAgAAAAFAAAASwAAAEAAAAAwAAAABQAAACAAAAABAAAAAQAAABAAAAAAAAAAAAAAAEABAACgAAAAAAAAAAAAAABAAQAAoAAAACUAAAAMAAAAAgAAACcAAAAYAAAABQAAAAAAAAD///8AAAAAACUAAAAMAAAABQAAAEwAAABkAAAADgAAAIsAAADVAAAAmwAAAA4AAACLAAAAyAAAABEAAAAhAPAAAAAAAAAAAAAAAIA/AAAAAAAAAAAAAIA/AAAAAAAAAAAAAAAAAAAAAAAAAAAAAAAAAAAAAAAAAAAlAAAADAAAAAAAAIAoAAAADAAAAAUAAAAlAAAADAAAAAEAAAAYAAAADAAAAAAAAAASAAAADAAAAAEAAAAWAAAADAAAAAAAAABUAAAAAAEAAA8AAACLAAAA1AAAAJsAAAABAAAAVVWPQYX2jkEPAAAAiwAAAB4AAABMAAAABAAAAA4AAACLAAAA1gAAAJwAAACIAAAARgBpAHIAbQBhAGQAbwAgAHAAbwByADoAIABTAEEARABZACAAUwBNAEkARAAgAFAARQBSAEUASQBSAEEABgAAAAMAAAAFAAAACwAAAAcAAAAIAAAACAAAAAQAAAAIAAAACAAAAAUAAAADAAAABAAAAAcAAAAIAAAACQAAAAcAAAAEAAAABwAAAAwAAAADAAAACQAAAAQAAAAHAAAABwAAAAgAAAAHAAAAAwAAAAgAAAAIAAAAFgAAAAwAAAAAAAAAJQAAAAwAAAACAAAADgAAABQAAAAAAAAAEAAAABQAAAA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AEnlfdOuqqn3aF1yBvW3Mb+fDqGWI6j0vHE1O4czkHg=</DigestValue>
    </Reference>
    <Reference Type="http://www.w3.org/2000/09/xmldsig#Object" URI="#idOfficeObject">
      <DigestMethod Algorithm="http://www.w3.org/2001/04/xmlenc#sha256"/>
      <DigestValue>lgXN2lovcbxIWVb9/oXsbASyU8DQQ2bHMiZAvqYRrII=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ogHBeJ+yFLOALFRdEvW7jKX1mx4FgIbFOyvyYT/3leA=</DigestValue>
    </Reference>
    <Reference Type="http://www.w3.org/2000/09/xmldsig#Object" URI="#idValidSigLnImg">
      <DigestMethod Algorithm="http://www.w3.org/2001/04/xmlenc#sha256"/>
      <DigestValue>YwKTG6y6mXACdwXe9V6HhITlRQB0x1jGnwvryf7KJHA=</DigestValue>
    </Reference>
    <Reference Type="http://www.w3.org/2000/09/xmldsig#Object" URI="#idInvalidSigLnImg">
      <DigestMethod Algorithm="http://www.w3.org/2001/04/xmlenc#sha256"/>
      <DigestValue>c1ZuVpbGZuL13utgwW1/bz+wGLsrwrlsQdGZkPYGCog=</DigestValue>
    </Reference>
  </SignedInfo>
  <SignatureValue>EOSSU+WnDBTeeHXTQWZlgfbQF0UQJVdBXAPuL7AqYl+C8ZKRPiRR0hJvVOn8h8GS20R2IdX1NDEh
Yf1bvvzFu9C7SABPIMFjj1FDU+pCfqOjfFUUjvlLzkV2PggMNszrDvf5tbo4H/lx9FTbCdWGeP/G
UCk5a09fCokjSuRe9XWaqJOOzDOX/oh5i5ysC5AKE/d0u+5zOMVLTVFErlfy58hfazyXYwGWurIT
5/ENHO4aBdDx9/ddObtkUpXteHhLOr4qA/lPXzJihUuGCQeO3A8/3osp0XLZ2fIaRQICVmGtabTg
Cv0PwgrSNwSfv8TnL9uT9i9W9DWiZxdqymMwqw==</SignatureValue>
  <KeyInfo>
    <X509Data>
      <X509Certificate>MIIIHTCCBgWgAwIBAgIIYSv9YqFJWZgwDQYJKoZIhvcNAQELBQAwWzEXMBUGA1UEBRMOUlVDIDgwMDUwMTcyLTExGjAYBgNVBAMTEUNBLURPQ1VNRU5UQSBTLkEuMRcwFQYDVQQKEw5ET0NVTUVOVEEgUy5BLjELMAkGA1UEBhMCUFkwHhcNMjIwNDAxMTIzNjA1WhcNMjQwMzMxMTI0NjA1WjCBvTELMAkGA1UEBhMCUFkxHjAcBgNVBAQMFU9QT1JUTyBMRUlWQSBFU1BJTk9MQTESMBAGA1UEBRMJQ0k3MTczOTkzMRswGQYDVQQqDBJGRURFUklDTyBTRUJBU1RJQU4xFzAVBgNVBAoMDlBFUlNPTkEgRklTSUNBMREwDwYDVQQLDAhGSVJNQSBGMjExMC8GA1UEAwwoRkVERVJJQ08gU0VCQVNUSUFOIE9QT1JUTyBMRUlWQSBFU1BJTk9MQTCCASIwDQYJKoZIhvcNAQEBBQADggEPADCCAQoCggEBALjzdufirRaFocL3Z+EZ9qMZYwNeDt94goJJzr/1JB4gbj6lPKb0CNWkZW1fP7Sz32rpcrqy0CNVsvdc9KgBNBt5nJNvD6pMfxgQir1+ftNTqx1KqLHa0QnIx3SzkOBnPNNYbVIMRC9vEOmysh7d/NppjkZyR9UdEhvWlnHouvu4/FxsW7XWvdM+JBUQ3+xEumSmaTQpSDKg7n+OouGyH+okP7yjL3ihc5nEWzdkwkZHWWVnZWS/gI6aAc9/8p5eOq3/2JvBWm+4CZKbibGbhHWSa82C/XXSgUqhSs/KMdCdt8/qDG8vAfKt1dHhji6+Fk9XKGkFOHaCl6b3lWou8KMCAwEAAaOCA4AwggN8MAwGA1UdEwEB/wQCMAAwDgYDVR0PAQH/BAQDAgXgMCoGA1UdJQEB/wQgMB4GCCsGAQUFBwMBBggrBgEFBQcDAgYIKwYBBQUHAwQwHQYDVR0OBBYEFHF4CsLibjtcfNTkwLT/cwqgNeBS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zZWJhc3RpYW5vcG9ydG9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bIb7dSzrZK9Kf/0SEtpMbo0otM70YzPGlekwBZqp0pzFjurPn+etjN15UiKTiMJmg2Xn42+gvMpqIoJCZQYa3AQSdAc9R7Hp8ttk4c5HCmEg6ZyjsjJ9nxtahNF18UiH6ygktxihHYkLrChIaGDZbKL6w79fkwobl+f5UWvbTHTNRMklGhYPsyewmRvpvqgLxIvTmwZyfIl+rLenceJzHptf3StFmriAKj3VbzCaLcM6F1PqXDCpoLXnc8jvKwSN32DJXA0z2oK8rHEjecduaLiO5Bw3uPWd2wQ0ETVwqVDc0Y0l2zxLJFSRCUACUp5DKRM+7G+/ftnyy0kUWZkU+5ZSaipWLa9+XVm8ou/amFA8HnXm7Hv4XK/zlFq9BQCVC/FekKJlBV3e49ZzRZvYGFSsXHUh66rnGYSPCq0/5M02jMayek4olMYRdZAWh4/bc8MHvpTt+i/5rcbxr9DlUIGY17ancIIY1pYa6PIZNxxZbWLA2eCzTGB/XJrxNpfsFYUBWMRQd+pKSasYySXPELuJB07/iaQ/FZbhWb4rYOSgEVBp8uDyFebqxIjBCcX0JGkvew4tX3Uzv+hJNDHVGbXMFgSrhAiOj0sDTWQmOWD+OTGTVBLaiT2unp+5qPmNVSnRTYOfwAN/fzmlrgBjkn27Q0d1RZP0s9oy9TD1jy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42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41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40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DY/jaOQPWhWmcbkqVDKEjwyKdetOhntbOxh5PmHV44Y=</DigestValue>
      </Reference>
      <Reference URI="/xl/calcChain.xml?ContentType=application/vnd.openxmlformats-officedocument.spreadsheetml.calcChain+xml">
        <DigestMethod Algorithm="http://www.w3.org/2001/04/xmlenc#sha256"/>
        <DigestValue>e7aNCECBVH6zBzUP4Z/jmnAgpuvTlH6PfxHfdiG0N4U=</DigestValue>
      </Reference>
      <Reference URI="/xl/comments1.xml?ContentType=application/vnd.openxmlformats-officedocument.spreadsheetml.comments+xml">
        <DigestMethod Algorithm="http://www.w3.org/2001/04/xmlenc#sha256"/>
        <DigestValue>FQEmLUVp4bU3K796vBKZ5jQfY2KE2hj2q4I8rC0gAeg=</DigestValue>
      </Reference>
      <Reference URI="/xl/comments2.xml?ContentType=application/vnd.openxmlformats-officedocument.spreadsheetml.comments+xml">
        <DigestMethod Algorithm="http://www.w3.org/2001/04/xmlenc#sha256"/>
        <DigestValue>91+i9ilkZvzMMEqdJFve/LqH86D9H1mgaetfFfcuCWE=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QBGRECwR0XOmOfLaC+mT0g4rVxEIMgWxf6UbzIzBS2M=</DigestValue>
      </Reference>
      <Reference URI="/xl/drawings/_rels/drawing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7uvnapVg0/Y3PmP7gmt4GR0ywN9FnOr8ujPWXu0tkj4=</DigestValue>
      </Reference>
      <Reference URI="/xl/drawings/_rels/drawing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rJxMnzeU9eTlC6zMQFEz88mU6dcMOQWWzK0onhOH5Rg=</DigestValue>
      </Reference>
      <Reference URI="/xl/drawings/_rels/drawing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wiVXcumh6XRk4gh9ePNTZYLp6zAWq5kSxnA3Dnf6ChM=</DigestValue>
      </Reference>
      <Reference URI="/xl/drawings/_rels/drawing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MWO52TusuC6HBjk/jKqQbr4b/cGPk1HPL5gMkQXvhjg=</DigestValue>
      </Reference>
      <Reference URI="/xl/drawings/_rels/drawing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WucWt59+Ya9ds73FAtdeK0yBo3jdFNm8cEbwTlEVgog=</DigestValue>
      </Reference>
      <Reference URI="/xl/drawings/_rels/drawing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sFkbjBQ210f/6OZ2/s0ZyG6fwKVn1+Q/VUMl+RfdppA=</DigestValue>
      </Reference>
      <Reference URI="/xl/drawings/_rels/drawing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uWX52h7olg+PFY/GkFTDFdyBbrOZlOU2iSM2S8keCUM=</DigestValue>
      </Reference>
      <Reference URI="/xl/drawings/_rels/drawing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jcdjE7CI5cOc8SWLiXvvSgcAJQTkajAMN9vCiRmxV5s=</DigestValue>
      </Reference>
      <Reference URI="/xl/drawings/_rels/drawing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2XEJzTeHFmlBxwDTFLW04cOe0zHEItv5/9XmjJ/7zSc=</DigestValue>
      </Reference>
      <Reference URI="/xl/drawings/_rels/drawing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pYBTBUOMcRvE6spqZliIq/D8kueE3P0yqmFZCQjrxTU=</DigestValue>
      </Reference>
      <Reference URI="/xl/drawings/_rels/drawing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NdrNV4OTE/kTC6PmJWNAw3AXczhtLiDBpKGMk859sIg=</DigestValue>
      </Reference>
      <Reference URI="/xl/drawings/_rels/drawing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tZ/VXIVJP/94RMYzaAXufLc42FzGsqsL6XY7jc6JzAA=</DigestValue>
      </Reference>
      <Reference URI="/xl/drawings/_rels/drawing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Y+3wJOMP3JY16bEUtgml2qEIrlc/vWMqGQ/VOkXiOUI=</DigestValue>
      </Reference>
      <Reference URI="/xl/drawings/_rels/drawing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jyhYPhXJVl9Z6NquIRkNP5P8m5FLQxYEOhh/7hLUceY=</DigestValue>
      </Reference>
      <Reference URI="/xl/drawings/_rels/drawing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V36SKR7s6zN+dPfpLTn0XwD2z6Xatj2GPc8KgBimHdo=</DigestValue>
      </Reference>
      <Reference URI="/xl/drawings/_rels/drawing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SzUwfM+070WfaihxKf2Tz9lK1xmsim2Zq7/Kq5lbAZ0=</DigestValue>
      </Reference>
      <Reference URI="/xl/drawings/_rels/drawing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6uUBpchHakqQDChgLemNyI2cKWqBIOFCUSJJMq3HYkA=</DigestValue>
      </Reference>
      <Reference URI="/xl/drawings/_rels/drawing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9oZOvz116V2KJExU+fflxJ2HMBOVSpuYRl6+lYugQdA=</DigestValue>
      </Reference>
      <Reference URI="/xl/drawings/_rels/drawing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t4ijl1+v8IzzX/jMcI30Wqf1ef/NpgEjiPHxDPAoTmM=</DigestValue>
      </Reference>
      <Reference URI="/xl/drawings/_rels/drawing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8lZnWYrt8tB8aouUUDyUhZImLeEXtf0jolkx+Yi7024=</DigestValue>
      </Reference>
      <Reference URI="/xl/drawings/_rels/drawing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j79VH7ko70R7pttbrbb54NwBUX8PiGH2zPclev8hocs=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gFfeqwamM25+Fvm4soG/GGqnzMqGsvCzfb3WapD3ZDw=</DigestValue>
      </Reference>
      <Reference URI="/xl/drawings/drawing1.xml?ContentType=application/vnd.openxmlformats-officedocument.drawing+xml">
        <DigestMethod Algorithm="http://www.w3.org/2001/04/xmlenc#sha256"/>
        <DigestValue>ufu79n8uQmSfXgJLvbOO43QrONArlKTcPHzFfwJBcfA=</DigestValue>
      </Reference>
      <Reference URI="/xl/drawings/drawing10.xml?ContentType=application/vnd.openxmlformats-officedocument.drawing+xml">
        <DigestMethod Algorithm="http://www.w3.org/2001/04/xmlenc#sha256"/>
        <DigestValue>bMzYlbFZlOEYZv6ldxn5d/Z1Eq0AbQdo7DWU2i59c94=</DigestValue>
      </Reference>
      <Reference URI="/xl/drawings/drawing11.xml?ContentType=application/vnd.openxmlformats-officedocument.drawing+xml">
        <DigestMethod Algorithm="http://www.w3.org/2001/04/xmlenc#sha256"/>
        <DigestValue>J/82zSRKkU7jj1FXa0SAEzyee/RMd42eXJpWePqALZs=</DigestValue>
      </Reference>
      <Reference URI="/xl/drawings/drawing12.xml?ContentType=application/vnd.openxmlformats-officedocument.drawing+xml">
        <DigestMethod Algorithm="http://www.w3.org/2001/04/xmlenc#sha256"/>
        <DigestValue>6rWsSrxLtkOjx+qqo29b2WpZF2vhk4aqojrwZGTHYjs=</DigestValue>
      </Reference>
      <Reference URI="/xl/drawings/drawing13.xml?ContentType=application/vnd.openxmlformats-officedocument.drawing+xml">
        <DigestMethod Algorithm="http://www.w3.org/2001/04/xmlenc#sha256"/>
        <DigestValue>U9WtVfh7rGAdkTjGMWLpeyqnhlY0Xk24Ey0GbRDv49g=</DigestValue>
      </Reference>
      <Reference URI="/xl/drawings/drawing14.xml?ContentType=application/vnd.openxmlformats-officedocument.drawing+xml">
        <DigestMethod Algorithm="http://www.w3.org/2001/04/xmlenc#sha256"/>
        <DigestValue>qxeDrAaokxFrD4PMYLONtt+OX2lJMOZmokWiCBzN4y4=</DigestValue>
      </Reference>
      <Reference URI="/xl/drawings/drawing15.xml?ContentType=application/vnd.openxmlformats-officedocument.drawing+xml">
        <DigestMethod Algorithm="http://www.w3.org/2001/04/xmlenc#sha256"/>
        <DigestValue>a7NidxZ5He6DVnLx3AnsZg0vmiJQo/2aw1BIynWdOX0=</DigestValue>
      </Reference>
      <Reference URI="/xl/drawings/drawing16.xml?ContentType=application/vnd.openxmlformats-officedocument.drawing+xml">
        <DigestMethod Algorithm="http://www.w3.org/2001/04/xmlenc#sha256"/>
        <DigestValue>CIQeGlSSTdb0/X3lUeGqSJpRYVdPVyQPSMyHwBsw8zk=</DigestValue>
      </Reference>
      <Reference URI="/xl/drawings/drawing17.xml?ContentType=application/vnd.openxmlformats-officedocument.drawing+xml">
        <DigestMethod Algorithm="http://www.w3.org/2001/04/xmlenc#sha256"/>
        <DigestValue>4jQGTbe4TSqtisgr6X5El+GKU0rCzLY6f+s0riMXims=</DigestValue>
      </Reference>
      <Reference URI="/xl/drawings/drawing18.xml?ContentType=application/vnd.openxmlformats-officedocument.drawing+xml">
        <DigestMethod Algorithm="http://www.w3.org/2001/04/xmlenc#sha256"/>
        <DigestValue>hXlbdPeAhyWc8mQb7p5KTOQzyArfalSY4VuHQ8UbTvc=</DigestValue>
      </Reference>
      <Reference URI="/xl/drawings/drawing19.xml?ContentType=application/vnd.openxmlformats-officedocument.drawing+xml">
        <DigestMethod Algorithm="http://www.w3.org/2001/04/xmlenc#sha256"/>
        <DigestValue>pGOHBayKv3B0S6jHpNrCTUOm/uPtsSZIuHveVHfh+A8=</DigestValue>
      </Reference>
      <Reference URI="/xl/drawings/drawing2.xml?ContentType=application/vnd.openxmlformats-officedocument.drawing+xml">
        <DigestMethod Algorithm="http://www.w3.org/2001/04/xmlenc#sha256"/>
        <DigestValue>F7+D+TJC0aga8aHva21vdUem9PQ2E3qz/4opyJJNvP0=</DigestValue>
      </Reference>
      <Reference URI="/xl/drawings/drawing20.xml?ContentType=application/vnd.openxmlformats-officedocument.drawing+xml">
        <DigestMethod Algorithm="http://www.w3.org/2001/04/xmlenc#sha256"/>
        <DigestValue>7ybzdYLBjXrq98Lz4L0pIhCcXYspACI4LY8zuqVQfMw=</DigestValue>
      </Reference>
      <Reference URI="/xl/drawings/drawing21.xml?ContentType=application/vnd.openxmlformats-officedocument.drawing+xml">
        <DigestMethod Algorithm="http://www.w3.org/2001/04/xmlenc#sha256"/>
        <DigestValue>v8B94MfOtXxV5lkFQEoOJo9qIYsIbMZecvjUin0EP5g=</DigestValue>
      </Reference>
      <Reference URI="/xl/drawings/drawing22.xml?ContentType=application/vnd.openxmlformats-officedocument.drawing+xml">
        <DigestMethod Algorithm="http://www.w3.org/2001/04/xmlenc#sha256"/>
        <DigestValue>6ydlXxFN7dalJ+QvS1WIbLznC7yBGPAkXuAkYZnsyyY=</DigestValue>
      </Reference>
      <Reference URI="/xl/drawings/drawing23.xml?ContentType=application/vnd.openxmlformats-officedocument.drawing+xml">
        <DigestMethod Algorithm="http://www.w3.org/2001/04/xmlenc#sha256"/>
        <DigestValue>EZjMn8BQoGBUhZ6qV2/dIenygy8bZaiqAyilvmvp/v4=</DigestValue>
      </Reference>
      <Reference URI="/xl/drawings/drawing24.xml?ContentType=application/vnd.openxmlformats-officedocument.drawing+xml">
        <DigestMethod Algorithm="http://www.w3.org/2001/04/xmlenc#sha256"/>
        <DigestValue>fEvwN+EoGKfJNpB76l3PPgogAXPiPEdMr/xtfp6oCZk=</DigestValue>
      </Reference>
      <Reference URI="/xl/drawings/drawing25.xml?ContentType=application/vnd.openxmlformats-officedocument.drawing+xml">
        <DigestMethod Algorithm="http://www.w3.org/2001/04/xmlenc#sha256"/>
        <DigestValue>mFE5xjCi3TisXDu4Arkr1mCggWKoYLJAW5OyhhbFOVs=</DigestValue>
      </Reference>
      <Reference URI="/xl/drawings/drawing26.xml?ContentType=application/vnd.openxmlformats-officedocument.drawing+xml">
        <DigestMethod Algorithm="http://www.w3.org/2001/04/xmlenc#sha256"/>
        <DigestValue>nRxi2JkSctSIid0aiubIFPwUh+5soh10ejnyuG10MB4=</DigestValue>
      </Reference>
      <Reference URI="/xl/drawings/drawing27.xml?ContentType=application/vnd.openxmlformats-officedocument.drawing+xml">
        <DigestMethod Algorithm="http://www.w3.org/2001/04/xmlenc#sha256"/>
        <DigestValue>4XBZ/7gZW6V5V+At7ddkvx/A6OqiSLOKt0tw2m8tTpo=</DigestValue>
      </Reference>
      <Reference URI="/xl/drawings/drawing3.xml?ContentType=application/vnd.openxmlformats-officedocument.drawing+xml">
        <DigestMethod Algorithm="http://www.w3.org/2001/04/xmlenc#sha256"/>
        <DigestValue>rQuif9XqGpRkrgWiNWoCXX5Crxw+sysbXwxK1hU2Vwg=</DigestValue>
      </Reference>
      <Reference URI="/xl/drawings/drawing4.xml?ContentType=application/vnd.openxmlformats-officedocument.drawing+xml">
        <DigestMethod Algorithm="http://www.w3.org/2001/04/xmlenc#sha256"/>
        <DigestValue>9E9hqa7lNCKzvG5cl22NonpqaG2PglMd+Vv5u1dlwtw=</DigestValue>
      </Reference>
      <Reference URI="/xl/drawings/drawing5.xml?ContentType=application/vnd.openxmlformats-officedocument.drawing+xml">
        <DigestMethod Algorithm="http://www.w3.org/2001/04/xmlenc#sha256"/>
        <DigestValue>ZfSTRHmJhGEhifJ/0tiGXkxyJYHCiY3IBFnYpVL8meQ=</DigestValue>
      </Reference>
      <Reference URI="/xl/drawings/drawing6.xml?ContentType=application/vnd.openxmlformats-officedocument.drawing+xml">
        <DigestMethod Algorithm="http://www.w3.org/2001/04/xmlenc#sha256"/>
        <DigestValue>6la5PHoQGnBr/4Yb/oQFHRurvMqJZDugu/u5MmfnMmY=</DigestValue>
      </Reference>
      <Reference URI="/xl/drawings/drawing7.xml?ContentType=application/vnd.openxmlformats-officedocument.drawing+xml">
        <DigestMethod Algorithm="http://www.w3.org/2001/04/xmlenc#sha256"/>
        <DigestValue>Br/Ho7U6vf1fXmKSIFPkSTD6b72Q+4chd3Aq/Kgc0Fs=</DigestValue>
      </Reference>
      <Reference URI="/xl/drawings/drawing8.xml?ContentType=application/vnd.openxmlformats-officedocument.drawing+xml">
        <DigestMethod Algorithm="http://www.w3.org/2001/04/xmlenc#sha256"/>
        <DigestValue>/GrbYfM02CEFnvMEi9tdw8i96d+5m/tvAyfEPYQQ+zo=</DigestValue>
      </Reference>
      <Reference URI="/xl/drawings/drawing9.xml?ContentType=application/vnd.openxmlformats-officedocument.drawing+xml">
        <DigestMethod Algorithm="http://www.w3.org/2001/04/xmlenc#sha256"/>
        <DigestValue>mHbWi6amgkrgD5T4m6aPkyX59R6rAxsnZO71hRUqd4U=</DigestValue>
      </Reference>
      <Reference URI="/xl/drawings/vmlDrawing1.vml?ContentType=application/vnd.openxmlformats-officedocument.vmlDrawing">
        <DigestMethod Algorithm="http://www.w3.org/2001/04/xmlenc#sha256"/>
        <DigestValue>bTssVfWjAo9Z7cAaPvzZcI/L+/vRjlSq7y/coej/0vg=</DigestValue>
      </Reference>
      <Reference URI="/xl/drawings/vmlDrawing2.vml?ContentType=application/vnd.openxmlformats-officedocument.vmlDrawing">
        <DigestMethod Algorithm="http://www.w3.org/2001/04/xmlenc#sha256"/>
        <DigestValue>qUwWspRnWQmHN59RcaDhvnEHtDILM8FXeGWu76yT5iw=</DigestValue>
      </Reference>
      <Reference URI="/xl/drawings/vmlDrawing3.vml?ContentType=application/vnd.openxmlformats-officedocument.vmlDrawing">
        <DigestMethod Algorithm="http://www.w3.org/2001/04/xmlenc#sha256"/>
        <DigestValue>5oQaJ8Ii13h9NCvCZKtn1LdwTbYPNKM9BpcZrYlQeX0=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+Ghp6ayukeoiiJxAmsXv6Lu5mWyFxLbo+iKSOYlsS28=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l9K/Bklfd5BAbieJ5NVzr5QogMz//MCfWkSn0T0aalw=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lBU+0BQpectFvdjso5E3J2WPwiGYxD5ucV0Pg0VICFA=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uWAOY4Iu2pcUiZ9YhGX7Rck8c9WzAN8+Zy/XjcBE6Pc=</DigestValue>
      </Reference>
      <Reference URI="/xl/externalLinks/_rels/externalLink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nc1aASMLIXyIkoUP6YIrCCvmvuByxqXZ8yP1Ceattnw=</DigestValue>
      </Reference>
      <Reference URI="/xl/externalLinks/_rels/externalLink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EU62LlnH8Pa+ZZbVkO+TrRDr2eJk7+0WoUp70FMSpQA=</DigestValue>
      </Reference>
      <Reference URI="/xl/externalLinks/_rels/externalLink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T2oVCtd2EEdu5GnmW/kmePzRwPy4q9hftzgKnuqewsU=</DigestValue>
      </Reference>
      <Reference URI="/xl/externalLinks/_rels/externalLink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7G2PP01HNhddgWOJssZuxwiQeVurYxlbAqe7Hd/IEbw=</DigestValue>
      </Reference>
      <Reference URI="/xl/externalLinks/_rels/externalLink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fQ8w1ki5VWYsz29kLTk2sg9hJ9/gXLRT1t+E6HV8mPc=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RgO1yifePhy3d+AoQWc6SHC5NXe7Vk29kt8fBgX5OJw=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QB+V+nxw7ZAblYt3S/Ch75wG1at6SMVaGhbTRnBHUD0=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fUpAYqdpeFHTWoq60uj0zsOqMYHKH8a83UElcSX8QvU=</DigestValue>
      </Reference>
      <Reference URI="/xl/externalLinks/externalLink5.xml?ContentType=application/vnd.openxmlformats-officedocument.spreadsheetml.externalLink+xml">
        <DigestMethod Algorithm="http://www.w3.org/2001/04/xmlenc#sha256"/>
        <DigestValue>6HLYxfxruTSIp0nHOTaDVE8szkGzSOBeoy0pSo2VSNs=</DigestValue>
      </Reference>
      <Reference URI="/xl/externalLinks/externalLink6.xml?ContentType=application/vnd.openxmlformats-officedocument.spreadsheetml.externalLink+xml">
        <DigestMethod Algorithm="http://www.w3.org/2001/04/xmlenc#sha256"/>
        <DigestValue>Jxv1rQKZnfEFOoxbvuKkI4CCWtZ56tnizzNQGMESkbY=</DigestValue>
      </Reference>
      <Reference URI="/xl/externalLinks/externalLink7.xml?ContentType=application/vnd.openxmlformats-officedocument.spreadsheetml.externalLink+xml">
        <DigestMethod Algorithm="http://www.w3.org/2001/04/xmlenc#sha256"/>
        <DigestValue>GguMh+0mvld0y0YPg+uS4elUh6p5kFvIVi89O+THOZY=</DigestValue>
      </Reference>
      <Reference URI="/xl/externalLinks/externalLink8.xml?ContentType=application/vnd.openxmlformats-officedocument.spreadsheetml.externalLink+xml">
        <DigestMethod Algorithm="http://www.w3.org/2001/04/xmlenc#sha256"/>
        <DigestValue>/dBhU+jDAdzjb7iveRmI22cNlrSPaU/jNJVOVoO8bmU=</DigestValue>
      </Reference>
      <Reference URI="/xl/externalLinks/externalLink9.xml?ContentType=application/vnd.openxmlformats-officedocument.spreadsheetml.externalLink+xml">
        <DigestMethod Algorithm="http://www.w3.org/2001/04/xmlenc#sha256"/>
        <DigestValue>Uv6ItKJqMDQqxcR9BbVAaXSjkvQAi/6RDJlon0IV8Po=</DigestValue>
      </Reference>
      <Reference URI="/xl/media/image1.jpeg?ContentType=image/jpeg">
        <DigestMethod Algorithm="http://www.w3.org/2001/04/xmlenc#sha256"/>
        <DigestValue>n74/6hMahXOHJMx4WvzgWwhiD5xMpfB9meYG2iaBCD8=</DigestValue>
      </Reference>
      <Reference URI="/xl/media/image10.jpeg?ContentType=image/jpeg">
        <DigestMethod Algorithm="http://www.w3.org/2001/04/xmlenc#sha256"/>
        <DigestValue>pXadGojiFK1bfSqN0MqJB5WEivn1gP+s6wZic+GcD6o=</DigestValue>
      </Reference>
      <Reference URI="/xl/media/image11.jpeg?ContentType=image/jpeg">
        <DigestMethod Algorithm="http://www.w3.org/2001/04/xmlenc#sha256"/>
        <DigestValue>VhpKFb2/T+OWBPUXO/qatVnlu9l+ZSLSkFaJH61p424=</DigestValue>
      </Reference>
      <Reference URI="/xl/media/image12.jpeg?ContentType=image/jpeg">
        <DigestMethod Algorithm="http://www.w3.org/2001/04/xmlenc#sha256"/>
        <DigestValue>v28SkczqzYKIY3m9Kh4gXtfFKDfJxkq2eRQbOja+5Jo=</DigestValue>
      </Reference>
      <Reference URI="/xl/media/image13.jpeg?ContentType=image/jpeg">
        <DigestMethod Algorithm="http://www.w3.org/2001/04/xmlenc#sha256"/>
        <DigestValue>oc+5b0e4S8bPRQBblJGUMUYVkfkR9vzVzkU+edt25Oo=</DigestValue>
      </Reference>
      <Reference URI="/xl/media/image14.jpeg?ContentType=image/jpeg">
        <DigestMethod Algorithm="http://www.w3.org/2001/04/xmlenc#sha256"/>
        <DigestValue>L8wG8UlcngdGU5tCsCsGt+Tbi6yn55oVps1iZ2LkwSM=</DigestValue>
      </Reference>
      <Reference URI="/xl/media/image15.jpeg?ContentType=image/jpeg">
        <DigestMethod Algorithm="http://www.w3.org/2001/04/xmlenc#sha256"/>
        <DigestValue>0HwGJ+0rCoheXzKIWN2g9Ys/56ySRZ/4Q9gg0neSFyU=</DigestValue>
      </Reference>
      <Reference URI="/xl/media/image16.jpeg?ContentType=image/jpeg">
        <DigestMethod Algorithm="http://www.w3.org/2001/04/xmlenc#sha256"/>
        <DigestValue>ncTBDh7SVjtSas+YHM5m0WN1XOqpSZFHtGV5WmUnCog=</DigestValue>
      </Reference>
      <Reference URI="/xl/media/image17.jpeg?ContentType=image/jpeg">
        <DigestMethod Algorithm="http://www.w3.org/2001/04/xmlenc#sha256"/>
        <DigestValue>2TEGt8Wczr/kiZ3tEMFTgSYbynbK9qwPyLgHPvWKJEc=</DigestValue>
      </Reference>
      <Reference URI="/xl/media/image18.jpeg?ContentType=image/jpeg">
        <DigestMethod Algorithm="http://www.w3.org/2001/04/xmlenc#sha256"/>
        <DigestValue>w77tbw8DJXt4mramX19QNCMzvYIQmmIPu3sbunlU+5o=</DigestValue>
      </Reference>
      <Reference URI="/xl/media/image19.jpeg?ContentType=image/jpeg">
        <DigestMethod Algorithm="http://www.w3.org/2001/04/xmlenc#sha256"/>
        <DigestValue>OMIqJG6StErtoj41fjLC3sCX1GnQcM0pKU+iguq5plI=</DigestValue>
      </Reference>
      <Reference URI="/xl/media/image2.png?ContentType=image/png">
        <DigestMethod Algorithm="http://www.w3.org/2001/04/xmlenc#sha256"/>
        <DigestValue>2aiLeRWQ7DSEqYHtVtpWEVpYjwa80q5EAe0Y3H6bnqY=</DigestValue>
      </Reference>
      <Reference URI="/xl/media/image20.jpeg?ContentType=image/jpeg">
        <DigestMethod Algorithm="http://www.w3.org/2001/04/xmlenc#sha256"/>
        <DigestValue>IWpHvGq9Le3urmlOCxRcAuqwJvFrBpb0npGPUJUEHg8=</DigestValue>
      </Reference>
      <Reference URI="/xl/media/image21.jpeg?ContentType=image/jpeg">
        <DigestMethod Algorithm="http://www.w3.org/2001/04/xmlenc#sha256"/>
        <DigestValue>zWHsHt4tgdrtkEXOqpuBv6aG/gepmKuf/udpC4m3IrU=</DigestValue>
      </Reference>
      <Reference URI="/xl/media/image22.jpeg?ContentType=image/jpeg">
        <DigestMethod Algorithm="http://www.w3.org/2001/04/xmlenc#sha256"/>
        <DigestValue>vv0nhgohd9zE36puPfAgocgfUoQzp1kBNBx65LY7gr8=</DigestValue>
      </Reference>
      <Reference URI="/xl/media/image23.jpeg?ContentType=image/jpeg">
        <DigestMethod Algorithm="http://www.w3.org/2001/04/xmlenc#sha256"/>
        <DigestValue>RNzkHEpPXN32KTAkmCflxGznXjzHWKKLtC/oH6rRgD4=</DigestValue>
      </Reference>
      <Reference URI="/xl/media/image24.jpeg?ContentType=image/jpeg">
        <DigestMethod Algorithm="http://www.w3.org/2001/04/xmlenc#sha256"/>
        <DigestValue>7mO+vHuspRv90St6UvfTYiVNjS2+itw5wf1diqvThkM=</DigestValue>
      </Reference>
      <Reference URI="/xl/media/image3.jpeg?ContentType=image/jpeg">
        <DigestMethod Algorithm="http://www.w3.org/2001/04/xmlenc#sha256"/>
        <DigestValue>D1XTM301U5+qxDMOVMSPvpemh5/dc9CcH/xPYRXqhBg=</DigestValue>
      </Reference>
      <Reference URI="/xl/media/image4.emf?ContentType=image/x-emf">
        <DigestMethod Algorithm="http://www.w3.org/2001/04/xmlenc#sha256"/>
        <DigestValue>7QKImOHS/p4FdDjoq3318o/m4D6+Pn3Bm9Cwy+uMpzM=</DigestValue>
      </Reference>
      <Reference URI="/xl/media/image5.emf?ContentType=image/x-emf">
        <DigestMethod Algorithm="http://www.w3.org/2001/04/xmlenc#sha256"/>
        <DigestValue>LC4UQs4UEBb70bZ6eWd4NklnO9LCjZALCHyLWosNnVo=</DigestValue>
      </Reference>
      <Reference URI="/xl/media/image6.jpeg?ContentType=image/jpeg">
        <DigestMethod Algorithm="http://www.w3.org/2001/04/xmlenc#sha256"/>
        <DigestValue>+VV/+wQWzMe817snuzpgOS0pqzVQHbYc1pasrtFNt60=</DigestValue>
      </Reference>
      <Reference URI="/xl/media/image7.jpeg?ContentType=image/jpeg">
        <DigestMethod Algorithm="http://www.w3.org/2001/04/xmlenc#sha256"/>
        <DigestValue>1XeKQ/1tciZDihNj+nshVP3bOUgn6MsL1y9ca2W1Gqc=</DigestValue>
      </Reference>
      <Reference URI="/xl/media/image8.jpeg?ContentType=image/jpeg">
        <DigestMethod Algorithm="http://www.w3.org/2001/04/xmlenc#sha256"/>
        <DigestValue>/BOqjwF/CUc/d78k006qoC8YfPCOD7ZjoJ4W0l/xmeE=</DigestValue>
      </Reference>
      <Reference URI="/xl/media/image9.jpeg?ContentType=image/jpeg">
        <DigestMethod Algorithm="http://www.w3.org/2001/04/xmlenc#sha256"/>
        <DigestValue>JiJWxfL5MTyjJkZVzkjchEePe27rZP7BjrbTnrCKBsQ=</DigestValue>
      </Reference>
      <Reference URI="/xl/persons/person.xml?ContentType=application/vnd.ms-excel.person+xml">
        <DigestMethod Algorithm="http://www.w3.org/2001/04/xmlenc#sha256"/>
        <DigestValue>xETDL4wweeeAvwYqCXlKrLkvwX+7HkZAY+jGD6uzKoc=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26HqXRIPb6BZwT7U9IC6VtEL0dFpmbYLuhHRicgLN3w=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3auKKYy+1zVh2/o2zFXt0gBsKnXg8b+IwT1iM49e1ek=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TaA6KX/SRWPpmiasS8KGCRFI/mFTpQlGqiM07LbibG8=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DhLX4rjnwdbQPweXYyD7kdwa3XMRHLSS9YTCJAaRbUc=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7FK+7ND2wkX5JRID7I5pGN2xS08AkOKCreOpDVpwU38=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/rX1y3adr24Th3PbJvobWkO3TlxtNW/8csCTpEYOf48=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sLlVsMu/UmxdwdvPNZF0AY0+lC5fiUlO4f1F+aMCq5U=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kVk8PUww/KLBxPMDbbtfl+DscFooavbqVwRNUDoaaXQ=</DigestValue>
      </Reference>
      <Reference URI="/xl/sharedStrings.xml?ContentType=application/vnd.openxmlformats-officedocument.spreadsheetml.sharedStrings+xml">
        <DigestMethod Algorithm="http://www.w3.org/2001/04/xmlenc#sha256"/>
        <DigestValue>8yU8oZjrSmM1HirbwAKOL+pCjvGhpnX5QqpZ+QEM9Mc=</DigestValue>
      </Reference>
      <Reference URI="/xl/styles.xml?ContentType=application/vnd.openxmlformats-officedocument.spreadsheetml.styles+xml">
        <DigestMethod Algorithm="http://www.w3.org/2001/04/xmlenc#sha256"/>
        <DigestValue>wNh7VNdp80e6qo4Eiejjbuh6E45G/10/rIQXvQEUi+I=</DigestValue>
      </Reference>
      <Reference URI="/xl/theme/theme1.xml?ContentType=application/vnd.openxmlformats-officedocument.theme+xml">
        <DigestMethod Algorithm="http://www.w3.org/2001/04/xmlenc#sha256"/>
        <DigestValue>HpkhkEH/NfxYYunqn8gDSSXwsogmnmNBn70U95mIPRU=</DigestValue>
      </Reference>
      <Reference URI="/xl/threadedComments/threadedComment1.xml?ContentType=application/vnd.ms-excel.threadedcomments+xml">
        <DigestMethod Algorithm="http://www.w3.org/2001/04/xmlenc#sha256"/>
        <DigestValue>eHOanvuZtkLoibWsilz/SIVdSFbmd1zatAqwf3uQxPs=</DigestValue>
      </Reference>
      <Reference URI="/xl/workbook.xml?ContentType=application/vnd.openxmlformats-officedocument.spreadsheetml.sheet.main+xml">
        <DigestMethod Algorithm="http://www.w3.org/2001/04/xmlenc#sha256"/>
        <DigestValue>GG3ShlkwIe6+laBUW1cFv/flpLI0JaDVet39UCmanro=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T1B0uRaS4Rdt4UR0fuU8A5BqcFtpt/Nsf6rux8r0cgc=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hlX9gQHuzx56YhcKzgHvK3N5MwnGcFK7/Yfps5n9mUE=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9Os/7bUrF0E+VUJL/LgBxih/cMmtCH5ihS0sHmMyDIY=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8aigdT3OwC/Tp18RNleyo7Crfc6TUMWuR/2hnugV450=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n/jAn+Bk89kE0yElwYhyfNm77jaZvwFkReNHCCZmKmw=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XnDA2BoSmaRGMO0smU10ZGl1fiiE2Lkt86r3e8ImQJ8=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Io5ecS2zqt2+Hz8BWDnuVLrw+IZ0w8//MSy7Xy0knB4=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g+ZFq29K4RpRAZPMFurd+C3Ynm8ih3zKfcgKjiTYMaI=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qcqV6O8u78QVOuzCGABmntISiKJNdxsmBwrFW3wXbDU=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RG8Wr1taF3Nl9G2y7X1LlUvoSUJ36k0/h67PLOkMkPo=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EhgEwQpnoBkaJ5GDhG7watcbCxRNooJcutk11/o397k=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Xet1BY6IM0Rtl7sCB63O3akUmC5SBpqmcFW1IR+Uhf4=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frxznYk5+X6H89wE27ZJg24asW/o5g/n3V8HNYOeuLo=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mAQlRSm04J1DRxPp4q2wftPCGTyEYai0TrYnm/KFKHE=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/D4t3XmnzUR4dhFKhWVHKCqQ1gmwDLMCkBq8P+4Cluo=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Jy8QUNxrX6WRT8nF6vEJpsGsfq5aqyxc0AcRfdPFR28=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pmKSNYDvF7HQxORWFdYtsOyFk6Ls9Dg6fsGI2e3sJPM=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m0cLh5X8WDrq5nzMs6ARReLL4O/bYpHjZW/M8pryAh8=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XrPIgY8JtQA220b+iu4M30LlCznyTg5kr1ZRyRUDbeU=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h4/YGk/vmmkw9SZf/00KacJZUtS+Gg+8i2zqBfyQucM=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mc/2OxhBel9uRxpmH0N92+Nuac3WoNV992syZxu9cZQ=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y+WpNtGIt12R9jLFTmLLn89fEeCDfd6tGhw18EoAHwU=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aAR6l/b3SiQsGMPtnMeHmzfsh0crtT1C5+UxP55whIA=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tXlKTrMd35w/VGEq0pAUKGzoA7lDDEGfooykNcJtZd4=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EVXMmtbrK05YSYRgw5FgQD3Dc1yMJuinCK6QQtulNOM=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5GZR8kJIOaHvy2VnbUiRgyNB5menELbxKzlmtspM6QA=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HeCfwdvuI2t/xa4QgtIf1LWzcwS2nsGCgVTwTgfyoL8=</DigestValue>
      </Reference>
      <Reference URI="/xl/worksheets/sheet1.xml?ContentType=application/vnd.openxmlformats-officedocument.spreadsheetml.worksheet+xml">
        <DigestMethod Algorithm="http://www.w3.org/2001/04/xmlenc#sha256"/>
        <DigestValue>HzhTyj5n2cH0vr8MTmFleEE42pOKiLscKCRmKLLnMf4=</DigestValue>
      </Reference>
      <Reference URI="/xl/worksheets/sheet10.xml?ContentType=application/vnd.openxmlformats-officedocument.spreadsheetml.worksheet+xml">
        <DigestMethod Algorithm="http://www.w3.org/2001/04/xmlenc#sha256"/>
        <DigestValue>1SlHKj8u7oDgHcCWwI9O74vsd2Yy+E2UQFR0FHdRJJI=</DigestValue>
      </Reference>
      <Reference URI="/xl/worksheets/sheet11.xml?ContentType=application/vnd.openxmlformats-officedocument.spreadsheetml.worksheet+xml">
        <DigestMethod Algorithm="http://www.w3.org/2001/04/xmlenc#sha256"/>
        <DigestValue>eYD6ckI/BWl8OIXG4sBygr669MyRhLAa+R1jbaVd02A=</DigestValue>
      </Reference>
      <Reference URI="/xl/worksheets/sheet12.xml?ContentType=application/vnd.openxmlformats-officedocument.spreadsheetml.worksheet+xml">
        <DigestMethod Algorithm="http://www.w3.org/2001/04/xmlenc#sha256"/>
        <DigestValue>bUuvNGjCK8Ab0ZYHYaH3dVSQdZcxO8SNPOfCCB2jpNE=</DigestValue>
      </Reference>
      <Reference URI="/xl/worksheets/sheet13.xml?ContentType=application/vnd.openxmlformats-officedocument.spreadsheetml.worksheet+xml">
        <DigestMethod Algorithm="http://www.w3.org/2001/04/xmlenc#sha256"/>
        <DigestValue>Ammmetid3lteDF/NtJzovMYze6T4tlRyT7yYviE192Y=</DigestValue>
      </Reference>
      <Reference URI="/xl/worksheets/sheet14.xml?ContentType=application/vnd.openxmlformats-officedocument.spreadsheetml.worksheet+xml">
        <DigestMethod Algorithm="http://www.w3.org/2001/04/xmlenc#sha256"/>
        <DigestValue>eselzf2H3tZmGD3avmyWPxatKrrzUNtS1O7GBDpLEJk=</DigestValue>
      </Reference>
      <Reference URI="/xl/worksheets/sheet15.xml?ContentType=application/vnd.openxmlformats-officedocument.spreadsheetml.worksheet+xml">
        <DigestMethod Algorithm="http://www.w3.org/2001/04/xmlenc#sha256"/>
        <DigestValue>Bx1EiaHYHFIfxQO9tPrGxApX7ddRyIIZJV8Qvx0BmYk=</DigestValue>
      </Reference>
      <Reference URI="/xl/worksheets/sheet16.xml?ContentType=application/vnd.openxmlformats-officedocument.spreadsheetml.worksheet+xml">
        <DigestMethod Algorithm="http://www.w3.org/2001/04/xmlenc#sha256"/>
        <DigestValue>ZuJTZR1Uk4xNzRyoii20P3uIk8O+FAGc5mK8TiWdsaI=</DigestValue>
      </Reference>
      <Reference URI="/xl/worksheets/sheet17.xml?ContentType=application/vnd.openxmlformats-officedocument.spreadsheetml.worksheet+xml">
        <DigestMethod Algorithm="http://www.w3.org/2001/04/xmlenc#sha256"/>
        <DigestValue>pR1O+mniAge0EEeC9b6IrA5botaPlHG/8kVVah1fLPQ=</DigestValue>
      </Reference>
      <Reference URI="/xl/worksheets/sheet18.xml?ContentType=application/vnd.openxmlformats-officedocument.spreadsheetml.worksheet+xml">
        <DigestMethod Algorithm="http://www.w3.org/2001/04/xmlenc#sha256"/>
        <DigestValue>dTXKIvwv57XVkIf3FOP6EBQlmTUfMHCNbgaJC7o2jIQ=</DigestValue>
      </Reference>
      <Reference URI="/xl/worksheets/sheet19.xml?ContentType=application/vnd.openxmlformats-officedocument.spreadsheetml.worksheet+xml">
        <DigestMethod Algorithm="http://www.w3.org/2001/04/xmlenc#sha256"/>
        <DigestValue>fIyQClsDUQHCuoejoF/17qwSFnNyTdibgxycdbR4c6o=</DigestValue>
      </Reference>
      <Reference URI="/xl/worksheets/sheet2.xml?ContentType=application/vnd.openxmlformats-officedocument.spreadsheetml.worksheet+xml">
        <DigestMethod Algorithm="http://www.w3.org/2001/04/xmlenc#sha256"/>
        <DigestValue>aEAcSNXBvJhGuAiq+0YqcVd0fE70tFyQ97xqHZhR7Sw=</DigestValue>
      </Reference>
      <Reference URI="/xl/worksheets/sheet20.xml?ContentType=application/vnd.openxmlformats-officedocument.spreadsheetml.worksheet+xml">
        <DigestMethod Algorithm="http://www.w3.org/2001/04/xmlenc#sha256"/>
        <DigestValue>QghlWzMW9twBcZh+4UdoUqafXFfFOB6lCbHakF4L8mU=</DigestValue>
      </Reference>
      <Reference URI="/xl/worksheets/sheet21.xml?ContentType=application/vnd.openxmlformats-officedocument.spreadsheetml.worksheet+xml">
        <DigestMethod Algorithm="http://www.w3.org/2001/04/xmlenc#sha256"/>
        <DigestValue>JiRNkEn1rbBVyaKogZl/fgVjllgWOm3j/76bQYe5gis=</DigestValue>
      </Reference>
      <Reference URI="/xl/worksheets/sheet22.xml?ContentType=application/vnd.openxmlformats-officedocument.spreadsheetml.worksheet+xml">
        <DigestMethod Algorithm="http://www.w3.org/2001/04/xmlenc#sha256"/>
        <DigestValue>/zvddBbl8UlmUTuYtAXkU8fydrWyBKT+V1NDNA22Gt0=</DigestValue>
      </Reference>
      <Reference URI="/xl/worksheets/sheet23.xml?ContentType=application/vnd.openxmlformats-officedocument.spreadsheetml.worksheet+xml">
        <DigestMethod Algorithm="http://www.w3.org/2001/04/xmlenc#sha256"/>
        <DigestValue>mstwXoDa0Jn2J3W9M7jMEHO5GFhqz/1RG2MO+Ahjd0Q=</DigestValue>
      </Reference>
      <Reference URI="/xl/worksheets/sheet24.xml?ContentType=application/vnd.openxmlformats-officedocument.spreadsheetml.worksheet+xml">
        <DigestMethod Algorithm="http://www.w3.org/2001/04/xmlenc#sha256"/>
        <DigestValue>/GsJg5vo6J7LnD4dk/JJTbwGO6rJTFb3N/JyPfh8lHo=</DigestValue>
      </Reference>
      <Reference URI="/xl/worksheets/sheet25.xml?ContentType=application/vnd.openxmlformats-officedocument.spreadsheetml.worksheet+xml">
        <DigestMethod Algorithm="http://www.w3.org/2001/04/xmlenc#sha256"/>
        <DigestValue>OqE31pgPyb37hDcJhQAQvhtr8Dn8XO5DM3jAU79B0Zc=</DigestValue>
      </Reference>
      <Reference URI="/xl/worksheets/sheet26.xml?ContentType=application/vnd.openxmlformats-officedocument.spreadsheetml.worksheet+xml">
        <DigestMethod Algorithm="http://www.w3.org/2001/04/xmlenc#sha256"/>
        <DigestValue>UAa9zHoRWwprKnvSCRIzYPq/uQtVBfu4TUM74NkVfAI=</DigestValue>
      </Reference>
      <Reference URI="/xl/worksheets/sheet27.xml?ContentType=application/vnd.openxmlformats-officedocument.spreadsheetml.worksheet+xml">
        <DigestMethod Algorithm="http://www.w3.org/2001/04/xmlenc#sha256"/>
        <DigestValue>y4dU0Ce3X8cbvV+vS0IaVIUVUz652HwVIWTwEZm2m8s=</DigestValue>
      </Reference>
      <Reference URI="/xl/worksheets/sheet28.xml?ContentType=application/vnd.openxmlformats-officedocument.spreadsheetml.worksheet+xml">
        <DigestMethod Algorithm="http://www.w3.org/2001/04/xmlenc#sha256"/>
        <DigestValue>3FVfqXsn97KMui0Njn7hUBEN+FsV8p12H3n69HERBNI=</DigestValue>
      </Reference>
      <Reference URI="/xl/worksheets/sheet3.xml?ContentType=application/vnd.openxmlformats-officedocument.spreadsheetml.worksheet+xml">
        <DigestMethod Algorithm="http://www.w3.org/2001/04/xmlenc#sha256"/>
        <DigestValue>OfYP2jDmjCLNikwvz4sArkji8RkdBUyNfJzo3Ja5xgc=</DigestValue>
      </Reference>
      <Reference URI="/xl/worksheets/sheet4.xml?ContentType=application/vnd.openxmlformats-officedocument.spreadsheetml.worksheet+xml">
        <DigestMethod Algorithm="http://www.w3.org/2001/04/xmlenc#sha256"/>
        <DigestValue>DVHBW/7LKvGvvjNWtFbCGzIT0IW4m1Uz0RL/FSlkLZI=</DigestValue>
      </Reference>
      <Reference URI="/xl/worksheets/sheet5.xml?ContentType=application/vnd.openxmlformats-officedocument.spreadsheetml.worksheet+xml">
        <DigestMethod Algorithm="http://www.w3.org/2001/04/xmlenc#sha256"/>
        <DigestValue>3tyWnKoxsrzEJip8OHGfHQAwelKXCt/gqN97FnKip/M=</DigestValue>
      </Reference>
      <Reference URI="/xl/worksheets/sheet6.xml?ContentType=application/vnd.openxmlformats-officedocument.spreadsheetml.worksheet+xml">
        <DigestMethod Algorithm="http://www.w3.org/2001/04/xmlenc#sha256"/>
        <DigestValue>5L/UC+rEJqJREdetDv3buztRLoWrfAZSToR/9bdIcLI=</DigestValue>
      </Reference>
      <Reference URI="/xl/worksheets/sheet7.xml?ContentType=application/vnd.openxmlformats-officedocument.spreadsheetml.worksheet+xml">
        <DigestMethod Algorithm="http://www.w3.org/2001/04/xmlenc#sha256"/>
        <DigestValue>vCTr2EJFqDCz4IMKVR706OB/4xLjXTL1CY1kTYUEFdM=</DigestValue>
      </Reference>
      <Reference URI="/xl/worksheets/sheet8.xml?ContentType=application/vnd.openxmlformats-officedocument.spreadsheetml.worksheet+xml">
        <DigestMethod Algorithm="http://www.w3.org/2001/04/xmlenc#sha256"/>
        <DigestValue>vpQYxptJ7XP2sNbUxvqR9CK+vKMQ6+81uNK97NU8PaU=</DigestValue>
      </Reference>
      <Reference URI="/xl/worksheets/sheet9.xml?ContentType=application/vnd.openxmlformats-officedocument.spreadsheetml.worksheet+xml">
        <DigestMethod Algorithm="http://www.w3.org/2001/04/xmlenc#sha256"/>
        <DigestValue>ww2JUN9GLDV8RA63f8KK3y/cBqVqndLGbeyuO7WAmlQ=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2022-11-15T00:35:02Z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{65237113-31A1-49CF-B29F-3B8A1A4C7150}</SetupID>
          <SignatureText>Sebastián Oporto Leiva</SignatureText>
          <SignatureImage/>
          <SignatureComments/>
          <WindowsVersion>10.0</WindowsVersion>
          <OfficeVersion>16.0.15726/23</OfficeVersion>
          <ApplicationVersion>16.0.15726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2022-11-15T00:35:02Z</xd:SigningTime>
          <xd:SigningCertificate>
            <xd:Cert>
              <xd:CertDigest>
                <DigestMethod Algorithm="http://www.w3.org/2001/04/xmlenc#sha256"/>
                <DigestValue>vU//LrZauGdtcImFFxdDHX+U7EokbqJbcsMfBYLQiWQ=</DigestValue>
              </xd:CertDigest>
              <xd:IssuerSerial>
                <X509IssuerName>C=PY, O=DOCUMENTA S.A., CN=CA-DOCUMENTA S.A., SERIALNUMBER=RUC 80050172-1</X509IssuerName>
                <X509SerialNumber>7001968645732129176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qTCCBZGgAwIBAgIQWC+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/hk+D/VTF+X5H6btEEiBu1KNEf35B5e2pyeOAOBsduFcJAgh3tjNAQGcY057ad1eCdBf6pbXv8Mhio0jlcGSvlmF+OVTTYvTUwF2HbgHDqOiQDJpnDzMhVXmNKfKH7W62QYKp0fKB8F8li1ChNt30za2bqzeTntqq3kCXHlhbjHlLMHqV76MgsEeHuSJMtxOBbQatlxyJRmcEfUyF/hu8A8q3caWLFOzfsJbTfpAxkxo3/ewkRVF/SAj70/3VBrw+IY/9TTTeS2oYrWkurC3tT5KTmwr1mMKIBprkVRVqzWuh+4HyPmgF/u4kqI6A8xiA1mdsk+hCP5zICkEv+qwjP9mK4pq1gTvjvuQ6sbu2+qBaUi5nTr/L81Y5vSvLOR0Hod7GmCx9p7JWMzEVAGmh28F0ZqPt5Ry37w4DLdtrBJPzdyso36OZseNaXM3puukBisbv2vyt2ydUvuLwEbl2oYDKcvfifCLauqlgwCv5BKFuxBDL/KKaxnJZBYKbEtgY9ztwYEY8xyAbyQqH/JAB88VW04vw7GVkdUPu7mw1udKafyJXRrqlsrAbCTWdtwYuXJPj3mi/x3z6+Fg1+kx9izYU/5+DtGLhk3YN0eIObqtjUjBhqT+u1rJ3iZtalwRtDBhEb5ehrQIDAQABo4ICUzCCAk8wEgYDVR0TAQH/BAgwBgEB/wIBADAOBgNVHQ8BAf8EBAMCAQYwHQYDVR0OBBYEFEAmrCZcYo/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+wo/po7oT9Qq40OltXGGgBIA3i4NGFQ5UBsWU3tI+O3jNkBi/9k/BkYHVT9UxWNHUxoZw+QJsAKl5f8wQksVH18Scq5Z+RUSBQ7v1hvvH1m2P7FXcB0nf+nwDVoDyGv57EmhKofwQibUzKajDts6JrsXyugQhVbLynSCw4qPMJLpImpL21LxxVMcryQMYymYUAr3DrMLOUuXxKLXCSOf8oP/PSmBvKldr2xeGJ5kowMxq0Af8mn7+pnm3yi0Ons5plFugKv3eSAmBY3zBS5NGPt9FFY/9FeNbCNXLEIRhaCx3T/6lSfIJZU5fCfLUY3y0hkSwuoK1gf/hHFyqyN/PrJ8E9PbyEzpMYwc51K+PhRRMcrJaD9txveHz8XjDrjjoISL+ZV54LMzUi5sF++nG79TLxDaC4vBtg6I8mOooFqzbsYgM3R4SaElTQIv6dSEZX1wKJXh25RbldqePe4Alnwe3vU97ZrTEpKPQkRM4lPJVElOicbYR1Wx5xrvyFucagF6IVeP4IZLJt1L4rbiSzPq027Q8jECgeJeRQWVKS8nQ8KyMfA0tgAuL3Vtub5pSbMI3xqtQwdJtOgwFj2iVp1BQv3XegF6OySbw/sk46AGWOTwb6vwUPq5TfnuNzO92keBxGg+aWylEC25zYFPYpAq384g5lmVaV53zmp1f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  <Object Id="idValidSigLnImg">AQAAAGwAAAAAAAAAAAAAAEsBAAB/AAAAAAAAAAAAAAA9FwAA8AgAACBFTUYAAAEAOBwAAKo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0AAAAEAAAA9gAAABAAAAC9AAAABAAAADo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L0AAAAEAAAA9wAAABEAAAAlAAAADAAAAAEAAABUAAAAiAAAAL4AAAAEAAAA9QAAABAAAAABAAAAVVWPQYX2jkG+AAAABAAAAAoAAABMAAAAAAAAAAAAAAAAAAAA//////////9gAAAAMQA0AC8AMQAxAC8AMgAwADIAMgAGAAAABgAAAAQAAAAGAAAABgAAAAQAAAAGAAAABgAAAAYAAAAGAAAASwAAAEAAAAAwAAAABQAAACAAAAABAAAAAQAAABAAAAAAAAAAAAAAAEwBAACAAAAAAAAAAAAAAABM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oAAAAnAAAAHgAAAEoAAAABAAAAVVWPQYX2j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LAAAARwAAACkAAAAzAAAAowAAABUAAAAhAPAAAAAAAAAAAAAAAIA/AAAAAAAAAAAAAIA/AAAAAAAAAAAAAAAAAAAAAAAAAAAAAAAAAAAAAAAAAAAlAAAADAAAAAAAAIAoAAAADAAAAAQAAABSAAAAcAEAAAQAAADw////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KQAAADMAAADMAAAASAAAACUAAAAMAAAABAAAAFQAAADQAAAAKgAAADMAAADKAAAARwAAAAEAAABVVY9BhfaOQSoAAAAzAAAAFgAAAEwAAAAAAAAAAAAAAAAAAAD//////////3gAAABTAGUAYgBhAHMAdABpAOEAbgAgAE8AcABvAHIAdABvACAATABlAGkAdgBhAAkAAAAIAAAACQAAAAgAAAAHAAAABQAAAAQAAAAIAAAACQAAAAQAAAAMAAAACQAAAAkAAAAGAAAABQAAAAkAAAAEAAAACAAAAAgAAAAEAAAACAAAAAgAAABLAAAAQAAAADAAAAAFAAAAIAAAAAEAAAABAAAAEAAAAAAAAAAAAAAATAEAAIAAAAAAAAAAAAAAAEwBAACAAAAAJQAAAAwAAAACAAAAJwAAABgAAAAFAAAAAAAAAP///wAAAAAAJQAAAAwAAAAFAAAATAAAAGQAAAAAAAAAUAAAAEsBAAB8AAAAAAAAAFAAAABMAQAALQAAACEA8AAAAAAAAAAAAAAAgD8AAAAAAAAAAAAAgD8AAAAAAAAAAAAAAAAAAAAAAAAAAAAAAAAAAAAAAAAAACUAAAAMAAAAAAAAgCgAAAAMAAAABQAAACcAAAAYAAAABQAAAAAAAAD///8AAAAAACUAAAAMAAAABQAAAEwAAABkAAAACQAAAFAAAAD/AAAAXAAAAAkAAABQAAAA9wAAAA0AAAAhAPAAAAAAAAAAAAAAAIA/AAAAAAAAAAAAAIA/AAAAAAAAAAAAAAAAAAAAAAAAAAAAAAAAAAAAAAAAAAAlAAAADAAAAAAAAIAoAAAADAAAAAUAAAAlAAAADAAAAAEAAAAYAAAADAAAAAAAAAASAAAADAAAAAEAAAAeAAAAGAAAAAkAAABQAAAAAAEAAF0AAAAlAAAADAAAAAEAAABUAAAAwAAAAAoAAABQAAAAbwAAAFwAAAABAAAAVVWPQYX2jkEKAAAAUAAAABMAAABMAAAAAAAAAAAAAAAAAAAA//////////90AAAAUwBlAGIAYQBzAHQAaQBhAG4AIABPAHAAbwByAHQAbwAgAEwALgAAAAYAAAAGAAAABwAAAAYAAAAFAAAABAAAAAMAAAAGAAAABwAAAAMAAAAJAAAABwAAAAcAAAAEAAAABAAAAAcAAAADAAAABQAAAAMAAABLAAAAQAAAADAAAAAFAAAAIAAAAAEAAAABAAAAEAAAAAAAAAAAAAAATAEAAIAAAAAAAAAAAAAAAEwBAACAAAAAJQAAAAwAAAACAAAAJwAAABgAAAAFAAAAAAAAAP///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IAAAACgAAAGAAAAA/AAAAbAAAAAEAAABVVY9BhfaOQQoAAABgAAAACgAAAEwAAAAAAAAAAAAAAAAAAAD//////////2AAAABQAHIAZQBzAGkAZABlAG4AdABlAAYAAAAEAAAABgAAAAUAAAADAAAABwAAAAYAAAAHAAAABAAAAAYAAABLAAAAQAAAADAAAAAFAAAAIAAAAAEAAAABAAAAEAAAAAAAAAAAAAAATAEAAIAAAAAAAAAAAAAAAEwBAACAAAAAJQAAAAwAAAACAAAAJwAAABgAAAAFAAAAAAAAAP///wAAAAAAJQAAAAwAAAAFAAAATAAAAGQAAAAJAAAAcAAAAEIBAAB8AAAACQAAAHAAAAA6AQAADQAAACEA8AAAAAAAAAAAAAAAgD8AAAAAAAAAAAAAgD8AAAAAAAAAAAAAAAAAAAAAAAAAAAAAAAAAAAAAAAAAACUAAAAMAAAAAAAAgCgAAAAMAAAABQAAACUAAAAMAAAAAQAAABgAAAAMAAAAAAAAABIAAAAMAAAAAQAAABYAAAAMAAAAAAAAAFQAAACMAQAACgAAAHAAAABBAQAAfAAAAAEAAABVVY9BhfaOQQoAAABwAAAANQAAAEwAAAAEAAAACQAAAHAAAABDAQAAfQAAALgAAABGAGkAcgBtAGEAZABvACAAcABvAHIAOgAgAEYARQBEAEUAUgBJAEMATwAgAFMARQBCAEEAUwBUAEkAQQBOACAATwBQAE8AUgBUAE8AIABMAEUASQBWAEEAIABFAFMAUABJAE4ATwBMAEEAAAAGAAAAAwAAAAQAAAAJAAAABgAAAAcAAAAHAAAAAwAAAAcAAAAHAAAABAAAAAMAAAADAAAABgAAAAYAAAAIAAAABgAAAAcAAAADAAAABwAAAAkAAAADAAAABgAAAAYAAAAGAAAABwAAAAYAAAAGAAAAAwAAAAcAAAAIAAAAAwAAAAkAAAAGAAAACQAAAAcAAAAGAAAACQAAAAMAAAAFAAAABgAAAAMAAAAHAAAABwAAAAMAAAAGAAAABgAAAAYAAAADAAAACAAAAAkAAAAFAAAABwAAABYAAAAMAAAAAAAAACUAAAAMAAAAAgAAAA4AAAAUAAAAAAAAABAAAAAUAAAA</Object>
  <Object Id="idInvalidSigLnImg">AQAAAGwAAAAAAAAAAAAAAEsBAAB/AAAAAAAAAAAAAAA9FwAA8AgAACBFTUYAAAEApCEAALEAAAAGAAAAAAAAAAAAAAAAAAAAgAcAADgEAABYAQAAwQAAAAAAAAAAAAAAAAAAAMA/BQDo8QIACgAAABAAAAAAAAAAAAAAAEsAAAAQAAAAAAAAAAUAAAAeAAAAGAAAAAAAAAAAAAAATAEAAIAAAAAnAAAAGAAAAAEAAAAAAAAAAAAAAAAAAAAlAAAADAAAAAEAAABMAAAAZAAAAAAAAAAAAAAASwEAAH8AAAAAAAAAAAAAAEw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8PDwAAAAAAAlAAAADAAAAAEAAABMAAAAZAAAAAAAAAAAAAAASwEAAH8AAAAAAAAAAAAAAEwBAACAAAAAIQDwAAAAAAAAAAAAAACAPwAAAAAAAAAAAACAPwAAAAAAAAAAAAAAAAAAAAAAAAAAAAAAAAAAAAAAAAAAJQAAAAwAAAAAAACAKAAAAAwAAAABAAAAJwAAABgAAAABAAAAAAAAAPDw8AAAAAAAJQAAAAwAAAABAAAATAAAAGQAAAAAAAAAAAAAAEsBAAB/AAAAAAAAAAAAAABMAQAAgAAAACEA8AAAAAAAAAAAAAAAgD8AAAAAAAAAAAAAgD8AAAAAAAAAAAAAAAAAAAAAAAAAAAAAAAAAAAAAAAAAACUAAAAMAAAAAAAAgCgAAAAMAAAAAQAAACcAAAAYAAAAAQAAAAAAAADw8PAAAAAAACUAAAAMAAAAAQAAAEwAAABkAAAAAAAAAAAAAABLAQAAfwAAAAAAAAAAAAAATAEAAIAAAAAhAPAAAAAAAAAAAAAAAIA/AAAAAAAAAAAAAIA/AAAAAAAAAAAAAAAAAAAAAAAAAAAAAAAAAAAAAAAAAAAlAAAADAAAAAAAAIAoAAAADAAAAAEAAAAnAAAAGAAAAAEAAAAAAAAA////AAAAAAAlAAAADAAAAAEAAABMAAAAZAAAAAAAAAAAAAAASwEAAH8AAAAAAAAAAAAAAEwBAACAAAAAIQDwAAAAAAAAAAAAAACAPwAAAAAAAAAAAACAPwAAAAAAAAAAAAAAAAAAAAAAAAAAAAAAAAAAAAAAAAAAJQAAAAwAAAAAAACAKAAAAAwAAAABAAAAJwAAABgAAAABAAAAAAAAAP///wAAAAAAJQAAAAwAAAABAAAATAAAAGQAAAAAAAAAAAAAAEsBAAB/AAAAAAAAAAAAAABM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FQAAAAwAAAADAAAAcgAAAKAEAAAKAAAAAwAAABcAAAAQAAAACgAAAAMAAAAOAAAADgAAAAAA/wEAAAAAAAAAAAAAgD8AAAAAAAAAAAAAgD8AAAAAAAAAAP///wAAAAAAbAAAADQAAACgAAAAAAQAAA4AAAAOAAAAKAAAABAAAAAQAAAAAQAgAAMAAAAABAAAAAAAAAAAAAAAAAAAAAAAAAAA/wAA/wAA/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/ODo6/wsLCzEAAAAADg85PTU31uYAAAAAAAAAADs97f8AAAAAAAAAAAAAAAAAAAAAAAAAAAAAAAA6Ozumpqen//r6+v9OUFD/kZKS/wAAAAAODzk9NTfW5js97f8AAAAAAAAAAAAAAAAAAAAAAAAAAAAAAAAAAAAAOjs7pqanp//6+vr/+vr6//r6+v+srKyvAAAAADs97f81N9bmAAAAAAAAAAAAAAAAAAAAAAAAAAAAAAAAAAAAADo7O6amp6f/+vr6//r6+v88PDw9AAAAADs97f8AAAAADg85PTU31uYAAAAAAAAAAAAAAAAAAAAAAAAAAAAAAAA6Ozumpqen//r6+v88PDw9AAAAADs97f8AAAAAAAAAAAAAAAAODzk9NTfW5gAAAAAAAAAAAAAAAAAAAAAAAAAAOjs7ppGSkv84Ojr/ODo6/xISElEAAAAAAAAAAAAAAAAAAAAAAAAAAAAAAAAAAAAAAAAAAAAAAAAAAAAAAAAAADo7O6ZOUFD/+vr6//r6+v+vr6/xOzs7e0lLS8wAAAAAAAAAAAAAAAAAAAAAAAAAAAAAAAAAAAAAAAAAAAAAAABFR0f2+vr6//r6+v/6+vr/+vr6//r6+v9ISkr4CwsLMQAAAAAAAAAAAAAAAAAAAAAAAAAAAAAAAAAAAAAYGRluiImJ9vr6+v/6+vr/+vr6//r6+v/6+vr/pqen/x4fH4oAAAAAAAAAAAAAAAAAAAAAAAAAAAAAAAAAAAAAGBkZboiJifb6+vr/+vr6//r6+v/6+vr/+vr6/6anp/8eHx+KAAAAAAAAAAAAAAAAAAAAAAAAAAAAAAAAAAAAAAsLCzFISkr4+vr6//r6+v/6+vr/+vr6//r6+v9dXl72EhISUQAAAAAAAAAAAAAAAAAAAAAAAAAAAAAAAAAAAAAAAAAAHh8fimZnZ//6+vr/+vr6//r6+v97fX3/OTs7uwAAAAAAAAAAAAAAAAAAAAAAAAAAAAAAAAAAAAAAAAAAAAAAAAAAAAAYGRluODo6/zg6Ov84Ojr/Hh8figAAAAAAAAAAAAAAAAAAAAAAAAAAAAAAAAAAAAAnAAAAGAAAAAEAAAAAAAAA////AAAAAAAlAAAADAAAAAEAAABMAAAAZAAAACIAAAAEAAAAcQAAABAAAAAiAAAABAAAAFAAAAANAAAAIQDwAAAAAAAAAAAAAACAPwAAAAAAAAAAAACAPwAAAAAAAAAAAAAAAAAAAAAAAAAAAAAAAAAAAAAAAAAAJQAAAAwAAAAAAACAKAAAAAwAAAABAAAAUgAAAHABAAABAAAA9f///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cgAAABEAAAAlAAAADAAAAAEAAABUAAAAqAAAACMAAAAEAAAAcAAAABAAAAABAAAAVVWPQYX2jkEjAAAABAAAAA8AAABMAAAAAAAAAAAAAAAAAAAA//////////9sAAAARgBpAHIAbQBhACAAbgBvACAAdgDhAGwAaQBkAGEAbQAGAAAAAwAAAAQAAAAJAAAABgAAAAMAAAAHAAAABwAAAAMAAAAFAAAABgAAAAMAAAADAAAABwAAAAYAAABLAAAAQAAAADAAAAAFAAAAIAAAAAEAAAABAAAAEAAAAAAAAAAAAAAATAEAAIAAAAAAAAAAAAAAAEw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//////////8AAAAAFgAAAAAAAAA1AAAAIQDwAAAAAAAAAAAAAACAPwAAAAAAAAAAAACAPwAAAAAAAAAAAAAAAAAAAAAAAAAAAAAAAAAAAAAAAAAAJQAAAAwAAAAAAACAKAAAAAwAAAADAAAAJwAAABgAAAADAAAAAAAAAAAAAAAAAAAAJQAAAAwAAAADAAAATAAAAGQAAAAAAAAAAAAAAP//////////AAAAABYAAAAAAQAAAAAAACEA8AAAAAAAAAAAAAAAgD8AAAAAAAAAAAAAgD8AAAAAAAAAAAAAAAAAAAAAAAAAAAAAAAAAAAAAAAAAACUAAAAMAAAAAAAAgCgAAAAMAAAAAwAAACcAAAAYAAAAAwAAAAAAAAAAAAAAAAAAACUAAAAMAAAAAwAAAEwAAABkAAAAAAAAAAAAAAD//////////wABAAAWAAAAAAAAADUAAAAhAPAAAAAAAAAAAAAAAIA/AAAAAAAAAAAAAIA/AAAAAAAAAAAAAAAAAAAAAAAAAAAAAAAAAAAAAAAAAAAlAAAADAAAAAAAAIAoAAAADAAAAAMAAAAnAAAAGAAAAAMAAAAAAAAAAAAAAAAAAAAlAAAADAAAAAMAAABMAAAAZAAAAAAAAABLAAAA/wAAAEwAAAAAAAAASwAAAAABAAACAAAAIQDwAAAAAAAAAAAAAACAPwAAAAAAAAAAAACAPwAAAAAAAAAAAAAAAAAAAAAAAAAAAAAAAAAAAAAAAAAAJQAAAAwAAAAAAACAKAAAAAwAAAADAAAAJwAAABgAAAADAAAAAAAAAP///wAAAAAAJQAAAAwAAAADAAAATAAAAGQAAAAAAAAAFgAAAP8AAABKAAAAAAAAABYAAAAAAQAANQAAACEA8AAAAAAAAAAAAAAAgD8AAAAAAAAAAAAAgD8AAAAAAAAAAAAAAAAAAAAAAAAAAAAAAAAAAAAAAAAAACUAAAAMAAAAAAAAgCgAAAAMAAAAAwAAACcAAAAYAAAAAwAAAAAAAAD///8AAAAAACUAAAAMAAAAAwAAAEwAAABkAAAACQAAACcAAAAfAAAASgAAAAkAAAAnAAAAFwAAACQAAAAhAPAAAAAAAAAAAAAAAIA/AAAAAAAAAAAAAIA/AAAAAAAAAAAAAAAAAAAAAAAAAAAAAAAAAAAAAAAAAAAlAAAADAAAAAAAAIAoAAAADAAAAAMAAABSAAAAcAEAAAMAAADg////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BVVY9BhfaOQQoAAABLAAAAAQAAAEwAAAAEAAAACQAAACcAAAAgAAAASwAAAFAAAABYAG0AFQAAABYAAAAMAAAAAAAAACUAAAAMAAAAAgAAACcAAAAYAAAABAAAAAAAAAD///8AAAAAACUAAAAMAAAABAAAAEwAAABkAAAAKQAAABkAAAD2AAAASgAAACkAAAAZAAAAzgAAADI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JwAAABgAAAAEAAAAAAAAAP///wAAAAAAJQAAAAwAAAAEAAAATAAAAGQAAAApAAAAMwAAAMsAAABHAAAAKQAAADMAAACjAAAAFQAAACEA8AAAAAAAAAAAAAAAgD8AAAAAAAAAAAAAgD8AAAAAAAAAAAAAAAAAAAAAAAAAAAAAAAAAAAAAAAAAACUAAAAMAAAAAAAAgCgAAAAMAAAABAAAAFIAAABwAQAABAAAAPD///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MwAAABIAAAAJQAAAAwAAAAEAAAAVAAAANAAAAAqAAAAMwAAAMoAAABHAAAAAQAAAFVVj0GF9o5BKgAAADMAAAAWAAAATAAAAAAAAAAAAAAAAAAAAP//////////eAAAAFMAZQBiAGEAcwB0AGkA4QBuACAATwBwAG8AcgB0AG8AIABMAGUAaQB2AGEACQAAAAgAAAAJAAAACAAAAAcAAAAFAAAABAAAAAgAAAAJAAAABAAAAAwAAAAJAAAACQAAAAYAAAAFAAAACQAAAAQAAAAIAAAACAAAAAQAAAAIAAAACAAAAEsAAABAAAAAMAAAAAUAAAAgAAAAAQAAAAEAAAAQAAAAAAAAAAAAAABMAQAAgAAAAAAAAAAAAAAATAEAAIAAAAAlAAAADAAAAAIAAAAnAAAAGAAAAAUAAAAAAAAA////AAAAAAAlAAAADAAAAAUAAABMAAAAZAAAAAAAAABQAAAASwEAAHwAAAAAAAAAUAAAAEwBAAAtAAAAIQDwAAAAAAAAAAAAAACAPwAAAAAAAAAAAACAPwAAAAAAAAAAAAAAAAAAAAAAAAAAAAAAAAAAAAAAAAAAJQAAAAwAAAAAAACAKAAAAAwAAAAFAAAAJwAAABgAAAAFAAAAAAAAAP///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AAAAACgAAAFAAAABvAAAAXAAAAAEAAABVVY9BhfaOQQoAAABQAAAAEwAAAEwAAAAAAAAAAAAAAAAAAAD//////////3QAAABTAGUAYgBhAHMAdABpAGEAbgAgAE8AcABvAHIAdABvACAATAAuACJyBgAAAAYAAAAHAAAABgAAAAUAAAAEAAAAAwAAAAYAAAAHAAAAAwAAAAkAAAAHAAAABwAAAAQAAAAEAAAABwAAAAMAAAAFAAAAAwAAAEsAAABAAAAAMAAAAAUAAAAgAAAAAQAAAAEAAAAQAAAAAAAAAAAAAABMAQAAgAAAAAAAAAAAAAAATAEAAIAAAAAlAAAADAAAAAIAAAAnAAAAGAAAAAUAAAAAAAAA////AAAAAAAlAAAADAAAAAUAAABMAAAAZAAAAAkAAABgAAAA/wAAAGwAAAAJAAAAYAAAAPcAAAANAAAAIQDwAAAAAAAAAAAAAACAPwAAAAAAAAAAAACAPwAAAAAAAAAAAAAAAAAAAAAAAAAAAAAAAAAAAAAAAAAAJQAAAAwAAAAAAACAKAAAAAwAAAAFAAAAJQAAAAwAAAABAAAAGAAAAAwAAAAAAAAAEgAAAAwAAAABAAAAHgAAABgAAAAJAAAAYAAAAAABAABtAAAAJQAAAAwAAAABAAAAVAAAAIgAAAAKAAAAYAAAAD8AAABsAAAAAQAAAFVVj0GF9o5BCgAAAGAAAAAKAAAATAAAAAAAAAAAAAAAAAAAAP//////////YAAAAFAAcgBlAHMAaQBkAGUAbgB0AGUABgAAAAQAAAAGAAAABQAAAAMAAAAHAAAABgAAAAcAAAAEAAAABgAAAEsAAABAAAAAMAAAAAUAAAAgAAAAAQAAAAEAAAAQAAAAAAAAAAAAAABMAQAAgAAAAAAAAAAAAAAATAEAAIAAAAAlAAAADAAAAAIAAAAnAAAAGAAAAAUAAAAAAAAA////AAAAAAAlAAAADAAAAAUAAABMAAAAZAAAAAkAAABwAAAAQgEAAHwAAAAJAAAAcAAAADoBAAANAAAAIQDwAAAAAAAAAAAAAACAPwAAAAAAAAAAAACAPwAAAAAAAAAAAAAAAAAAAAAAAAAAAAAAAAAAAAAAAAAAJQAAAAwAAAAAAACAKAAAAAwAAAAFAAAAJQAAAAwAAAABAAAAGAAAAAwAAAAAAAAAEgAAAAwAAAABAAAAFgAAAAwAAAAAAAAAVAAAAIwBAAAKAAAAcAAAAEEBAAB8AAAAAQAAAFVVj0GF9o5BCgAAAHAAAAA1AAAATAAAAAQAAAAJAAAAcAAAAEMBAAB9AAAAuAAAAEYAaQByAG0AYQBkAG8AIABwAG8AcgA6ACAARgBFAEQARQBSAEkAQwBPACAAUwBFAEIAQQBTAFQASQBBAE4AIABPAFAATwBSAFQATwAgAEwARQBJAFYAQQAgAEUAUwBQAEkATgBPAEwAQQDG5wYAAAADAAAABAAAAAkAAAAGAAAABwAAAAcAAAADAAAABwAAAAcAAAAEAAAAAwAAAAMAAAAGAAAABgAAAAgAAAAGAAAABwAAAAMAAAAHAAAACQAAAAMAAAAGAAAABgAAAAYAAAAHAAAABgAAAAYAAAADAAAABwAAAAgAAAADAAAACQAAAAYAAAAJAAAABwAAAAYAAAAJAAAAAwAAAAUAAAAGAAAAAwAAAAcAAAAHAAAAAwAAAAYAAAAGAAAABgAAAAMAAAAIAAAACQAAAAUAAAAHAAAAFgAAAAwAAAAAAAAAJQAAAAwAAAACAAAADgAAABQAAAAAAAAAEAAAABQAAAA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1</vt:i4>
      </vt:variant>
    </vt:vector>
  </HeadingPairs>
  <TitlesOfParts>
    <vt:vector size="29" baseType="lpstr">
      <vt:lpstr>Indice</vt:lpstr>
      <vt:lpstr>I.Infomac Gral Emp </vt:lpstr>
      <vt:lpstr>Balance Gral. Resol. 30</vt:lpstr>
      <vt:lpstr>Estado de Resultado Resol. 30</vt:lpstr>
      <vt:lpstr>Flujo de Efectivo Resol. Res 30</vt:lpstr>
      <vt:lpstr>Estado de Variacion PN </vt:lpstr>
      <vt:lpstr> Flujo de Fondos Calculo INVEST</vt:lpstr>
      <vt:lpstr>NOTA A LOS ESTADOS CONTA. 1-4</vt:lpstr>
      <vt:lpstr>NOTA 5 A-C CRITERIOS ESPECIF.</vt:lpstr>
      <vt:lpstr>NOTA D - DISPONIBILIDADES</vt:lpstr>
      <vt:lpstr>NOTA E - INVERSIONES TEMP Y PER</vt:lpstr>
      <vt:lpstr>NOTA F - CREDITOS</vt:lpstr>
      <vt:lpstr>NOTA G BIENES DE USO</vt:lpstr>
      <vt:lpstr>NOTA H CARGOS DIFERIDOS</vt:lpstr>
      <vt:lpstr> NOTA I INTANGIBLES</vt:lpstr>
      <vt:lpstr>NOTA J OTROS ACTIVOS CTES y NO </vt:lpstr>
      <vt:lpstr>NOTA K PRESTAMOS</vt:lpstr>
      <vt:lpstr>NOTA L DOCUM y CTAS A PAG</vt:lpstr>
      <vt:lpstr>NOTAS M-Q ACREED y CTAS A PAG</vt:lpstr>
      <vt:lpstr>NOTA R SALDOS Y TRANSACC</vt:lpstr>
      <vt:lpstr>NOTA S RESULTADOS CON PERS</vt:lpstr>
      <vt:lpstr> NOTA T PATRIMONIO Y PREVIS</vt:lpstr>
      <vt:lpstr>NOTA V INGRESOS OPERATIVOS</vt:lpstr>
      <vt:lpstr>NOTA W OTROS GASTOS OPER</vt:lpstr>
      <vt:lpstr>NOTA X OTROS INGRESOS Y EGR</vt:lpstr>
      <vt:lpstr>NOTA Y RESULTADOS FINANC</vt:lpstr>
      <vt:lpstr>NOTA Z RESULT EXTRA</vt:lpstr>
      <vt:lpstr>NOTA 6 INFORMACION REFERENTE</vt:lpstr>
      <vt:lpstr>' Flujo de Fondos Calculo INVEST'!Área_de_impresión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Sady Pereira</cp:lastModifiedBy>
  <cp:revision/>
  <cp:lastPrinted>2021-11-14T19:15:35Z</cp:lastPrinted>
  <dcterms:created xsi:type="dcterms:W3CDTF">2019-11-21T14:06:50Z</dcterms:created>
  <dcterms:modified xsi:type="dcterms:W3CDTF">2022-11-14T20:28:49Z</dcterms:modified>
  <cp:category/>
  <cp:contentStatus/>
</cp:coreProperties>
</file>